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omments2.xml" ContentType="application/vnd.openxmlformats-officedocument.spreadsheetml.comments+xml"/>
  <Override PartName="/xl/drawings/drawing6.xml" ContentType="application/vnd.openxmlformats-officedocument.drawing+xml"/>
  <Override PartName="/xl/activeX/activeX1.xml" ContentType="application/vnd.ms-office.activeX+xml"/>
  <Override PartName="/xl/activeX/activeX1.bin" ContentType="application/vnd.ms-office.activeX"/>
  <Override PartName="/xl/comments3.xml" ContentType="application/vnd.openxmlformats-officedocument.spreadsheetml.comments+xml"/>
  <Override PartName="/xl/drawings/drawing7.xml" ContentType="application/vnd.openxmlformats-officedocument.drawing+xml"/>
  <Override PartName="/xl/comments4.xml" ContentType="application/vnd.openxmlformats-officedocument.spreadsheetml.comments+xml"/>
  <Override PartName="/xl/drawings/drawing8.xml" ContentType="application/vnd.openxmlformats-officedocument.drawing+xml"/>
  <Override PartName="/xl/comments5.xml" ContentType="application/vnd.openxmlformats-officedocument.spreadsheetml.comments+xml"/>
  <Override PartName="/xl/drawings/drawing9.xml" ContentType="application/vnd.openxmlformats-officedocument.drawing+xml"/>
  <Override PartName="/xl/comments6.xml" ContentType="application/vnd.openxmlformats-officedocument.spreadsheetml.comments+xml"/>
  <Override PartName="/xl/drawings/drawing10.xml" ContentType="application/vnd.openxmlformats-officedocument.drawing+xml"/>
  <Override PartName="/xl/comments7.xml" ContentType="application/vnd.openxmlformats-officedocument.spreadsheetml.comments+xml"/>
  <Override PartName="/xl/drawings/drawing11.xml" ContentType="application/vnd.openxmlformats-officedocument.drawing+xml"/>
  <Override PartName="/xl/comments8.xml" ContentType="application/vnd.openxmlformats-officedocument.spreadsheetml.comments+xml"/>
  <Override PartName="/xl/drawings/drawing12.xml" ContentType="application/vnd.openxmlformats-officedocument.drawing+xml"/>
  <Override PartName="/xl/comments9.xml" ContentType="application/vnd.openxmlformats-officedocument.spreadsheetml.comments+xml"/>
  <Override PartName="/xl/drawings/drawing13.xml" ContentType="application/vnd.openxmlformats-officedocument.drawing+xml"/>
  <Override PartName="/xl/comments10.xml" ContentType="application/vnd.openxmlformats-officedocument.spreadsheetml.comments+xml"/>
  <Override PartName="/xl/drawings/drawing14.xml" ContentType="application/vnd.openxmlformats-officedocument.drawing+xml"/>
  <Override PartName="/xl/drawings/drawing15.xml" ContentType="application/vnd.openxmlformats-officedocument.drawing+xml"/>
  <Override PartName="/xl/comments11.xml" ContentType="application/vnd.openxmlformats-officedocument.spreadsheetml.comments+xml"/>
  <Override PartName="/xl/drawings/drawing16.xml" ContentType="application/vnd.openxmlformats-officedocument.drawing+xml"/>
  <Override PartName="/xl/activeX/activeX2.xml" ContentType="application/vnd.ms-office.activeX+xml"/>
  <Override PartName="/xl/activeX/activeX2.bin" ContentType="application/vnd.ms-office.activeX"/>
  <Override PartName="/xl/comments12.xml" ContentType="application/vnd.openxmlformats-officedocument.spreadsheetml.comments+xml"/>
  <Override PartName="/xl/drawings/drawing17.xml" ContentType="application/vnd.openxmlformats-officedocument.drawing+xml"/>
  <Override PartName="/xl/comments13.xml" ContentType="application/vnd.openxmlformats-officedocument.spreadsheetml.comments+xml"/>
  <Override PartName="/xl/drawings/drawing18.xml" ContentType="application/vnd.openxmlformats-officedocument.drawing+xml"/>
  <Override PartName="/xl/comments14.xml" ContentType="application/vnd.openxmlformats-officedocument.spreadsheetml.comments+xml"/>
  <Override PartName="/xl/drawings/drawing19.xml" ContentType="application/vnd.openxmlformats-officedocument.drawing+xml"/>
  <Override PartName="/xl/comments15.xml" ContentType="application/vnd.openxmlformats-officedocument.spreadsheetml.comments+xml"/>
  <Override PartName="/xl/drawings/drawing20.xml" ContentType="application/vnd.openxmlformats-officedocument.drawing+xml"/>
  <Override PartName="/xl/comments16.xml" ContentType="application/vnd.openxmlformats-officedocument.spreadsheetml.comments+xml"/>
  <Override PartName="/xl/drawings/drawing21.xml" ContentType="application/vnd.openxmlformats-officedocument.drawing+xml"/>
  <Override PartName="/xl/comments1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c75839249704409e" Type="http://schemas.microsoft.com/office/2006/relationships/ui/extensibility" Target="customUI/customUI.xml"/><Relationship Id="R3b06d2a0029d434f" Type="http://schemas.microsoft.com/office/2007/relationships/ui/extensibility" Target="customUI/customUI14.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527"/>
  <workbookPr codeName="ThisWorkbook"/>
  <mc:AlternateContent xmlns:mc="http://schemas.openxmlformats.org/markup-compatibility/2006">
    <mc:Choice Requires="x15">
      <x15ac:absPath xmlns:x15ac="http://schemas.microsoft.com/office/spreadsheetml/2010/11/ac" url="C:\Users\Darien.shannon\Documents\Code\bom-tools\testBOMs\"/>
    </mc:Choice>
  </mc:AlternateContent>
  <xr:revisionPtr revIDLastSave="0" documentId="13_ncr:1_{4958E27C-6567-41A8-8387-F40AB1EA51CB}" xr6:coauthVersionLast="47" xr6:coauthVersionMax="47" xr10:uidLastSave="{00000000-0000-0000-0000-000000000000}"/>
  <bookViews>
    <workbookView xWindow="28680" yWindow="-120" windowWidth="29040" windowHeight="15840" tabRatio="815" firstSheet="13" activeTab="17" xr2:uid="{00000000-000D-0000-FFFF-FFFF00000000}"/>
  </bookViews>
  <sheets>
    <sheet name="C_A" sheetId="2" state="hidden" r:id="rId1"/>
    <sheet name="P_A" sheetId="164" state="hidden" r:id="rId2"/>
    <sheet name="P_B" sheetId="169" state="hidden" r:id="rId3"/>
    <sheet name="L_A" sheetId="114" state="hidden" r:id="rId4"/>
    <sheet name="N_A" sheetId="80" state="hidden" r:id="rId5"/>
    <sheet name="K_A" sheetId="117" state="hidden" r:id="rId6"/>
    <sheet name="S_A" sheetId="145" state="hidden" r:id="rId7"/>
    <sheet name="G_A" sheetId="84" state="hidden" r:id="rId8"/>
    <sheet name="G_B" sheetId="160" state="hidden" r:id="rId9"/>
    <sheet name="J_A" sheetId="147" state="hidden" r:id="rId10"/>
    <sheet name="J_B" sheetId="165" state="hidden" r:id="rId11"/>
    <sheet name="B_A" sheetId="162" state="hidden" r:id="rId12"/>
    <sheet name="B_B" sheetId="163" state="hidden" r:id="rId13"/>
    <sheet name="P (1)" sheetId="208" r:id="rId14"/>
    <sheet name="N (1)" sheetId="207" r:id="rId15"/>
    <sheet name="K (1)" sheetId="206" r:id="rId16"/>
    <sheet name="S (1)" sheetId="199" r:id="rId17"/>
    <sheet name="G (1)" sheetId="200" r:id="rId18"/>
    <sheet name="J (1)" sheetId="201" r:id="rId19"/>
    <sheet name="L (1)" sheetId="205" r:id="rId20"/>
    <sheet name="B (1)" sheetId="202" r:id="rId21"/>
  </sheets>
  <definedNames>
    <definedName name="Pos" localSheetId="19">'L (1)'!$S$14:$AD$14</definedName>
    <definedName name="Pos">L_A!$S$14:$AD$14</definedName>
    <definedName name="_xlnm.Print_Area" localSheetId="20">'B (1)'!$A$1:$P$42</definedName>
    <definedName name="_xlnm.Print_Area" localSheetId="11">B_A!$A$1:$P$42</definedName>
    <definedName name="_xlnm.Print_Area" localSheetId="12">B_B!$A$1:$P$42</definedName>
    <definedName name="_xlnm.Print_Area" localSheetId="0">C_A!$A$1:$H$47</definedName>
    <definedName name="_xlnm.Print_Area" localSheetId="17">'G (1)'!$A$1:$BG$45</definedName>
    <definedName name="_xlnm.Print_Area" localSheetId="7">G_A!$CB$1:$DE$45,G_A!$DH$1:$EU$45</definedName>
    <definedName name="_xlnm.Print_Area" localSheetId="8">G_B!$A$1:$BG$45</definedName>
    <definedName name="_xlnm.Print_Area" localSheetId="18">'J (1)'!$A$1:$AA$45</definedName>
    <definedName name="_xlnm.Print_Area" localSheetId="9">J_A!$A$1:$AA$40</definedName>
    <definedName name="_xlnm.Print_Area" localSheetId="10">J_B!$A$1:$AA$45</definedName>
    <definedName name="_xlnm.Print_Area" localSheetId="15">'K (1)'!$A$1:$N$49</definedName>
    <definedName name="_xlnm.Print_Area" localSheetId="5">K_A!$A$1:$N$49</definedName>
    <definedName name="_xlnm.Print_Area" localSheetId="19">'L (1)'!$A$1:$N$55</definedName>
    <definedName name="_xlnm.Print_Area" localSheetId="3">L_A!$A$1:$N$55</definedName>
    <definedName name="_xlnm.Print_Area" localSheetId="14">'N (1)'!$A$1:$J$51</definedName>
    <definedName name="_xlnm.Print_Area" localSheetId="4">N_A!$A$1:$J$51</definedName>
    <definedName name="_xlnm.Print_Area" localSheetId="13">'P (1)'!$A$1:$J$51</definedName>
    <definedName name="_xlnm.Print_Area" localSheetId="1">P_A!$A$1:$H$47</definedName>
    <definedName name="_xlnm.Print_Area" localSheetId="2">P_B!$A$1:$J$51</definedName>
    <definedName name="_xlnm.Print_Area" localSheetId="16">'S (1)'!$A$1:$P$50</definedName>
    <definedName name="_xlnm.Print_Area" localSheetId="6">S_A!$A$1:$P$50</definedName>
    <definedName name="_xlnm.Print_Titles" localSheetId="9">J_A!$BB:$BB</definedName>
    <definedName name="Type" localSheetId="19">'L (1)'!$S$15:$AF$15</definedName>
    <definedName name="Type">L_A!$S$15:$AF$15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R99" i="208" l="1"/>
  <c r="R98" i="208"/>
  <c r="R97" i="208"/>
  <c r="R96" i="208"/>
  <c r="R95" i="208"/>
  <c r="R94" i="208"/>
  <c r="R93" i="208"/>
  <c r="R92" i="208"/>
  <c r="R91" i="208"/>
  <c r="R90" i="208"/>
  <c r="R89" i="208"/>
  <c r="R88" i="208"/>
  <c r="R87" i="208"/>
  <c r="R86" i="208"/>
  <c r="R85" i="208"/>
  <c r="R84" i="208"/>
  <c r="R83" i="208"/>
  <c r="R82" i="208"/>
  <c r="R81" i="208"/>
  <c r="R80" i="208"/>
  <c r="R79" i="208"/>
  <c r="R78" i="208"/>
  <c r="R77" i="208"/>
  <c r="R76" i="208"/>
  <c r="R75" i="208"/>
  <c r="R74" i="208"/>
  <c r="R73" i="208"/>
  <c r="R72" i="208"/>
  <c r="R71" i="208"/>
  <c r="R70" i="208"/>
  <c r="R69" i="208"/>
  <c r="R68" i="208"/>
  <c r="R67" i="208"/>
  <c r="R66" i="208"/>
  <c r="R65" i="208"/>
  <c r="R64" i="208"/>
  <c r="R63" i="208"/>
  <c r="R62" i="208"/>
  <c r="R61" i="208"/>
  <c r="R60" i="208"/>
  <c r="R59" i="208"/>
  <c r="R58" i="208"/>
  <c r="R57" i="208"/>
  <c r="R56" i="208"/>
  <c r="R55" i="208"/>
  <c r="R54" i="208"/>
  <c r="R53" i="208"/>
  <c r="R52" i="208"/>
  <c r="R51" i="208"/>
  <c r="R50" i="208"/>
  <c r="R49" i="208"/>
  <c r="R48" i="208"/>
  <c r="R47" i="208"/>
  <c r="R46" i="208"/>
  <c r="R45" i="208"/>
  <c r="R44" i="208"/>
  <c r="R43" i="208"/>
  <c r="R42" i="208"/>
  <c r="R41" i="208"/>
  <c r="R40" i="208"/>
  <c r="R39" i="208"/>
  <c r="R38" i="208"/>
  <c r="R37" i="208"/>
  <c r="R36" i="208"/>
  <c r="R35" i="208"/>
  <c r="R34" i="208"/>
  <c r="R33" i="208"/>
  <c r="R32" i="208"/>
  <c r="R31" i="208"/>
  <c r="R30" i="208"/>
  <c r="R29" i="208"/>
  <c r="R28" i="208"/>
  <c r="R27" i="208"/>
  <c r="R26" i="208"/>
  <c r="R25" i="208"/>
  <c r="R24" i="208"/>
  <c r="R23" i="208"/>
  <c r="R22" i="208"/>
  <c r="R21" i="208"/>
  <c r="R20" i="208"/>
  <c r="R19" i="208"/>
  <c r="R18" i="208"/>
  <c r="R17" i="208"/>
  <c r="R16" i="208"/>
  <c r="R15" i="208"/>
  <c r="R14" i="208"/>
  <c r="R13" i="208"/>
  <c r="L13" i="208"/>
  <c r="L14" i="208" s="1"/>
  <c r="L15" i="208" s="1"/>
  <c r="L16" i="208" s="1"/>
  <c r="L17" i="208" s="1"/>
  <c r="L18" i="208" s="1"/>
  <c r="L19" i="208" s="1"/>
  <c r="L20" i="208" s="1"/>
  <c r="L21" i="208" s="1"/>
  <c r="L22" i="208" s="1"/>
  <c r="L23" i="208" s="1"/>
  <c r="L24" i="208" s="1"/>
  <c r="L25" i="208" s="1"/>
  <c r="L26" i="208" s="1"/>
  <c r="L27" i="208" s="1"/>
  <c r="L28" i="208" s="1"/>
  <c r="L29" i="208" s="1"/>
  <c r="L30" i="208" s="1"/>
  <c r="L31" i="208" s="1"/>
  <c r="L32" i="208" s="1"/>
  <c r="L33" i="208" s="1"/>
  <c r="L34" i="208" s="1"/>
  <c r="L35" i="208" s="1"/>
  <c r="L36" i="208" s="1"/>
  <c r="L37" i="208" s="1"/>
  <c r="L38" i="208" s="1"/>
  <c r="L39" i="208" s="1"/>
  <c r="L40" i="208" s="1"/>
  <c r="L41" i="208" s="1"/>
  <c r="L42" i="208" s="1"/>
  <c r="L43" i="208" s="1"/>
  <c r="L44" i="208" s="1"/>
  <c r="L45" i="208" s="1"/>
  <c r="L46" i="208" s="1"/>
  <c r="L47" i="208" s="1"/>
  <c r="L48" i="208" s="1"/>
  <c r="L49" i="208" s="1"/>
  <c r="L50" i="208" s="1"/>
  <c r="L51" i="208" s="1"/>
  <c r="P10" i="208"/>
  <c r="M1" i="208"/>
  <c r="N52" i="208" s="1"/>
  <c r="L1" i="208"/>
  <c r="R99" i="207"/>
  <c r="R98" i="207"/>
  <c r="R97" i="207"/>
  <c r="R96" i="207"/>
  <c r="R95" i="207"/>
  <c r="R94" i="207"/>
  <c r="R93" i="207"/>
  <c r="R92" i="207"/>
  <c r="R91" i="207"/>
  <c r="R90" i="207"/>
  <c r="R89" i="207"/>
  <c r="R88" i="207"/>
  <c r="R87" i="207"/>
  <c r="R86" i="207"/>
  <c r="R85" i="207"/>
  <c r="R84" i="207"/>
  <c r="R83" i="207"/>
  <c r="R82" i="207"/>
  <c r="R81" i="207"/>
  <c r="R80" i="207"/>
  <c r="R79" i="207"/>
  <c r="R78" i="207"/>
  <c r="R77" i="207"/>
  <c r="R76" i="207"/>
  <c r="R75" i="207"/>
  <c r="R74" i="207"/>
  <c r="R73" i="207"/>
  <c r="R72" i="207"/>
  <c r="R71" i="207"/>
  <c r="R70" i="207"/>
  <c r="R69" i="207"/>
  <c r="R68" i="207"/>
  <c r="R67" i="207"/>
  <c r="R66" i="207"/>
  <c r="R65" i="207"/>
  <c r="R64" i="207"/>
  <c r="R63" i="207"/>
  <c r="R62" i="207"/>
  <c r="R61" i="207"/>
  <c r="R60" i="207"/>
  <c r="R59" i="207"/>
  <c r="R58" i="207"/>
  <c r="R57" i="207"/>
  <c r="R56" i="207"/>
  <c r="R55" i="207"/>
  <c r="R54" i="207"/>
  <c r="R53" i="207"/>
  <c r="R52" i="207"/>
  <c r="R51" i="207"/>
  <c r="R50" i="207"/>
  <c r="R49" i="207"/>
  <c r="R48" i="207"/>
  <c r="R47" i="207"/>
  <c r="R46" i="207"/>
  <c r="R45" i="207"/>
  <c r="R44" i="207"/>
  <c r="R43" i="207"/>
  <c r="R42" i="207"/>
  <c r="R41" i="207"/>
  <c r="R40" i="207"/>
  <c r="R39" i="207"/>
  <c r="R38" i="207"/>
  <c r="R37" i="207"/>
  <c r="R36" i="207"/>
  <c r="R35" i="207"/>
  <c r="R34" i="207"/>
  <c r="R33" i="207"/>
  <c r="R32" i="207"/>
  <c r="R31" i="207"/>
  <c r="R30" i="207"/>
  <c r="R29" i="207"/>
  <c r="R28" i="207"/>
  <c r="R27" i="207"/>
  <c r="R26" i="207"/>
  <c r="R25" i="207"/>
  <c r="R24" i="207"/>
  <c r="R23" i="207"/>
  <c r="R22" i="207"/>
  <c r="R21" i="207"/>
  <c r="R20" i="207"/>
  <c r="R19" i="207"/>
  <c r="R18" i="207"/>
  <c r="R17" i="207"/>
  <c r="R16" i="207"/>
  <c r="R15" i="207"/>
  <c r="R14" i="207"/>
  <c r="R13" i="207"/>
  <c r="N13" i="207"/>
  <c r="O13" i="207" s="1" a="1"/>
  <c r="O13" i="207" s="1"/>
  <c r="L13" i="207"/>
  <c r="L14" i="207" s="1"/>
  <c r="P10" i="207"/>
  <c r="M1" i="207"/>
  <c r="L1" i="207"/>
  <c r="AH49" i="206"/>
  <c r="AG49" i="206"/>
  <c r="Y49" i="206"/>
  <c r="X49" i="206"/>
  <c r="W49" i="206"/>
  <c r="V49" i="206"/>
  <c r="U49" i="206"/>
  <c r="T49" i="206"/>
  <c r="S49" i="206"/>
  <c r="R49" i="206"/>
  <c r="P49" i="206"/>
  <c r="AH48" i="206"/>
  <c r="AG48" i="206"/>
  <c r="Y48" i="206"/>
  <c r="X48" i="206"/>
  <c r="W48" i="206"/>
  <c r="V48" i="206"/>
  <c r="U48" i="206"/>
  <c r="T48" i="206"/>
  <c r="S48" i="206"/>
  <c r="R48" i="206"/>
  <c r="P48" i="206"/>
  <c r="AH47" i="206"/>
  <c r="AG47" i="206"/>
  <c r="Y47" i="206"/>
  <c r="X47" i="206"/>
  <c r="W47" i="206"/>
  <c r="V47" i="206"/>
  <c r="U47" i="206"/>
  <c r="T47" i="206"/>
  <c r="S47" i="206"/>
  <c r="R47" i="206"/>
  <c r="P47" i="206"/>
  <c r="AH46" i="206"/>
  <c r="AG46" i="206"/>
  <c r="Y46" i="206"/>
  <c r="X46" i="206"/>
  <c r="W46" i="206"/>
  <c r="V46" i="206"/>
  <c r="U46" i="206"/>
  <c r="T46" i="206"/>
  <c r="S46" i="206"/>
  <c r="R46" i="206"/>
  <c r="P46" i="206"/>
  <c r="AH45" i="206"/>
  <c r="AG45" i="206"/>
  <c r="Y45" i="206"/>
  <c r="X45" i="206"/>
  <c r="W45" i="206"/>
  <c r="V45" i="206"/>
  <c r="U45" i="206"/>
  <c r="T45" i="206"/>
  <c r="S45" i="206"/>
  <c r="R45" i="206"/>
  <c r="P45" i="206"/>
  <c r="AH44" i="206"/>
  <c r="AG44" i="206"/>
  <c r="Y44" i="206"/>
  <c r="X44" i="206"/>
  <c r="W44" i="206"/>
  <c r="V44" i="206"/>
  <c r="U44" i="206"/>
  <c r="T44" i="206"/>
  <c r="S44" i="206"/>
  <c r="R44" i="206"/>
  <c r="P44" i="206"/>
  <c r="AH43" i="206"/>
  <c r="AG43" i="206"/>
  <c r="Y43" i="206"/>
  <c r="X43" i="206"/>
  <c r="W43" i="206"/>
  <c r="V43" i="206"/>
  <c r="U43" i="206"/>
  <c r="T43" i="206"/>
  <c r="S43" i="206"/>
  <c r="R43" i="206"/>
  <c r="P43" i="206"/>
  <c r="AH42" i="206"/>
  <c r="AG42" i="206"/>
  <c r="Y42" i="206"/>
  <c r="X42" i="206"/>
  <c r="W42" i="206"/>
  <c r="V42" i="206"/>
  <c r="U42" i="206"/>
  <c r="T42" i="206"/>
  <c r="S42" i="206"/>
  <c r="R42" i="206"/>
  <c r="P42" i="206"/>
  <c r="AH41" i="206"/>
  <c r="AG41" i="206"/>
  <c r="Y41" i="206"/>
  <c r="X41" i="206"/>
  <c r="W41" i="206"/>
  <c r="V41" i="206"/>
  <c r="U41" i="206"/>
  <c r="T41" i="206"/>
  <c r="S41" i="206"/>
  <c r="R41" i="206"/>
  <c r="P41" i="206"/>
  <c r="AH40" i="206"/>
  <c r="AG40" i="206"/>
  <c r="Y40" i="206"/>
  <c r="X40" i="206"/>
  <c r="W40" i="206"/>
  <c r="V40" i="206"/>
  <c r="U40" i="206"/>
  <c r="T40" i="206"/>
  <c r="S40" i="206"/>
  <c r="R40" i="206"/>
  <c r="P40" i="206"/>
  <c r="AH39" i="206"/>
  <c r="AG39" i="206"/>
  <c r="Y39" i="206"/>
  <c r="X39" i="206"/>
  <c r="W39" i="206"/>
  <c r="V39" i="206"/>
  <c r="U39" i="206"/>
  <c r="T39" i="206"/>
  <c r="S39" i="206"/>
  <c r="R39" i="206"/>
  <c r="P39" i="206"/>
  <c r="AH38" i="206"/>
  <c r="AG38" i="206"/>
  <c r="Y38" i="206"/>
  <c r="X38" i="206"/>
  <c r="W38" i="206"/>
  <c r="V38" i="206"/>
  <c r="U38" i="206"/>
  <c r="T38" i="206"/>
  <c r="S38" i="206"/>
  <c r="R38" i="206"/>
  <c r="P38" i="206"/>
  <c r="AH37" i="206"/>
  <c r="AG37" i="206"/>
  <c r="Y37" i="206"/>
  <c r="X37" i="206"/>
  <c r="W37" i="206"/>
  <c r="V37" i="206"/>
  <c r="U37" i="206"/>
  <c r="T37" i="206"/>
  <c r="S37" i="206"/>
  <c r="R37" i="206"/>
  <c r="P37" i="206"/>
  <c r="AH36" i="206"/>
  <c r="AG36" i="206"/>
  <c r="Y36" i="206"/>
  <c r="X36" i="206"/>
  <c r="W36" i="206"/>
  <c r="V36" i="206"/>
  <c r="U36" i="206"/>
  <c r="T36" i="206"/>
  <c r="S36" i="206"/>
  <c r="R36" i="206"/>
  <c r="P36" i="206"/>
  <c r="AH35" i="206"/>
  <c r="AG35" i="206"/>
  <c r="Y35" i="206"/>
  <c r="X35" i="206"/>
  <c r="W35" i="206"/>
  <c r="V35" i="206"/>
  <c r="U35" i="206"/>
  <c r="T35" i="206"/>
  <c r="S35" i="206"/>
  <c r="R35" i="206"/>
  <c r="P35" i="206"/>
  <c r="AH34" i="206"/>
  <c r="AG34" i="206"/>
  <c r="Y34" i="206"/>
  <c r="X34" i="206"/>
  <c r="W34" i="206"/>
  <c r="V34" i="206"/>
  <c r="U34" i="206"/>
  <c r="T34" i="206"/>
  <c r="S34" i="206"/>
  <c r="R34" i="206"/>
  <c r="P34" i="206"/>
  <c r="AH33" i="206"/>
  <c r="AG33" i="206"/>
  <c r="Y33" i="206"/>
  <c r="X33" i="206"/>
  <c r="W33" i="206"/>
  <c r="V33" i="206"/>
  <c r="U33" i="206"/>
  <c r="T33" i="206"/>
  <c r="S33" i="206"/>
  <c r="R33" i="206"/>
  <c r="P33" i="206"/>
  <c r="AH32" i="206"/>
  <c r="AG32" i="206"/>
  <c r="Y32" i="206"/>
  <c r="X32" i="206"/>
  <c r="W32" i="206"/>
  <c r="V32" i="206"/>
  <c r="U32" i="206"/>
  <c r="T32" i="206"/>
  <c r="S32" i="206"/>
  <c r="R32" i="206"/>
  <c r="P32" i="206"/>
  <c r="AH31" i="206"/>
  <c r="AG31" i="206"/>
  <c r="Y31" i="206"/>
  <c r="X31" i="206"/>
  <c r="W31" i="206"/>
  <c r="V31" i="206"/>
  <c r="U31" i="206"/>
  <c r="T31" i="206"/>
  <c r="S31" i="206"/>
  <c r="R31" i="206"/>
  <c r="P31" i="206"/>
  <c r="AH30" i="206"/>
  <c r="AG30" i="206"/>
  <c r="Y30" i="206"/>
  <c r="X30" i="206"/>
  <c r="W30" i="206"/>
  <c r="V30" i="206"/>
  <c r="U30" i="206"/>
  <c r="T30" i="206"/>
  <c r="S30" i="206"/>
  <c r="R30" i="206"/>
  <c r="P30" i="206"/>
  <c r="AH29" i="206"/>
  <c r="AG29" i="206"/>
  <c r="Y29" i="206"/>
  <c r="X29" i="206"/>
  <c r="W29" i="206"/>
  <c r="V29" i="206"/>
  <c r="U29" i="206"/>
  <c r="T29" i="206"/>
  <c r="S29" i="206"/>
  <c r="R29" i="206"/>
  <c r="P29" i="206"/>
  <c r="AH28" i="206"/>
  <c r="AG28" i="206"/>
  <c r="Y28" i="206"/>
  <c r="X28" i="206"/>
  <c r="W28" i="206"/>
  <c r="V28" i="206"/>
  <c r="U28" i="206"/>
  <c r="T28" i="206"/>
  <c r="S28" i="206"/>
  <c r="R28" i="206"/>
  <c r="P28" i="206"/>
  <c r="AH27" i="206"/>
  <c r="AG27" i="206"/>
  <c r="Y27" i="206"/>
  <c r="X27" i="206"/>
  <c r="W27" i="206"/>
  <c r="V27" i="206"/>
  <c r="U27" i="206"/>
  <c r="T27" i="206"/>
  <c r="S27" i="206"/>
  <c r="R27" i="206"/>
  <c r="P27" i="206"/>
  <c r="AH26" i="206"/>
  <c r="AG26" i="206"/>
  <c r="Y26" i="206"/>
  <c r="X26" i="206"/>
  <c r="W26" i="206"/>
  <c r="V26" i="206"/>
  <c r="U26" i="206"/>
  <c r="T26" i="206"/>
  <c r="S26" i="206"/>
  <c r="R26" i="206"/>
  <c r="P26" i="206"/>
  <c r="AH25" i="206"/>
  <c r="AG25" i="206"/>
  <c r="Y25" i="206"/>
  <c r="X25" i="206"/>
  <c r="W25" i="206"/>
  <c r="V25" i="206"/>
  <c r="U25" i="206"/>
  <c r="T25" i="206"/>
  <c r="S25" i="206"/>
  <c r="R25" i="206"/>
  <c r="P25" i="206"/>
  <c r="AH24" i="206"/>
  <c r="AG24" i="206"/>
  <c r="Y24" i="206"/>
  <c r="X24" i="206"/>
  <c r="W24" i="206"/>
  <c r="V24" i="206"/>
  <c r="U24" i="206"/>
  <c r="T24" i="206"/>
  <c r="S24" i="206"/>
  <c r="R24" i="206"/>
  <c r="P24" i="206"/>
  <c r="AH23" i="206"/>
  <c r="AG23" i="206"/>
  <c r="Y23" i="206"/>
  <c r="X23" i="206"/>
  <c r="W23" i="206"/>
  <c r="V23" i="206"/>
  <c r="U23" i="206"/>
  <c r="T23" i="206"/>
  <c r="S23" i="206"/>
  <c r="R23" i="206"/>
  <c r="P23" i="206"/>
  <c r="AH22" i="206"/>
  <c r="AG22" i="206"/>
  <c r="Y22" i="206"/>
  <c r="X22" i="206"/>
  <c r="W22" i="206"/>
  <c r="V22" i="206"/>
  <c r="U22" i="206"/>
  <c r="T22" i="206"/>
  <c r="S22" i="206"/>
  <c r="R22" i="206"/>
  <c r="P22" i="206"/>
  <c r="AH21" i="206"/>
  <c r="AG21" i="206"/>
  <c r="Y21" i="206"/>
  <c r="X21" i="206"/>
  <c r="W21" i="206"/>
  <c r="V21" i="206"/>
  <c r="U21" i="206"/>
  <c r="T21" i="206"/>
  <c r="S21" i="206"/>
  <c r="R21" i="206"/>
  <c r="P21" i="206"/>
  <c r="AH20" i="206"/>
  <c r="AG20" i="206"/>
  <c r="Y20" i="206"/>
  <c r="X20" i="206"/>
  <c r="W20" i="206"/>
  <c r="V20" i="206"/>
  <c r="U20" i="206"/>
  <c r="T20" i="206"/>
  <c r="S20" i="206"/>
  <c r="R20" i="206"/>
  <c r="P20" i="206"/>
  <c r="AH19" i="206"/>
  <c r="AG19" i="206"/>
  <c r="Y19" i="206"/>
  <c r="X19" i="206"/>
  <c r="W19" i="206"/>
  <c r="V19" i="206"/>
  <c r="U19" i="206"/>
  <c r="T19" i="206"/>
  <c r="S19" i="206"/>
  <c r="R19" i="206"/>
  <c r="P19" i="206"/>
  <c r="AH18" i="206"/>
  <c r="AG18" i="206"/>
  <c r="Y18" i="206"/>
  <c r="X18" i="206"/>
  <c r="W18" i="206"/>
  <c r="V18" i="206"/>
  <c r="U18" i="206"/>
  <c r="T18" i="206"/>
  <c r="S18" i="206"/>
  <c r="R18" i="206"/>
  <c r="P18" i="206"/>
  <c r="AH17" i="206"/>
  <c r="AG17" i="206"/>
  <c r="Y17" i="206"/>
  <c r="X17" i="206"/>
  <c r="W17" i="206"/>
  <c r="V17" i="206"/>
  <c r="U17" i="206"/>
  <c r="T17" i="206"/>
  <c r="S17" i="206"/>
  <c r="R17" i="206"/>
  <c r="P17" i="206"/>
  <c r="AH16" i="206"/>
  <c r="AG16" i="206"/>
  <c r="Y16" i="206"/>
  <c r="X16" i="206"/>
  <c r="W16" i="206"/>
  <c r="V16" i="206"/>
  <c r="U16" i="206"/>
  <c r="T16" i="206"/>
  <c r="S16" i="206"/>
  <c r="R16" i="206"/>
  <c r="P16" i="206"/>
  <c r="AH15" i="206"/>
  <c r="AG15" i="206"/>
  <c r="Y15" i="206"/>
  <c r="X15" i="206"/>
  <c r="W15" i="206"/>
  <c r="V15" i="206"/>
  <c r="U15" i="206"/>
  <c r="T15" i="206"/>
  <c r="S15" i="206"/>
  <c r="R15" i="206"/>
  <c r="P15" i="206"/>
  <c r="AH14" i="206"/>
  <c r="AG14" i="206"/>
  <c r="Y14" i="206"/>
  <c r="X14" i="206"/>
  <c r="W14" i="206"/>
  <c r="V14" i="206"/>
  <c r="U14" i="206"/>
  <c r="T14" i="206"/>
  <c r="S14" i="206"/>
  <c r="R14" i="206"/>
  <c r="P14" i="206"/>
  <c r="AH13" i="206"/>
  <c r="AG13" i="206"/>
  <c r="Y13" i="206"/>
  <c r="X13" i="206"/>
  <c r="W13" i="206"/>
  <c r="V13" i="206"/>
  <c r="U13" i="206"/>
  <c r="T13" i="206"/>
  <c r="S13" i="206"/>
  <c r="R13" i="206"/>
  <c r="P13" i="206"/>
  <c r="Q1" i="206"/>
  <c r="P1" i="206"/>
  <c r="R55" i="205"/>
  <c r="R54" i="205"/>
  <c r="R53" i="205"/>
  <c r="R52" i="205"/>
  <c r="R51" i="205"/>
  <c r="R50" i="205"/>
  <c r="R49" i="205"/>
  <c r="R48" i="205"/>
  <c r="R47" i="205"/>
  <c r="R46" i="205"/>
  <c r="R45" i="205"/>
  <c r="R44" i="205"/>
  <c r="R43" i="205"/>
  <c r="R42" i="205"/>
  <c r="R41" i="205"/>
  <c r="R40" i="205"/>
  <c r="R39" i="205"/>
  <c r="R38" i="205"/>
  <c r="R37" i="205"/>
  <c r="R36" i="205"/>
  <c r="R35" i="205"/>
  <c r="R34" i="205"/>
  <c r="R33" i="205"/>
  <c r="R32" i="205"/>
  <c r="R31" i="205"/>
  <c r="AN30" i="205"/>
  <c r="AM30" i="205"/>
  <c r="AL30" i="205"/>
  <c r="AK30" i="205"/>
  <c r="AJ30" i="205"/>
  <c r="AI30" i="205"/>
  <c r="AH30" i="205"/>
  <c r="AG30" i="205"/>
  <c r="AF30" i="205"/>
  <c r="AE30" i="205"/>
  <c r="AD30" i="205"/>
  <c r="AC30" i="205"/>
  <c r="AB30" i="205"/>
  <c r="AA30" i="205"/>
  <c r="Z30" i="205"/>
  <c r="Y30" i="205"/>
  <c r="X30" i="205"/>
  <c r="W30" i="205"/>
  <c r="V30" i="205"/>
  <c r="U30" i="205"/>
  <c r="T30" i="205"/>
  <c r="S30" i="205"/>
  <c r="R30" i="205"/>
  <c r="R29" i="205"/>
  <c r="R28" i="205"/>
  <c r="R27" i="205"/>
  <c r="R26" i="205"/>
  <c r="R25" i="205"/>
  <c r="R24" i="205"/>
  <c r="R23" i="205"/>
  <c r="R22" i="205"/>
  <c r="R21" i="205"/>
  <c r="R20" i="205"/>
  <c r="R19" i="205"/>
  <c r="R18" i="205"/>
  <c r="R17" i="205"/>
  <c r="R16" i="205"/>
  <c r="AO15" i="205"/>
  <c r="R15" i="205"/>
  <c r="AO14" i="205"/>
  <c r="P14" i="205" s="1"/>
  <c r="R14" i="205"/>
  <c r="T1" i="205"/>
  <c r="S1" i="205"/>
  <c r="E47" i="202"/>
  <c r="C47" i="202"/>
  <c r="T42" i="202"/>
  <c r="S42" i="202"/>
  <c r="T41" i="202"/>
  <c r="T40" i="202"/>
  <c r="T39" i="202"/>
  <c r="S39" i="202"/>
  <c r="T38" i="202"/>
  <c r="T37" i="202"/>
  <c r="T36" i="202"/>
  <c r="S36" i="202"/>
  <c r="T35" i="202"/>
  <c r="T34" i="202"/>
  <c r="T33" i="202"/>
  <c r="S33" i="202"/>
  <c r="T32" i="202"/>
  <c r="T31" i="202"/>
  <c r="T30" i="202"/>
  <c r="S30" i="202"/>
  <c r="T29" i="202"/>
  <c r="T28" i="202"/>
  <c r="T27" i="202"/>
  <c r="S27" i="202"/>
  <c r="T26" i="202"/>
  <c r="AE25" i="202"/>
  <c r="W25" i="202"/>
  <c r="U25" i="202"/>
  <c r="T25" i="202"/>
  <c r="S25" i="202"/>
  <c r="T24" i="202"/>
  <c r="S24" i="202"/>
  <c r="T23" i="202"/>
  <c r="S23" i="202"/>
  <c r="T22" i="202"/>
  <c r="S22" i="202"/>
  <c r="T21" i="202"/>
  <c r="S21" i="202"/>
  <c r="T20" i="202"/>
  <c r="S20" i="202"/>
  <c r="T19" i="202"/>
  <c r="S19" i="202"/>
  <c r="T18" i="202"/>
  <c r="S18" i="202"/>
  <c r="T17" i="202"/>
  <c r="S17" i="202"/>
  <c r="T16" i="202"/>
  <c r="S16" i="202"/>
  <c r="T15" i="202"/>
  <c r="S15" i="202"/>
  <c r="T14" i="202"/>
  <c r="S14" i="202"/>
  <c r="HI10" i="202"/>
  <c r="HJ10" i="202" s="1"/>
  <c r="HK10" i="202" s="1"/>
  <c r="HL10" i="202" s="1"/>
  <c r="HM10" i="202" s="1"/>
  <c r="HN10" i="202" s="1"/>
  <c r="HO10" i="202" s="1"/>
  <c r="HP10" i="202" s="1"/>
  <c r="HC10" i="202"/>
  <c r="HD10" i="202" s="1"/>
  <c r="HE10" i="202" s="1"/>
  <c r="HF10" i="202" s="1"/>
  <c r="HG10" i="202" s="1"/>
  <c r="HH10" i="202" s="1"/>
  <c r="HB10" i="202"/>
  <c r="I8" i="202"/>
  <c r="S1" i="202"/>
  <c r="S38" i="202" s="1"/>
  <c r="R1" i="202"/>
  <c r="EO104" i="201"/>
  <c r="EN104" i="201"/>
  <c r="EM104" i="201"/>
  <c r="EO103" i="201"/>
  <c r="EN103" i="201"/>
  <c r="EM103" i="201"/>
  <c r="EO102" i="201"/>
  <c r="EN102" i="201"/>
  <c r="EM102" i="201"/>
  <c r="EO101" i="201"/>
  <c r="EN101" i="201"/>
  <c r="EM101" i="201"/>
  <c r="EO100" i="201"/>
  <c r="EN100" i="201"/>
  <c r="EM100" i="201"/>
  <c r="EO99" i="201"/>
  <c r="EN99" i="201"/>
  <c r="EM99" i="201"/>
  <c r="EO98" i="201"/>
  <c r="EN98" i="201"/>
  <c r="EM98" i="201"/>
  <c r="EO97" i="201"/>
  <c r="EN97" i="201"/>
  <c r="EM97" i="201"/>
  <c r="EO96" i="201"/>
  <c r="EN96" i="201"/>
  <c r="EM96" i="201"/>
  <c r="EO95" i="201"/>
  <c r="EN95" i="201"/>
  <c r="EM95" i="201"/>
  <c r="EO94" i="201"/>
  <c r="EN94" i="201"/>
  <c r="EM94" i="201"/>
  <c r="EO93" i="201"/>
  <c r="EN93" i="201"/>
  <c r="EM93" i="201"/>
  <c r="EO92" i="201"/>
  <c r="EN92" i="201"/>
  <c r="EM92" i="201"/>
  <c r="EO91" i="201"/>
  <c r="EN91" i="201"/>
  <c r="EM91" i="201"/>
  <c r="EO90" i="201"/>
  <c r="EN90" i="201"/>
  <c r="EM90" i="201"/>
  <c r="EO89" i="201"/>
  <c r="EN89" i="201"/>
  <c r="EM89" i="201"/>
  <c r="EO88" i="201"/>
  <c r="EN88" i="201"/>
  <c r="EM88" i="201"/>
  <c r="EO87" i="201"/>
  <c r="EN87" i="201"/>
  <c r="EM87" i="201"/>
  <c r="EO86" i="201"/>
  <c r="EN86" i="201"/>
  <c r="EM86" i="201"/>
  <c r="EO85" i="201"/>
  <c r="EN85" i="201"/>
  <c r="EM85" i="201"/>
  <c r="EO84" i="201"/>
  <c r="EN84" i="201"/>
  <c r="EM84" i="201"/>
  <c r="EO83" i="201"/>
  <c r="EN83" i="201"/>
  <c r="EM83" i="201"/>
  <c r="EO82" i="201"/>
  <c r="EN82" i="201"/>
  <c r="EM82" i="201"/>
  <c r="EO81" i="201"/>
  <c r="EN81" i="201"/>
  <c r="EM81" i="201"/>
  <c r="EO80" i="201"/>
  <c r="EN80" i="201"/>
  <c r="EM80" i="201"/>
  <c r="EO79" i="201"/>
  <c r="EN79" i="201"/>
  <c r="EM79" i="201"/>
  <c r="EO78" i="201"/>
  <c r="EN78" i="201"/>
  <c r="EM78" i="201"/>
  <c r="EO77" i="201"/>
  <c r="EN77" i="201"/>
  <c r="EM77" i="201"/>
  <c r="EO76" i="201"/>
  <c r="EN76" i="201"/>
  <c r="EM76" i="201"/>
  <c r="EO75" i="201"/>
  <c r="EN75" i="201"/>
  <c r="EM75" i="201"/>
  <c r="GC57" i="201"/>
  <c r="AW57" i="201"/>
  <c r="AK57" i="201" s="1"/>
  <c r="AV57" i="201"/>
  <c r="AA57" i="201"/>
  <c r="Z57" i="201"/>
  <c r="Y57" i="201"/>
  <c r="X57" i="201"/>
  <c r="W57" i="201"/>
  <c r="V57" i="201"/>
  <c r="U57" i="201"/>
  <c r="AR57" i="201" s="1"/>
  <c r="T57" i="201"/>
  <c r="S57" i="201"/>
  <c r="R57" i="201"/>
  <c r="Q57" i="201"/>
  <c r="P57" i="201"/>
  <c r="O57" i="201"/>
  <c r="N57" i="201"/>
  <c r="M57" i="201"/>
  <c r="L57" i="201"/>
  <c r="K57" i="201"/>
  <c r="J57" i="201"/>
  <c r="I57" i="201"/>
  <c r="H57" i="201"/>
  <c r="G57" i="201"/>
  <c r="F57" i="201"/>
  <c r="E57" i="201"/>
  <c r="D57" i="201"/>
  <c r="C57" i="201"/>
  <c r="B57" i="201"/>
  <c r="A57" i="201"/>
  <c r="GF57" i="201" s="1"/>
  <c r="GK45" i="201"/>
  <c r="GF45" i="201"/>
  <c r="GD45" i="201" s="1"/>
  <c r="GE45" i="201"/>
  <c r="GB45" i="201"/>
  <c r="FV45" i="201"/>
  <c r="FU45" i="201"/>
  <c r="FT45" i="201"/>
  <c r="FI45" i="201"/>
  <c r="FJ45" i="201" s="1"/>
  <c r="FK45" i="201" s="1"/>
  <c r="FL45" i="201" s="1"/>
  <c r="FH45" i="201"/>
  <c r="FD45" i="201"/>
  <c r="FC45" i="201"/>
  <c r="EL45" i="201" s="1"/>
  <c r="FB45" i="201"/>
  <c r="EZ45" i="201"/>
  <c r="EE45" i="201" s="1"/>
  <c r="ED45" i="201"/>
  <c r="EC45" i="201"/>
  <c r="DY45" i="201"/>
  <c r="DX45" i="201"/>
  <c r="DW45" i="201"/>
  <c r="DS45" i="201"/>
  <c r="DO45" i="201"/>
  <c r="FE45" i="201" s="1"/>
  <c r="FF45" i="201" s="1"/>
  <c r="FG45" i="201" s="1"/>
  <c r="DN45" i="201"/>
  <c r="DM45" i="201"/>
  <c r="DL45" i="201"/>
  <c r="DK45" i="201"/>
  <c r="DJ45" i="201"/>
  <c r="DI45" i="201"/>
  <c r="DH45" i="201"/>
  <c r="FM45" i="201" s="1"/>
  <c r="DG45" i="201"/>
  <c r="CC45" i="201" s="1"/>
  <c r="DF45" i="201"/>
  <c r="EB45" i="201" s="1"/>
  <c r="DE45" i="201"/>
  <c r="DD45" i="201"/>
  <c r="DC45" i="201"/>
  <c r="DB45" i="201"/>
  <c r="DA45" i="201"/>
  <c r="CZ45" i="201"/>
  <c r="CY45" i="201"/>
  <c r="CX45" i="201"/>
  <c r="CW45" i="201"/>
  <c r="CV45" i="201"/>
  <c r="DV45" i="201" s="1"/>
  <c r="CU45" i="201"/>
  <c r="CQ45" i="201"/>
  <c r="CP45" i="201"/>
  <c r="CK45" i="201" s="1"/>
  <c r="CO45" i="201"/>
  <c r="CN45" i="201"/>
  <c r="CA45" i="201"/>
  <c r="BO45" i="201"/>
  <c r="AX45" i="201"/>
  <c r="AW45" i="201"/>
  <c r="AK45" i="201" s="1"/>
  <c r="AV45" i="201"/>
  <c r="AT45" i="201"/>
  <c r="AR45" i="201"/>
  <c r="AH45" i="201"/>
  <c r="AG45" i="201"/>
  <c r="AF45" i="201"/>
  <c r="AE45" i="201"/>
  <c r="AD45" i="201"/>
  <c r="GK44" i="201"/>
  <c r="GF44" i="201"/>
  <c r="GE44" i="201" s="1"/>
  <c r="GD44" i="201"/>
  <c r="FV44" i="201"/>
  <c r="FU44" i="201"/>
  <c r="FH44" i="201"/>
  <c r="FD44" i="201"/>
  <c r="FC44" i="201"/>
  <c r="EL44" i="201" s="1"/>
  <c r="FB44" i="201"/>
  <c r="EZ44" i="201"/>
  <c r="EJ44" i="201"/>
  <c r="EE44" i="201"/>
  <c r="EF44" i="201" s="1"/>
  <c r="DY44" i="201"/>
  <c r="DX44" i="201"/>
  <c r="DW44" i="201"/>
  <c r="DS44" i="201"/>
  <c r="DO44" i="201"/>
  <c r="DN44" i="201"/>
  <c r="FI44" i="201" s="1"/>
  <c r="FJ44" i="201" s="1"/>
  <c r="FK44" i="201" s="1"/>
  <c r="FL44" i="201" s="1"/>
  <c r="DM44" i="201"/>
  <c r="DL44" i="201"/>
  <c r="DK44" i="201"/>
  <c r="DJ44" i="201"/>
  <c r="DI44" i="201"/>
  <c r="DH44" i="201"/>
  <c r="FM44" i="201" s="1"/>
  <c r="DG44" i="201"/>
  <c r="DF44" i="201"/>
  <c r="DE44" i="201"/>
  <c r="DD44" i="201"/>
  <c r="DC44" i="201"/>
  <c r="FO44" i="201" s="1"/>
  <c r="DB44" i="201"/>
  <c r="DA44" i="201"/>
  <c r="CZ44" i="201"/>
  <c r="CY44" i="201"/>
  <c r="FS44" i="201" s="1"/>
  <c r="CX44" i="201"/>
  <c r="CW44" i="201"/>
  <c r="CV44" i="201"/>
  <c r="CU44" i="201"/>
  <c r="CQ44" i="201"/>
  <c r="CP44" i="201"/>
  <c r="CK44" i="201" s="1"/>
  <c r="CO44" i="201"/>
  <c r="CN44" i="201"/>
  <c r="CA44" i="201"/>
  <c r="BQ44" i="201"/>
  <c r="AX44" i="201"/>
  <c r="AW44" i="201"/>
  <c r="AK44" i="201" s="1"/>
  <c r="AV44" i="201"/>
  <c r="AT44" i="201"/>
  <c r="AR44" i="201"/>
  <c r="AQ44" i="201"/>
  <c r="AH44" i="201"/>
  <c r="AG44" i="201"/>
  <c r="AF44" i="201"/>
  <c r="AE44" i="201"/>
  <c r="AD44" i="201"/>
  <c r="GK43" i="201"/>
  <c r="GF43" i="201"/>
  <c r="GD43" i="201"/>
  <c r="FT43" i="201"/>
  <c r="FM43" i="201"/>
  <c r="FI43" i="201"/>
  <c r="FH43" i="201"/>
  <c r="FD43" i="201"/>
  <c r="FC43" i="201"/>
  <c r="EZ43" i="201"/>
  <c r="EM43" i="201"/>
  <c r="EQ43" i="201" s="1"/>
  <c r="CI43" i="201" s="1"/>
  <c r="EE43" i="201"/>
  <c r="EC43" i="201"/>
  <c r="FP43" i="201" s="1"/>
  <c r="EB43" i="201"/>
  <c r="EA43" i="201"/>
  <c r="DY43" i="201"/>
  <c r="DX43" i="201"/>
  <c r="DW43" i="201"/>
  <c r="DV43" i="201"/>
  <c r="DS43" i="201"/>
  <c r="DP43" i="201"/>
  <c r="DO43" i="201"/>
  <c r="DN43" i="201"/>
  <c r="DM43" i="201"/>
  <c r="DL43" i="201"/>
  <c r="DK43" i="201"/>
  <c r="EL43" i="201" s="1"/>
  <c r="EN43" i="201" s="1"/>
  <c r="ER43" i="201" s="1"/>
  <c r="DJ43" i="201"/>
  <c r="DI43" i="201"/>
  <c r="DH43" i="201"/>
  <c r="FV43" i="201" s="1"/>
  <c r="DG43" i="201"/>
  <c r="DF43" i="201"/>
  <c r="ED43" i="201" s="1"/>
  <c r="DE43" i="201"/>
  <c r="DD43" i="201"/>
  <c r="DC43" i="201"/>
  <c r="DB43" i="201"/>
  <c r="DA43" i="201"/>
  <c r="CZ43" i="201"/>
  <c r="CY43" i="201"/>
  <c r="FS43" i="201" s="1"/>
  <c r="CX43" i="201"/>
  <c r="FU43" i="201" s="1"/>
  <c r="CW43" i="201"/>
  <c r="CV43" i="201"/>
  <c r="DU43" i="201" s="1"/>
  <c r="CU43" i="201"/>
  <c r="CQ43" i="201"/>
  <c r="CP43" i="201"/>
  <c r="CO43" i="201"/>
  <c r="CN43" i="201"/>
  <c r="CK43" i="201"/>
  <c r="BO43" i="201"/>
  <c r="AX43" i="201"/>
  <c r="AW43" i="201"/>
  <c r="AV43" i="201"/>
  <c r="AT43" i="201"/>
  <c r="AR43" i="201"/>
  <c r="AK43" i="201"/>
  <c r="AH43" i="201"/>
  <c r="AG43" i="201"/>
  <c r="AF43" i="201"/>
  <c r="AE43" i="201"/>
  <c r="AD43" i="201"/>
  <c r="GL42" i="201"/>
  <c r="GM42" i="201" s="1"/>
  <c r="GK42" i="201"/>
  <c r="GF42" i="201"/>
  <c r="GE42" i="201"/>
  <c r="GD42" i="201"/>
  <c r="GC42" i="201"/>
  <c r="GB42" i="201"/>
  <c r="GA42" i="201"/>
  <c r="FV42" i="201"/>
  <c r="FT42" i="201"/>
  <c r="FM42" i="201"/>
  <c r="FC42" i="201"/>
  <c r="EL42" i="201" s="1"/>
  <c r="FB42" i="201"/>
  <c r="FA42" i="201"/>
  <c r="EZ42" i="201"/>
  <c r="EY42" i="201"/>
  <c r="EX42" i="201"/>
  <c r="ED42" i="201"/>
  <c r="EB42" i="201"/>
  <c r="DY42" i="201"/>
  <c r="DW42" i="201"/>
  <c r="DV42" i="201"/>
  <c r="DU42" i="201"/>
  <c r="DS42" i="201"/>
  <c r="DP42" i="201"/>
  <c r="DO42" i="201"/>
  <c r="DN42" i="201"/>
  <c r="FI42" i="201" s="1"/>
  <c r="FJ42" i="201" s="1"/>
  <c r="FK42" i="201" s="1"/>
  <c r="FL42" i="201" s="1"/>
  <c r="DM42" i="201"/>
  <c r="DL42" i="201"/>
  <c r="DK42" i="201"/>
  <c r="DJ42" i="201"/>
  <c r="DI42" i="201"/>
  <c r="DH42" i="201"/>
  <c r="DG42" i="201"/>
  <c r="DF42" i="201"/>
  <c r="EA42" i="201" s="1"/>
  <c r="DE42" i="201"/>
  <c r="FR42" i="201" s="1"/>
  <c r="DD42" i="201"/>
  <c r="FD42" i="201" s="1"/>
  <c r="FE42" i="201" s="1"/>
  <c r="FF42" i="201" s="1"/>
  <c r="FG42" i="201" s="1"/>
  <c r="DC42" i="201"/>
  <c r="DB42" i="201"/>
  <c r="DA42" i="201"/>
  <c r="CZ42" i="201"/>
  <c r="CY42" i="201"/>
  <c r="FS42" i="201" s="1"/>
  <c r="CX42" i="201"/>
  <c r="FU42" i="201" s="1"/>
  <c r="CW42" i="201"/>
  <c r="BQ42" i="201" s="1"/>
  <c r="CV42" i="201"/>
  <c r="DX42" i="201" s="1"/>
  <c r="CU42" i="201"/>
  <c r="CQ42" i="201"/>
  <c r="CK42" i="201" s="1"/>
  <c r="CP42" i="201"/>
  <c r="CO42" i="201"/>
  <c r="CN42" i="201"/>
  <c r="CC42" i="201"/>
  <c r="CM42" i="201" s="1"/>
  <c r="CA42" i="201"/>
  <c r="BO42" i="201"/>
  <c r="AX42" i="201"/>
  <c r="AW42" i="201"/>
  <c r="AV42" i="201"/>
  <c r="AK42" i="201" s="1"/>
  <c r="AM42" i="201" s="1"/>
  <c r="AT42" i="201"/>
  <c r="AR42" i="201"/>
  <c r="AH42" i="201"/>
  <c r="AG42" i="201"/>
  <c r="AF42" i="201"/>
  <c r="AE42" i="201"/>
  <c r="AD42" i="201"/>
  <c r="GK41" i="201"/>
  <c r="GF41" i="201"/>
  <c r="GB41" i="201" s="1"/>
  <c r="GD41" i="201"/>
  <c r="GC41" i="201"/>
  <c r="FU41" i="201"/>
  <c r="FT41" i="201"/>
  <c r="FS41" i="201"/>
  <c r="FP41" i="201"/>
  <c r="FM41" i="201"/>
  <c r="FI41" i="201"/>
  <c r="FH41" i="201"/>
  <c r="FD41" i="201"/>
  <c r="FC41" i="201"/>
  <c r="EZ41" i="201"/>
  <c r="EE41" i="201" s="1"/>
  <c r="EC41" i="201"/>
  <c r="EB41" i="201"/>
  <c r="EA41" i="201"/>
  <c r="DY41" i="201"/>
  <c r="DX41" i="201"/>
  <c r="DW41" i="201"/>
  <c r="DV41" i="201"/>
  <c r="DS41" i="201"/>
  <c r="DP41" i="201"/>
  <c r="DO41" i="201"/>
  <c r="DN41" i="201"/>
  <c r="DM41" i="201"/>
  <c r="DL41" i="201"/>
  <c r="DK41" i="201"/>
  <c r="EL41" i="201" s="1"/>
  <c r="EN41" i="201" s="1"/>
  <c r="ER41" i="201" s="1"/>
  <c r="DJ41" i="201"/>
  <c r="DI41" i="201"/>
  <c r="DH41" i="201"/>
  <c r="FV41" i="201" s="1"/>
  <c r="DG41" i="201"/>
  <c r="DF41" i="201"/>
  <c r="ED41" i="201" s="1"/>
  <c r="DE41" i="201"/>
  <c r="DD41" i="201"/>
  <c r="DC41" i="201"/>
  <c r="DB41" i="201"/>
  <c r="DA41" i="201"/>
  <c r="CZ41" i="201"/>
  <c r="CY41" i="201"/>
  <c r="CX41" i="201"/>
  <c r="CW41" i="201"/>
  <c r="CV41" i="201"/>
  <c r="DU41" i="201" s="1"/>
  <c r="CU41" i="201"/>
  <c r="CQ41" i="201"/>
  <c r="CK41" i="201" s="1"/>
  <c r="CP41" i="201"/>
  <c r="CO41" i="201"/>
  <c r="CN41" i="201"/>
  <c r="CL41" i="201"/>
  <c r="BQ41" i="201"/>
  <c r="BO41" i="201"/>
  <c r="AX41" i="201"/>
  <c r="AW41" i="201"/>
  <c r="AK41" i="201" s="1"/>
  <c r="AV41" i="201"/>
  <c r="AT41" i="201"/>
  <c r="AR41" i="201"/>
  <c r="AH41" i="201"/>
  <c r="AG41" i="201"/>
  <c r="AF41" i="201"/>
  <c r="AE41" i="201"/>
  <c r="AD41" i="201"/>
  <c r="GL40" i="201"/>
  <c r="GM40" i="201" s="1"/>
  <c r="GK40" i="201"/>
  <c r="GF40" i="201"/>
  <c r="GB40" i="201" s="1"/>
  <c r="GE40" i="201"/>
  <c r="GD40" i="201"/>
  <c r="GC40" i="201"/>
  <c r="GA40" i="201"/>
  <c r="FV40" i="201"/>
  <c r="FO40" i="201"/>
  <c r="FM40" i="201"/>
  <c r="FH40" i="201"/>
  <c r="FG40" i="201"/>
  <c r="FF40" i="201"/>
  <c r="FC40" i="201"/>
  <c r="EZ40" i="201"/>
  <c r="EY40" i="201"/>
  <c r="EX40" i="201"/>
  <c r="EC40" i="201"/>
  <c r="EB40" i="201"/>
  <c r="DY40" i="201"/>
  <c r="DW40" i="201"/>
  <c r="DV40" i="201"/>
  <c r="DU40" i="201"/>
  <c r="DS40" i="201"/>
  <c r="DQ40" i="201"/>
  <c r="DO40" i="201"/>
  <c r="DN40" i="201"/>
  <c r="FI40" i="201" s="1"/>
  <c r="FJ40" i="201" s="1"/>
  <c r="FK40" i="201" s="1"/>
  <c r="FL40" i="201" s="1"/>
  <c r="DM40" i="201"/>
  <c r="DL40" i="201"/>
  <c r="DK40" i="201"/>
  <c r="DJ40" i="201"/>
  <c r="DI40" i="201"/>
  <c r="FT40" i="201" s="1"/>
  <c r="DH40" i="201"/>
  <c r="DG40" i="201"/>
  <c r="DF40" i="201"/>
  <c r="EA40" i="201" s="1"/>
  <c r="DE40" i="201"/>
  <c r="DD40" i="201"/>
  <c r="FD40" i="201" s="1"/>
  <c r="FE40" i="201" s="1"/>
  <c r="DC40" i="201"/>
  <c r="DB40" i="201"/>
  <c r="DA40" i="201"/>
  <c r="EE40" i="201" s="1"/>
  <c r="CZ40" i="201"/>
  <c r="CY40" i="201"/>
  <c r="CX40" i="201"/>
  <c r="FU40" i="201" s="1"/>
  <c r="CW40" i="201"/>
  <c r="BQ40" i="201" s="1"/>
  <c r="CV40" i="201"/>
  <c r="DX40" i="201" s="1"/>
  <c r="CU40" i="201"/>
  <c r="CQ40" i="201"/>
  <c r="CP40" i="201"/>
  <c r="CO40" i="201"/>
  <c r="CN40" i="201"/>
  <c r="CL40" i="201"/>
  <c r="CK40" i="201"/>
  <c r="BO40" i="201"/>
  <c r="AX40" i="201"/>
  <c r="AW40" i="201"/>
  <c r="AV40" i="201"/>
  <c r="AU40" i="201"/>
  <c r="EU40" i="201" s="1"/>
  <c r="AT40" i="201"/>
  <c r="AR40" i="201"/>
  <c r="AM40" i="201"/>
  <c r="AK40" i="201"/>
  <c r="AJ40" i="201"/>
  <c r="AZ40" i="201" s="1"/>
  <c r="AH40" i="201"/>
  <c r="AG40" i="201"/>
  <c r="AF40" i="201"/>
  <c r="AE40" i="201"/>
  <c r="AD40" i="201"/>
  <c r="GK39" i="201"/>
  <c r="GF39" i="201"/>
  <c r="GD39" i="201"/>
  <c r="GC39" i="201"/>
  <c r="GB39" i="201"/>
  <c r="FT39" i="201"/>
  <c r="FM39" i="201"/>
  <c r="FP39" i="201" s="1"/>
  <c r="FI39" i="201"/>
  <c r="FD39" i="201"/>
  <c r="FC39" i="201"/>
  <c r="FA39" i="201"/>
  <c r="EZ39" i="201"/>
  <c r="EQ39" i="201"/>
  <c r="CI39" i="201" s="1"/>
  <c r="EM39" i="201"/>
  <c r="EE39" i="201"/>
  <c r="EC39" i="201"/>
  <c r="EB39" i="201"/>
  <c r="EA39" i="201"/>
  <c r="DY39" i="201"/>
  <c r="DX39" i="201"/>
  <c r="DW39" i="201"/>
  <c r="DV39" i="201"/>
  <c r="DS39" i="201"/>
  <c r="DP39" i="201"/>
  <c r="DO39" i="201"/>
  <c r="DN39" i="201"/>
  <c r="DM39" i="201"/>
  <c r="DL39" i="201"/>
  <c r="DK39" i="201"/>
  <c r="EL39" i="201" s="1"/>
  <c r="EN39" i="201" s="1"/>
  <c r="ER39" i="201" s="1"/>
  <c r="DJ39" i="201"/>
  <c r="DI39" i="201"/>
  <c r="DH39" i="201"/>
  <c r="FV39" i="201" s="1"/>
  <c r="DG39" i="201"/>
  <c r="DF39" i="201"/>
  <c r="ED39" i="201" s="1"/>
  <c r="DE39" i="201"/>
  <c r="FB39" i="201" s="1"/>
  <c r="DD39" i="201"/>
  <c r="DC39" i="201"/>
  <c r="DB39" i="201"/>
  <c r="DA39" i="201"/>
  <c r="CZ39" i="201"/>
  <c r="CY39" i="201"/>
  <c r="CX39" i="201"/>
  <c r="CW39" i="201"/>
  <c r="CV39" i="201"/>
  <c r="DU39" i="201" s="1"/>
  <c r="CU39" i="201"/>
  <c r="CQ39" i="201"/>
  <c r="CK39" i="201" s="1"/>
  <c r="CP39" i="201"/>
  <c r="CO39" i="201"/>
  <c r="CN39" i="201"/>
  <c r="CA39" i="201"/>
  <c r="BQ39" i="201"/>
  <c r="BO39" i="201"/>
  <c r="AX39" i="201"/>
  <c r="AW39" i="201"/>
  <c r="AV39" i="201"/>
  <c r="AT39" i="201"/>
  <c r="AS39" i="201"/>
  <c r="AR39" i="201"/>
  <c r="AO39" i="201"/>
  <c r="AL39" i="201"/>
  <c r="AK39" i="201"/>
  <c r="AJ39" i="201" s="1"/>
  <c r="AH39" i="201"/>
  <c r="AG39" i="201"/>
  <c r="AF39" i="201"/>
  <c r="AE39" i="201"/>
  <c r="AD39" i="201"/>
  <c r="GK38" i="201"/>
  <c r="GF38" i="201"/>
  <c r="GB38" i="201" s="1"/>
  <c r="GE38" i="201"/>
  <c r="GD38" i="201"/>
  <c r="GC38" i="201"/>
  <c r="GA38" i="201"/>
  <c r="FV38" i="201"/>
  <c r="FM38" i="201"/>
  <c r="FK38" i="201"/>
  <c r="FL38" i="201" s="1"/>
  <c r="FJ38" i="201"/>
  <c r="FH38" i="201"/>
  <c r="FF38" i="201"/>
  <c r="FG38" i="201" s="1"/>
  <c r="FC38" i="201"/>
  <c r="EZ38" i="201"/>
  <c r="EY38" i="201"/>
  <c r="EX38" i="201"/>
  <c r="EB38" i="201"/>
  <c r="DY38" i="201"/>
  <c r="DW38" i="201"/>
  <c r="FO38" i="201" s="1"/>
  <c r="DV38" i="201"/>
  <c r="DU38" i="201"/>
  <c r="DS38" i="201"/>
  <c r="DO38" i="201"/>
  <c r="DN38" i="201"/>
  <c r="FI38" i="201" s="1"/>
  <c r="DM38" i="201"/>
  <c r="DL38" i="201"/>
  <c r="DK38" i="201"/>
  <c r="EL38" i="201" s="1"/>
  <c r="DJ38" i="201"/>
  <c r="DI38" i="201"/>
  <c r="FT38" i="201" s="1"/>
  <c r="DH38" i="201"/>
  <c r="DG38" i="201"/>
  <c r="DF38" i="201"/>
  <c r="EA38" i="201" s="1"/>
  <c r="DE38" i="201"/>
  <c r="DD38" i="201"/>
  <c r="FD38" i="201" s="1"/>
  <c r="FE38" i="201" s="1"/>
  <c r="DC38" i="201"/>
  <c r="DB38" i="201"/>
  <c r="DA38" i="201"/>
  <c r="EE38" i="201" s="1"/>
  <c r="CZ38" i="201"/>
  <c r="CY38" i="201"/>
  <c r="FS38" i="201" s="1"/>
  <c r="CX38" i="201"/>
  <c r="FU38" i="201" s="1"/>
  <c r="CW38" i="201"/>
  <c r="BQ38" i="201" s="1"/>
  <c r="CV38" i="201"/>
  <c r="DX38" i="201" s="1"/>
  <c r="CU38" i="201"/>
  <c r="CQ38" i="201"/>
  <c r="CP38" i="201"/>
  <c r="CO38" i="201"/>
  <c r="CN38" i="201"/>
  <c r="CK38" i="201"/>
  <c r="BO38" i="201"/>
  <c r="AX38" i="201"/>
  <c r="AW38" i="201"/>
  <c r="AV38" i="201"/>
  <c r="AK38" i="201" s="1"/>
  <c r="AT38" i="201"/>
  <c r="AR38" i="201"/>
  <c r="AH38" i="201"/>
  <c r="AG38" i="201"/>
  <c r="AF38" i="201"/>
  <c r="AE38" i="201"/>
  <c r="AD38" i="201"/>
  <c r="GK37" i="201"/>
  <c r="GF37" i="201"/>
  <c r="GD37" i="201" s="1"/>
  <c r="GB37" i="201"/>
  <c r="FT37" i="201"/>
  <c r="FQ37" i="201"/>
  <c r="FI37" i="201"/>
  <c r="FE37" i="201"/>
  <c r="FF37" i="201" s="1"/>
  <c r="FG37" i="201" s="1"/>
  <c r="FC37" i="201"/>
  <c r="EZ37" i="201"/>
  <c r="EE37" i="201" s="1"/>
  <c r="EG37" i="201" s="1"/>
  <c r="EN37" i="201"/>
  <c r="ER37" i="201" s="1"/>
  <c r="EF37" i="201"/>
  <c r="EJ37" i="201" s="1"/>
  <c r="EC37" i="201"/>
  <c r="EB37" i="201"/>
  <c r="EA37" i="201"/>
  <c r="DY37" i="201"/>
  <c r="DX37" i="201"/>
  <c r="DW37" i="201"/>
  <c r="DS37" i="201"/>
  <c r="DP37" i="201"/>
  <c r="DO37" i="201"/>
  <c r="FJ37" i="201" s="1"/>
  <c r="FK37" i="201" s="1"/>
  <c r="FL37" i="201" s="1"/>
  <c r="DN37" i="201"/>
  <c r="DM37" i="201"/>
  <c r="DL37" i="201"/>
  <c r="DK37" i="201"/>
  <c r="EL37" i="201" s="1"/>
  <c r="EM37" i="201" s="1"/>
  <c r="EQ37" i="201" s="1"/>
  <c r="CI37" i="201" s="1"/>
  <c r="DJ37" i="201"/>
  <c r="DI37" i="201"/>
  <c r="DH37" i="201"/>
  <c r="FV37" i="201" s="1"/>
  <c r="DG37" i="201"/>
  <c r="DF37" i="201"/>
  <c r="ED37" i="201" s="1"/>
  <c r="DE37" i="201"/>
  <c r="DD37" i="201"/>
  <c r="FD37" i="201" s="1"/>
  <c r="DC37" i="201"/>
  <c r="DB37" i="201"/>
  <c r="DA37" i="201"/>
  <c r="CZ37" i="201"/>
  <c r="CY37" i="201"/>
  <c r="FS37" i="201" s="1"/>
  <c r="CX37" i="201"/>
  <c r="FH37" i="201" s="1"/>
  <c r="CW37" i="201"/>
  <c r="CV37" i="201"/>
  <c r="DU37" i="201" s="1"/>
  <c r="CU37" i="201"/>
  <c r="CQ37" i="201"/>
  <c r="CP37" i="201"/>
  <c r="CK37" i="201" s="1"/>
  <c r="CO37" i="201"/>
  <c r="CN37" i="201"/>
  <c r="CL37" i="201"/>
  <c r="BQ37" i="201"/>
  <c r="BO37" i="201"/>
  <c r="AX37" i="201"/>
  <c r="AW37" i="201"/>
  <c r="AV37" i="201"/>
  <c r="AT37" i="201"/>
  <c r="AR37" i="201"/>
  <c r="AH37" i="201"/>
  <c r="AG37" i="201"/>
  <c r="AF37" i="201"/>
  <c r="AE37" i="201"/>
  <c r="AD37" i="201"/>
  <c r="GK36" i="201"/>
  <c r="GF36" i="201"/>
  <c r="GB36" i="201" s="1"/>
  <c r="GE36" i="201"/>
  <c r="GD36" i="201"/>
  <c r="GC36" i="201"/>
  <c r="GA36" i="201"/>
  <c r="FV36" i="201"/>
  <c r="FM36" i="201"/>
  <c r="FK36" i="201"/>
  <c r="FL36" i="201" s="1"/>
  <c r="FF36" i="201"/>
  <c r="FG36" i="201" s="1"/>
  <c r="FC36" i="201"/>
  <c r="EL36" i="201" s="1"/>
  <c r="FB36" i="201"/>
  <c r="EZ36" i="201"/>
  <c r="EY36" i="201"/>
  <c r="EX36" i="201"/>
  <c r="ED36" i="201"/>
  <c r="EC36" i="201"/>
  <c r="EB36" i="201"/>
  <c r="DY36" i="201"/>
  <c r="DU36" i="201"/>
  <c r="DS36" i="201"/>
  <c r="DO36" i="201"/>
  <c r="DN36" i="201"/>
  <c r="FI36" i="201" s="1"/>
  <c r="FJ36" i="201" s="1"/>
  <c r="DM36" i="201"/>
  <c r="DL36" i="201"/>
  <c r="DK36" i="201"/>
  <c r="DJ36" i="201"/>
  <c r="DI36" i="201"/>
  <c r="FT36" i="201" s="1"/>
  <c r="DH36" i="201"/>
  <c r="DG36" i="201"/>
  <c r="DF36" i="201"/>
  <c r="EA36" i="201" s="1"/>
  <c r="DE36" i="201"/>
  <c r="FA36" i="201" s="1"/>
  <c r="DD36" i="201"/>
  <c r="FD36" i="201" s="1"/>
  <c r="FE36" i="201" s="1"/>
  <c r="DC36" i="201"/>
  <c r="DB36" i="201"/>
  <c r="DA36" i="201"/>
  <c r="EE36" i="201" s="1"/>
  <c r="CZ36" i="201"/>
  <c r="CY36" i="201"/>
  <c r="FS36" i="201" s="1"/>
  <c r="CX36" i="201"/>
  <c r="FU36" i="201" s="1"/>
  <c r="CW36" i="201"/>
  <c r="BQ36" i="201" s="1"/>
  <c r="CV36" i="201"/>
  <c r="DV36" i="201" s="1"/>
  <c r="CU36" i="201"/>
  <c r="CQ36" i="201"/>
  <c r="CK36" i="201" s="1"/>
  <c r="CP36" i="201"/>
  <c r="CO36" i="201"/>
  <c r="CN36" i="201"/>
  <c r="CC36" i="201"/>
  <c r="CA36" i="201"/>
  <c r="BO36" i="201"/>
  <c r="AX36" i="201"/>
  <c r="AW36" i="201"/>
  <c r="AK36" i="201" s="1"/>
  <c r="AV36" i="201"/>
  <c r="AT36" i="201"/>
  <c r="AR36" i="201"/>
  <c r="AQ36" i="201"/>
  <c r="AH36" i="201"/>
  <c r="AG36" i="201"/>
  <c r="AF36" i="201"/>
  <c r="AE36" i="201"/>
  <c r="AD36" i="201"/>
  <c r="GK35" i="201"/>
  <c r="GF35" i="201"/>
  <c r="FU35" i="201"/>
  <c r="FT35" i="201"/>
  <c r="FM35" i="201"/>
  <c r="FH35" i="201"/>
  <c r="FD35" i="201"/>
  <c r="FC35" i="201"/>
  <c r="EZ35" i="201"/>
  <c r="EE35" i="201" s="1"/>
  <c r="EG35" i="201" s="1"/>
  <c r="EK35" i="201" s="1"/>
  <c r="EF35" i="201"/>
  <c r="EJ35" i="201" s="1"/>
  <c r="CH35" i="201" s="1"/>
  <c r="EC35" i="201"/>
  <c r="EB35" i="201"/>
  <c r="EA35" i="201"/>
  <c r="DY35" i="201"/>
  <c r="DS35" i="201"/>
  <c r="DO35" i="201"/>
  <c r="DN35" i="201"/>
  <c r="FI35" i="201" s="1"/>
  <c r="DM35" i="201"/>
  <c r="DL35" i="201"/>
  <c r="DK35" i="201"/>
  <c r="EL35" i="201" s="1"/>
  <c r="DJ35" i="201"/>
  <c r="DI35" i="201"/>
  <c r="DH35" i="201"/>
  <c r="FV35" i="201" s="1"/>
  <c r="DG35" i="201"/>
  <c r="DF35" i="201"/>
  <c r="ED35" i="201" s="1"/>
  <c r="DE35" i="201"/>
  <c r="CA35" i="201" s="1"/>
  <c r="DD35" i="201"/>
  <c r="DC35" i="201"/>
  <c r="DB35" i="201"/>
  <c r="DA35" i="201"/>
  <c r="CZ35" i="201"/>
  <c r="CY35" i="201"/>
  <c r="CX35" i="201"/>
  <c r="CW35" i="201"/>
  <c r="CV35" i="201"/>
  <c r="DU35" i="201" s="1"/>
  <c r="CU35" i="201"/>
  <c r="CQ35" i="201"/>
  <c r="CP35" i="201"/>
  <c r="CO35" i="201"/>
  <c r="CN35" i="201"/>
  <c r="CK35" i="201"/>
  <c r="BQ35" i="201"/>
  <c r="BO35" i="201"/>
  <c r="AX35" i="201"/>
  <c r="AW35" i="201"/>
  <c r="AV35" i="201"/>
  <c r="AK35" i="201" s="1"/>
  <c r="AQ35" i="201" s="1"/>
  <c r="AT35" i="201"/>
  <c r="AR35" i="201"/>
  <c r="AH35" i="201"/>
  <c r="AG35" i="201"/>
  <c r="AF35" i="201"/>
  <c r="AE35" i="201"/>
  <c r="AD35" i="201"/>
  <c r="GK34" i="201"/>
  <c r="GF34" i="201"/>
  <c r="GD34" i="201" s="1"/>
  <c r="GE34" i="201"/>
  <c r="GB34" i="201"/>
  <c r="FV34" i="201"/>
  <c r="FS34" i="201"/>
  <c r="FR34" i="201"/>
  <c r="FM34" i="201"/>
  <c r="FI34" i="201"/>
  <c r="FC34" i="201"/>
  <c r="EL34" i="201" s="1"/>
  <c r="EN34" i="201" s="1"/>
  <c r="ER34" i="201" s="1"/>
  <c r="FA34" i="201"/>
  <c r="EZ34" i="201"/>
  <c r="EE34" i="201" s="1"/>
  <c r="EF34" i="201" s="1"/>
  <c r="EJ34" i="201" s="1"/>
  <c r="EA34" i="201"/>
  <c r="DY34" i="201"/>
  <c r="DX34" i="201"/>
  <c r="DW34" i="201"/>
  <c r="DV34" i="201"/>
  <c r="DU34" i="201"/>
  <c r="DS34" i="201"/>
  <c r="DO34" i="201"/>
  <c r="DN34" i="201"/>
  <c r="DM34" i="201"/>
  <c r="DL34" i="201"/>
  <c r="DK34" i="201"/>
  <c r="DJ34" i="201"/>
  <c r="DI34" i="201"/>
  <c r="FT34" i="201" s="1"/>
  <c r="DH34" i="201"/>
  <c r="DG34" i="201"/>
  <c r="DF34" i="201"/>
  <c r="DE34" i="201"/>
  <c r="FB34" i="201" s="1"/>
  <c r="DD34" i="201"/>
  <c r="FD34" i="201" s="1"/>
  <c r="DC34" i="201"/>
  <c r="DB34" i="201"/>
  <c r="DA34" i="201"/>
  <c r="CZ34" i="201"/>
  <c r="CY34" i="201"/>
  <c r="CX34" i="201"/>
  <c r="FU34" i="201" s="1"/>
  <c r="CW34" i="201"/>
  <c r="CV34" i="201"/>
  <c r="CU34" i="201"/>
  <c r="CQ34" i="201"/>
  <c r="CP34" i="201"/>
  <c r="CK34" i="201" s="1"/>
  <c r="CO34" i="201"/>
  <c r="CN34" i="201"/>
  <c r="CC34" i="201"/>
  <c r="CA34" i="201"/>
  <c r="BO34" i="201"/>
  <c r="AX34" i="201"/>
  <c r="AW34" i="201"/>
  <c r="AV34" i="201"/>
  <c r="AK34" i="201" s="1"/>
  <c r="AT34" i="201"/>
  <c r="AR34" i="201"/>
  <c r="AH34" i="201"/>
  <c r="AG34" i="201"/>
  <c r="AF34" i="201"/>
  <c r="AE34" i="201"/>
  <c r="AD34" i="201"/>
  <c r="GK33" i="201"/>
  <c r="GF33" i="201"/>
  <c r="GA33" i="201" s="1"/>
  <c r="GL33" i="201" s="1"/>
  <c r="GM33" i="201" s="1"/>
  <c r="GE33" i="201"/>
  <c r="GD33" i="201"/>
  <c r="GC33" i="201"/>
  <c r="GB33" i="201"/>
  <c r="FV33" i="201"/>
  <c r="FU33" i="201"/>
  <c r="FS33" i="201"/>
  <c r="FM33" i="201"/>
  <c r="FI33" i="201"/>
  <c r="FC33" i="201"/>
  <c r="EL33" i="201" s="1"/>
  <c r="EZ33" i="201"/>
  <c r="EE33" i="201" s="1"/>
  <c r="EF33" i="201" s="1"/>
  <c r="EJ33" i="201" s="1"/>
  <c r="CH33" i="201" s="1"/>
  <c r="EX33" i="201"/>
  <c r="EN33" i="201"/>
  <c r="ER33" i="201" s="1"/>
  <c r="EM33" i="201"/>
  <c r="EQ33" i="201" s="1"/>
  <c r="EG33" i="201"/>
  <c r="EK33" i="201" s="1"/>
  <c r="EC33" i="201"/>
  <c r="EB33" i="201"/>
  <c r="EA33" i="201"/>
  <c r="DY33" i="201"/>
  <c r="DX33" i="201"/>
  <c r="DW33" i="201"/>
  <c r="DV33" i="201"/>
  <c r="DU33" i="201"/>
  <c r="DS33" i="201"/>
  <c r="DP33" i="201"/>
  <c r="DO33" i="201"/>
  <c r="DN33" i="201"/>
  <c r="DM33" i="201"/>
  <c r="DL33" i="201"/>
  <c r="DK33" i="201"/>
  <c r="DJ33" i="201"/>
  <c r="DI33" i="201"/>
  <c r="DH33" i="201"/>
  <c r="DG33" i="201"/>
  <c r="DF33" i="201"/>
  <c r="ED33" i="201" s="1"/>
  <c r="DE33" i="201"/>
  <c r="DD33" i="201"/>
  <c r="FD33" i="201" s="1"/>
  <c r="DC33" i="201"/>
  <c r="DB33" i="201"/>
  <c r="DA33" i="201"/>
  <c r="CZ33" i="201"/>
  <c r="CY33" i="201"/>
  <c r="CX33" i="201"/>
  <c r="FH33" i="201" s="1"/>
  <c r="CW33" i="201"/>
  <c r="BQ33" i="201" s="1"/>
  <c r="CV33" i="201"/>
  <c r="CU33" i="201"/>
  <c r="EY33" i="201" s="1"/>
  <c r="CQ33" i="201"/>
  <c r="CP33" i="201"/>
  <c r="CO33" i="201"/>
  <c r="CN33" i="201"/>
  <c r="BO33" i="201"/>
  <c r="AX33" i="201"/>
  <c r="AW33" i="201"/>
  <c r="AV33" i="201"/>
  <c r="AK33" i="201" s="1"/>
  <c r="AQ33" i="201" s="1"/>
  <c r="AT33" i="201"/>
  <c r="AR33" i="201"/>
  <c r="AO33" i="201"/>
  <c r="AM33" i="201"/>
  <c r="AH33" i="201"/>
  <c r="AG33" i="201"/>
  <c r="AF33" i="201"/>
  <c r="AE33" i="201"/>
  <c r="AD33" i="201"/>
  <c r="GK32" i="201"/>
  <c r="GF32" i="201"/>
  <c r="FV32" i="201"/>
  <c r="FT32" i="201"/>
  <c r="FM32" i="201"/>
  <c r="FI32" i="201"/>
  <c r="FH32" i="201"/>
  <c r="FO32" i="201" s="1"/>
  <c r="FC32" i="201"/>
  <c r="FA32" i="201"/>
  <c r="EZ32" i="201"/>
  <c r="EE32" i="201" s="1"/>
  <c r="EA32" i="201"/>
  <c r="DY32" i="201"/>
  <c r="DX32" i="201"/>
  <c r="DW32" i="201"/>
  <c r="DV32" i="201"/>
  <c r="DU32" i="201"/>
  <c r="DS32" i="201"/>
  <c r="DP32" i="201"/>
  <c r="DO32" i="201"/>
  <c r="DN32" i="201"/>
  <c r="DM32" i="201"/>
  <c r="DL32" i="201"/>
  <c r="DK32" i="201"/>
  <c r="DJ32" i="201"/>
  <c r="DI32" i="201"/>
  <c r="DH32" i="201"/>
  <c r="DG32" i="201"/>
  <c r="CC32" i="201" s="1"/>
  <c r="DF32" i="201"/>
  <c r="FR32" i="201" s="1"/>
  <c r="DE32" i="201"/>
  <c r="FB32" i="201" s="1"/>
  <c r="DD32" i="201"/>
  <c r="FD32" i="201" s="1"/>
  <c r="DC32" i="201"/>
  <c r="DB32" i="201"/>
  <c r="DA32" i="201"/>
  <c r="CZ32" i="201"/>
  <c r="CY32" i="201"/>
  <c r="FS32" i="201" s="1"/>
  <c r="CX32" i="201"/>
  <c r="FU32" i="201" s="1"/>
  <c r="CW32" i="201"/>
  <c r="CV32" i="201"/>
  <c r="CU32" i="201"/>
  <c r="CQ32" i="201"/>
  <c r="CP32" i="201"/>
  <c r="CK32" i="201" s="1"/>
  <c r="CO32" i="201"/>
  <c r="CN32" i="201"/>
  <c r="CA32" i="201"/>
  <c r="BQ32" i="201"/>
  <c r="AX32" i="201"/>
  <c r="AW32" i="201"/>
  <c r="AV32" i="201"/>
  <c r="AT32" i="201"/>
  <c r="AR32" i="201"/>
  <c r="AK32" i="201"/>
  <c r="AJ32" i="201"/>
  <c r="AH32" i="201"/>
  <c r="AG32" i="201"/>
  <c r="AF32" i="201"/>
  <c r="AE32" i="201"/>
  <c r="AD32" i="201"/>
  <c r="GK31" i="201"/>
  <c r="GF31" i="201"/>
  <c r="GA31" i="201" s="1"/>
  <c r="GE31" i="201"/>
  <c r="GD31" i="201"/>
  <c r="GC31" i="201"/>
  <c r="GB31" i="201"/>
  <c r="FV31" i="201"/>
  <c r="FS31" i="201"/>
  <c r="FM31" i="201"/>
  <c r="FI31" i="201"/>
  <c r="FG31" i="201"/>
  <c r="FF31" i="201"/>
  <c r="FC31" i="201"/>
  <c r="EL31" i="201" s="1"/>
  <c r="EN31" i="201" s="1"/>
  <c r="ER31" i="201" s="1"/>
  <c r="FA31" i="201"/>
  <c r="EZ31" i="201"/>
  <c r="EE31" i="201" s="1"/>
  <c r="EF31" i="201" s="1"/>
  <c r="EX31" i="201"/>
  <c r="EM31" i="201"/>
  <c r="EK31" i="201"/>
  <c r="EV31" i="201" s="1"/>
  <c r="CJ31" i="201" s="1"/>
  <c r="EJ31" i="201"/>
  <c r="EG31" i="201"/>
  <c r="EC31" i="201"/>
  <c r="EB31" i="201"/>
  <c r="EA31" i="201"/>
  <c r="DY31" i="201"/>
  <c r="DX31" i="201"/>
  <c r="DW31" i="201"/>
  <c r="DV31" i="201"/>
  <c r="DU31" i="201"/>
  <c r="DS31" i="201"/>
  <c r="DP31" i="201"/>
  <c r="DO31" i="201"/>
  <c r="FE31" i="201" s="1"/>
  <c r="DN31" i="201"/>
  <c r="DM31" i="201"/>
  <c r="DL31" i="201"/>
  <c r="DK31" i="201"/>
  <c r="DJ31" i="201"/>
  <c r="DI31" i="201"/>
  <c r="FT31" i="201" s="1"/>
  <c r="DH31" i="201"/>
  <c r="DG31" i="201"/>
  <c r="DF31" i="201"/>
  <c r="ED31" i="201" s="1"/>
  <c r="DE31" i="201"/>
  <c r="CC31" i="201" s="1"/>
  <c r="CM31" i="201" s="1"/>
  <c r="DD31" i="201"/>
  <c r="FD31" i="201" s="1"/>
  <c r="DC31" i="201"/>
  <c r="DB31" i="201"/>
  <c r="DA31" i="201"/>
  <c r="CZ31" i="201"/>
  <c r="CY31" i="201"/>
  <c r="CX31" i="201"/>
  <c r="CW31" i="201"/>
  <c r="CV31" i="201"/>
  <c r="CU31" i="201"/>
  <c r="EY31" i="201" s="1"/>
  <c r="CQ31" i="201"/>
  <c r="CK31" i="201" s="1"/>
  <c r="CP31" i="201"/>
  <c r="CO31" i="201"/>
  <c r="CN31" i="201"/>
  <c r="CA31" i="201"/>
  <c r="BQ31" i="201"/>
  <c r="BO31" i="201"/>
  <c r="AX31" i="201"/>
  <c r="AW31" i="201"/>
  <c r="AV31" i="201"/>
  <c r="AK31" i="201" s="1"/>
  <c r="AT31" i="201"/>
  <c r="AR31" i="201"/>
  <c r="AQ31" i="201"/>
  <c r="AO31" i="201"/>
  <c r="AM31" i="201"/>
  <c r="AL31" i="201"/>
  <c r="AJ31" i="201"/>
  <c r="AH31" i="201"/>
  <c r="AG31" i="201"/>
  <c r="AF31" i="201"/>
  <c r="AE31" i="201"/>
  <c r="AD31" i="201"/>
  <c r="GK30" i="201"/>
  <c r="GF30" i="201"/>
  <c r="GB30" i="201" s="1"/>
  <c r="FV30" i="201"/>
  <c r="FM30" i="201"/>
  <c r="FI30" i="201"/>
  <c r="FH30" i="201"/>
  <c r="FD30" i="201"/>
  <c r="FC30" i="201"/>
  <c r="EL30" i="201" s="1"/>
  <c r="EM30" i="201" s="1"/>
  <c r="EQ30" i="201" s="1"/>
  <c r="CI30" i="201" s="1"/>
  <c r="FA30" i="201"/>
  <c r="EZ30" i="201"/>
  <c r="EE30" i="201" s="1"/>
  <c r="EN30" i="201"/>
  <c r="ER30" i="201" s="1"/>
  <c r="DY30" i="201"/>
  <c r="DX30" i="201"/>
  <c r="DW30" i="201"/>
  <c r="DV30" i="201"/>
  <c r="DU30" i="201"/>
  <c r="DS30" i="201"/>
  <c r="DO30" i="201"/>
  <c r="DN30" i="201"/>
  <c r="DM30" i="201"/>
  <c r="DL30" i="201"/>
  <c r="DK30" i="201"/>
  <c r="DJ30" i="201"/>
  <c r="DI30" i="201"/>
  <c r="DH30" i="201"/>
  <c r="DG30" i="201"/>
  <c r="DF30" i="201"/>
  <c r="DE30" i="201"/>
  <c r="FB30" i="201" s="1"/>
  <c r="DD30" i="201"/>
  <c r="DC30" i="201"/>
  <c r="DB30" i="201"/>
  <c r="DA30" i="201"/>
  <c r="CZ30" i="201"/>
  <c r="CY30" i="201"/>
  <c r="FS30" i="201" s="1"/>
  <c r="CX30" i="201"/>
  <c r="FU30" i="201" s="1"/>
  <c r="CW30" i="201"/>
  <c r="BQ30" i="201" s="1"/>
  <c r="CV30" i="201"/>
  <c r="CU30" i="201"/>
  <c r="CQ30" i="201"/>
  <c r="CP30" i="201"/>
  <c r="CO30" i="201"/>
  <c r="CN30" i="201"/>
  <c r="CC30" i="201"/>
  <c r="CA30" i="201"/>
  <c r="BO30" i="201"/>
  <c r="AX30" i="201"/>
  <c r="AW30" i="201"/>
  <c r="AK30" i="201" s="1"/>
  <c r="AV30" i="201"/>
  <c r="AT30" i="201"/>
  <c r="AR30" i="201"/>
  <c r="AH30" i="201"/>
  <c r="AG30" i="201"/>
  <c r="AF30" i="201"/>
  <c r="AE30" i="201"/>
  <c r="AD30" i="201"/>
  <c r="GK29" i="201"/>
  <c r="GF29" i="201"/>
  <c r="GA29" i="201" s="1"/>
  <c r="GL29" i="201" s="1"/>
  <c r="GM29" i="201" s="1"/>
  <c r="GE29" i="201"/>
  <c r="GD29" i="201"/>
  <c r="GC29" i="201"/>
  <c r="GB29" i="201"/>
  <c r="FV29" i="201"/>
  <c r="FS29" i="201"/>
  <c r="FM29" i="201"/>
  <c r="FL29" i="201"/>
  <c r="FJ29" i="201"/>
  <c r="FK29" i="201" s="1"/>
  <c r="FI29" i="201"/>
  <c r="FC29" i="201"/>
  <c r="EL29" i="201" s="1"/>
  <c r="EZ29" i="201"/>
  <c r="EX29" i="201"/>
  <c r="EN29" i="201"/>
  <c r="ER29" i="201" s="1"/>
  <c r="EM29" i="201"/>
  <c r="EQ29" i="201" s="1"/>
  <c r="CI29" i="201" s="1"/>
  <c r="ED29" i="201"/>
  <c r="EC29" i="201"/>
  <c r="EB29" i="201"/>
  <c r="EA29" i="201"/>
  <c r="DY29" i="201"/>
  <c r="DX29" i="201"/>
  <c r="DV29" i="201"/>
  <c r="DU29" i="201"/>
  <c r="DS29" i="201"/>
  <c r="DP29" i="201"/>
  <c r="DO29" i="201"/>
  <c r="DN29" i="201"/>
  <c r="DM29" i="201"/>
  <c r="DL29" i="201"/>
  <c r="DK29" i="201"/>
  <c r="DJ29" i="201"/>
  <c r="DI29" i="201"/>
  <c r="DH29" i="201"/>
  <c r="DG29" i="201"/>
  <c r="DF29" i="201"/>
  <c r="DE29" i="201"/>
  <c r="CA29" i="201" s="1"/>
  <c r="DD29" i="201"/>
  <c r="FD29" i="201" s="1"/>
  <c r="DC29" i="201"/>
  <c r="DB29" i="201"/>
  <c r="DA29" i="201"/>
  <c r="CZ29" i="201"/>
  <c r="CY29" i="201"/>
  <c r="CX29" i="201"/>
  <c r="FH29" i="201" s="1"/>
  <c r="CW29" i="201"/>
  <c r="BQ29" i="201" s="1"/>
  <c r="CV29" i="201"/>
  <c r="DW29" i="201" s="1"/>
  <c r="CU29" i="201"/>
  <c r="EY29" i="201" s="1"/>
  <c r="CQ29" i="201"/>
  <c r="CP29" i="201"/>
  <c r="CO29" i="201"/>
  <c r="CN29" i="201"/>
  <c r="CK29" i="201"/>
  <c r="CC29" i="201"/>
  <c r="BO29" i="201"/>
  <c r="AX29" i="201"/>
  <c r="AW29" i="201"/>
  <c r="AV29" i="201"/>
  <c r="AK29" i="201" s="1"/>
  <c r="AT29" i="201"/>
  <c r="AR29" i="201"/>
  <c r="AH29" i="201"/>
  <c r="AG29" i="201"/>
  <c r="AF29" i="201"/>
  <c r="AE29" i="201"/>
  <c r="AD29" i="201"/>
  <c r="GK28" i="201"/>
  <c r="GF28" i="201"/>
  <c r="GA28" i="201" s="1"/>
  <c r="FV28" i="201"/>
  <c r="FU28" i="201"/>
  <c r="FS28" i="201"/>
  <c r="FR28" i="201"/>
  <c r="FH28" i="201"/>
  <c r="FC28" i="201"/>
  <c r="EL28" i="201" s="1"/>
  <c r="EM28" i="201" s="1"/>
  <c r="EQ28" i="201" s="1"/>
  <c r="CI28" i="201" s="1"/>
  <c r="FB28" i="201"/>
  <c r="EZ28" i="201"/>
  <c r="EN28" i="201"/>
  <c r="ER28" i="201" s="1"/>
  <c r="EE28" i="201"/>
  <c r="EB28" i="201"/>
  <c r="EA28" i="201"/>
  <c r="DY28" i="201"/>
  <c r="DX28" i="201"/>
  <c r="DS28" i="201"/>
  <c r="DP28" i="201"/>
  <c r="DO28" i="201"/>
  <c r="DN28" i="201"/>
  <c r="FI28" i="201" s="1"/>
  <c r="DM28" i="201"/>
  <c r="DL28" i="201"/>
  <c r="DK28" i="201"/>
  <c r="DJ28" i="201"/>
  <c r="DI28" i="201"/>
  <c r="FT28" i="201" s="1"/>
  <c r="DH28" i="201"/>
  <c r="FM28" i="201" s="1"/>
  <c r="DG28" i="201"/>
  <c r="CC28" i="201" s="1"/>
  <c r="DF28" i="201"/>
  <c r="DE28" i="201"/>
  <c r="FA28" i="201" s="1"/>
  <c r="DD28" i="201"/>
  <c r="FD28" i="201" s="1"/>
  <c r="DC28" i="201"/>
  <c r="DB28" i="201"/>
  <c r="DA28" i="201"/>
  <c r="CZ28" i="201"/>
  <c r="CY28" i="201"/>
  <c r="CX28" i="201"/>
  <c r="CW28" i="201"/>
  <c r="CV28" i="201"/>
  <c r="DW28" i="201" s="1"/>
  <c r="CU28" i="201"/>
  <c r="CQ28" i="201"/>
  <c r="CP28" i="201"/>
  <c r="CO28" i="201"/>
  <c r="CN28" i="201"/>
  <c r="CA28" i="201"/>
  <c r="BQ28" i="201"/>
  <c r="BO28" i="201"/>
  <c r="AX28" i="201"/>
  <c r="AW28" i="201"/>
  <c r="AV28" i="201"/>
  <c r="AT28" i="201"/>
  <c r="AS28" i="201"/>
  <c r="AR28" i="201"/>
  <c r="AO28" i="201"/>
  <c r="AN28" i="201"/>
  <c r="AL28" i="201"/>
  <c r="AK28" i="201"/>
  <c r="AM28" i="201" s="1"/>
  <c r="AH28" i="201"/>
  <c r="AG28" i="201"/>
  <c r="AF28" i="201"/>
  <c r="AE28" i="201"/>
  <c r="AD28" i="201"/>
  <c r="GM27" i="201"/>
  <c r="GL27" i="201"/>
  <c r="GK27" i="201"/>
  <c r="GF27" i="201"/>
  <c r="GE27" i="201"/>
  <c r="GD27" i="201"/>
  <c r="GC27" i="201"/>
  <c r="GB27" i="201"/>
  <c r="GA27" i="201"/>
  <c r="FV27" i="201"/>
  <c r="FS27" i="201"/>
  <c r="FR27" i="201"/>
  <c r="FI27" i="201"/>
  <c r="FJ27" i="201" s="1"/>
  <c r="FK27" i="201" s="1"/>
  <c r="FL27" i="201" s="1"/>
  <c r="FF27" i="201"/>
  <c r="FG27" i="201" s="1"/>
  <c r="FC27" i="201"/>
  <c r="EL27" i="201" s="1"/>
  <c r="EZ27" i="201"/>
  <c r="EE27" i="201" s="1"/>
  <c r="EY27" i="201"/>
  <c r="EX27" i="201"/>
  <c r="DY27" i="201"/>
  <c r="DX27" i="201"/>
  <c r="DV27" i="201"/>
  <c r="DU27" i="201"/>
  <c r="DS27" i="201"/>
  <c r="DO27" i="201"/>
  <c r="DN27" i="201"/>
  <c r="DM27" i="201"/>
  <c r="DL27" i="201"/>
  <c r="DK27" i="201"/>
  <c r="DJ27" i="201"/>
  <c r="DI27" i="201"/>
  <c r="FT27" i="201" s="1"/>
  <c r="DH27" i="201"/>
  <c r="FM27" i="201" s="1"/>
  <c r="DG27" i="201"/>
  <c r="DF27" i="201"/>
  <c r="ED27" i="201" s="1"/>
  <c r="DE27" i="201"/>
  <c r="FB27" i="201" s="1"/>
  <c r="DD27" i="201"/>
  <c r="FD27" i="201" s="1"/>
  <c r="FE27" i="201" s="1"/>
  <c r="DC27" i="201"/>
  <c r="DB27" i="201"/>
  <c r="DA27" i="201"/>
  <c r="CZ27" i="201"/>
  <c r="CY27" i="201"/>
  <c r="CX27" i="201"/>
  <c r="CW27" i="201"/>
  <c r="BQ27" i="201" s="1"/>
  <c r="CV27" i="201"/>
  <c r="FQ27" i="201" s="1"/>
  <c r="CU27" i="201"/>
  <c r="CQ27" i="201"/>
  <c r="CP27" i="201"/>
  <c r="CO27" i="201"/>
  <c r="CN27" i="201"/>
  <c r="CM27" i="201"/>
  <c r="CK27" i="201"/>
  <c r="CC27" i="201"/>
  <c r="CA27" i="201"/>
  <c r="BO27" i="201"/>
  <c r="AY27" i="201"/>
  <c r="AX27" i="201"/>
  <c r="AW27" i="201"/>
  <c r="AV27" i="201"/>
  <c r="AK27" i="201" s="1"/>
  <c r="AT27" i="201"/>
  <c r="AR27" i="201"/>
  <c r="AH27" i="201"/>
  <c r="AG27" i="201"/>
  <c r="AF27" i="201"/>
  <c r="AE27" i="201"/>
  <c r="AD27" i="201"/>
  <c r="GK26" i="201"/>
  <c r="GF26" i="201"/>
  <c r="GE26" i="201"/>
  <c r="GC26" i="201"/>
  <c r="GB26" i="201"/>
  <c r="FU26" i="201"/>
  <c r="FO26" i="201"/>
  <c r="FM26" i="201"/>
  <c r="FI26" i="201"/>
  <c r="FH26" i="201"/>
  <c r="FD26" i="201"/>
  <c r="FC26" i="201"/>
  <c r="EL26" i="201" s="1"/>
  <c r="FA26" i="201"/>
  <c r="EZ26" i="201"/>
  <c r="EE26" i="201" s="1"/>
  <c r="EQ26" i="201"/>
  <c r="EN26" i="201"/>
  <c r="ER26" i="201" s="1"/>
  <c r="EM26" i="201"/>
  <c r="ED26" i="201"/>
  <c r="EB26" i="201"/>
  <c r="DY26" i="201"/>
  <c r="DX26" i="201"/>
  <c r="DS26" i="201"/>
  <c r="DP26" i="201"/>
  <c r="DO26" i="201"/>
  <c r="DN26" i="201"/>
  <c r="DM26" i="201"/>
  <c r="DL26" i="201"/>
  <c r="DK26" i="201"/>
  <c r="DJ26" i="201"/>
  <c r="DI26" i="201"/>
  <c r="FT26" i="201" s="1"/>
  <c r="DH26" i="201"/>
  <c r="FV26" i="201" s="1"/>
  <c r="DG26" i="201"/>
  <c r="DF26" i="201"/>
  <c r="DE26" i="201"/>
  <c r="FB26" i="201" s="1"/>
  <c r="DD26" i="201"/>
  <c r="DC26" i="201"/>
  <c r="DT26" i="201" s="1"/>
  <c r="DB26" i="201"/>
  <c r="DA26" i="201"/>
  <c r="CZ26" i="201"/>
  <c r="CY26" i="201"/>
  <c r="FS26" i="201" s="1"/>
  <c r="CX26" i="201"/>
  <c r="CW26" i="201"/>
  <c r="CV26" i="201"/>
  <c r="DW26" i="201" s="1"/>
  <c r="CU26" i="201"/>
  <c r="CQ26" i="201"/>
  <c r="CP26" i="201"/>
  <c r="CO26" i="201"/>
  <c r="CN26" i="201"/>
  <c r="CC26" i="201"/>
  <c r="CA26" i="201"/>
  <c r="AX26" i="201"/>
  <c r="AW26" i="201"/>
  <c r="AV26" i="201"/>
  <c r="AT26" i="201"/>
  <c r="AS26" i="201"/>
  <c r="AR26" i="201"/>
  <c r="AO26" i="201"/>
  <c r="AN26" i="201"/>
  <c r="AL26" i="201"/>
  <c r="AK26" i="201"/>
  <c r="AM26" i="201" s="1"/>
  <c r="AH26" i="201"/>
  <c r="AG26" i="201"/>
  <c r="AF26" i="201"/>
  <c r="AE26" i="201"/>
  <c r="AD26" i="201"/>
  <c r="GM25" i="201"/>
  <c r="GK25" i="201"/>
  <c r="GF25" i="201"/>
  <c r="GE25" i="201"/>
  <c r="GL25" i="201" s="1"/>
  <c r="GD25" i="201"/>
  <c r="GC25" i="201"/>
  <c r="GB25" i="201"/>
  <c r="GA25" i="201"/>
  <c r="FV25" i="201"/>
  <c r="FU25" i="201"/>
  <c r="FS25" i="201"/>
  <c r="FR25" i="201"/>
  <c r="FJ25" i="201"/>
  <c r="FK25" i="201" s="1"/>
  <c r="FL25" i="201" s="1"/>
  <c r="FI25" i="201"/>
  <c r="FG25" i="201"/>
  <c r="FC25" i="201"/>
  <c r="EL25" i="201" s="1"/>
  <c r="EZ25" i="201"/>
  <c r="EE25" i="201" s="1"/>
  <c r="EF25" i="201" s="1"/>
  <c r="EJ25" i="201" s="1"/>
  <c r="CH25" i="201" s="1"/>
  <c r="EY25" i="201"/>
  <c r="EX25" i="201"/>
  <c r="EK25" i="201"/>
  <c r="EG25" i="201"/>
  <c r="DY25" i="201"/>
  <c r="DX25" i="201"/>
  <c r="DV25" i="201"/>
  <c r="DU25" i="201"/>
  <c r="DS25" i="201"/>
  <c r="DO25" i="201"/>
  <c r="DN25" i="201"/>
  <c r="DM25" i="201"/>
  <c r="DL25" i="201"/>
  <c r="DK25" i="201"/>
  <c r="DJ25" i="201"/>
  <c r="DI25" i="201"/>
  <c r="FT25" i="201" s="1"/>
  <c r="DH25" i="201"/>
  <c r="FM25" i="201" s="1"/>
  <c r="DG25" i="201"/>
  <c r="DF25" i="201"/>
  <c r="DE25" i="201"/>
  <c r="FB25" i="201" s="1"/>
  <c r="DD25" i="201"/>
  <c r="FD25" i="201" s="1"/>
  <c r="FE25" i="201" s="1"/>
  <c r="FF25" i="201" s="1"/>
  <c r="DC25" i="201"/>
  <c r="DB25" i="201"/>
  <c r="DA25" i="201"/>
  <c r="CZ25" i="201"/>
  <c r="CY25" i="201"/>
  <c r="CX25" i="201"/>
  <c r="FH25" i="201" s="1"/>
  <c r="CW25" i="201"/>
  <c r="BQ25" i="201" s="1"/>
  <c r="CV25" i="201"/>
  <c r="FQ25" i="201" s="1"/>
  <c r="CU25" i="201"/>
  <c r="CQ25" i="201"/>
  <c r="CP25" i="201"/>
  <c r="CO25" i="201"/>
  <c r="CN25" i="201"/>
  <c r="CK25" i="201"/>
  <c r="CC25" i="201"/>
  <c r="CM25" i="201" s="1"/>
  <c r="CA25" i="201"/>
  <c r="BO25" i="201"/>
  <c r="AX25" i="201"/>
  <c r="AW25" i="201"/>
  <c r="AV25" i="201"/>
  <c r="AK25" i="201" s="1"/>
  <c r="AM25" i="201" s="1"/>
  <c r="AT25" i="201"/>
  <c r="AR25" i="201"/>
  <c r="AH25" i="201"/>
  <c r="AG25" i="201"/>
  <c r="AF25" i="201"/>
  <c r="AE25" i="201"/>
  <c r="AD25" i="201"/>
  <c r="GK24" i="201"/>
  <c r="GF24" i="201"/>
  <c r="GC24" i="201" s="1"/>
  <c r="GE24" i="201"/>
  <c r="GB24" i="201"/>
  <c r="FU24" i="201"/>
  <c r="FM24" i="201"/>
  <c r="FI24" i="201"/>
  <c r="FC24" i="201"/>
  <c r="EL24" i="201" s="1"/>
  <c r="FA24" i="201"/>
  <c r="EZ24" i="201"/>
  <c r="EE24" i="201" s="1"/>
  <c r="ED24" i="201"/>
  <c r="EB24" i="201"/>
  <c r="EA24" i="201"/>
  <c r="DY24" i="201"/>
  <c r="DX24" i="201"/>
  <c r="DS24" i="201"/>
  <c r="DP24" i="201"/>
  <c r="DO24" i="201"/>
  <c r="DN24" i="201"/>
  <c r="DM24" i="201"/>
  <c r="DL24" i="201"/>
  <c r="DK24" i="201"/>
  <c r="DJ24" i="201"/>
  <c r="DI24" i="201"/>
  <c r="FT24" i="201" s="1"/>
  <c r="DH24" i="201"/>
  <c r="FV24" i="201" s="1"/>
  <c r="DG24" i="201"/>
  <c r="CC24" i="201" s="1"/>
  <c r="DF24" i="201"/>
  <c r="DE24" i="201"/>
  <c r="FB24" i="201" s="1"/>
  <c r="DD24" i="201"/>
  <c r="FD24" i="201" s="1"/>
  <c r="DC24" i="201"/>
  <c r="FO24" i="201" s="1"/>
  <c r="DB24" i="201"/>
  <c r="DA24" i="201"/>
  <c r="CZ24" i="201"/>
  <c r="CY24" i="201"/>
  <c r="FS24" i="201" s="1"/>
  <c r="CX24" i="201"/>
  <c r="FH24" i="201" s="1"/>
  <c r="CW24" i="201"/>
  <c r="CV24" i="201"/>
  <c r="DW24" i="201" s="1"/>
  <c r="CU24" i="201"/>
  <c r="CQ24" i="201"/>
  <c r="CP24" i="201"/>
  <c r="CO24" i="201"/>
  <c r="CN24" i="201"/>
  <c r="CA24" i="201"/>
  <c r="BQ24" i="201"/>
  <c r="AX24" i="201"/>
  <c r="AW24" i="201"/>
  <c r="AV24" i="201"/>
  <c r="AK24" i="201" s="1"/>
  <c r="AT24" i="201"/>
  <c r="AR24" i="201"/>
  <c r="AL24" i="201"/>
  <c r="AH24" i="201"/>
  <c r="AG24" i="201"/>
  <c r="AF24" i="201"/>
  <c r="AE24" i="201"/>
  <c r="AD24" i="201"/>
  <c r="GK23" i="201"/>
  <c r="GF23" i="201"/>
  <c r="GE23" i="201"/>
  <c r="GL23" i="201" s="1"/>
  <c r="GD23" i="201"/>
  <c r="GC23" i="201"/>
  <c r="GB23" i="201"/>
  <c r="GA23" i="201"/>
  <c r="FU23" i="201"/>
  <c r="FS23" i="201"/>
  <c r="FQ23" i="201"/>
  <c r="FI23" i="201"/>
  <c r="FJ23" i="201" s="1"/>
  <c r="FK23" i="201" s="1"/>
  <c r="FL23" i="201" s="1"/>
  <c r="FC23" i="201"/>
  <c r="EL23" i="201" s="1"/>
  <c r="EZ23" i="201"/>
  <c r="EY23" i="201"/>
  <c r="EX23" i="201"/>
  <c r="ED23" i="201"/>
  <c r="DY23" i="201"/>
  <c r="DX23" i="201"/>
  <c r="DU23" i="201"/>
  <c r="DS23" i="201"/>
  <c r="DO23" i="201"/>
  <c r="DN23" i="201"/>
  <c r="DM23" i="201"/>
  <c r="DL23" i="201"/>
  <c r="DK23" i="201"/>
  <c r="DJ23" i="201"/>
  <c r="DI23" i="201"/>
  <c r="FT23" i="201" s="1"/>
  <c r="DH23" i="201"/>
  <c r="FM23" i="201" s="1"/>
  <c r="DG23" i="201"/>
  <c r="DF23" i="201"/>
  <c r="DE23" i="201"/>
  <c r="FB23" i="201" s="1"/>
  <c r="DD23" i="201"/>
  <c r="FD23" i="201" s="1"/>
  <c r="FE23" i="201" s="1"/>
  <c r="FF23" i="201" s="1"/>
  <c r="FG23" i="201" s="1"/>
  <c r="DC23" i="201"/>
  <c r="DB23" i="201"/>
  <c r="DA23" i="201"/>
  <c r="CZ23" i="201"/>
  <c r="CY23" i="201"/>
  <c r="CX23" i="201"/>
  <c r="FH23" i="201" s="1"/>
  <c r="CW23" i="201"/>
  <c r="BQ23" i="201" s="1"/>
  <c r="CV23" i="201"/>
  <c r="CU23" i="201"/>
  <c r="CQ23" i="201"/>
  <c r="CP23" i="201"/>
  <c r="CO23" i="201"/>
  <c r="CN23" i="201"/>
  <c r="CM23" i="201"/>
  <c r="CK23" i="201"/>
  <c r="CC23" i="201"/>
  <c r="CA23" i="201"/>
  <c r="BO23" i="201"/>
  <c r="AY23" i="201"/>
  <c r="AX23" i="201"/>
  <c r="AW23" i="201"/>
  <c r="AV23" i="201"/>
  <c r="AK23" i="201" s="1"/>
  <c r="AU23" i="201"/>
  <c r="AT23" i="201"/>
  <c r="AR23" i="201"/>
  <c r="AN23" i="201"/>
  <c r="AM23" i="201"/>
  <c r="AJ23" i="201"/>
  <c r="AZ23" i="201" s="1"/>
  <c r="AH23" i="201"/>
  <c r="AG23" i="201"/>
  <c r="AF23" i="201"/>
  <c r="AE23" i="201"/>
  <c r="AE46" i="201" s="1"/>
  <c r="AD23" i="201"/>
  <c r="GK22" i="201"/>
  <c r="GF22" i="201"/>
  <c r="GD22" i="201" s="1"/>
  <c r="FU22" i="201"/>
  <c r="FM22" i="201"/>
  <c r="FI22" i="201"/>
  <c r="FC22" i="201"/>
  <c r="EL22" i="201" s="1"/>
  <c r="EM22" i="201" s="1"/>
  <c r="EQ22" i="201" s="1"/>
  <c r="FA22" i="201"/>
  <c r="EZ22" i="201"/>
  <c r="EE22" i="201" s="1"/>
  <c r="EN22" i="201"/>
  <c r="ER22" i="201" s="1"/>
  <c r="EA22" i="201"/>
  <c r="DY22" i="201"/>
  <c r="DS22" i="201"/>
  <c r="DO22" i="201"/>
  <c r="DN22" i="201"/>
  <c r="DM22" i="201"/>
  <c r="DL22" i="201"/>
  <c r="DK22" i="201"/>
  <c r="DJ22" i="201"/>
  <c r="DI22" i="201"/>
  <c r="FT22" i="201" s="1"/>
  <c r="DH22" i="201"/>
  <c r="FV22" i="201" s="1"/>
  <c r="DG22" i="201"/>
  <c r="CC22" i="201" s="1"/>
  <c r="DF22" i="201"/>
  <c r="DE22" i="201"/>
  <c r="FB22" i="201" s="1"/>
  <c r="DD22" i="201"/>
  <c r="FD22" i="201" s="1"/>
  <c r="DC22" i="201"/>
  <c r="DB22" i="201"/>
  <c r="DA22" i="201"/>
  <c r="CZ22" i="201"/>
  <c r="CY22" i="201"/>
  <c r="FS22" i="201" s="1"/>
  <c r="CX22" i="201"/>
  <c r="FH22" i="201" s="1"/>
  <c r="CW22" i="201"/>
  <c r="CV22" i="201"/>
  <c r="CU22" i="201"/>
  <c r="DT22" i="201" s="1"/>
  <c r="CQ22" i="201"/>
  <c r="CP22" i="201"/>
  <c r="CK22" i="201" s="1"/>
  <c r="CO22" i="201"/>
  <c r="CN22" i="201"/>
  <c r="CI22" i="201"/>
  <c r="CA22" i="201"/>
  <c r="AX22" i="201"/>
  <c r="AW22" i="201"/>
  <c r="AV22" i="201"/>
  <c r="AK22" i="201" s="1"/>
  <c r="AO22" i="201" s="1"/>
  <c r="AT22" i="201"/>
  <c r="AS22" i="201"/>
  <c r="AR22" i="201"/>
  <c r="AN22" i="201"/>
  <c r="AL22" i="201"/>
  <c r="AH22" i="201"/>
  <c r="AG22" i="201"/>
  <c r="AF22" i="201"/>
  <c r="AE22" i="201"/>
  <c r="AD22" i="201"/>
  <c r="GL21" i="201"/>
  <c r="GK21" i="201"/>
  <c r="GF21" i="201"/>
  <c r="GE21" i="201"/>
  <c r="GD21" i="201"/>
  <c r="GC21" i="201"/>
  <c r="GB21" i="201"/>
  <c r="GA21" i="201"/>
  <c r="FV21" i="201"/>
  <c r="FS21" i="201"/>
  <c r="FQ21" i="201"/>
  <c r="FJ21" i="201"/>
  <c r="FK21" i="201" s="1"/>
  <c r="FL21" i="201" s="1"/>
  <c r="FE21" i="201"/>
  <c r="FF21" i="201" s="1"/>
  <c r="FG21" i="201" s="1"/>
  <c r="FC21" i="201"/>
  <c r="EZ21" i="201"/>
  <c r="EE21" i="201" s="1"/>
  <c r="EG21" i="201" s="1"/>
  <c r="EK21" i="201" s="1"/>
  <c r="EY21" i="201"/>
  <c r="EX21" i="201"/>
  <c r="ER21" i="201"/>
  <c r="EL21" i="201"/>
  <c r="EN21" i="201" s="1"/>
  <c r="EF21" i="201"/>
  <c r="EJ21" i="201" s="1"/>
  <c r="CH21" i="201" s="1"/>
  <c r="EA21" i="201"/>
  <c r="DY21" i="201"/>
  <c r="DX21" i="201"/>
  <c r="DU21" i="201"/>
  <c r="DS21" i="201"/>
  <c r="DO21" i="201"/>
  <c r="DN21" i="201"/>
  <c r="FI21" i="201" s="1"/>
  <c r="DM21" i="201"/>
  <c r="DZ21" i="201" s="1"/>
  <c r="DL21" i="201"/>
  <c r="DK21" i="201"/>
  <c r="DJ21" i="201"/>
  <c r="DI21" i="201"/>
  <c r="FT21" i="201" s="1"/>
  <c r="DH21" i="201"/>
  <c r="FM21" i="201" s="1"/>
  <c r="DG21" i="201"/>
  <c r="DF21" i="201"/>
  <c r="ED21" i="201" s="1"/>
  <c r="DE21" i="201"/>
  <c r="FB21" i="201" s="1"/>
  <c r="DD21" i="201"/>
  <c r="FD21" i="201" s="1"/>
  <c r="DC21" i="201"/>
  <c r="DB21" i="201"/>
  <c r="DA21" i="201"/>
  <c r="CZ21" i="201"/>
  <c r="CY21" i="201"/>
  <c r="CX21" i="201"/>
  <c r="CW21" i="201"/>
  <c r="BQ21" i="201" s="1"/>
  <c r="CV21" i="201"/>
  <c r="CU21" i="201"/>
  <c r="CQ21" i="201"/>
  <c r="CP21" i="201"/>
  <c r="CO21" i="201"/>
  <c r="CN21" i="201"/>
  <c r="CK21" i="201"/>
  <c r="CC21" i="201"/>
  <c r="CA21" i="201"/>
  <c r="BO21" i="201"/>
  <c r="AX21" i="201"/>
  <c r="AW21" i="201"/>
  <c r="AV21" i="201"/>
  <c r="AK21" i="201" s="1"/>
  <c r="AT21" i="201"/>
  <c r="AR21" i="201"/>
  <c r="AO21" i="201"/>
  <c r="AH21" i="201"/>
  <c r="AG21" i="201"/>
  <c r="AF21" i="201"/>
  <c r="AE21" i="201"/>
  <c r="AD21" i="201"/>
  <c r="GK20" i="201"/>
  <c r="GF20" i="201"/>
  <c r="GE20" i="201" s="1"/>
  <c r="FU20" i="201"/>
  <c r="FM20" i="201"/>
  <c r="FD20" i="201"/>
  <c r="FC20" i="201"/>
  <c r="FB20" i="201"/>
  <c r="EZ20" i="201"/>
  <c r="EE20" i="201" s="1"/>
  <c r="EM20" i="201"/>
  <c r="EQ20" i="201" s="1"/>
  <c r="CI20" i="201" s="1"/>
  <c r="EL20" i="201"/>
  <c r="EN20" i="201" s="1"/>
  <c r="ER20" i="201" s="1"/>
  <c r="EC20" i="201"/>
  <c r="FP20" i="201" s="1"/>
  <c r="EA20" i="201"/>
  <c r="DY20" i="201"/>
  <c r="DX20" i="201"/>
  <c r="DW20" i="201"/>
  <c r="DU20" i="201"/>
  <c r="DS20" i="201"/>
  <c r="DO20" i="201"/>
  <c r="DN20" i="201"/>
  <c r="FI20" i="201" s="1"/>
  <c r="DM20" i="201"/>
  <c r="DL20" i="201"/>
  <c r="DK20" i="201"/>
  <c r="DJ20" i="201"/>
  <c r="DI20" i="201"/>
  <c r="FT20" i="201" s="1"/>
  <c r="DH20" i="201"/>
  <c r="FV20" i="201" s="1"/>
  <c r="DG20" i="201"/>
  <c r="DF20" i="201"/>
  <c r="ED20" i="201" s="1"/>
  <c r="DE20" i="201"/>
  <c r="DD20" i="201"/>
  <c r="DC20" i="201"/>
  <c r="DB20" i="201"/>
  <c r="DA20" i="201"/>
  <c r="CZ20" i="201"/>
  <c r="CY20" i="201"/>
  <c r="FS20" i="201" s="1"/>
  <c r="CX20" i="201"/>
  <c r="FH20" i="201" s="1"/>
  <c r="CW20" i="201"/>
  <c r="CV20" i="201"/>
  <c r="DV20" i="201" s="1"/>
  <c r="CU20" i="201"/>
  <c r="CQ20" i="201"/>
  <c r="CP20" i="201"/>
  <c r="CK20" i="201" s="1"/>
  <c r="CO20" i="201"/>
  <c r="CN20" i="201"/>
  <c r="BO20" i="201"/>
  <c r="AX20" i="201"/>
  <c r="AW20" i="201"/>
  <c r="AV20" i="201"/>
  <c r="AT20" i="201"/>
  <c r="AS20" i="201"/>
  <c r="AR20" i="201"/>
  <c r="AQ20" i="201"/>
  <c r="AO20" i="201"/>
  <c r="AN20" i="201"/>
  <c r="AK20" i="201"/>
  <c r="AM20" i="201" s="1"/>
  <c r="AH20" i="201"/>
  <c r="AG20" i="201"/>
  <c r="AF20" i="201"/>
  <c r="AE20" i="201"/>
  <c r="AD20" i="201"/>
  <c r="GK19" i="201"/>
  <c r="GF19" i="201"/>
  <c r="GC19" i="201" s="1"/>
  <c r="GL19" i="201" s="1"/>
  <c r="GE19" i="201"/>
  <c r="GD19" i="201"/>
  <c r="GB19" i="201"/>
  <c r="GA19" i="201"/>
  <c r="FV19" i="201"/>
  <c r="FU19" i="201"/>
  <c r="FR19" i="201"/>
  <c r="FH19" i="201"/>
  <c r="FF19" i="201"/>
  <c r="FG19" i="201" s="1"/>
  <c r="FE19" i="201"/>
  <c r="FD19" i="201"/>
  <c r="FC19" i="201"/>
  <c r="EL19" i="201" s="1"/>
  <c r="EZ19" i="201"/>
  <c r="EY19" i="201"/>
  <c r="EX19" i="201"/>
  <c r="EC19" i="201"/>
  <c r="EA19" i="201"/>
  <c r="DY19" i="201"/>
  <c r="DW19" i="201"/>
  <c r="DU19" i="201"/>
  <c r="DS19" i="201"/>
  <c r="DO19" i="201"/>
  <c r="DN19" i="201"/>
  <c r="FI19" i="201" s="1"/>
  <c r="FJ19" i="201" s="1"/>
  <c r="FK19" i="201" s="1"/>
  <c r="FL19" i="201" s="1"/>
  <c r="DM19" i="201"/>
  <c r="DL19" i="201"/>
  <c r="DK19" i="201"/>
  <c r="DJ19" i="201"/>
  <c r="DI19" i="201"/>
  <c r="DH19" i="201"/>
  <c r="FM19" i="201" s="1"/>
  <c r="DG19" i="201"/>
  <c r="DF19" i="201"/>
  <c r="ED19" i="201" s="1"/>
  <c r="DE19" i="201"/>
  <c r="CC19" i="201" s="1"/>
  <c r="DD19" i="201"/>
  <c r="DC19" i="201"/>
  <c r="DB19" i="201"/>
  <c r="DA19" i="201"/>
  <c r="CZ19" i="201"/>
  <c r="CY19" i="201"/>
  <c r="FS19" i="201" s="1"/>
  <c r="CX19" i="201"/>
  <c r="CW19" i="201"/>
  <c r="CV19" i="201"/>
  <c r="CU19" i="201"/>
  <c r="CQ19" i="201"/>
  <c r="CP19" i="201"/>
  <c r="CK19" i="201" s="1"/>
  <c r="CO19" i="201"/>
  <c r="CN19" i="201"/>
  <c r="CA19" i="201"/>
  <c r="BO19" i="201"/>
  <c r="AY19" i="201"/>
  <c r="AX19" i="201"/>
  <c r="AW19" i="201"/>
  <c r="AK19" i="201" s="1"/>
  <c r="AV19" i="201"/>
  <c r="AT19" i="201"/>
  <c r="AR19" i="201"/>
  <c r="AH19" i="201"/>
  <c r="AG19" i="201"/>
  <c r="AF19" i="201"/>
  <c r="AE19" i="201"/>
  <c r="AD19" i="201"/>
  <c r="GK18" i="201"/>
  <c r="GF18" i="201"/>
  <c r="GD18" i="201"/>
  <c r="GB18" i="201"/>
  <c r="FU18" i="201"/>
  <c r="FT18" i="201"/>
  <c r="FH18" i="201"/>
  <c r="FD18" i="201"/>
  <c r="FC18" i="201"/>
  <c r="FB18" i="201"/>
  <c r="EZ18" i="201"/>
  <c r="EM18" i="201"/>
  <c r="EQ18" i="201" s="1"/>
  <c r="CI18" i="201" s="1"/>
  <c r="EL18" i="201"/>
  <c r="EN18" i="201" s="1"/>
  <c r="ER18" i="201" s="1"/>
  <c r="EE18" i="201"/>
  <c r="EC18" i="201"/>
  <c r="EA18" i="201"/>
  <c r="DY18" i="201"/>
  <c r="DX18" i="201"/>
  <c r="DW18" i="201"/>
  <c r="DU18" i="201"/>
  <c r="DS18" i="201"/>
  <c r="DO18" i="201"/>
  <c r="DN18" i="201"/>
  <c r="FI18" i="201" s="1"/>
  <c r="DM18" i="201"/>
  <c r="DL18" i="201"/>
  <c r="DK18" i="201"/>
  <c r="DJ18" i="201"/>
  <c r="DI18" i="201"/>
  <c r="DH18" i="201"/>
  <c r="FV18" i="201" s="1"/>
  <c r="DG18" i="201"/>
  <c r="DF18" i="201"/>
  <c r="ED18" i="201" s="1"/>
  <c r="DE18" i="201"/>
  <c r="DD18" i="201"/>
  <c r="DC18" i="201"/>
  <c r="DB18" i="201"/>
  <c r="DA18" i="201"/>
  <c r="CZ18" i="201"/>
  <c r="CY18" i="201"/>
  <c r="FS18" i="201" s="1"/>
  <c r="CX18" i="201"/>
  <c r="CW18" i="201"/>
  <c r="CV18" i="201"/>
  <c r="DV18" i="201" s="1"/>
  <c r="CU18" i="201"/>
  <c r="CQ18" i="201"/>
  <c r="CP18" i="201"/>
  <c r="CK18" i="201" s="1"/>
  <c r="CO18" i="201"/>
  <c r="CN18" i="201"/>
  <c r="CA18" i="201"/>
  <c r="AX18" i="201"/>
  <c r="AW18" i="201"/>
  <c r="AV18" i="201"/>
  <c r="AT18" i="201"/>
  <c r="AS18" i="201"/>
  <c r="AR18" i="201"/>
  <c r="AQ18" i="201"/>
  <c r="AO18" i="201"/>
  <c r="AN18" i="201"/>
  <c r="AK18" i="201"/>
  <c r="AM18" i="201" s="1"/>
  <c r="AH18" i="201"/>
  <c r="AG18" i="201"/>
  <c r="AF18" i="201"/>
  <c r="AE18" i="201"/>
  <c r="AD18" i="201"/>
  <c r="GL17" i="201"/>
  <c r="GK17" i="201"/>
  <c r="GF17" i="201"/>
  <c r="GC17" i="201" s="1"/>
  <c r="GE17" i="201"/>
  <c r="GD17" i="201"/>
  <c r="GB17" i="201"/>
  <c r="GA17" i="201"/>
  <c r="FU17" i="201"/>
  <c r="FT17" i="201"/>
  <c r="FH17" i="201"/>
  <c r="FF17" i="201"/>
  <c r="FG17" i="201" s="1"/>
  <c r="FE17" i="201"/>
  <c r="FD17" i="201"/>
  <c r="FC17" i="201"/>
  <c r="EZ17" i="201"/>
  <c r="EY17" i="201"/>
  <c r="EX17" i="201"/>
  <c r="EC17" i="201"/>
  <c r="EA17" i="201"/>
  <c r="DY17" i="201"/>
  <c r="DT17" i="201"/>
  <c r="DS17" i="201"/>
  <c r="DO17" i="201"/>
  <c r="DN17" i="201"/>
  <c r="FI17" i="201" s="1"/>
  <c r="FJ17" i="201" s="1"/>
  <c r="FK17" i="201" s="1"/>
  <c r="FL17" i="201" s="1"/>
  <c r="DM17" i="201"/>
  <c r="DL17" i="201"/>
  <c r="DK17" i="201"/>
  <c r="DJ17" i="201"/>
  <c r="DI17" i="201"/>
  <c r="DH17" i="201"/>
  <c r="FM17" i="201" s="1"/>
  <c r="DG17" i="201"/>
  <c r="DF17" i="201"/>
  <c r="ED17" i="201" s="1"/>
  <c r="DE17" i="201"/>
  <c r="CC17" i="201" s="1"/>
  <c r="DD17" i="201"/>
  <c r="DC17" i="201"/>
  <c r="DB17" i="201"/>
  <c r="DA17" i="201"/>
  <c r="CZ17" i="201"/>
  <c r="CY17" i="201"/>
  <c r="FS17" i="201" s="1"/>
  <c r="CX17" i="201"/>
  <c r="CW17" i="201"/>
  <c r="CV17" i="201"/>
  <c r="DW17" i="201" s="1"/>
  <c r="CU17" i="201"/>
  <c r="CQ17" i="201"/>
  <c r="CP17" i="201"/>
  <c r="CK17" i="201" s="1"/>
  <c r="CO17" i="201"/>
  <c r="CN17" i="201"/>
  <c r="CA17" i="201"/>
  <c r="BO17" i="201"/>
  <c r="AY17" i="201"/>
  <c r="AX17" i="201"/>
  <c r="AW17" i="201"/>
  <c r="AK17" i="201" s="1"/>
  <c r="AV17" i="201"/>
  <c r="AT17" i="201"/>
  <c r="AR17" i="201"/>
  <c r="AH17" i="201"/>
  <c r="AG17" i="201"/>
  <c r="AF17" i="201"/>
  <c r="AE17" i="201"/>
  <c r="AD17" i="201"/>
  <c r="GK16" i="201"/>
  <c r="GF16" i="201"/>
  <c r="GA16" i="201" s="1"/>
  <c r="FU16" i="201"/>
  <c r="FT16" i="201"/>
  <c r="FH16" i="201"/>
  <c r="FD16" i="201"/>
  <c r="FC16" i="201"/>
  <c r="EZ16" i="201"/>
  <c r="EE16" i="201"/>
  <c r="EC16" i="201"/>
  <c r="EA16" i="201"/>
  <c r="DY16" i="201"/>
  <c r="DX16" i="201"/>
  <c r="DW16" i="201"/>
  <c r="DU16" i="201"/>
  <c r="DS16" i="201"/>
  <c r="DO16" i="201"/>
  <c r="DN16" i="201"/>
  <c r="FI16" i="201" s="1"/>
  <c r="DM16" i="201"/>
  <c r="DL16" i="201"/>
  <c r="DK16" i="201"/>
  <c r="EL16" i="201" s="1"/>
  <c r="DJ16" i="201"/>
  <c r="DI16" i="201"/>
  <c r="DH16" i="201"/>
  <c r="FV16" i="201" s="1"/>
  <c r="DG16" i="201"/>
  <c r="DF16" i="201"/>
  <c r="ED16" i="201" s="1"/>
  <c r="DE16" i="201"/>
  <c r="FB16" i="201" s="1"/>
  <c r="DD16" i="201"/>
  <c r="DC16" i="201"/>
  <c r="DB16" i="201"/>
  <c r="DA16" i="201"/>
  <c r="CZ16" i="201"/>
  <c r="CY16" i="201"/>
  <c r="CX16" i="201"/>
  <c r="CW16" i="201"/>
  <c r="CV16" i="201"/>
  <c r="DV16" i="201" s="1"/>
  <c r="CU16" i="201"/>
  <c r="CQ16" i="201"/>
  <c r="CP16" i="201"/>
  <c r="CK16" i="201" s="1"/>
  <c r="CO16" i="201"/>
  <c r="CN16" i="201"/>
  <c r="CA16" i="201"/>
  <c r="AX16" i="201"/>
  <c r="AW16" i="201"/>
  <c r="AK16" i="201" s="1"/>
  <c r="AV16" i="201"/>
  <c r="AT16" i="201"/>
  <c r="AR16" i="201"/>
  <c r="AH16" i="201"/>
  <c r="AG16" i="201"/>
  <c r="AF16" i="201"/>
  <c r="AE16" i="201"/>
  <c r="AD16" i="201"/>
  <c r="IE14" i="201"/>
  <c r="IA14" i="201"/>
  <c r="HU14" i="201"/>
  <c r="HS14" i="201"/>
  <c r="HR14" i="201"/>
  <c r="HI14" i="201"/>
  <c r="HG14" i="201"/>
  <c r="AA12" i="201"/>
  <c r="AB12" i="201" s="1"/>
  <c r="HC11" i="201"/>
  <c r="HD11" i="201" s="1"/>
  <c r="HE11" i="201" s="1"/>
  <c r="HF11" i="201" s="1"/>
  <c r="HG11" i="201" s="1"/>
  <c r="HH11" i="201" s="1"/>
  <c r="HI11" i="201" s="1"/>
  <c r="HJ11" i="201" s="1"/>
  <c r="HK11" i="201" s="1"/>
  <c r="HL11" i="201" s="1"/>
  <c r="HM11" i="201" s="1"/>
  <c r="HN11" i="201" s="1"/>
  <c r="HO11" i="201" s="1"/>
  <c r="HP11" i="201" s="1"/>
  <c r="HQ11" i="201" s="1"/>
  <c r="HR11" i="201" s="1"/>
  <c r="HS11" i="201" s="1"/>
  <c r="HT11" i="201" s="1"/>
  <c r="HU11" i="201" s="1"/>
  <c r="HV11" i="201" s="1"/>
  <c r="HW11" i="201" s="1"/>
  <c r="HX11" i="201" s="1"/>
  <c r="HY11" i="201" s="1"/>
  <c r="HZ11" i="201" s="1"/>
  <c r="IA11" i="201" s="1"/>
  <c r="IB11" i="201" s="1"/>
  <c r="IC11" i="201" s="1"/>
  <c r="ID11" i="201" s="1"/>
  <c r="IE11" i="201" s="1"/>
  <c r="IF11" i="201" s="1"/>
  <c r="HB11" i="201"/>
  <c r="CG10" i="201"/>
  <c r="CF10" i="201"/>
  <c r="CE10" i="201"/>
  <c r="CD10" i="201"/>
  <c r="CC10" i="201"/>
  <c r="CB10" i="201"/>
  <c r="CA10" i="201"/>
  <c r="BZ10" i="201"/>
  <c r="BY10" i="201"/>
  <c r="BX10" i="201"/>
  <c r="BW10" i="201"/>
  <c r="BV10" i="201"/>
  <c r="BU10" i="201"/>
  <c r="BT10" i="201"/>
  <c r="BS10" i="201"/>
  <c r="BR10" i="201"/>
  <c r="BQ10" i="201"/>
  <c r="BP10" i="201"/>
  <c r="BO10" i="201"/>
  <c r="BN10" i="201"/>
  <c r="BM10" i="201"/>
  <c r="BL10" i="201"/>
  <c r="BK10" i="201"/>
  <c r="BJ10" i="201"/>
  <c r="BI10" i="201"/>
  <c r="BH10" i="201"/>
  <c r="BG10" i="201"/>
  <c r="BF10" i="201"/>
  <c r="BE10" i="201"/>
  <c r="BD10" i="201"/>
  <c r="BC10" i="201"/>
  <c r="BB10" i="201"/>
  <c r="DN9" i="201"/>
  <c r="DM9" i="201"/>
  <c r="DL9" i="201"/>
  <c r="DK9" i="201"/>
  <c r="DJ9" i="201"/>
  <c r="DI9" i="201"/>
  <c r="DH9" i="201"/>
  <c r="DG9" i="201"/>
  <c r="DN8" i="201"/>
  <c r="DM8" i="201"/>
  <c r="DL8" i="201"/>
  <c r="DK8" i="201"/>
  <c r="DJ8" i="201"/>
  <c r="DI8" i="201"/>
  <c r="DH8" i="201"/>
  <c r="DG8" i="201"/>
  <c r="DN7" i="201"/>
  <c r="DM7" i="201"/>
  <c r="DL7" i="201"/>
  <c r="DK7" i="201"/>
  <c r="DJ7" i="201"/>
  <c r="DI7" i="201"/>
  <c r="DH7" i="201"/>
  <c r="DG7" i="201"/>
  <c r="M7" i="201"/>
  <c r="M6" i="201" s="1"/>
  <c r="DN6" i="201"/>
  <c r="DM6" i="201"/>
  <c r="DL6" i="201"/>
  <c r="DK6" i="201"/>
  <c r="DJ6" i="201"/>
  <c r="DI6" i="201"/>
  <c r="DH6" i="201"/>
  <c r="DG6" i="201"/>
  <c r="DC6" i="201"/>
  <c r="DB6" i="201"/>
  <c r="DA6" i="201"/>
  <c r="CZ6" i="201"/>
  <c r="CY6" i="201"/>
  <c r="CX6" i="201"/>
  <c r="CW6" i="201"/>
  <c r="CV6" i="201"/>
  <c r="DN5" i="201"/>
  <c r="DM5" i="201"/>
  <c r="DL5" i="201"/>
  <c r="DK5" i="201"/>
  <c r="DJ5" i="201"/>
  <c r="DI5" i="201"/>
  <c r="DH5" i="201"/>
  <c r="DG5" i="201"/>
  <c r="DC5" i="201"/>
  <c r="DB5" i="201"/>
  <c r="DA5" i="201"/>
  <c r="CZ5" i="201"/>
  <c r="CY5" i="201"/>
  <c r="CX5" i="201"/>
  <c r="CW5" i="201"/>
  <c r="CV5" i="201"/>
  <c r="DN4" i="201"/>
  <c r="DM4" i="201"/>
  <c r="DL4" i="201"/>
  <c r="DK4" i="201"/>
  <c r="DJ4" i="201"/>
  <c r="DI4" i="201"/>
  <c r="DH4" i="201"/>
  <c r="DG4" i="201"/>
  <c r="DC4" i="201"/>
  <c r="DB4" i="201"/>
  <c r="DA4" i="201"/>
  <c r="CZ4" i="201"/>
  <c r="CY4" i="201"/>
  <c r="CX4" i="201"/>
  <c r="CW4" i="201"/>
  <c r="CV4" i="201"/>
  <c r="DN3" i="201"/>
  <c r="DM3" i="201"/>
  <c r="DL3" i="201"/>
  <c r="DK3" i="201"/>
  <c r="DJ3" i="201"/>
  <c r="DI3" i="201"/>
  <c r="DH3" i="201"/>
  <c r="DG3" i="201"/>
  <c r="DN2" i="201"/>
  <c r="DM2" i="201"/>
  <c r="DL2" i="201"/>
  <c r="DK2" i="201"/>
  <c r="DJ2" i="201"/>
  <c r="DI2" i="201"/>
  <c r="DH2" i="201"/>
  <c r="DG2" i="201"/>
  <c r="DD2" i="201"/>
  <c r="DB2" i="201"/>
  <c r="CZ2" i="201"/>
  <c r="CX2" i="201"/>
  <c r="HA1" i="201"/>
  <c r="HW14" i="201" s="1"/>
  <c r="DQ1" i="201"/>
  <c r="DD1" i="201"/>
  <c r="DT21" i="201" s="1"/>
  <c r="CX1" i="201"/>
  <c r="CY1" i="201" s="1"/>
  <c r="AE1" i="201"/>
  <c r="AD1" i="201"/>
  <c r="BG87" i="200"/>
  <c r="BF87" i="200"/>
  <c r="BE87" i="200"/>
  <c r="BD87" i="200"/>
  <c r="BC87" i="200"/>
  <c r="BB87" i="200"/>
  <c r="BA87" i="200"/>
  <c r="AZ87" i="200"/>
  <c r="AY87" i="200"/>
  <c r="AX87" i="200"/>
  <c r="AW87" i="200"/>
  <c r="AV87" i="200"/>
  <c r="AU87" i="200"/>
  <c r="AT87" i="200"/>
  <c r="AS87" i="200"/>
  <c r="AR87" i="200"/>
  <c r="AQ87" i="200"/>
  <c r="AP87" i="200"/>
  <c r="AO87" i="200"/>
  <c r="AN87" i="200"/>
  <c r="AM87" i="200"/>
  <c r="AL87" i="200"/>
  <c r="AK87" i="200"/>
  <c r="AJ87" i="200"/>
  <c r="AI87" i="200"/>
  <c r="AH87" i="200"/>
  <c r="AG87" i="200"/>
  <c r="AF87" i="200"/>
  <c r="AE87" i="200"/>
  <c r="AD87" i="200"/>
  <c r="AC87" i="200"/>
  <c r="AB87" i="200"/>
  <c r="AA87" i="200"/>
  <c r="Z87" i="200"/>
  <c r="Y87" i="200"/>
  <c r="X87" i="200"/>
  <c r="W87" i="200"/>
  <c r="V87" i="200"/>
  <c r="U87" i="200"/>
  <c r="T87" i="200"/>
  <c r="S87" i="200"/>
  <c r="R87" i="200"/>
  <c r="Q87" i="200"/>
  <c r="P87" i="200"/>
  <c r="O87" i="200"/>
  <c r="N87" i="200"/>
  <c r="M87" i="200"/>
  <c r="L87" i="200"/>
  <c r="K87" i="200"/>
  <c r="J87" i="200"/>
  <c r="I87" i="200"/>
  <c r="H87" i="200"/>
  <c r="G87" i="200"/>
  <c r="F87" i="200"/>
  <c r="E87" i="200"/>
  <c r="D87" i="200"/>
  <c r="C87" i="200"/>
  <c r="B87" i="200"/>
  <c r="A87" i="200"/>
  <c r="GK85" i="200"/>
  <c r="GI85" i="200"/>
  <c r="GH85" i="200"/>
  <c r="GG85" i="200"/>
  <c r="GF85" i="200"/>
  <c r="GE85" i="200"/>
  <c r="GD85" i="200"/>
  <c r="FM85" i="200"/>
  <c r="FI85" i="200"/>
  <c r="FH85" i="200"/>
  <c r="FG85" i="200"/>
  <c r="FF85" i="200"/>
  <c r="FE85" i="200"/>
  <c r="FC85" i="200"/>
  <c r="EX85" i="200"/>
  <c r="EP85" i="200"/>
  <c r="EQ85" i="200" s="1"/>
  <c r="ER85" i="200" s="1"/>
  <c r="EK85" i="200"/>
  <c r="ED85" i="200"/>
  <c r="EB85" i="200"/>
  <c r="EA85" i="200"/>
  <c r="DE85" i="200"/>
  <c r="DD85" i="200"/>
  <c r="DC85" i="200"/>
  <c r="DA85" i="200"/>
  <c r="CY85" i="200"/>
  <c r="CX85" i="200"/>
  <c r="CU85" i="200"/>
  <c r="CT85" i="200"/>
  <c r="CS85" i="200"/>
  <c r="CR85" i="200"/>
  <c r="CQ85" i="200"/>
  <c r="CP85" i="200"/>
  <c r="CO85" i="200"/>
  <c r="ET85" i="200" s="1"/>
  <c r="CN85" i="200"/>
  <c r="CM85" i="200"/>
  <c r="CL85" i="200"/>
  <c r="CK85" i="200"/>
  <c r="CJ85" i="200"/>
  <c r="CI85" i="200"/>
  <c r="CH85" i="200"/>
  <c r="CG85" i="200"/>
  <c r="DZ85" i="200" s="1"/>
  <c r="CF85" i="200"/>
  <c r="FD85" i="200" s="1"/>
  <c r="CE85" i="200"/>
  <c r="CD85" i="200"/>
  <c r="CC85" i="200"/>
  <c r="EF85" i="200" s="1"/>
  <c r="CB85" i="200"/>
  <c r="GK84" i="200"/>
  <c r="GI84" i="200"/>
  <c r="GH84" i="200"/>
  <c r="GG84" i="200"/>
  <c r="GF84" i="200"/>
  <c r="GE84" i="200"/>
  <c r="GD84" i="200"/>
  <c r="FM84" i="200"/>
  <c r="FI84" i="200"/>
  <c r="FH84" i="200"/>
  <c r="FG84" i="200"/>
  <c r="FF84" i="200"/>
  <c r="FB84" i="200"/>
  <c r="EX84" i="200"/>
  <c r="EP84" i="200"/>
  <c r="EQ84" i="200" s="1"/>
  <c r="ER84" i="200" s="1"/>
  <c r="EH84" i="200"/>
  <c r="EJ84" i="200" s="1"/>
  <c r="DS84" i="200" s="1"/>
  <c r="DU84" i="200" s="1"/>
  <c r="ED84" i="200"/>
  <c r="EB84" i="200"/>
  <c r="DZ84" i="200"/>
  <c r="DJ84" i="200"/>
  <c r="DI84" i="200"/>
  <c r="DH84" i="200"/>
  <c r="DE84" i="200"/>
  <c r="DD84" i="200"/>
  <c r="DB84" i="200"/>
  <c r="CY84" i="200"/>
  <c r="CV84" i="200"/>
  <c r="DK84" i="200" s="1"/>
  <c r="CU84" i="200"/>
  <c r="CT84" i="200"/>
  <c r="CS84" i="200"/>
  <c r="CR84" i="200"/>
  <c r="CQ84" i="200"/>
  <c r="CP84" i="200"/>
  <c r="EA84" i="200" s="1"/>
  <c r="CO84" i="200"/>
  <c r="ET84" i="200" s="1"/>
  <c r="CN84" i="200"/>
  <c r="CM84" i="200"/>
  <c r="DG84" i="200" s="1"/>
  <c r="CL84" i="200"/>
  <c r="EI84" i="200" s="1"/>
  <c r="CK84" i="200"/>
  <c r="EK84" i="200" s="1"/>
  <c r="CJ84" i="200"/>
  <c r="CI84" i="200"/>
  <c r="CH84" i="200"/>
  <c r="CG84" i="200"/>
  <c r="CF84" i="200"/>
  <c r="CE84" i="200"/>
  <c r="CD84" i="200"/>
  <c r="CC84" i="200"/>
  <c r="EF84" i="200" s="1"/>
  <c r="CB84" i="200"/>
  <c r="GK83" i="200"/>
  <c r="GI83" i="200"/>
  <c r="GH83" i="200"/>
  <c r="GG83" i="200"/>
  <c r="GF83" i="200"/>
  <c r="GE83" i="200"/>
  <c r="GD83" i="200"/>
  <c r="FM83" i="200"/>
  <c r="FI83" i="200"/>
  <c r="FH83" i="200"/>
  <c r="FG83" i="200"/>
  <c r="FF83" i="200"/>
  <c r="FE83" i="200"/>
  <c r="FD83" i="200"/>
  <c r="FB83" i="200"/>
  <c r="EX83" i="200"/>
  <c r="ET83" i="200"/>
  <c r="EL83" i="200"/>
  <c r="EM83" i="200" s="1"/>
  <c r="EH83" i="200"/>
  <c r="EJ83" i="200" s="1"/>
  <c r="DS83" i="200" s="1"/>
  <c r="DU83" i="200" s="1"/>
  <c r="ED83" i="200"/>
  <c r="EB83" i="200"/>
  <c r="DZ83" i="200"/>
  <c r="DJ83" i="200"/>
  <c r="DI83" i="200"/>
  <c r="DH83" i="200"/>
  <c r="DG83" i="200"/>
  <c r="DE83" i="200"/>
  <c r="DB83" i="200"/>
  <c r="CY83" i="200"/>
  <c r="CX83" i="200"/>
  <c r="CW83" i="200"/>
  <c r="CV83" i="200"/>
  <c r="DK83" i="200" s="1"/>
  <c r="CU83" i="200"/>
  <c r="CT83" i="200"/>
  <c r="EP83" i="200" s="1"/>
  <c r="CS83" i="200"/>
  <c r="EW83" i="200" s="1"/>
  <c r="CR83" i="200"/>
  <c r="CQ83" i="200"/>
  <c r="CP83" i="200"/>
  <c r="FC83" i="200" s="1"/>
  <c r="CO83" i="200"/>
  <c r="CN83" i="200"/>
  <c r="CM83" i="200"/>
  <c r="CL83" i="200"/>
  <c r="EI83" i="200" s="1"/>
  <c r="CK83" i="200"/>
  <c r="EK83" i="200" s="1"/>
  <c r="CJ83" i="200"/>
  <c r="CI83" i="200"/>
  <c r="CH83" i="200"/>
  <c r="CG83" i="200"/>
  <c r="CF83" i="200"/>
  <c r="EO83" i="200" s="1"/>
  <c r="CE83" i="200"/>
  <c r="CD83" i="200"/>
  <c r="DC83" i="200" s="1"/>
  <c r="CC83" i="200"/>
  <c r="EF83" i="200" s="1"/>
  <c r="CB83" i="200"/>
  <c r="GK82" i="200"/>
  <c r="GI82" i="200"/>
  <c r="GH82" i="200"/>
  <c r="GG82" i="200"/>
  <c r="GF82" i="200"/>
  <c r="GE82" i="200"/>
  <c r="GD82" i="200"/>
  <c r="FM82" i="200"/>
  <c r="FI82" i="200"/>
  <c r="FH82" i="200"/>
  <c r="FG82" i="200"/>
  <c r="FF82" i="200"/>
  <c r="FE82" i="200"/>
  <c r="FD82" i="200"/>
  <c r="FB82" i="200"/>
  <c r="EX82" i="200"/>
  <c r="EL82" i="200"/>
  <c r="EM82" i="200" s="1"/>
  <c r="ED82" i="200"/>
  <c r="EB82" i="200"/>
  <c r="DZ82" i="200"/>
  <c r="DJ82" i="200"/>
  <c r="DI82" i="200"/>
  <c r="EW82" i="200" s="1"/>
  <c r="DH82" i="200"/>
  <c r="DE82" i="200"/>
  <c r="DD82" i="200"/>
  <c r="CY82" i="200"/>
  <c r="CW82" i="200"/>
  <c r="CV82" i="200"/>
  <c r="DK82" i="200" s="1"/>
  <c r="CU82" i="200"/>
  <c r="CT82" i="200"/>
  <c r="EP82" i="200" s="1"/>
  <c r="CS82" i="200"/>
  <c r="CR82" i="200"/>
  <c r="CQ82" i="200"/>
  <c r="CP82" i="200"/>
  <c r="CO82" i="200"/>
  <c r="ET82" i="200" s="1"/>
  <c r="CN82" i="200"/>
  <c r="CM82" i="200"/>
  <c r="DG82" i="200" s="1"/>
  <c r="CL82" i="200"/>
  <c r="EI82" i="200" s="1"/>
  <c r="CK82" i="200"/>
  <c r="EK82" i="200" s="1"/>
  <c r="CJ82" i="200"/>
  <c r="CI82" i="200"/>
  <c r="CH82" i="200"/>
  <c r="CG82" i="200"/>
  <c r="CF82" i="200"/>
  <c r="EO82" i="200" s="1"/>
  <c r="CE82" i="200"/>
  <c r="CD82" i="200"/>
  <c r="DB82" i="200" s="1"/>
  <c r="CC82" i="200"/>
  <c r="EE82" i="200" s="1"/>
  <c r="EG82" i="200" s="1"/>
  <c r="DL82" i="200" s="1"/>
  <c r="CB82" i="200"/>
  <c r="GK81" i="200"/>
  <c r="GI81" i="200"/>
  <c r="GH81" i="200"/>
  <c r="GG81" i="200"/>
  <c r="GF81" i="200"/>
  <c r="GE81" i="200"/>
  <c r="GD81" i="200"/>
  <c r="FM81" i="200"/>
  <c r="FI81" i="200"/>
  <c r="FH81" i="200"/>
  <c r="FG81" i="200"/>
  <c r="FF81" i="200"/>
  <c r="FE81" i="200"/>
  <c r="FD81" i="200"/>
  <c r="FB81" i="200"/>
  <c r="EX81" i="200"/>
  <c r="ET81" i="200"/>
  <c r="ED81" i="200"/>
  <c r="EB81" i="200"/>
  <c r="DZ81" i="200"/>
  <c r="DJ81" i="200"/>
  <c r="DI81" i="200"/>
  <c r="DH81" i="200"/>
  <c r="DG81" i="200"/>
  <c r="DE81" i="200"/>
  <c r="CY81" i="200"/>
  <c r="CX81" i="200"/>
  <c r="CW81" i="200"/>
  <c r="CU81" i="200"/>
  <c r="CT81" i="200"/>
  <c r="EP81" i="200" s="1"/>
  <c r="EQ81" i="200" s="1"/>
  <c r="ER81" i="200" s="1"/>
  <c r="CS81" i="200"/>
  <c r="EW81" i="200" s="1"/>
  <c r="CR81" i="200"/>
  <c r="CQ81" i="200"/>
  <c r="CP81" i="200"/>
  <c r="CO81" i="200"/>
  <c r="CN81" i="200"/>
  <c r="CM81" i="200"/>
  <c r="CL81" i="200"/>
  <c r="EI81" i="200" s="1"/>
  <c r="CK81" i="200"/>
  <c r="EK81" i="200" s="1"/>
  <c r="EL81" i="200" s="1"/>
  <c r="EM81" i="200" s="1"/>
  <c r="CJ81" i="200"/>
  <c r="CI81" i="200"/>
  <c r="CH81" i="200"/>
  <c r="CG81" i="200"/>
  <c r="CF81" i="200"/>
  <c r="EO81" i="200" s="1"/>
  <c r="CE81" i="200"/>
  <c r="CD81" i="200"/>
  <c r="CC81" i="200"/>
  <c r="EF81" i="200" s="1"/>
  <c r="CB81" i="200"/>
  <c r="GK80" i="200"/>
  <c r="GI80" i="200"/>
  <c r="GH80" i="200"/>
  <c r="GG80" i="200"/>
  <c r="GF80" i="200"/>
  <c r="GE80" i="200"/>
  <c r="GD80" i="200"/>
  <c r="FM80" i="200"/>
  <c r="FI80" i="200"/>
  <c r="FH80" i="200"/>
  <c r="FG80" i="200"/>
  <c r="FF80" i="200"/>
  <c r="EX80" i="200"/>
  <c r="ER80" i="200"/>
  <c r="ED80" i="200"/>
  <c r="EB80" i="200"/>
  <c r="DZ80" i="200"/>
  <c r="DJ80" i="200"/>
  <c r="DI80" i="200"/>
  <c r="EW80" i="200" s="1"/>
  <c r="DH80" i="200"/>
  <c r="DE80" i="200"/>
  <c r="CY80" i="200"/>
  <c r="CW80" i="200"/>
  <c r="CU80" i="200"/>
  <c r="EQ80" i="200" s="1"/>
  <c r="CT80" i="200"/>
  <c r="EP80" i="200" s="1"/>
  <c r="CS80" i="200"/>
  <c r="CR80" i="200"/>
  <c r="CQ80" i="200"/>
  <c r="CP80" i="200"/>
  <c r="CO80" i="200"/>
  <c r="CN80" i="200"/>
  <c r="CM80" i="200"/>
  <c r="DG80" i="200" s="1"/>
  <c r="CL80" i="200"/>
  <c r="EI80" i="200" s="1"/>
  <c r="CK80" i="200"/>
  <c r="EK80" i="200" s="1"/>
  <c r="EL80" i="200" s="1"/>
  <c r="EM80" i="200" s="1"/>
  <c r="CJ80" i="200"/>
  <c r="CI80" i="200"/>
  <c r="CH80" i="200"/>
  <c r="CG80" i="200"/>
  <c r="FB80" i="200" s="1"/>
  <c r="CF80" i="200"/>
  <c r="EO80" i="200" s="1"/>
  <c r="CE80" i="200"/>
  <c r="CD80" i="200"/>
  <c r="DD80" i="200" s="1"/>
  <c r="CC80" i="200"/>
  <c r="EE80" i="200" s="1"/>
  <c r="EG80" i="200" s="1"/>
  <c r="DL80" i="200" s="1"/>
  <c r="DM80" i="200" s="1"/>
  <c r="CB80" i="200"/>
  <c r="GK79" i="200"/>
  <c r="GI79" i="200"/>
  <c r="GH79" i="200"/>
  <c r="GG79" i="200"/>
  <c r="GF79" i="200"/>
  <c r="GE79" i="200"/>
  <c r="GD79" i="200"/>
  <c r="FM79" i="200"/>
  <c r="FI79" i="200"/>
  <c r="FH79" i="200"/>
  <c r="FG79" i="200"/>
  <c r="FF79" i="200"/>
  <c r="FE79" i="200"/>
  <c r="FD79" i="200"/>
  <c r="FB79" i="200"/>
  <c r="EX79" i="200"/>
  <c r="ET79" i="200"/>
  <c r="EH79" i="200"/>
  <c r="EJ79" i="200" s="1"/>
  <c r="DS79" i="200" s="1"/>
  <c r="ED79" i="200"/>
  <c r="EB79" i="200"/>
  <c r="DZ79" i="200"/>
  <c r="DJ79" i="200"/>
  <c r="DH79" i="200"/>
  <c r="DG79" i="200"/>
  <c r="DE79" i="200"/>
  <c r="DB79" i="200"/>
  <c r="CY79" i="200"/>
  <c r="CX79" i="200"/>
  <c r="CW79" i="200"/>
  <c r="CV79" i="200"/>
  <c r="DK79" i="200" s="1"/>
  <c r="CU79" i="200"/>
  <c r="CT79" i="200"/>
  <c r="EP79" i="200" s="1"/>
  <c r="CS79" i="200"/>
  <c r="CR79" i="200"/>
  <c r="CQ79" i="200"/>
  <c r="CP79" i="200"/>
  <c r="EA79" i="200" s="1"/>
  <c r="CO79" i="200"/>
  <c r="CN79" i="200"/>
  <c r="CM79" i="200"/>
  <c r="DI79" i="200" s="1"/>
  <c r="CL79" i="200"/>
  <c r="EI79" i="200" s="1"/>
  <c r="CK79" i="200"/>
  <c r="EK79" i="200" s="1"/>
  <c r="CJ79" i="200"/>
  <c r="CI79" i="200"/>
  <c r="CH79" i="200"/>
  <c r="CG79" i="200"/>
  <c r="CF79" i="200"/>
  <c r="EO79" i="200" s="1"/>
  <c r="CE79" i="200"/>
  <c r="CD79" i="200"/>
  <c r="DC79" i="200" s="1"/>
  <c r="CC79" i="200"/>
  <c r="EF79" i="200" s="1"/>
  <c r="CB79" i="200"/>
  <c r="GK78" i="200"/>
  <c r="GI78" i="200"/>
  <c r="GH78" i="200"/>
  <c r="GG78" i="200"/>
  <c r="GF78" i="200"/>
  <c r="GE78" i="200"/>
  <c r="GD78" i="200"/>
  <c r="FM78" i="200"/>
  <c r="FI78" i="200"/>
  <c r="FH78" i="200"/>
  <c r="FG78" i="200"/>
  <c r="FF78" i="200"/>
  <c r="EX78" i="200"/>
  <c r="EW78" i="200"/>
  <c r="ED78" i="200"/>
  <c r="EB78" i="200"/>
  <c r="DZ78" i="200"/>
  <c r="DJ78" i="200"/>
  <c r="DI78" i="200"/>
  <c r="DH78" i="200"/>
  <c r="DE78" i="200"/>
  <c r="DD78" i="200"/>
  <c r="DB78" i="200"/>
  <c r="CY78" i="200"/>
  <c r="CU78" i="200"/>
  <c r="CT78" i="200"/>
  <c r="EP78" i="200" s="1"/>
  <c r="CS78" i="200"/>
  <c r="CR78" i="200"/>
  <c r="CQ78" i="200"/>
  <c r="CP78" i="200"/>
  <c r="CO78" i="200"/>
  <c r="CN78" i="200"/>
  <c r="CM78" i="200"/>
  <c r="DG78" i="200" s="1"/>
  <c r="CL78" i="200"/>
  <c r="EI78" i="200" s="1"/>
  <c r="CK78" i="200"/>
  <c r="EK78" i="200" s="1"/>
  <c r="EL78" i="200" s="1"/>
  <c r="EM78" i="200" s="1"/>
  <c r="CJ78" i="200"/>
  <c r="CI78" i="200"/>
  <c r="CH78" i="200"/>
  <c r="CG78" i="200"/>
  <c r="FB78" i="200" s="1"/>
  <c r="CF78" i="200"/>
  <c r="CE78" i="200"/>
  <c r="CD78" i="200"/>
  <c r="CC78" i="200"/>
  <c r="CB78" i="200"/>
  <c r="GK77" i="200"/>
  <c r="GI77" i="200"/>
  <c r="GH77" i="200"/>
  <c r="GG77" i="200"/>
  <c r="GF77" i="200"/>
  <c r="GE77" i="200"/>
  <c r="GD77" i="200"/>
  <c r="FM77" i="200"/>
  <c r="FI77" i="200"/>
  <c r="FH77" i="200"/>
  <c r="FG77" i="200"/>
  <c r="FF77" i="200"/>
  <c r="FD77" i="200"/>
  <c r="FC77" i="200"/>
  <c r="FB77" i="200"/>
  <c r="EX77" i="200"/>
  <c r="ET77" i="200"/>
  <c r="EH77" i="200"/>
  <c r="EJ77" i="200" s="1"/>
  <c r="DS77" i="200" s="1"/>
  <c r="ED77" i="200"/>
  <c r="EB77" i="200"/>
  <c r="DZ77" i="200"/>
  <c r="DJ77" i="200"/>
  <c r="DH77" i="200"/>
  <c r="DG77" i="200"/>
  <c r="DE77" i="200"/>
  <c r="DC77" i="200"/>
  <c r="DB77" i="200"/>
  <c r="CY77" i="200"/>
  <c r="CX77" i="200"/>
  <c r="CV77" i="200"/>
  <c r="DK77" i="200" s="1"/>
  <c r="CU77" i="200"/>
  <c r="EL77" i="200" s="1"/>
  <c r="EM77" i="200" s="1"/>
  <c r="CT77" i="200"/>
  <c r="EP77" i="200" s="1"/>
  <c r="CS77" i="200"/>
  <c r="CR77" i="200"/>
  <c r="CQ77" i="200"/>
  <c r="CP77" i="200"/>
  <c r="EA77" i="200" s="1"/>
  <c r="CO77" i="200"/>
  <c r="FE77" i="200" s="1"/>
  <c r="CN77" i="200"/>
  <c r="CM77" i="200"/>
  <c r="DI77" i="200" s="1"/>
  <c r="CL77" i="200"/>
  <c r="EI77" i="200" s="1"/>
  <c r="CK77" i="200"/>
  <c r="EK77" i="200" s="1"/>
  <c r="CJ77" i="200"/>
  <c r="CI77" i="200"/>
  <c r="CH77" i="200"/>
  <c r="CG77" i="200"/>
  <c r="CF77" i="200"/>
  <c r="CW77" i="200" s="1"/>
  <c r="CE77" i="200"/>
  <c r="CD77" i="200"/>
  <c r="CC77" i="200"/>
  <c r="EF77" i="200" s="1"/>
  <c r="CB77" i="200"/>
  <c r="GK76" i="200"/>
  <c r="GI76" i="200"/>
  <c r="GH76" i="200"/>
  <c r="GG76" i="200"/>
  <c r="GF76" i="200"/>
  <c r="GE76" i="200"/>
  <c r="GD76" i="200"/>
  <c r="FM76" i="200"/>
  <c r="FI76" i="200"/>
  <c r="FH76" i="200"/>
  <c r="FG76" i="200"/>
  <c r="FF76" i="200"/>
  <c r="FE76" i="200"/>
  <c r="FD76" i="200"/>
  <c r="EX76" i="200"/>
  <c r="EL76" i="200"/>
  <c r="EM76" i="200" s="1"/>
  <c r="EK76" i="200"/>
  <c r="EF76" i="200"/>
  <c r="ED76" i="200"/>
  <c r="EB76" i="200"/>
  <c r="DZ76" i="200"/>
  <c r="DI76" i="200"/>
  <c r="DH76" i="200"/>
  <c r="DE76" i="200"/>
  <c r="DA76" i="200"/>
  <c r="CY76" i="200"/>
  <c r="CU76" i="200"/>
  <c r="EQ76" i="200" s="1"/>
  <c r="ER76" i="200" s="1"/>
  <c r="CT76" i="200"/>
  <c r="EP76" i="200" s="1"/>
  <c r="CS76" i="200"/>
  <c r="CR76" i="200"/>
  <c r="CQ76" i="200"/>
  <c r="CP76" i="200"/>
  <c r="CO76" i="200"/>
  <c r="CN76" i="200"/>
  <c r="CM76" i="200"/>
  <c r="DG76" i="200" s="1"/>
  <c r="CL76" i="200"/>
  <c r="EI76" i="200" s="1"/>
  <c r="CK76" i="200"/>
  <c r="CJ76" i="200"/>
  <c r="CI76" i="200"/>
  <c r="CH76" i="200"/>
  <c r="CG76" i="200"/>
  <c r="FB76" i="200" s="1"/>
  <c r="CF76" i="200"/>
  <c r="EO76" i="200" s="1"/>
  <c r="CE76" i="200"/>
  <c r="CD76" i="200"/>
  <c r="DD76" i="200" s="1"/>
  <c r="CC76" i="200"/>
  <c r="EE76" i="200" s="1"/>
  <c r="EG76" i="200" s="1"/>
  <c r="DL76" i="200" s="1"/>
  <c r="CB76" i="200"/>
  <c r="GK75" i="200"/>
  <c r="GI75" i="200"/>
  <c r="GH75" i="200"/>
  <c r="GG75" i="200"/>
  <c r="GF75" i="200"/>
  <c r="GE75" i="200"/>
  <c r="GD75" i="200"/>
  <c r="FM75" i="200"/>
  <c r="FI75" i="200"/>
  <c r="FH75" i="200"/>
  <c r="FG75" i="200"/>
  <c r="FF75" i="200"/>
  <c r="FD75" i="200"/>
  <c r="EX75" i="200"/>
  <c r="ET75" i="200"/>
  <c r="EO75" i="200"/>
  <c r="EK75" i="200"/>
  <c r="EL75" i="200" s="1"/>
  <c r="EM75" i="200" s="1"/>
  <c r="EH75" i="200"/>
  <c r="EJ75" i="200" s="1"/>
  <c r="ED75" i="200"/>
  <c r="EB75" i="200"/>
  <c r="EA75" i="200"/>
  <c r="DJ75" i="200"/>
  <c r="DI75" i="200"/>
  <c r="DH75" i="200"/>
  <c r="DE75" i="200"/>
  <c r="DC75" i="200"/>
  <c r="EV75" i="200" s="1"/>
  <c r="DA75" i="200"/>
  <c r="CY75" i="200"/>
  <c r="CX75" i="200"/>
  <c r="CW75" i="200"/>
  <c r="CU75" i="200"/>
  <c r="CT75" i="200"/>
  <c r="EP75" i="200" s="1"/>
  <c r="CS75" i="200"/>
  <c r="EW75" i="200" s="1"/>
  <c r="CR75" i="200"/>
  <c r="CQ75" i="200"/>
  <c r="CP75" i="200"/>
  <c r="FC75" i="200" s="1"/>
  <c r="CO75" i="200"/>
  <c r="FE75" i="200" s="1"/>
  <c r="CN75" i="200"/>
  <c r="CM75" i="200"/>
  <c r="DG75" i="200" s="1"/>
  <c r="CL75" i="200"/>
  <c r="EI75" i="200" s="1"/>
  <c r="CK75" i="200"/>
  <c r="CJ75" i="200"/>
  <c r="CI75" i="200"/>
  <c r="CH75" i="200"/>
  <c r="CG75" i="200"/>
  <c r="CF75" i="200"/>
  <c r="CE75" i="200"/>
  <c r="CD75" i="200"/>
  <c r="CV75" i="200" s="1"/>
  <c r="DK75" i="200" s="1"/>
  <c r="CC75" i="200"/>
  <c r="CB75" i="200"/>
  <c r="GK74" i="200"/>
  <c r="GI74" i="200"/>
  <c r="GH74" i="200"/>
  <c r="GG74" i="200"/>
  <c r="GF74" i="200"/>
  <c r="GE74" i="200"/>
  <c r="GD74" i="200"/>
  <c r="FM74" i="200"/>
  <c r="FI74" i="200"/>
  <c r="FH74" i="200"/>
  <c r="FG74" i="200"/>
  <c r="FF74" i="200"/>
  <c r="FE74" i="200"/>
  <c r="FC74" i="200"/>
  <c r="FB74" i="200"/>
  <c r="EX74" i="200"/>
  <c r="ET74" i="200"/>
  <c r="EI74" i="200"/>
  <c r="ED74" i="200"/>
  <c r="EB74" i="200"/>
  <c r="EA74" i="200"/>
  <c r="DZ74" i="200"/>
  <c r="DI74" i="200"/>
  <c r="DG74" i="200"/>
  <c r="DE74" i="200"/>
  <c r="DD74" i="200"/>
  <c r="DC74" i="200"/>
  <c r="CY74" i="200"/>
  <c r="CX74" i="200"/>
  <c r="CU74" i="200"/>
  <c r="CT74" i="200"/>
  <c r="EP74" i="200" s="1"/>
  <c r="CS74" i="200"/>
  <c r="CR74" i="200"/>
  <c r="CQ74" i="200"/>
  <c r="CP74" i="200"/>
  <c r="CO74" i="200"/>
  <c r="CN74" i="200"/>
  <c r="CM74" i="200"/>
  <c r="CL74" i="200"/>
  <c r="EH74" i="200" s="1"/>
  <c r="EJ74" i="200" s="1"/>
  <c r="DS74" i="200" s="1"/>
  <c r="DT74" i="200" s="1"/>
  <c r="CK74" i="200"/>
  <c r="EK74" i="200" s="1"/>
  <c r="CJ74" i="200"/>
  <c r="CI74" i="200"/>
  <c r="CH74" i="200"/>
  <c r="CG74" i="200"/>
  <c r="CF74" i="200"/>
  <c r="CE74" i="200"/>
  <c r="CD74" i="200"/>
  <c r="DB74" i="200" s="1"/>
  <c r="CC74" i="200"/>
  <c r="EE74" i="200" s="1"/>
  <c r="EG74" i="200" s="1"/>
  <c r="DL74" i="200" s="1"/>
  <c r="CB74" i="200"/>
  <c r="GK73" i="200"/>
  <c r="GI73" i="200"/>
  <c r="GH73" i="200"/>
  <c r="GG73" i="200"/>
  <c r="GF73" i="200"/>
  <c r="GE73" i="200"/>
  <c r="GD73" i="200"/>
  <c r="FM73" i="200"/>
  <c r="FI73" i="200"/>
  <c r="FH73" i="200"/>
  <c r="FG73" i="200"/>
  <c r="FF73" i="200"/>
  <c r="FD73" i="200"/>
  <c r="EX73" i="200"/>
  <c r="EO73" i="200"/>
  <c r="EM73" i="200"/>
  <c r="EK73" i="200"/>
  <c r="EL73" i="200" s="1"/>
  <c r="EJ73" i="200"/>
  <c r="EH73" i="200"/>
  <c r="ED73" i="200"/>
  <c r="EB73" i="200"/>
  <c r="EA73" i="200"/>
  <c r="DJ73" i="200"/>
  <c r="DI73" i="200"/>
  <c r="DH73" i="200"/>
  <c r="DE73" i="200"/>
  <c r="DC73" i="200"/>
  <c r="EV73" i="200" s="1"/>
  <c r="DA73" i="200"/>
  <c r="CY73" i="200"/>
  <c r="CW73" i="200"/>
  <c r="CU73" i="200"/>
  <c r="CT73" i="200"/>
  <c r="EP73" i="200" s="1"/>
  <c r="CS73" i="200"/>
  <c r="CR73" i="200"/>
  <c r="CQ73" i="200"/>
  <c r="CP73" i="200"/>
  <c r="FC73" i="200" s="1"/>
  <c r="CO73" i="200"/>
  <c r="FE73" i="200" s="1"/>
  <c r="CN73" i="200"/>
  <c r="CM73" i="200"/>
  <c r="DG73" i="200" s="1"/>
  <c r="CL73" i="200"/>
  <c r="EI73" i="200" s="1"/>
  <c r="CK73" i="200"/>
  <c r="CJ73" i="200"/>
  <c r="CI73" i="200"/>
  <c r="CH73" i="200"/>
  <c r="CG73" i="200"/>
  <c r="CF73" i="200"/>
  <c r="CE73" i="200"/>
  <c r="CD73" i="200"/>
  <c r="CV73" i="200" s="1"/>
  <c r="DK73" i="200" s="1"/>
  <c r="CC73" i="200"/>
  <c r="CB73" i="200"/>
  <c r="GK72" i="200"/>
  <c r="GI72" i="200"/>
  <c r="GH72" i="200"/>
  <c r="GG72" i="200"/>
  <c r="GF72" i="200"/>
  <c r="GE72" i="200"/>
  <c r="GD72" i="200"/>
  <c r="FM72" i="200"/>
  <c r="FI72" i="200"/>
  <c r="FH72" i="200"/>
  <c r="FG72" i="200"/>
  <c r="FF72" i="200"/>
  <c r="FE72" i="200"/>
  <c r="FC72" i="200"/>
  <c r="FB72" i="200"/>
  <c r="EX72" i="200"/>
  <c r="ET72" i="200"/>
  <c r="EI72" i="200"/>
  <c r="ED72" i="200"/>
  <c r="EB72" i="200"/>
  <c r="EA72" i="200"/>
  <c r="DZ72" i="200"/>
  <c r="DI72" i="200"/>
  <c r="DE72" i="200"/>
  <c r="DD72" i="200"/>
  <c r="DC72" i="200"/>
  <c r="CY72" i="200"/>
  <c r="CX72" i="200"/>
  <c r="CU72" i="200"/>
  <c r="CT72" i="200"/>
  <c r="EP72" i="200" s="1"/>
  <c r="CS72" i="200"/>
  <c r="EW72" i="200" s="1"/>
  <c r="CR72" i="200"/>
  <c r="CQ72" i="200"/>
  <c r="CP72" i="200"/>
  <c r="CO72" i="200"/>
  <c r="CN72" i="200"/>
  <c r="CM72" i="200"/>
  <c r="CL72" i="200"/>
  <c r="EH72" i="200" s="1"/>
  <c r="EJ72" i="200" s="1"/>
  <c r="DS72" i="200" s="1"/>
  <c r="CK72" i="200"/>
  <c r="EK72" i="200" s="1"/>
  <c r="CJ72" i="200"/>
  <c r="CI72" i="200"/>
  <c r="CH72" i="200"/>
  <c r="CG72" i="200"/>
  <c r="CF72" i="200"/>
  <c r="CW72" i="200" s="1"/>
  <c r="CE72" i="200"/>
  <c r="CD72" i="200"/>
  <c r="DB72" i="200" s="1"/>
  <c r="CC72" i="200"/>
  <c r="EF72" i="200" s="1"/>
  <c r="CB72" i="200"/>
  <c r="GK71" i="200"/>
  <c r="GI71" i="200"/>
  <c r="GH71" i="200"/>
  <c r="GG71" i="200"/>
  <c r="GF71" i="200"/>
  <c r="GE71" i="200"/>
  <c r="GD71" i="200"/>
  <c r="FM71" i="200"/>
  <c r="FI71" i="200"/>
  <c r="FH71" i="200"/>
  <c r="FG71" i="200"/>
  <c r="FF71" i="200"/>
  <c r="EX71" i="200"/>
  <c r="ET71" i="200"/>
  <c r="EO71" i="200"/>
  <c r="ED71" i="200"/>
  <c r="EB71" i="200"/>
  <c r="EA71" i="200"/>
  <c r="DJ71" i="200"/>
  <c r="DI71" i="200"/>
  <c r="DH71" i="200"/>
  <c r="DE71" i="200"/>
  <c r="DC71" i="200"/>
  <c r="EV71" i="200" s="1"/>
  <c r="DA71" i="200"/>
  <c r="CY71" i="200"/>
  <c r="CW71" i="200"/>
  <c r="CU71" i="200"/>
  <c r="EQ71" i="200" s="1"/>
  <c r="ER71" i="200" s="1"/>
  <c r="CT71" i="200"/>
  <c r="EP71" i="200" s="1"/>
  <c r="CS71" i="200"/>
  <c r="EW71" i="200" s="1"/>
  <c r="CR71" i="200"/>
  <c r="CQ71" i="200"/>
  <c r="CP71" i="200"/>
  <c r="FC71" i="200" s="1"/>
  <c r="CO71" i="200"/>
  <c r="FE71" i="200" s="1"/>
  <c r="CN71" i="200"/>
  <c r="CM71" i="200"/>
  <c r="DG71" i="200" s="1"/>
  <c r="CL71" i="200"/>
  <c r="EI71" i="200" s="1"/>
  <c r="CK71" i="200"/>
  <c r="EK71" i="200" s="1"/>
  <c r="EL71" i="200" s="1"/>
  <c r="EM71" i="200" s="1"/>
  <c r="CJ71" i="200"/>
  <c r="CI71" i="200"/>
  <c r="CH71" i="200"/>
  <c r="CG71" i="200"/>
  <c r="CF71" i="200"/>
  <c r="FD71" i="200" s="1"/>
  <c r="CE71" i="200"/>
  <c r="CD71" i="200"/>
  <c r="CC71" i="200"/>
  <c r="CB71" i="200"/>
  <c r="GK70" i="200"/>
  <c r="GI70" i="200"/>
  <c r="GH70" i="200"/>
  <c r="GG70" i="200"/>
  <c r="GF70" i="200"/>
  <c r="GE70" i="200"/>
  <c r="GD70" i="200"/>
  <c r="FM70" i="200"/>
  <c r="FI70" i="200"/>
  <c r="FH70" i="200"/>
  <c r="FG70" i="200"/>
  <c r="FF70" i="200"/>
  <c r="FE70" i="200"/>
  <c r="FD70" i="200"/>
  <c r="FC70" i="200"/>
  <c r="FB70" i="200"/>
  <c r="EX70" i="200"/>
  <c r="ET70" i="200"/>
  <c r="EP70" i="200"/>
  <c r="EM70" i="200"/>
  <c r="EI70" i="200"/>
  <c r="ED70" i="200"/>
  <c r="EB70" i="200"/>
  <c r="EA70" i="200"/>
  <c r="DZ70" i="200"/>
  <c r="DK70" i="200"/>
  <c r="DG70" i="200"/>
  <c r="DE70" i="200"/>
  <c r="DD70" i="200"/>
  <c r="DC70" i="200"/>
  <c r="CY70" i="200"/>
  <c r="CX70" i="200"/>
  <c r="CV70" i="200"/>
  <c r="CU70" i="200"/>
  <c r="EL70" i="200" s="1"/>
  <c r="CT70" i="200"/>
  <c r="CS70" i="200"/>
  <c r="CR70" i="200"/>
  <c r="CQ70" i="200"/>
  <c r="CP70" i="200"/>
  <c r="CO70" i="200"/>
  <c r="CN70" i="200"/>
  <c r="CM70" i="200"/>
  <c r="DJ70" i="200" s="1"/>
  <c r="CL70" i="200"/>
  <c r="EH70" i="200" s="1"/>
  <c r="EJ70" i="200" s="1"/>
  <c r="DS70" i="200" s="1"/>
  <c r="CK70" i="200"/>
  <c r="EK70" i="200" s="1"/>
  <c r="CJ70" i="200"/>
  <c r="CI70" i="200"/>
  <c r="CH70" i="200"/>
  <c r="CG70" i="200"/>
  <c r="CF70" i="200"/>
  <c r="EO70" i="200" s="1"/>
  <c r="CE70" i="200"/>
  <c r="CD70" i="200"/>
  <c r="DB70" i="200" s="1"/>
  <c r="CC70" i="200"/>
  <c r="EF70" i="200" s="1"/>
  <c r="CB70" i="200"/>
  <c r="GK69" i="200"/>
  <c r="GI69" i="200"/>
  <c r="GH69" i="200"/>
  <c r="GG69" i="200"/>
  <c r="GF69" i="200"/>
  <c r="GE69" i="200"/>
  <c r="GD69" i="200"/>
  <c r="FM69" i="200"/>
  <c r="FI69" i="200"/>
  <c r="FH69" i="200"/>
  <c r="FG69" i="200"/>
  <c r="FF69" i="200"/>
  <c r="FE69" i="200"/>
  <c r="FB69" i="200"/>
  <c r="EX69" i="200"/>
  <c r="ET69" i="200"/>
  <c r="EO69" i="200"/>
  <c r="EH69" i="200"/>
  <c r="EJ69" i="200" s="1"/>
  <c r="DS69" i="200" s="1"/>
  <c r="ED69" i="200"/>
  <c r="EB69" i="200"/>
  <c r="EA69" i="200"/>
  <c r="DZ69" i="200"/>
  <c r="DJ69" i="200"/>
  <c r="DI69" i="200"/>
  <c r="DH69" i="200"/>
  <c r="DE69" i="200"/>
  <c r="CY69" i="200"/>
  <c r="CX69" i="200"/>
  <c r="CW69" i="200"/>
  <c r="CU69" i="200"/>
  <c r="CT69" i="200"/>
  <c r="EP69" i="200" s="1"/>
  <c r="CS69" i="200"/>
  <c r="EW69" i="200" s="1"/>
  <c r="CR69" i="200"/>
  <c r="CQ69" i="200"/>
  <c r="CP69" i="200"/>
  <c r="FC69" i="200" s="1"/>
  <c r="CO69" i="200"/>
  <c r="CN69" i="200"/>
  <c r="CM69" i="200"/>
  <c r="DG69" i="200" s="1"/>
  <c r="CL69" i="200"/>
  <c r="EI69" i="200" s="1"/>
  <c r="CK69" i="200"/>
  <c r="EK69" i="200" s="1"/>
  <c r="EL69" i="200" s="1"/>
  <c r="EM69" i="200" s="1"/>
  <c r="CJ69" i="200"/>
  <c r="CI69" i="200"/>
  <c r="CH69" i="200"/>
  <c r="CG69" i="200"/>
  <c r="CF69" i="200"/>
  <c r="FD69" i="200" s="1"/>
  <c r="CE69" i="200"/>
  <c r="CD69" i="200"/>
  <c r="DC69" i="200" s="1"/>
  <c r="CC69" i="200"/>
  <c r="CB69" i="200"/>
  <c r="GK68" i="200"/>
  <c r="GI68" i="200"/>
  <c r="GH68" i="200"/>
  <c r="GG68" i="200"/>
  <c r="GF68" i="200"/>
  <c r="GE68" i="200"/>
  <c r="GD68" i="200"/>
  <c r="FM68" i="200"/>
  <c r="FI68" i="200"/>
  <c r="FH68" i="200"/>
  <c r="FG68" i="200"/>
  <c r="FF68" i="200"/>
  <c r="FE68" i="200"/>
  <c r="FD68" i="200"/>
  <c r="FC68" i="200"/>
  <c r="FB68" i="200"/>
  <c r="EX68" i="200"/>
  <c r="ET68" i="200"/>
  <c r="EP68" i="200"/>
  <c r="EQ68" i="200" s="1"/>
  <c r="ER68" i="200" s="1"/>
  <c r="EI68" i="200"/>
  <c r="ED68" i="200"/>
  <c r="EB68" i="200"/>
  <c r="EA68" i="200"/>
  <c r="DH68" i="200"/>
  <c r="DE68" i="200"/>
  <c r="DD68" i="200"/>
  <c r="DC68" i="200"/>
  <c r="CY68" i="200"/>
  <c r="CX68" i="200"/>
  <c r="CW68" i="200"/>
  <c r="CU68" i="200"/>
  <c r="CT68" i="200"/>
  <c r="CS68" i="200"/>
  <c r="CR68" i="200"/>
  <c r="CQ68" i="200"/>
  <c r="CP68" i="200"/>
  <c r="CO68" i="200"/>
  <c r="CN68" i="200"/>
  <c r="CM68" i="200"/>
  <c r="CL68" i="200"/>
  <c r="EH68" i="200" s="1"/>
  <c r="EJ68" i="200" s="1"/>
  <c r="DS68" i="200" s="1"/>
  <c r="CK68" i="200"/>
  <c r="EK68" i="200" s="1"/>
  <c r="CJ68" i="200"/>
  <c r="CI68" i="200"/>
  <c r="CH68" i="200"/>
  <c r="CG68" i="200"/>
  <c r="DZ68" i="200" s="1"/>
  <c r="CF68" i="200"/>
  <c r="EO68" i="200" s="1"/>
  <c r="CE68" i="200"/>
  <c r="CD68" i="200"/>
  <c r="DB68" i="200" s="1"/>
  <c r="CC68" i="200"/>
  <c r="EF68" i="200" s="1"/>
  <c r="CB68" i="200"/>
  <c r="GK67" i="200"/>
  <c r="GI67" i="200"/>
  <c r="GH67" i="200"/>
  <c r="GG67" i="200"/>
  <c r="GF67" i="200"/>
  <c r="GE67" i="200"/>
  <c r="GD67" i="200"/>
  <c r="FM67" i="200"/>
  <c r="FI67" i="200"/>
  <c r="FH67" i="200"/>
  <c r="FG67" i="200"/>
  <c r="FF67" i="200"/>
  <c r="FE67" i="200"/>
  <c r="EX67" i="200"/>
  <c r="ET67" i="200"/>
  <c r="EP67" i="200"/>
  <c r="EL67" i="200"/>
  <c r="EM67" i="200" s="1"/>
  <c r="EK67" i="200"/>
  <c r="ED67" i="200"/>
  <c r="EB67" i="200"/>
  <c r="EA67" i="200"/>
  <c r="DJ67" i="200"/>
  <c r="DI67" i="200"/>
  <c r="DH67" i="200"/>
  <c r="DE67" i="200"/>
  <c r="DD67" i="200"/>
  <c r="DC67" i="200"/>
  <c r="CY67" i="200"/>
  <c r="CX67" i="200"/>
  <c r="CV67" i="200"/>
  <c r="DK67" i="200" s="1"/>
  <c r="CU67" i="200"/>
  <c r="EQ67" i="200" s="1"/>
  <c r="ER67" i="200" s="1"/>
  <c r="CT67" i="200"/>
  <c r="CS67" i="200"/>
  <c r="CR67" i="200"/>
  <c r="CQ67" i="200"/>
  <c r="CP67" i="200"/>
  <c r="FC67" i="200" s="1"/>
  <c r="CO67" i="200"/>
  <c r="CN67" i="200"/>
  <c r="CM67" i="200"/>
  <c r="DG67" i="200" s="1"/>
  <c r="CL67" i="200"/>
  <c r="CK67" i="200"/>
  <c r="CJ67" i="200"/>
  <c r="CI67" i="200"/>
  <c r="CH67" i="200"/>
  <c r="CG67" i="200"/>
  <c r="FB67" i="200" s="1"/>
  <c r="CF67" i="200"/>
  <c r="FD67" i="200" s="1"/>
  <c r="CE67" i="200"/>
  <c r="CD67" i="200"/>
  <c r="DB67" i="200" s="1"/>
  <c r="CC67" i="200"/>
  <c r="EE67" i="200" s="1"/>
  <c r="EG67" i="200" s="1"/>
  <c r="DL67" i="200" s="1"/>
  <c r="CB67" i="200"/>
  <c r="GK66" i="200"/>
  <c r="GI66" i="200"/>
  <c r="GH66" i="200"/>
  <c r="GG66" i="200"/>
  <c r="GF66" i="200"/>
  <c r="GE66" i="200"/>
  <c r="GD66" i="200"/>
  <c r="FM66" i="200"/>
  <c r="FI66" i="200"/>
  <c r="FH66" i="200"/>
  <c r="FG66" i="200"/>
  <c r="FF66" i="200"/>
  <c r="FE66" i="200"/>
  <c r="FD66" i="200"/>
  <c r="FC66" i="200"/>
  <c r="EX66" i="200"/>
  <c r="EI66" i="200"/>
  <c r="EH66" i="200"/>
  <c r="EJ66" i="200" s="1"/>
  <c r="ED66" i="200"/>
  <c r="EB66" i="200"/>
  <c r="EA66" i="200"/>
  <c r="DS66" i="200"/>
  <c r="DI66" i="200"/>
  <c r="DE66" i="200"/>
  <c r="DD66" i="200"/>
  <c r="DC66" i="200"/>
  <c r="DA66" i="200"/>
  <c r="CY66" i="200"/>
  <c r="EV66" i="200" s="1"/>
  <c r="CW66" i="200"/>
  <c r="CU66" i="200"/>
  <c r="CT66" i="200"/>
  <c r="EP66" i="200" s="1"/>
  <c r="EQ66" i="200" s="1"/>
  <c r="ER66" i="200" s="1"/>
  <c r="ES66" i="200" s="1"/>
  <c r="CS66" i="200"/>
  <c r="CR66" i="200"/>
  <c r="CQ66" i="200"/>
  <c r="CP66" i="200"/>
  <c r="CO66" i="200"/>
  <c r="CX66" i="200" s="1"/>
  <c r="CN66" i="200"/>
  <c r="CM66" i="200"/>
  <c r="CL66" i="200"/>
  <c r="CK66" i="200"/>
  <c r="EK66" i="200" s="1"/>
  <c r="EL66" i="200" s="1"/>
  <c r="EM66" i="200" s="1"/>
  <c r="CJ66" i="200"/>
  <c r="CI66" i="200"/>
  <c r="CH66" i="200"/>
  <c r="CG66" i="200"/>
  <c r="FB66" i="200" s="1"/>
  <c r="CF66" i="200"/>
  <c r="EO66" i="200" s="1"/>
  <c r="CE66" i="200"/>
  <c r="CD66" i="200"/>
  <c r="DB66" i="200" s="1"/>
  <c r="CC66" i="200"/>
  <c r="EF66" i="200" s="1"/>
  <c r="CB66" i="200"/>
  <c r="GK65" i="200"/>
  <c r="GI65" i="200"/>
  <c r="GH65" i="200"/>
  <c r="GG65" i="200"/>
  <c r="GF65" i="200"/>
  <c r="GE65" i="200"/>
  <c r="GD65" i="200"/>
  <c r="FM65" i="200"/>
  <c r="FI65" i="200"/>
  <c r="FH65" i="200"/>
  <c r="FG65" i="200"/>
  <c r="FF65" i="200"/>
  <c r="FE65" i="200"/>
  <c r="EX65" i="200"/>
  <c r="ET65" i="200"/>
  <c r="EO65" i="200"/>
  <c r="EM65" i="200"/>
  <c r="EH65" i="200"/>
  <c r="EJ65" i="200" s="1"/>
  <c r="DS65" i="200" s="1"/>
  <c r="ED65" i="200"/>
  <c r="EB65" i="200"/>
  <c r="EA65" i="200"/>
  <c r="DJ65" i="200"/>
  <c r="DE65" i="200"/>
  <c r="DC65" i="200"/>
  <c r="EV65" i="200" s="1"/>
  <c r="CY65" i="200"/>
  <c r="CX65" i="200"/>
  <c r="CW65" i="200"/>
  <c r="CU65" i="200"/>
  <c r="EQ65" i="200" s="1"/>
  <c r="ER65" i="200" s="1"/>
  <c r="CT65" i="200"/>
  <c r="EP65" i="200" s="1"/>
  <c r="CS65" i="200"/>
  <c r="CR65" i="200"/>
  <c r="CQ65" i="200"/>
  <c r="CP65" i="200"/>
  <c r="FC65" i="200" s="1"/>
  <c r="CO65" i="200"/>
  <c r="CN65" i="200"/>
  <c r="CM65" i="200"/>
  <c r="DI65" i="200" s="1"/>
  <c r="CL65" i="200"/>
  <c r="EI65" i="200" s="1"/>
  <c r="CK65" i="200"/>
  <c r="EK65" i="200" s="1"/>
  <c r="EL65" i="200" s="1"/>
  <c r="CJ65" i="200"/>
  <c r="CI65" i="200"/>
  <c r="CH65" i="200"/>
  <c r="CG65" i="200"/>
  <c r="CF65" i="200"/>
  <c r="FD65" i="200" s="1"/>
  <c r="CE65" i="200"/>
  <c r="CD65" i="200"/>
  <c r="CV65" i="200" s="1"/>
  <c r="DK65" i="200" s="1"/>
  <c r="CC65" i="200"/>
  <c r="EF65" i="200" s="1"/>
  <c r="CB65" i="200"/>
  <c r="GI64" i="200"/>
  <c r="GH64" i="200"/>
  <c r="GG64" i="200"/>
  <c r="GF64" i="200"/>
  <c r="GE64" i="200"/>
  <c r="GD64" i="200"/>
  <c r="FM64" i="200"/>
  <c r="FI64" i="200"/>
  <c r="FH64" i="200"/>
  <c r="FG64" i="200"/>
  <c r="FF64" i="200"/>
  <c r="FE64" i="200"/>
  <c r="FB64" i="200"/>
  <c r="EX64" i="200"/>
  <c r="EJ64" i="200"/>
  <c r="DS64" i="200" s="1"/>
  <c r="DT64" i="200" s="1"/>
  <c r="EI64" i="200"/>
  <c r="ED64" i="200"/>
  <c r="EB64" i="200"/>
  <c r="EA64" i="200"/>
  <c r="DX64" i="200"/>
  <c r="DI64" i="200"/>
  <c r="DE64" i="200"/>
  <c r="DD64" i="200"/>
  <c r="DC64" i="200"/>
  <c r="DA64" i="200"/>
  <c r="CY64" i="200"/>
  <c r="CU64" i="200"/>
  <c r="CT64" i="200"/>
  <c r="EP64" i="200" s="1"/>
  <c r="CS64" i="200"/>
  <c r="CR64" i="200"/>
  <c r="CQ64" i="200"/>
  <c r="CP64" i="200"/>
  <c r="FC64" i="200" s="1"/>
  <c r="CO64" i="200"/>
  <c r="ET64" i="200" s="1"/>
  <c r="CN64" i="200"/>
  <c r="CM64" i="200"/>
  <c r="CL64" i="200"/>
  <c r="EH64" i="200" s="1"/>
  <c r="CK64" i="200"/>
  <c r="EK64" i="200" s="1"/>
  <c r="CJ64" i="200"/>
  <c r="CI64" i="200"/>
  <c r="CH64" i="200"/>
  <c r="CG64" i="200"/>
  <c r="DZ64" i="200" s="1"/>
  <c r="CF64" i="200"/>
  <c r="CE64" i="200"/>
  <c r="CD64" i="200"/>
  <c r="DB64" i="200" s="1"/>
  <c r="CC64" i="200"/>
  <c r="EE64" i="200" s="1"/>
  <c r="EG64" i="200" s="1"/>
  <c r="DL64" i="200" s="1"/>
  <c r="CB64" i="200"/>
  <c r="GK63" i="200"/>
  <c r="GI63" i="200"/>
  <c r="GH63" i="200"/>
  <c r="GG63" i="200"/>
  <c r="GF63" i="200"/>
  <c r="GE63" i="200"/>
  <c r="GD63" i="200"/>
  <c r="FM63" i="200"/>
  <c r="FI63" i="200"/>
  <c r="FH63" i="200"/>
  <c r="FG63" i="200"/>
  <c r="FF63" i="200"/>
  <c r="FE63" i="200"/>
  <c r="EX63" i="200"/>
  <c r="ET63" i="200"/>
  <c r="EO63" i="200"/>
  <c r="ED63" i="200"/>
  <c r="EB63" i="200"/>
  <c r="EA63" i="200"/>
  <c r="DE63" i="200"/>
  <c r="DC63" i="200"/>
  <c r="CY63" i="200"/>
  <c r="EV63" i="200" s="1"/>
  <c r="CX63" i="200"/>
  <c r="CW63" i="200"/>
  <c r="CU63" i="200"/>
  <c r="CT63" i="200"/>
  <c r="EP63" i="200" s="1"/>
  <c r="CS63" i="200"/>
  <c r="CR63" i="200"/>
  <c r="CQ63" i="200"/>
  <c r="CP63" i="200"/>
  <c r="FC63" i="200" s="1"/>
  <c r="CO63" i="200"/>
  <c r="CN63" i="200"/>
  <c r="CM63" i="200"/>
  <c r="CL63" i="200"/>
  <c r="EI63" i="200" s="1"/>
  <c r="CK63" i="200"/>
  <c r="EK63" i="200" s="1"/>
  <c r="EL63" i="200" s="1"/>
  <c r="EM63" i="200" s="1"/>
  <c r="CJ63" i="200"/>
  <c r="CI63" i="200"/>
  <c r="CH63" i="200"/>
  <c r="CG63" i="200"/>
  <c r="CF63" i="200"/>
  <c r="FD63" i="200" s="1"/>
  <c r="CE63" i="200"/>
  <c r="CD63" i="200"/>
  <c r="CC63" i="200"/>
  <c r="EF63" i="200" s="1"/>
  <c r="CB63" i="200"/>
  <c r="GK62" i="200"/>
  <c r="GI62" i="200"/>
  <c r="GH62" i="200"/>
  <c r="GG62" i="200"/>
  <c r="GF62" i="200"/>
  <c r="GE62" i="200"/>
  <c r="GD62" i="200"/>
  <c r="FM62" i="200"/>
  <c r="FI62" i="200"/>
  <c r="FH62" i="200"/>
  <c r="FG62" i="200"/>
  <c r="FF62" i="200"/>
  <c r="FE62" i="200"/>
  <c r="EX62" i="200"/>
  <c r="EP62" i="200"/>
  <c r="EO62" i="200"/>
  <c r="EI62" i="200"/>
  <c r="ED62" i="200"/>
  <c r="EB62" i="200"/>
  <c r="EA62" i="200"/>
  <c r="DE62" i="200"/>
  <c r="DD62" i="200"/>
  <c r="DC62" i="200"/>
  <c r="EV62" i="200" s="1"/>
  <c r="DA62" i="200"/>
  <c r="CY62" i="200"/>
  <c r="CU62" i="200"/>
  <c r="EL62" i="200" s="1"/>
  <c r="EM62" i="200" s="1"/>
  <c r="EN62" i="200" s="1"/>
  <c r="CT62" i="200"/>
  <c r="CS62" i="200"/>
  <c r="CR62" i="200"/>
  <c r="CQ62" i="200"/>
  <c r="CP62" i="200"/>
  <c r="FC62" i="200" s="1"/>
  <c r="CO62" i="200"/>
  <c r="ET62" i="200" s="1"/>
  <c r="CN62" i="200"/>
  <c r="CM62" i="200"/>
  <c r="CL62" i="200"/>
  <c r="EH62" i="200" s="1"/>
  <c r="EJ62" i="200" s="1"/>
  <c r="DS62" i="200" s="1"/>
  <c r="CK62" i="200"/>
  <c r="EK62" i="200" s="1"/>
  <c r="CJ62" i="200"/>
  <c r="CI62" i="200"/>
  <c r="CH62" i="200"/>
  <c r="CG62" i="200"/>
  <c r="DZ62" i="200" s="1"/>
  <c r="CF62" i="200"/>
  <c r="FD62" i="200" s="1"/>
  <c r="CE62" i="200"/>
  <c r="CD62" i="200"/>
  <c r="DB62" i="200" s="1"/>
  <c r="CC62" i="200"/>
  <c r="EE62" i="200" s="1"/>
  <c r="EG62" i="200" s="1"/>
  <c r="CB62" i="200"/>
  <c r="GI61" i="200"/>
  <c r="GH61" i="200"/>
  <c r="GG61" i="200"/>
  <c r="GF61" i="200"/>
  <c r="GE61" i="200"/>
  <c r="GD61" i="200"/>
  <c r="FM61" i="200"/>
  <c r="FI61" i="200"/>
  <c r="FH61" i="200"/>
  <c r="FG61" i="200"/>
  <c r="FF61" i="200"/>
  <c r="FE61" i="200"/>
  <c r="EX61" i="200"/>
  <c r="ET61" i="200"/>
  <c r="EP61" i="200"/>
  <c r="EO61" i="200"/>
  <c r="EH61" i="200"/>
  <c r="EJ61" i="200" s="1"/>
  <c r="DS61" i="200" s="1"/>
  <c r="ED61" i="200"/>
  <c r="EB61" i="200"/>
  <c r="DJ61" i="200"/>
  <c r="DI61" i="200"/>
  <c r="DE61" i="200"/>
  <c r="DB61" i="200"/>
  <c r="CY61" i="200"/>
  <c r="CX61" i="200"/>
  <c r="CW61" i="200"/>
  <c r="CU61" i="200"/>
  <c r="CT61" i="200"/>
  <c r="CS61" i="200"/>
  <c r="EW61" i="200" s="1"/>
  <c r="CR61" i="200"/>
  <c r="CQ61" i="200"/>
  <c r="CP61" i="200"/>
  <c r="FC61" i="200" s="1"/>
  <c r="CO61" i="200"/>
  <c r="CN61" i="200"/>
  <c r="CM61" i="200"/>
  <c r="CL61" i="200"/>
  <c r="EI61" i="200" s="1"/>
  <c r="CK61" i="200"/>
  <c r="EK61" i="200" s="1"/>
  <c r="EL61" i="200" s="1"/>
  <c r="EM61" i="200" s="1"/>
  <c r="EN61" i="200" s="1"/>
  <c r="CJ61" i="200"/>
  <c r="CI61" i="200"/>
  <c r="CH61" i="200"/>
  <c r="CG61" i="200"/>
  <c r="DZ61" i="200" s="1"/>
  <c r="CF61" i="200"/>
  <c r="FD61" i="200" s="1"/>
  <c r="CE61" i="200"/>
  <c r="CD61" i="200"/>
  <c r="DC61" i="200" s="1"/>
  <c r="CC61" i="200"/>
  <c r="EF61" i="200" s="1"/>
  <c r="CB61" i="200"/>
  <c r="GK60" i="200"/>
  <c r="GI60" i="200"/>
  <c r="GH60" i="200"/>
  <c r="GG60" i="200"/>
  <c r="GF60" i="200"/>
  <c r="GE60" i="200"/>
  <c r="GD60" i="200"/>
  <c r="FM60" i="200"/>
  <c r="FI60" i="200"/>
  <c r="FH60" i="200"/>
  <c r="FG60" i="200"/>
  <c r="FF60" i="200"/>
  <c r="FE60" i="200"/>
  <c r="FD60" i="200"/>
  <c r="FB60" i="200"/>
  <c r="EX60" i="200"/>
  <c r="EO60" i="200"/>
  <c r="EI60" i="200"/>
  <c r="ED60" i="200"/>
  <c r="EB60" i="200"/>
  <c r="EA60" i="200"/>
  <c r="DI60" i="200"/>
  <c r="DE60" i="200"/>
  <c r="DD60" i="200"/>
  <c r="DC60" i="200"/>
  <c r="DA60" i="200"/>
  <c r="CY60" i="200"/>
  <c r="CW60" i="200"/>
  <c r="CU60" i="200"/>
  <c r="CT60" i="200"/>
  <c r="EP60" i="200" s="1"/>
  <c r="CS60" i="200"/>
  <c r="CR60" i="200"/>
  <c r="CQ60" i="200"/>
  <c r="CP60" i="200"/>
  <c r="FC60" i="200" s="1"/>
  <c r="CO60" i="200"/>
  <c r="ET60" i="200" s="1"/>
  <c r="CN60" i="200"/>
  <c r="CM60" i="200"/>
  <c r="CV60" i="200" s="1"/>
  <c r="DK60" i="200" s="1"/>
  <c r="CL60" i="200"/>
  <c r="EH60" i="200" s="1"/>
  <c r="EJ60" i="200" s="1"/>
  <c r="DS60" i="200" s="1"/>
  <c r="CK60" i="200"/>
  <c r="EK60" i="200" s="1"/>
  <c r="CJ60" i="200"/>
  <c r="EV60" i="200" s="1"/>
  <c r="CI60" i="200"/>
  <c r="CH60" i="200"/>
  <c r="CG60" i="200"/>
  <c r="DZ60" i="200" s="1"/>
  <c r="CF60" i="200"/>
  <c r="CE60" i="200"/>
  <c r="CD60" i="200"/>
  <c r="DB60" i="200" s="1"/>
  <c r="CC60" i="200"/>
  <c r="EE60" i="200" s="1"/>
  <c r="EG60" i="200" s="1"/>
  <c r="CB60" i="200"/>
  <c r="GK59" i="200"/>
  <c r="GI59" i="200"/>
  <c r="GH59" i="200"/>
  <c r="GG59" i="200"/>
  <c r="GF59" i="200"/>
  <c r="GE59" i="200"/>
  <c r="GD59" i="200"/>
  <c r="FM59" i="200"/>
  <c r="FI59" i="200"/>
  <c r="FH59" i="200"/>
  <c r="FG59" i="200"/>
  <c r="FF59" i="200"/>
  <c r="FE59" i="200"/>
  <c r="FC59" i="200"/>
  <c r="FB59" i="200"/>
  <c r="EX59" i="200"/>
  <c r="ET59" i="200"/>
  <c r="EP59" i="200"/>
  <c r="EQ59" i="200" s="1"/>
  <c r="ER59" i="200" s="1"/>
  <c r="EN59" i="200"/>
  <c r="ED59" i="200"/>
  <c r="EB59" i="200"/>
  <c r="EA59" i="200"/>
  <c r="DG59" i="200"/>
  <c r="DE59" i="200"/>
  <c r="DC59" i="200"/>
  <c r="DB59" i="200"/>
  <c r="CY59" i="200"/>
  <c r="EV59" i="200" s="1"/>
  <c r="CX59" i="200"/>
  <c r="CW59" i="200"/>
  <c r="CU59" i="200"/>
  <c r="CT59" i="200"/>
  <c r="CS59" i="200"/>
  <c r="CR59" i="200"/>
  <c r="CQ59" i="200"/>
  <c r="CP59" i="200"/>
  <c r="CO59" i="200"/>
  <c r="CN59" i="200"/>
  <c r="CM59" i="200"/>
  <c r="DH59" i="200" s="1"/>
  <c r="CL59" i="200"/>
  <c r="EI59" i="200" s="1"/>
  <c r="CK59" i="200"/>
  <c r="EK59" i="200" s="1"/>
  <c r="EL59" i="200" s="1"/>
  <c r="EM59" i="200" s="1"/>
  <c r="CJ59" i="200"/>
  <c r="CI59" i="200"/>
  <c r="CH59" i="200"/>
  <c r="CG59" i="200"/>
  <c r="DZ59" i="200" s="1"/>
  <c r="CF59" i="200"/>
  <c r="FD59" i="200" s="1"/>
  <c r="CE59" i="200"/>
  <c r="CD59" i="200"/>
  <c r="CC59" i="200"/>
  <c r="EF59" i="200" s="1"/>
  <c r="CB59" i="200"/>
  <c r="GK58" i="200"/>
  <c r="GI58" i="200"/>
  <c r="GH58" i="200"/>
  <c r="GG58" i="200"/>
  <c r="GF58" i="200"/>
  <c r="GE58" i="200"/>
  <c r="GD58" i="200"/>
  <c r="FM58" i="200"/>
  <c r="FI58" i="200"/>
  <c r="FH58" i="200"/>
  <c r="FG58" i="200"/>
  <c r="FF58" i="200"/>
  <c r="FB58" i="200"/>
  <c r="EX58" i="200"/>
  <c r="EO58" i="200"/>
  <c r="ED58" i="200"/>
  <c r="EB58" i="200"/>
  <c r="EA58" i="200"/>
  <c r="DH58" i="200"/>
  <c r="DE58" i="200"/>
  <c r="DD58" i="200"/>
  <c r="DC58" i="200"/>
  <c r="EV58" i="200" s="1"/>
  <c r="DA58" i="200"/>
  <c r="CY58" i="200"/>
  <c r="CU58" i="200"/>
  <c r="CT58" i="200"/>
  <c r="EP58" i="200" s="1"/>
  <c r="CS58" i="200"/>
  <c r="CR58" i="200"/>
  <c r="CQ58" i="200"/>
  <c r="CP58" i="200"/>
  <c r="FC58" i="200" s="1"/>
  <c r="CO58" i="200"/>
  <c r="CN58" i="200"/>
  <c r="CM58" i="200"/>
  <c r="DG58" i="200" s="1"/>
  <c r="CL58" i="200"/>
  <c r="CK58" i="200"/>
  <c r="EK58" i="200" s="1"/>
  <c r="CJ58" i="200"/>
  <c r="CI58" i="200"/>
  <c r="CH58" i="200"/>
  <c r="CG58" i="200"/>
  <c r="DZ58" i="200" s="1"/>
  <c r="CF58" i="200"/>
  <c r="CW58" i="200" s="1"/>
  <c r="CE58" i="200"/>
  <c r="CD58" i="200"/>
  <c r="DB58" i="200" s="1"/>
  <c r="CC58" i="200"/>
  <c r="CB58" i="200"/>
  <c r="GI57" i="200"/>
  <c r="GH57" i="200"/>
  <c r="GG57" i="200"/>
  <c r="GF57" i="200"/>
  <c r="GE57" i="200"/>
  <c r="GD57" i="200"/>
  <c r="FM57" i="200"/>
  <c r="FI57" i="200"/>
  <c r="FH57" i="200"/>
  <c r="FG57" i="200"/>
  <c r="FF57" i="200"/>
  <c r="FE57" i="200"/>
  <c r="FC57" i="200"/>
  <c r="EX57" i="200"/>
  <c r="EO57" i="200"/>
  <c r="EK57" i="200"/>
  <c r="EJ57" i="200"/>
  <c r="DS57" i="200" s="1"/>
  <c r="EI57" i="200"/>
  <c r="ED57" i="200"/>
  <c r="EB57" i="200"/>
  <c r="EA57" i="200"/>
  <c r="DH57" i="200"/>
  <c r="DE57" i="200"/>
  <c r="DD57" i="200"/>
  <c r="DC57" i="200"/>
  <c r="EV57" i="200" s="1"/>
  <c r="DA57" i="200"/>
  <c r="CY57" i="200"/>
  <c r="CV57" i="200"/>
  <c r="DK57" i="200" s="1"/>
  <c r="CU57" i="200"/>
  <c r="CT57" i="200"/>
  <c r="EP57" i="200" s="1"/>
  <c r="CS57" i="200"/>
  <c r="CR57" i="200"/>
  <c r="CQ57" i="200"/>
  <c r="CP57" i="200"/>
  <c r="CO57" i="200"/>
  <c r="ET57" i="200" s="1"/>
  <c r="CN57" i="200"/>
  <c r="CM57" i="200"/>
  <c r="DJ57" i="200" s="1"/>
  <c r="CL57" i="200"/>
  <c r="EH57" i="200" s="1"/>
  <c r="CK57" i="200"/>
  <c r="CJ57" i="200"/>
  <c r="CI57" i="200"/>
  <c r="CH57" i="200"/>
  <c r="CG57" i="200"/>
  <c r="FB57" i="200" s="1"/>
  <c r="CF57" i="200"/>
  <c r="FD57" i="200" s="1"/>
  <c r="CE57" i="200"/>
  <c r="CD57" i="200"/>
  <c r="DB57" i="200" s="1"/>
  <c r="CC57" i="200"/>
  <c r="EF57" i="200" s="1"/>
  <c r="CB57" i="200"/>
  <c r="GC54" i="200" s="1"/>
  <c r="GK56" i="200"/>
  <c r="GI56" i="200"/>
  <c r="GH56" i="200"/>
  <c r="GG56" i="200"/>
  <c r="GF56" i="200"/>
  <c r="GE56" i="200"/>
  <c r="GD56" i="200"/>
  <c r="FM56" i="200"/>
  <c r="FI56" i="200"/>
  <c r="FH56" i="200"/>
  <c r="FG56" i="200"/>
  <c r="FF56" i="200"/>
  <c r="FE56" i="200"/>
  <c r="FB56" i="200"/>
  <c r="EX56" i="200"/>
  <c r="EO56" i="200"/>
  <c r="EI56" i="200"/>
  <c r="ED56" i="200"/>
  <c r="EB56" i="200"/>
  <c r="DZ56" i="200"/>
  <c r="DI56" i="200"/>
  <c r="DE56" i="200"/>
  <c r="CY56" i="200"/>
  <c r="CW56" i="200"/>
  <c r="CU56" i="200"/>
  <c r="CT56" i="200"/>
  <c r="EP56" i="200" s="1"/>
  <c r="CS56" i="200"/>
  <c r="EW56" i="200" s="1"/>
  <c r="CR56" i="200"/>
  <c r="CQ56" i="200"/>
  <c r="CP56" i="200"/>
  <c r="EA56" i="200" s="1"/>
  <c r="CO56" i="200"/>
  <c r="ET56" i="200" s="1"/>
  <c r="CN56" i="200"/>
  <c r="CM56" i="200"/>
  <c r="DJ56" i="200" s="1"/>
  <c r="CL56" i="200"/>
  <c r="EH56" i="200" s="1"/>
  <c r="EJ56" i="200" s="1"/>
  <c r="DS56" i="200" s="1"/>
  <c r="DT56" i="200" s="1"/>
  <c r="CK56" i="200"/>
  <c r="EK56" i="200" s="1"/>
  <c r="EL56" i="200" s="1"/>
  <c r="EM56" i="200" s="1"/>
  <c r="CJ56" i="200"/>
  <c r="CI56" i="200"/>
  <c r="CH56" i="200"/>
  <c r="CG56" i="200"/>
  <c r="CF56" i="200"/>
  <c r="FD56" i="200" s="1"/>
  <c r="CE56" i="200"/>
  <c r="CD56" i="200"/>
  <c r="DD56" i="200" s="1"/>
  <c r="CC56" i="200"/>
  <c r="EF56" i="200" s="1"/>
  <c r="CB56" i="200"/>
  <c r="GI55" i="200"/>
  <c r="GH55" i="200"/>
  <c r="GG55" i="200"/>
  <c r="GF55" i="200"/>
  <c r="GE55" i="200"/>
  <c r="GD55" i="200"/>
  <c r="FM55" i="200"/>
  <c r="FK55" i="200"/>
  <c r="FI55" i="200"/>
  <c r="FH55" i="200"/>
  <c r="FG55" i="200"/>
  <c r="FF55" i="200"/>
  <c r="FD55" i="200"/>
  <c r="FC55" i="200"/>
  <c r="EX55" i="200"/>
  <c r="EO55" i="200"/>
  <c r="EK55" i="200"/>
  <c r="EJ55" i="200"/>
  <c r="DS55" i="200" s="1"/>
  <c r="EI55" i="200"/>
  <c r="EF55" i="200"/>
  <c r="EE55" i="200"/>
  <c r="EG55" i="200" s="1"/>
  <c r="DL55" i="200" s="1"/>
  <c r="ED55" i="200"/>
  <c r="EB55" i="200"/>
  <c r="EA55" i="200"/>
  <c r="DH55" i="200"/>
  <c r="DE55" i="200"/>
  <c r="DD55" i="200"/>
  <c r="DC55" i="200"/>
  <c r="DA55" i="200"/>
  <c r="CY55" i="200"/>
  <c r="CV55" i="200"/>
  <c r="DK55" i="200" s="1"/>
  <c r="CU55" i="200"/>
  <c r="CT55" i="200"/>
  <c r="EP55" i="200" s="1"/>
  <c r="CS55" i="200"/>
  <c r="CR55" i="200"/>
  <c r="CQ55" i="200"/>
  <c r="CP55" i="200"/>
  <c r="CO55" i="200"/>
  <c r="ET55" i="200" s="1"/>
  <c r="CN55" i="200"/>
  <c r="CM55" i="200"/>
  <c r="DJ55" i="200" s="1"/>
  <c r="CL55" i="200"/>
  <c r="EH55" i="200" s="1"/>
  <c r="CK55" i="200"/>
  <c r="CJ55" i="200"/>
  <c r="EV55" i="200" s="1"/>
  <c r="CI55" i="200"/>
  <c r="CH55" i="200"/>
  <c r="CG55" i="200"/>
  <c r="FB55" i="200" s="1"/>
  <c r="CF55" i="200"/>
  <c r="CW55" i="200" s="1"/>
  <c r="CE55" i="200"/>
  <c r="CD55" i="200"/>
  <c r="DB55" i="200" s="1"/>
  <c r="CC55" i="200"/>
  <c r="CB55" i="200"/>
  <c r="GK54" i="200"/>
  <c r="GI54" i="200"/>
  <c r="GH54" i="200"/>
  <c r="GG54" i="200"/>
  <c r="GF54" i="200"/>
  <c r="GE54" i="200"/>
  <c r="GD54" i="200"/>
  <c r="GB54" i="200"/>
  <c r="GA54" i="200"/>
  <c r="FY54" i="200"/>
  <c r="FZ54" i="200" s="1"/>
  <c r="FX54" i="200"/>
  <c r="FW54" i="200"/>
  <c r="FV54" i="200" s="1"/>
  <c r="FU54" i="200"/>
  <c r="FT54" i="200"/>
  <c r="FS54" i="200"/>
  <c r="FR54" i="200" s="1"/>
  <c r="FS55" i="200" s="1"/>
  <c r="FQ54" i="200"/>
  <c r="FP54" i="200"/>
  <c r="FO54" i="200"/>
  <c r="FN54" i="200"/>
  <c r="FM54" i="200"/>
  <c r="FK54" i="200"/>
  <c r="FI54" i="200"/>
  <c r="FH54" i="200"/>
  <c r="FG54" i="200"/>
  <c r="FF54" i="200"/>
  <c r="FD54" i="200"/>
  <c r="FA54" i="200"/>
  <c r="EY54" i="200" s="1"/>
  <c r="EX54" i="200"/>
  <c r="EO54" i="200"/>
  <c r="EK54" i="200"/>
  <c r="ED54" i="200"/>
  <c r="EB54" i="200"/>
  <c r="EA54" i="200"/>
  <c r="DJ54" i="200"/>
  <c r="DH54" i="200"/>
  <c r="DE54" i="200"/>
  <c r="DD54" i="200"/>
  <c r="DC54" i="200"/>
  <c r="DA54" i="200"/>
  <c r="CY54" i="200"/>
  <c r="CV54" i="200"/>
  <c r="DK54" i="200" s="1"/>
  <c r="CU54" i="200"/>
  <c r="EL54" i="200" s="1"/>
  <c r="EM54" i="200" s="1"/>
  <c r="EN54" i="200" s="1"/>
  <c r="CT54" i="200"/>
  <c r="EP54" i="200" s="1"/>
  <c r="CS54" i="200"/>
  <c r="CR54" i="200"/>
  <c r="CQ54" i="200"/>
  <c r="CP54" i="200"/>
  <c r="FC54" i="200" s="1"/>
  <c r="CO54" i="200"/>
  <c r="CN54" i="200"/>
  <c r="CM54" i="200"/>
  <c r="DI54" i="200" s="1"/>
  <c r="CL54" i="200"/>
  <c r="EI54" i="200" s="1"/>
  <c r="CK54" i="200"/>
  <c r="CJ54" i="200"/>
  <c r="CI54" i="200"/>
  <c r="CH54" i="200"/>
  <c r="CG54" i="200"/>
  <c r="CF54" i="200"/>
  <c r="CW54" i="200" s="1"/>
  <c r="CE54" i="200"/>
  <c r="CD54" i="200"/>
  <c r="DB54" i="200" s="1"/>
  <c r="CC54" i="200"/>
  <c r="EE54" i="200" s="1"/>
  <c r="EG54" i="200" s="1"/>
  <c r="DL54" i="200" s="1"/>
  <c r="DN54" i="200" s="1"/>
  <c r="DR54" i="200" s="1"/>
  <c r="CB54" i="200"/>
  <c r="IU48" i="200"/>
  <c r="IO48" i="200"/>
  <c r="IN48" i="200"/>
  <c r="HV48" i="200"/>
  <c r="HP48" i="200"/>
  <c r="HO48" i="200"/>
  <c r="HN48" i="200"/>
  <c r="HM48" i="200"/>
  <c r="HL48" i="200"/>
  <c r="HK48" i="200"/>
  <c r="HJ48" i="200"/>
  <c r="HI48" i="200"/>
  <c r="HH48" i="200"/>
  <c r="HG48" i="200"/>
  <c r="HF48" i="200"/>
  <c r="HE48" i="200"/>
  <c r="HD48" i="200"/>
  <c r="HC48" i="200"/>
  <c r="HB48" i="200"/>
  <c r="HA48" i="200"/>
  <c r="GZ48" i="200"/>
  <c r="GY48" i="200"/>
  <c r="GX48" i="200"/>
  <c r="GW48" i="200"/>
  <c r="GV48" i="200"/>
  <c r="GU48" i="200"/>
  <c r="GT48" i="200"/>
  <c r="GS48" i="200"/>
  <c r="GR48" i="200"/>
  <c r="GD48" i="200"/>
  <c r="GC48" i="200"/>
  <c r="GB48" i="200"/>
  <c r="GA48" i="200"/>
  <c r="B48" i="200"/>
  <c r="GK45" i="200"/>
  <c r="GF45" i="200"/>
  <c r="GB45" i="200" s="1"/>
  <c r="GE45" i="200"/>
  <c r="GD45" i="200"/>
  <c r="GC45" i="200"/>
  <c r="GA45" i="200"/>
  <c r="GL45" i="200" s="1"/>
  <c r="GM45" i="200" s="1"/>
  <c r="FQ45" i="200"/>
  <c r="FO45" i="200"/>
  <c r="FE45" i="200"/>
  <c r="FD45" i="200"/>
  <c r="FF45" i="200" s="1"/>
  <c r="FF44" i="200" s="1"/>
  <c r="FC45" i="200"/>
  <c r="EZ45" i="200"/>
  <c r="EY45" i="200"/>
  <c r="EU45" i="200"/>
  <c r="ET45" i="200"/>
  <c r="EQ45" i="200" s="1"/>
  <c r="ES45" i="200"/>
  <c r="ER45" i="200"/>
  <c r="EM45" i="200"/>
  <c r="BW45" i="200"/>
  <c r="BX45" i="200" s="1"/>
  <c r="BV45" i="200"/>
  <c r="BU45" i="200"/>
  <c r="BT45" i="200"/>
  <c r="BS45" i="200"/>
  <c r="BQ45" i="200"/>
  <c r="BP45" i="200"/>
  <c r="BO45" i="200"/>
  <c r="BR45" i="200" s="1"/>
  <c r="BN45" i="200"/>
  <c r="BM45" i="200"/>
  <c r="BJ45" i="200"/>
  <c r="GK44" i="200"/>
  <c r="GF44" i="200"/>
  <c r="GC44" i="200" s="1"/>
  <c r="FQ44" i="200"/>
  <c r="FO44" i="200"/>
  <c r="FE44" i="200"/>
  <c r="FD44" i="200"/>
  <c r="FC44" i="200"/>
  <c r="EZ44" i="200"/>
  <c r="EY44" i="200"/>
  <c r="EU44" i="200"/>
  <c r="ET44" i="200"/>
  <c r="ES44" i="200"/>
  <c r="ER44" i="200"/>
  <c r="EQ44" i="200"/>
  <c r="EM44" i="200"/>
  <c r="BX44" i="200"/>
  <c r="FB44" i="200" s="1"/>
  <c r="FA44" i="200" s="1"/>
  <c r="BW44" i="200"/>
  <c r="BV44" i="200"/>
  <c r="BU44" i="200"/>
  <c r="BT44" i="200"/>
  <c r="BS44" i="200"/>
  <c r="BR44" i="200"/>
  <c r="BQ44" i="200"/>
  <c r="BP44" i="200"/>
  <c r="BO44" i="200"/>
  <c r="BN44" i="200"/>
  <c r="BM44" i="200"/>
  <c r="BJ44" i="200"/>
  <c r="GK43" i="200"/>
  <c r="GF43" i="200"/>
  <c r="GD43" i="200"/>
  <c r="GA43" i="200"/>
  <c r="FQ43" i="200"/>
  <c r="FO43" i="200"/>
  <c r="FE43" i="200"/>
  <c r="FD43" i="200"/>
  <c r="FC43" i="200"/>
  <c r="EZ43" i="200"/>
  <c r="EY43" i="200"/>
  <c r="EU43" i="200"/>
  <c r="ET43" i="200"/>
  <c r="EQ43" i="200" s="1"/>
  <c r="ES43" i="200"/>
  <c r="ER43" i="200"/>
  <c r="EM43" i="200"/>
  <c r="BW43" i="200"/>
  <c r="BX43" i="200" s="1"/>
  <c r="FB43" i="200" s="1"/>
  <c r="FA43" i="200" s="1"/>
  <c r="BV43" i="200"/>
  <c r="BU43" i="200"/>
  <c r="BT43" i="200"/>
  <c r="BS43" i="200"/>
  <c r="BR43" i="200"/>
  <c r="BQ43" i="200"/>
  <c r="BP43" i="200"/>
  <c r="BO43" i="200"/>
  <c r="BN43" i="200"/>
  <c r="BM43" i="200"/>
  <c r="BJ43" i="200"/>
  <c r="GK42" i="200"/>
  <c r="GF42" i="200"/>
  <c r="GA42" i="200" s="1"/>
  <c r="GE42" i="200"/>
  <c r="GD42" i="200"/>
  <c r="FQ42" i="200"/>
  <c r="FO42" i="200"/>
  <c r="FE42" i="200"/>
  <c r="FD42" i="200"/>
  <c r="FC42" i="200"/>
  <c r="EZ42" i="200"/>
  <c r="EY42" i="200"/>
  <c r="EU42" i="200"/>
  <c r="ET42" i="200"/>
  <c r="EQ42" i="200" s="1"/>
  <c r="ES42" i="200"/>
  <c r="ER42" i="200"/>
  <c r="EM42" i="200"/>
  <c r="BX42" i="200"/>
  <c r="BW42" i="200"/>
  <c r="BV42" i="200"/>
  <c r="BU42" i="200"/>
  <c r="BT42" i="200"/>
  <c r="BS42" i="200"/>
  <c r="BQ42" i="200"/>
  <c r="BP42" i="200"/>
  <c r="BO42" i="200"/>
  <c r="BN42" i="200"/>
  <c r="BM42" i="200"/>
  <c r="BK42" i="200"/>
  <c r="BJ42" i="200"/>
  <c r="GK41" i="200"/>
  <c r="GF41" i="200"/>
  <c r="GE41" i="200"/>
  <c r="GD41" i="200"/>
  <c r="GC41" i="200"/>
  <c r="GB41" i="200"/>
  <c r="GA41" i="200"/>
  <c r="GL41" i="200" s="1"/>
  <c r="GM41" i="200" s="1"/>
  <c r="FQ41" i="200"/>
  <c r="FO41" i="200"/>
  <c r="FE41" i="200"/>
  <c r="FD41" i="200"/>
  <c r="FC41" i="200"/>
  <c r="EZ41" i="200"/>
  <c r="EY41" i="200"/>
  <c r="EU41" i="200"/>
  <c r="ET41" i="200"/>
  <c r="ES41" i="200"/>
  <c r="ER41" i="200"/>
  <c r="EM41" i="200"/>
  <c r="BX41" i="200"/>
  <c r="FB41" i="200" s="1"/>
  <c r="FA41" i="200" s="1"/>
  <c r="BW41" i="200"/>
  <c r="BV41" i="200"/>
  <c r="BU41" i="200"/>
  <c r="BT41" i="200"/>
  <c r="BS41" i="200"/>
  <c r="BQ41" i="200"/>
  <c r="BR41" i="200" s="1"/>
  <c r="BP41" i="200"/>
  <c r="BO41" i="200"/>
  <c r="BN41" i="200"/>
  <c r="BM41" i="200"/>
  <c r="BJ41" i="200"/>
  <c r="GK40" i="200"/>
  <c r="GF40" i="200"/>
  <c r="GD40" i="200" s="1"/>
  <c r="GE40" i="200"/>
  <c r="FQ40" i="200"/>
  <c r="FO40" i="200"/>
  <c r="FE40" i="200"/>
  <c r="FD40" i="200"/>
  <c r="FC40" i="200"/>
  <c r="EZ40" i="200"/>
  <c r="EY40" i="200"/>
  <c r="EU40" i="200"/>
  <c r="ET40" i="200"/>
  <c r="EQ40" i="200" s="1"/>
  <c r="ES40" i="200"/>
  <c r="ER40" i="200"/>
  <c r="EM40" i="200"/>
  <c r="BX40" i="200"/>
  <c r="FB40" i="200" s="1"/>
  <c r="FA40" i="200" s="1"/>
  <c r="BW40" i="200"/>
  <c r="BV40" i="200"/>
  <c r="BU40" i="200"/>
  <c r="BT40" i="200"/>
  <c r="BS40" i="200"/>
  <c r="BQ40" i="200"/>
  <c r="BP40" i="200"/>
  <c r="BO40" i="200"/>
  <c r="BN40" i="200"/>
  <c r="BM40" i="200"/>
  <c r="BR40" i="200" s="1"/>
  <c r="BJ40" i="200"/>
  <c r="GK39" i="200"/>
  <c r="GF39" i="200"/>
  <c r="GB39" i="200" s="1"/>
  <c r="FQ39" i="200"/>
  <c r="FO39" i="200"/>
  <c r="FE39" i="200"/>
  <c r="FD39" i="200"/>
  <c r="FC39" i="200"/>
  <c r="EZ39" i="200"/>
  <c r="EY39" i="200"/>
  <c r="EU39" i="200"/>
  <c r="ET39" i="200"/>
  <c r="EQ39" i="200" s="1"/>
  <c r="ES39" i="200"/>
  <c r="ER39" i="200"/>
  <c r="EM39" i="200"/>
  <c r="BZ39" i="200"/>
  <c r="BW39" i="200"/>
  <c r="BX39" i="200" s="1"/>
  <c r="BV39" i="200"/>
  <c r="BU39" i="200"/>
  <c r="BT39" i="200"/>
  <c r="BS39" i="200"/>
  <c r="BQ39" i="200"/>
  <c r="BP39" i="200"/>
  <c r="BO39" i="200"/>
  <c r="BN39" i="200"/>
  <c r="BM39" i="200"/>
  <c r="BR39" i="200" s="1"/>
  <c r="BJ39" i="200"/>
  <c r="GK38" i="200"/>
  <c r="GF38" i="200"/>
  <c r="GE38" i="200"/>
  <c r="GD38" i="200"/>
  <c r="GC38" i="200"/>
  <c r="GB38" i="200"/>
  <c r="GA38" i="200"/>
  <c r="GL38" i="200" s="1"/>
  <c r="GM38" i="200" s="1"/>
  <c r="FQ38" i="200"/>
  <c r="FO38" i="200"/>
  <c r="FE38" i="200"/>
  <c r="FD38" i="200"/>
  <c r="FC38" i="200"/>
  <c r="EZ38" i="200"/>
  <c r="EY38" i="200"/>
  <c r="EU38" i="200"/>
  <c r="ET38" i="200"/>
  <c r="EQ38" i="200" s="1"/>
  <c r="ES38" i="200"/>
  <c r="ER38" i="200"/>
  <c r="EM38" i="200"/>
  <c r="BX38" i="200"/>
  <c r="BW38" i="200"/>
  <c r="BV38" i="200"/>
  <c r="BU38" i="200"/>
  <c r="BT38" i="200"/>
  <c r="BS38" i="200"/>
  <c r="BQ38" i="200"/>
  <c r="BP38" i="200"/>
  <c r="BO38" i="200"/>
  <c r="BN38" i="200"/>
  <c r="BM38" i="200"/>
  <c r="BR38" i="200" s="1"/>
  <c r="BK38" i="200"/>
  <c r="BJ38" i="200"/>
  <c r="GK37" i="200"/>
  <c r="GF37" i="200"/>
  <c r="GE37" i="200" s="1"/>
  <c r="GC37" i="200"/>
  <c r="GB37" i="200"/>
  <c r="GA37" i="200"/>
  <c r="FQ37" i="200"/>
  <c r="FO37" i="200"/>
  <c r="FE37" i="200"/>
  <c r="FD37" i="200"/>
  <c r="FC37" i="200"/>
  <c r="EZ37" i="200"/>
  <c r="EY37" i="200"/>
  <c r="EU37" i="200"/>
  <c r="ET37" i="200"/>
  <c r="EQ37" i="200" s="1"/>
  <c r="ES37" i="200"/>
  <c r="ER37" i="200"/>
  <c r="EM37" i="200"/>
  <c r="BX37" i="200"/>
  <c r="FB37" i="200" s="1"/>
  <c r="FA37" i="200" s="1"/>
  <c r="BW37" i="200"/>
  <c r="BV37" i="200"/>
  <c r="BU37" i="200"/>
  <c r="BT37" i="200"/>
  <c r="BS37" i="200"/>
  <c r="BQ37" i="200"/>
  <c r="BR37" i="200" s="1"/>
  <c r="BP37" i="200"/>
  <c r="BO37" i="200"/>
  <c r="BN37" i="200"/>
  <c r="BM37" i="200"/>
  <c r="BJ37" i="200"/>
  <c r="GK36" i="200"/>
  <c r="GF36" i="200"/>
  <c r="GD36" i="200" s="1"/>
  <c r="GE36" i="200"/>
  <c r="FQ36" i="200"/>
  <c r="FO36" i="200"/>
  <c r="FE36" i="200"/>
  <c r="FD36" i="200"/>
  <c r="FC36" i="200"/>
  <c r="EZ36" i="200"/>
  <c r="EY36" i="200"/>
  <c r="EU36" i="200"/>
  <c r="ET36" i="200"/>
  <c r="EQ36" i="200" s="1"/>
  <c r="ES36" i="200"/>
  <c r="ER36" i="200"/>
  <c r="EM36" i="200"/>
  <c r="BW36" i="200"/>
  <c r="BX36" i="200" s="1"/>
  <c r="BV36" i="200"/>
  <c r="BU36" i="200"/>
  <c r="BT36" i="200"/>
  <c r="BS36" i="200"/>
  <c r="BQ36" i="200"/>
  <c r="BP36" i="200"/>
  <c r="BO36" i="200"/>
  <c r="BR36" i="200" s="1"/>
  <c r="BN36" i="200"/>
  <c r="BM36" i="200"/>
  <c r="BJ36" i="200"/>
  <c r="GK35" i="200"/>
  <c r="GF35" i="200"/>
  <c r="GB35" i="200" s="1"/>
  <c r="GE35" i="200"/>
  <c r="GD35" i="200"/>
  <c r="GC35" i="200"/>
  <c r="FQ35" i="200"/>
  <c r="FO35" i="200"/>
  <c r="FE35" i="200"/>
  <c r="FD35" i="200"/>
  <c r="FC35" i="200"/>
  <c r="EZ35" i="200"/>
  <c r="EY35" i="200"/>
  <c r="EU35" i="200"/>
  <c r="ET35" i="200"/>
  <c r="EQ35" i="200" s="1"/>
  <c r="ES35" i="200"/>
  <c r="ER35" i="200"/>
  <c r="EM35" i="200"/>
  <c r="BZ35" i="200"/>
  <c r="BX35" i="200"/>
  <c r="FB35" i="200" s="1"/>
  <c r="FA35" i="200" s="1"/>
  <c r="BW35" i="200"/>
  <c r="BV35" i="200"/>
  <c r="BU35" i="200"/>
  <c r="BT35" i="200"/>
  <c r="BS35" i="200"/>
  <c r="BQ35" i="200"/>
  <c r="BP35" i="200"/>
  <c r="BO35" i="200"/>
  <c r="BN35" i="200"/>
  <c r="BM35" i="200"/>
  <c r="BR35" i="200" s="1"/>
  <c r="BJ35" i="200"/>
  <c r="GK34" i="200"/>
  <c r="GF34" i="200"/>
  <c r="GE34" i="200" s="1"/>
  <c r="GA34" i="200"/>
  <c r="FQ34" i="200"/>
  <c r="FO34" i="200"/>
  <c r="FE34" i="200"/>
  <c r="FD34" i="200"/>
  <c r="FC34" i="200"/>
  <c r="EZ34" i="200"/>
  <c r="EY34" i="200"/>
  <c r="EU34" i="200"/>
  <c r="ET34" i="200"/>
  <c r="ES34" i="200"/>
  <c r="ER34" i="200"/>
  <c r="EM34" i="200"/>
  <c r="BW34" i="200"/>
  <c r="BX34" i="200" s="1"/>
  <c r="BV34" i="200"/>
  <c r="BU34" i="200"/>
  <c r="BT34" i="200"/>
  <c r="BS34" i="200"/>
  <c r="BQ34" i="200"/>
  <c r="BP34" i="200"/>
  <c r="BO34" i="200"/>
  <c r="BN34" i="200"/>
  <c r="BM34" i="200"/>
  <c r="BR34" i="200" s="1"/>
  <c r="BK34" i="200"/>
  <c r="BJ34" i="200"/>
  <c r="GK33" i="200"/>
  <c r="GF33" i="200"/>
  <c r="GE33" i="200" s="1"/>
  <c r="GD33" i="200"/>
  <c r="GA33" i="200"/>
  <c r="FQ33" i="200"/>
  <c r="FO33" i="200"/>
  <c r="FE33" i="200"/>
  <c r="FD33" i="200"/>
  <c r="FC33" i="200"/>
  <c r="EZ33" i="200"/>
  <c r="EY33" i="200"/>
  <c r="EU33" i="200"/>
  <c r="ET33" i="200"/>
  <c r="EQ33" i="200" s="1"/>
  <c r="ES33" i="200"/>
  <c r="ER33" i="200"/>
  <c r="EM33" i="200"/>
  <c r="BZ33" i="200"/>
  <c r="BW33" i="200"/>
  <c r="BX33" i="200" s="1"/>
  <c r="BV33" i="200"/>
  <c r="BU33" i="200"/>
  <c r="BT33" i="200"/>
  <c r="BS33" i="200"/>
  <c r="BQ33" i="200"/>
  <c r="BP33" i="200"/>
  <c r="BO33" i="200"/>
  <c r="BN33" i="200"/>
  <c r="BM33" i="200"/>
  <c r="BR33" i="200" s="1"/>
  <c r="BJ33" i="200"/>
  <c r="GK32" i="200"/>
  <c r="GF32" i="200"/>
  <c r="GE32" i="200"/>
  <c r="GD32" i="200"/>
  <c r="GC32" i="200"/>
  <c r="GB32" i="200"/>
  <c r="GA32" i="200"/>
  <c r="GL32" i="200" s="1"/>
  <c r="GM32" i="200" s="1"/>
  <c r="FQ32" i="200"/>
  <c r="FO32" i="200"/>
  <c r="FE32" i="200"/>
  <c r="FD32" i="200"/>
  <c r="FC32" i="200"/>
  <c r="EZ32" i="200"/>
  <c r="EY32" i="200"/>
  <c r="EU32" i="200"/>
  <c r="ET32" i="200"/>
  <c r="EQ32" i="200" s="1"/>
  <c r="ES32" i="200"/>
  <c r="ER32" i="200"/>
  <c r="EM32" i="200"/>
  <c r="BX32" i="200"/>
  <c r="FB32" i="200" s="1"/>
  <c r="FA32" i="200" s="1"/>
  <c r="BW32" i="200"/>
  <c r="BV32" i="200"/>
  <c r="BU32" i="200"/>
  <c r="BT32" i="200"/>
  <c r="BS32" i="200"/>
  <c r="BQ32" i="200"/>
  <c r="BP32" i="200"/>
  <c r="BO32" i="200"/>
  <c r="BN32" i="200"/>
  <c r="BM32" i="200"/>
  <c r="BR32" i="200" s="1"/>
  <c r="BK32" i="200"/>
  <c r="BJ32" i="200"/>
  <c r="GK31" i="200"/>
  <c r="GF31" i="200"/>
  <c r="GE31" i="200" s="1"/>
  <c r="GC31" i="200"/>
  <c r="GB31" i="200"/>
  <c r="GA31" i="200"/>
  <c r="FQ31" i="200"/>
  <c r="FO31" i="200"/>
  <c r="FE31" i="200"/>
  <c r="FD31" i="200"/>
  <c r="FC31" i="200"/>
  <c r="EZ31" i="200"/>
  <c r="EY31" i="200"/>
  <c r="EU31" i="200"/>
  <c r="ET31" i="200"/>
  <c r="EQ31" i="200" s="1"/>
  <c r="ES31" i="200"/>
  <c r="ER31" i="200"/>
  <c r="EM31" i="200"/>
  <c r="BX31" i="200"/>
  <c r="FB31" i="200" s="1"/>
  <c r="FA31" i="200" s="1"/>
  <c r="BW31" i="200"/>
  <c r="BV31" i="200"/>
  <c r="BU31" i="200"/>
  <c r="BT31" i="200"/>
  <c r="BS31" i="200"/>
  <c r="BQ31" i="200"/>
  <c r="BR31" i="200" s="1"/>
  <c r="BP31" i="200"/>
  <c r="BO31" i="200"/>
  <c r="BN31" i="200"/>
  <c r="BM31" i="200"/>
  <c r="BJ31" i="200"/>
  <c r="GK30" i="200"/>
  <c r="GF30" i="200"/>
  <c r="GD30" i="200" s="1"/>
  <c r="GE30" i="200"/>
  <c r="FQ30" i="200"/>
  <c r="FO30" i="200"/>
  <c r="FE30" i="200"/>
  <c r="FD30" i="200"/>
  <c r="FC30" i="200"/>
  <c r="EZ30" i="200"/>
  <c r="EY30" i="200"/>
  <c r="EU30" i="200"/>
  <c r="ET30" i="200"/>
  <c r="EQ30" i="200" s="1"/>
  <c r="ES30" i="200"/>
  <c r="ER30" i="200"/>
  <c r="EM30" i="200"/>
  <c r="BW30" i="200"/>
  <c r="BX30" i="200" s="1"/>
  <c r="BV30" i="200"/>
  <c r="BU30" i="200"/>
  <c r="BT30" i="200"/>
  <c r="BS30" i="200"/>
  <c r="BQ30" i="200"/>
  <c r="BP30" i="200"/>
  <c r="BO30" i="200"/>
  <c r="BN30" i="200"/>
  <c r="BM30" i="200"/>
  <c r="BR30" i="200" s="1"/>
  <c r="BJ30" i="200"/>
  <c r="GK29" i="200"/>
  <c r="GM29" i="200" s="1"/>
  <c r="GF29" i="200"/>
  <c r="GA29" i="200" s="1"/>
  <c r="GL29" i="200" s="1"/>
  <c r="GE29" i="200"/>
  <c r="GD29" i="200"/>
  <c r="GC29" i="200"/>
  <c r="GB29" i="200"/>
  <c r="FQ29" i="200"/>
  <c r="FO29" i="200"/>
  <c r="FE29" i="200"/>
  <c r="FD29" i="200"/>
  <c r="FC29" i="200"/>
  <c r="EZ29" i="200"/>
  <c r="EY29" i="200"/>
  <c r="EU29" i="200"/>
  <c r="ET29" i="200"/>
  <c r="EQ29" i="200" s="1"/>
  <c r="ES29" i="200"/>
  <c r="ER29" i="200"/>
  <c r="EM29" i="200"/>
  <c r="BZ29" i="200"/>
  <c r="BW29" i="200"/>
  <c r="BX29" i="200" s="1"/>
  <c r="BV29" i="200"/>
  <c r="BU29" i="200"/>
  <c r="BT29" i="200"/>
  <c r="BS29" i="200"/>
  <c r="BQ29" i="200"/>
  <c r="BP29" i="200"/>
  <c r="BO29" i="200"/>
  <c r="BN29" i="200"/>
  <c r="BM29" i="200"/>
  <c r="BR29" i="200" s="1"/>
  <c r="BJ29" i="200"/>
  <c r="GK28" i="200"/>
  <c r="GF28" i="200"/>
  <c r="GE28" i="200" s="1"/>
  <c r="GA28" i="200"/>
  <c r="FQ28" i="200"/>
  <c r="FO28" i="200"/>
  <c r="FE28" i="200"/>
  <c r="FD28" i="200"/>
  <c r="FC28" i="200"/>
  <c r="EZ28" i="200"/>
  <c r="EY28" i="200"/>
  <c r="EU28" i="200"/>
  <c r="ET28" i="200"/>
  <c r="ES28" i="200"/>
  <c r="ER28" i="200"/>
  <c r="EM28" i="200"/>
  <c r="BW28" i="200"/>
  <c r="BX28" i="200" s="1"/>
  <c r="BV28" i="200"/>
  <c r="BU28" i="200"/>
  <c r="BT28" i="200"/>
  <c r="BS28" i="200"/>
  <c r="BQ28" i="200"/>
  <c r="BP28" i="200"/>
  <c r="BO28" i="200"/>
  <c r="BN28" i="200"/>
  <c r="BM28" i="200"/>
  <c r="BR28" i="200" s="1"/>
  <c r="BK28" i="200"/>
  <c r="BJ28" i="200"/>
  <c r="GK27" i="200"/>
  <c r="GF27" i="200"/>
  <c r="GE27" i="200" s="1"/>
  <c r="GD27" i="200"/>
  <c r="GA27" i="200"/>
  <c r="FQ27" i="200"/>
  <c r="FO27" i="200"/>
  <c r="FE27" i="200"/>
  <c r="FD27" i="200"/>
  <c r="FC27" i="200"/>
  <c r="EZ27" i="200"/>
  <c r="EY27" i="200"/>
  <c r="EU27" i="200"/>
  <c r="ET27" i="200"/>
  <c r="EQ27" i="200" s="1"/>
  <c r="ES27" i="200"/>
  <c r="ER27" i="200"/>
  <c r="EM27" i="200"/>
  <c r="BZ27" i="200"/>
  <c r="BW27" i="200"/>
  <c r="BX27" i="200" s="1"/>
  <c r="BV27" i="200"/>
  <c r="BU27" i="200"/>
  <c r="BT27" i="200"/>
  <c r="BS27" i="200"/>
  <c r="BQ27" i="200"/>
  <c r="BP27" i="200"/>
  <c r="BO27" i="200"/>
  <c r="BN27" i="200"/>
  <c r="BM27" i="200"/>
  <c r="BR27" i="200" s="1"/>
  <c r="BJ27" i="200"/>
  <c r="GK26" i="200"/>
  <c r="GF26" i="200"/>
  <c r="GE26" i="200"/>
  <c r="GD26" i="200"/>
  <c r="GC26" i="200"/>
  <c r="GB26" i="200"/>
  <c r="GA26" i="200"/>
  <c r="GL26" i="200" s="1"/>
  <c r="GM26" i="200" s="1"/>
  <c r="FQ26" i="200"/>
  <c r="FO26" i="200"/>
  <c r="FE26" i="200"/>
  <c r="FD26" i="200"/>
  <c r="FC26" i="200"/>
  <c r="EZ26" i="200"/>
  <c r="EY26" i="200"/>
  <c r="EU26" i="200"/>
  <c r="ET26" i="200"/>
  <c r="EQ26" i="200" s="1"/>
  <c r="ES26" i="200"/>
  <c r="ER26" i="200"/>
  <c r="EM26" i="200"/>
  <c r="BZ26" i="200"/>
  <c r="BX26" i="200"/>
  <c r="FB26" i="200" s="1"/>
  <c r="FA26" i="200" s="1"/>
  <c r="BW26" i="200"/>
  <c r="BV26" i="200"/>
  <c r="BU26" i="200"/>
  <c r="BT26" i="200"/>
  <c r="BS26" i="200"/>
  <c r="BQ26" i="200"/>
  <c r="BP26" i="200"/>
  <c r="BO26" i="200"/>
  <c r="BN26" i="200"/>
  <c r="BM26" i="200"/>
  <c r="BR26" i="200" s="1"/>
  <c r="BK26" i="200"/>
  <c r="BJ26" i="200"/>
  <c r="GK25" i="200"/>
  <c r="GF25" i="200"/>
  <c r="GD25" i="200" s="1"/>
  <c r="GL25" i="200" s="1"/>
  <c r="GE25" i="200"/>
  <c r="GC25" i="200"/>
  <c r="GB25" i="200"/>
  <c r="GA25" i="200"/>
  <c r="FQ25" i="200"/>
  <c r="FO25" i="200"/>
  <c r="FE25" i="200"/>
  <c r="FD25" i="200"/>
  <c r="FC25" i="200"/>
  <c r="EZ25" i="200"/>
  <c r="EY25" i="200"/>
  <c r="EU25" i="200"/>
  <c r="ET25" i="200"/>
  <c r="EQ25" i="200" s="1"/>
  <c r="ES25" i="200"/>
  <c r="ER25" i="200"/>
  <c r="EM25" i="200"/>
  <c r="BX25" i="200"/>
  <c r="FB25" i="200" s="1"/>
  <c r="FA25" i="200" s="1"/>
  <c r="BW25" i="200"/>
  <c r="BV25" i="200"/>
  <c r="BU25" i="200"/>
  <c r="BT25" i="200"/>
  <c r="BS25" i="200"/>
  <c r="BQ25" i="200"/>
  <c r="BR25" i="200" s="1"/>
  <c r="BP25" i="200"/>
  <c r="BO25" i="200"/>
  <c r="BN25" i="200"/>
  <c r="BM25" i="200"/>
  <c r="BK25" i="200"/>
  <c r="BJ25" i="200"/>
  <c r="GK24" i="200"/>
  <c r="GF24" i="200"/>
  <c r="GD24" i="200" s="1"/>
  <c r="GE24" i="200"/>
  <c r="FQ24" i="200"/>
  <c r="FO24" i="200"/>
  <c r="FE24" i="200"/>
  <c r="FD24" i="200"/>
  <c r="FC24" i="200"/>
  <c r="EU24" i="200"/>
  <c r="ET24" i="200"/>
  <c r="EQ24" i="200" s="1"/>
  <c r="ES24" i="200"/>
  <c r="ER24" i="200"/>
  <c r="EM24" i="200"/>
  <c r="BW24" i="200"/>
  <c r="BX24" i="200" s="1"/>
  <c r="BV24" i="200"/>
  <c r="BU24" i="200"/>
  <c r="BT24" i="200"/>
  <c r="BS24" i="200"/>
  <c r="BQ24" i="200"/>
  <c r="BP24" i="200"/>
  <c r="BN24" i="200"/>
  <c r="BO24" i="200" s="1"/>
  <c r="BJ24" i="200"/>
  <c r="GK23" i="200"/>
  <c r="GF23" i="200"/>
  <c r="GE23" i="200"/>
  <c r="GD23" i="200"/>
  <c r="GC23" i="200"/>
  <c r="GL23" i="200" s="1"/>
  <c r="GB23" i="200"/>
  <c r="GA23" i="200"/>
  <c r="FQ23" i="200"/>
  <c r="FO23" i="200"/>
  <c r="FE23" i="200"/>
  <c r="FD23" i="200"/>
  <c r="FC23" i="200"/>
  <c r="EZ23" i="200"/>
  <c r="EY23" i="200"/>
  <c r="EU23" i="200"/>
  <c r="ET23" i="200"/>
  <c r="EQ23" i="200" s="1"/>
  <c r="ES23" i="200"/>
  <c r="ER23" i="200"/>
  <c r="EM23" i="200"/>
  <c r="BZ23" i="200"/>
  <c r="BW23" i="200"/>
  <c r="BX23" i="200" s="1"/>
  <c r="BV23" i="200"/>
  <c r="BU23" i="200"/>
  <c r="BT23" i="200"/>
  <c r="BS23" i="200"/>
  <c r="BQ23" i="200"/>
  <c r="BP23" i="200"/>
  <c r="BO23" i="200"/>
  <c r="BN23" i="200"/>
  <c r="BM23" i="200"/>
  <c r="BR23" i="200" s="1"/>
  <c r="BJ23" i="200"/>
  <c r="GK22" i="200"/>
  <c r="GF22" i="200"/>
  <c r="GE22" i="200" s="1"/>
  <c r="GA22" i="200"/>
  <c r="FQ22" i="200"/>
  <c r="FO22" i="200"/>
  <c r="FE22" i="200"/>
  <c r="FD22" i="200"/>
  <c r="FC22" i="200"/>
  <c r="EZ22" i="200"/>
  <c r="EY22" i="200"/>
  <c r="EU22" i="200"/>
  <c r="ET22" i="200"/>
  <c r="ES22" i="200"/>
  <c r="ER22" i="200"/>
  <c r="EM22" i="200"/>
  <c r="BW22" i="200"/>
  <c r="BX22" i="200" s="1"/>
  <c r="BV22" i="200"/>
  <c r="BU22" i="200"/>
  <c r="BT22" i="200"/>
  <c r="BS22" i="200"/>
  <c r="BQ22" i="200"/>
  <c r="BP22" i="200"/>
  <c r="BO22" i="200"/>
  <c r="BN22" i="200"/>
  <c r="BM22" i="200"/>
  <c r="BR22" i="200" s="1"/>
  <c r="BK22" i="200"/>
  <c r="BJ22" i="200"/>
  <c r="GK21" i="200"/>
  <c r="GF21" i="200"/>
  <c r="GE21" i="200" s="1"/>
  <c r="GA21" i="200"/>
  <c r="FQ21" i="200"/>
  <c r="FO21" i="200"/>
  <c r="FE21" i="200"/>
  <c r="FD21" i="200"/>
  <c r="FC21" i="200"/>
  <c r="EU21" i="200"/>
  <c r="ET21" i="200"/>
  <c r="EQ21" i="200" s="1"/>
  <c r="ES21" i="200"/>
  <c r="ER21" i="200"/>
  <c r="EM21" i="200"/>
  <c r="BZ21" i="200"/>
  <c r="BW21" i="200"/>
  <c r="BX21" i="200" s="1"/>
  <c r="EZ21" i="200" s="1"/>
  <c r="BV21" i="200"/>
  <c r="BU21" i="200"/>
  <c r="BT21" i="200"/>
  <c r="BS21" i="200"/>
  <c r="BQ21" i="200"/>
  <c r="BP21" i="200"/>
  <c r="BN21" i="200"/>
  <c r="BO21" i="200" s="1"/>
  <c r="BJ21" i="200"/>
  <c r="GK20" i="200"/>
  <c r="GF20" i="200"/>
  <c r="GE20" i="200"/>
  <c r="GD20" i="200"/>
  <c r="GC20" i="200"/>
  <c r="GB20" i="200"/>
  <c r="GA20" i="200"/>
  <c r="GL20" i="200" s="1"/>
  <c r="GM20" i="200" s="1"/>
  <c r="FQ20" i="200"/>
  <c r="FO20" i="200"/>
  <c r="FE20" i="200"/>
  <c r="FD20" i="200"/>
  <c r="FC20" i="200"/>
  <c r="EZ20" i="200"/>
  <c r="EY20" i="200"/>
  <c r="EU20" i="200"/>
  <c r="ET20" i="200"/>
  <c r="EQ20" i="200" s="1"/>
  <c r="ES20" i="200"/>
  <c r="ER20" i="200"/>
  <c r="EM20" i="200"/>
  <c r="BZ20" i="200"/>
  <c r="BX20" i="200"/>
  <c r="BW20" i="200"/>
  <c r="BV20" i="200"/>
  <c r="BU20" i="200"/>
  <c r="BT20" i="200"/>
  <c r="BS20" i="200"/>
  <c r="BQ20" i="200"/>
  <c r="BP20" i="200"/>
  <c r="BO20" i="200"/>
  <c r="BN20" i="200"/>
  <c r="BM20" i="200"/>
  <c r="BR20" i="200" s="1"/>
  <c r="BK20" i="200"/>
  <c r="BJ20" i="200"/>
  <c r="GK19" i="200"/>
  <c r="GF19" i="200"/>
  <c r="GD19" i="200" s="1"/>
  <c r="GL19" i="200" s="1"/>
  <c r="GE19" i="200"/>
  <c r="GC19" i="200"/>
  <c r="GB19" i="200"/>
  <c r="GA19" i="200"/>
  <c r="FQ19" i="200"/>
  <c r="FO19" i="200"/>
  <c r="FE19" i="200"/>
  <c r="FD19" i="200"/>
  <c r="FC19" i="200"/>
  <c r="EZ19" i="200"/>
  <c r="EY19" i="200"/>
  <c r="EU19" i="200"/>
  <c r="ET19" i="200"/>
  <c r="EQ19" i="200" s="1"/>
  <c r="ES19" i="200"/>
  <c r="ER19" i="200"/>
  <c r="EM19" i="200"/>
  <c r="BX19" i="200"/>
  <c r="FB19" i="200" s="1"/>
  <c r="FA19" i="200" s="1"/>
  <c r="BW19" i="200"/>
  <c r="BV19" i="200"/>
  <c r="BU19" i="200"/>
  <c r="BT19" i="200"/>
  <c r="BS19" i="200"/>
  <c r="BQ19" i="200"/>
  <c r="BR19" i="200" s="1"/>
  <c r="BP19" i="200"/>
  <c r="BO19" i="200"/>
  <c r="BN19" i="200"/>
  <c r="BM19" i="200"/>
  <c r="BK19" i="200"/>
  <c r="BJ19" i="200"/>
  <c r="GK18" i="200"/>
  <c r="GF18" i="200"/>
  <c r="GD18" i="200" s="1"/>
  <c r="GE18" i="200"/>
  <c r="FQ18" i="200"/>
  <c r="FO18" i="200"/>
  <c r="FE18" i="200"/>
  <c r="FD18" i="200"/>
  <c r="FC18" i="200"/>
  <c r="EZ18" i="200"/>
  <c r="EY18" i="200"/>
  <c r="EU18" i="200"/>
  <c r="ET18" i="200"/>
  <c r="EQ18" i="200" s="1"/>
  <c r="ES18" i="200"/>
  <c r="ER18" i="200"/>
  <c r="EM18" i="200"/>
  <c r="BW18" i="200"/>
  <c r="BX18" i="200" s="1"/>
  <c r="BV18" i="200"/>
  <c r="BU18" i="200"/>
  <c r="BT18" i="200"/>
  <c r="BS18" i="200"/>
  <c r="BQ18" i="200"/>
  <c r="BP18" i="200"/>
  <c r="BO18" i="200"/>
  <c r="BN18" i="200"/>
  <c r="BM18" i="200"/>
  <c r="BR18" i="200" s="1"/>
  <c r="BJ18" i="200"/>
  <c r="GK17" i="200"/>
  <c r="GF17" i="200"/>
  <c r="GE17" i="200" s="1"/>
  <c r="GC17" i="200"/>
  <c r="GA17" i="200"/>
  <c r="FQ17" i="200"/>
  <c r="FO17" i="200"/>
  <c r="FE17" i="200"/>
  <c r="FD17" i="200"/>
  <c r="FC17" i="200"/>
  <c r="EU17" i="200"/>
  <c r="ET17" i="200"/>
  <c r="EQ17" i="200" s="1"/>
  <c r="ES17" i="200"/>
  <c r="ER17" i="200"/>
  <c r="EM17" i="200"/>
  <c r="BZ17" i="200"/>
  <c r="BW17" i="200"/>
  <c r="BX17" i="200" s="1"/>
  <c r="EZ17" i="200" s="1"/>
  <c r="BV17" i="200"/>
  <c r="BU17" i="200"/>
  <c r="BT17" i="200"/>
  <c r="BS17" i="200"/>
  <c r="BQ17" i="200"/>
  <c r="BP17" i="200"/>
  <c r="BN17" i="200"/>
  <c r="BO17" i="200" s="1"/>
  <c r="BJ17" i="200"/>
  <c r="GK16" i="200"/>
  <c r="GF16" i="200"/>
  <c r="GE16" i="200" s="1"/>
  <c r="GA16" i="200"/>
  <c r="FQ16" i="200"/>
  <c r="FO16" i="200"/>
  <c r="FE16" i="200"/>
  <c r="FD16" i="200"/>
  <c r="FC16" i="200"/>
  <c r="EZ16" i="200"/>
  <c r="EY16" i="200"/>
  <c r="EU16" i="200"/>
  <c r="EQ16" i="200" s="1"/>
  <c r="ET16" i="200"/>
  <c r="ES16" i="200"/>
  <c r="ER16" i="200"/>
  <c r="EM16" i="200"/>
  <c r="BW16" i="200"/>
  <c r="BX16" i="200" s="1"/>
  <c r="BV16" i="200"/>
  <c r="BU16" i="200"/>
  <c r="BT16" i="200"/>
  <c r="BS16" i="200"/>
  <c r="BQ16" i="200"/>
  <c r="BP16" i="200"/>
  <c r="BO16" i="200"/>
  <c r="BN16" i="200"/>
  <c r="BM16" i="200"/>
  <c r="BK16" i="200"/>
  <c r="BJ16" i="200"/>
  <c r="GK15" i="200"/>
  <c r="GF15" i="200"/>
  <c r="GE15" i="200" s="1"/>
  <c r="GD15" i="200"/>
  <c r="FQ15" i="200"/>
  <c r="FO15" i="200"/>
  <c r="FE15" i="200"/>
  <c r="FD15" i="200"/>
  <c r="FC15" i="200"/>
  <c r="EU15" i="200"/>
  <c r="ET15" i="200"/>
  <c r="EQ15" i="200" s="1"/>
  <c r="ES15" i="200"/>
  <c r="ER15" i="200"/>
  <c r="EM15" i="200"/>
  <c r="BZ15" i="200"/>
  <c r="BW15" i="200"/>
  <c r="BX15" i="200" s="1"/>
  <c r="EZ15" i="200" s="1"/>
  <c r="BV15" i="200"/>
  <c r="BU15" i="200"/>
  <c r="BT15" i="200"/>
  <c r="BS15" i="200"/>
  <c r="BQ15" i="200"/>
  <c r="BP15" i="200"/>
  <c r="BN15" i="200"/>
  <c r="BO15" i="200" s="1"/>
  <c r="BM15" i="200"/>
  <c r="BJ15" i="200"/>
  <c r="JL14" i="200"/>
  <c r="JL15" i="200" s="1"/>
  <c r="JL16" i="200" s="1"/>
  <c r="JL17" i="200" s="1"/>
  <c r="JL18" i="200" s="1"/>
  <c r="JL19" i="200" s="1"/>
  <c r="JL20" i="200" s="1"/>
  <c r="JL21" i="200" s="1"/>
  <c r="JL22" i="200" s="1"/>
  <c r="JL23" i="200" s="1"/>
  <c r="JL24" i="200" s="1"/>
  <c r="JL25" i="200" s="1"/>
  <c r="JL26" i="200" s="1"/>
  <c r="JL27" i="200" s="1"/>
  <c r="JL28" i="200" s="1"/>
  <c r="JL29" i="200" s="1"/>
  <c r="JL30" i="200" s="1"/>
  <c r="JL31" i="200" s="1"/>
  <c r="JL32" i="200" s="1"/>
  <c r="JL33" i="200" s="1"/>
  <c r="JL34" i="200" s="1"/>
  <c r="JL35" i="200" s="1"/>
  <c r="JL36" i="200" s="1"/>
  <c r="JL37" i="200" s="1"/>
  <c r="JL38" i="200" s="1"/>
  <c r="JL39" i="200" s="1"/>
  <c r="JL40" i="200" s="1"/>
  <c r="JL41" i="200" s="1"/>
  <c r="JL42" i="200" s="1"/>
  <c r="JL43" i="200" s="1"/>
  <c r="JL44" i="200" s="1"/>
  <c r="JL45" i="200" s="1"/>
  <c r="GK14" i="200"/>
  <c r="GF14" i="200"/>
  <c r="GE14" i="200"/>
  <c r="GD14" i="200"/>
  <c r="GC14" i="200"/>
  <c r="GB14" i="200"/>
  <c r="GA14" i="200"/>
  <c r="GL14" i="200" s="1"/>
  <c r="GM14" i="200" s="1"/>
  <c r="FQ14" i="200"/>
  <c r="FO14" i="200"/>
  <c r="FE14" i="200"/>
  <c r="FD14" i="200"/>
  <c r="FC14" i="200"/>
  <c r="EZ14" i="200"/>
  <c r="EY14" i="200"/>
  <c r="ET14" i="200"/>
  <c r="ES14" i="200"/>
  <c r="ER14" i="200"/>
  <c r="EQ14" i="200"/>
  <c r="EM14" i="200"/>
  <c r="BZ14" i="200"/>
  <c r="BW14" i="200"/>
  <c r="BX14" i="200" s="1"/>
  <c r="BV14" i="200"/>
  <c r="BU14" i="200"/>
  <c r="BT14" i="200"/>
  <c r="BS14" i="200"/>
  <c r="BR14" i="200"/>
  <c r="BQ14" i="200"/>
  <c r="BP14" i="200"/>
  <c r="BO14" i="200"/>
  <c r="BN14" i="200"/>
  <c r="BM14" i="200"/>
  <c r="BK14" i="200"/>
  <c r="BJ14" i="200"/>
  <c r="JG12" i="200"/>
  <c r="IZ12" i="200"/>
  <c r="IU12" i="200"/>
  <c r="IN12" i="200"/>
  <c r="IB12" i="200"/>
  <c r="HU12" i="200"/>
  <c r="HP12" i="200"/>
  <c r="HI12" i="200"/>
  <c r="M7" i="200"/>
  <c r="M6" i="200" s="1"/>
  <c r="EX5" i="200"/>
  <c r="ES5" i="200"/>
  <c r="ER5" i="200"/>
  <c r="EQ5" i="200"/>
  <c r="EP5" i="200"/>
  <c r="EO5" i="200"/>
  <c r="EN5" i="200"/>
  <c r="EM5" i="200"/>
  <c r="EL5" i="200"/>
  <c r="EK5" i="200"/>
  <c r="EJ5" i="200"/>
  <c r="EI5" i="200"/>
  <c r="EH5" i="200"/>
  <c r="EG5" i="200"/>
  <c r="EF5" i="200"/>
  <c r="EE5" i="200"/>
  <c r="ED5" i="200"/>
  <c r="EC5" i="200"/>
  <c r="EB5" i="200"/>
  <c r="EA5" i="200"/>
  <c r="DZ5" i="200"/>
  <c r="DY5" i="200"/>
  <c r="DX5" i="200"/>
  <c r="DW5" i="200"/>
  <c r="DV5" i="200"/>
  <c r="DU5" i="200"/>
  <c r="DT5" i="200"/>
  <c r="DS5" i="200"/>
  <c r="DR5" i="200"/>
  <c r="DQ5" i="200"/>
  <c r="DP5" i="200"/>
  <c r="DO5" i="200"/>
  <c r="DN5" i="200"/>
  <c r="DM5" i="200"/>
  <c r="DL5" i="200"/>
  <c r="DK5" i="200"/>
  <c r="DJ5" i="200"/>
  <c r="DI5" i="200"/>
  <c r="DH5" i="200"/>
  <c r="DE5" i="200"/>
  <c r="DD5" i="200"/>
  <c r="DC5" i="200"/>
  <c r="DB5" i="200"/>
  <c r="DA5" i="200"/>
  <c r="CZ5" i="200"/>
  <c r="CY5" i="200"/>
  <c r="CX5" i="200"/>
  <c r="CW5" i="200"/>
  <c r="CV5" i="200"/>
  <c r="CU5" i="200"/>
  <c r="CT5" i="200"/>
  <c r="CS5" i="200"/>
  <c r="CR5" i="200"/>
  <c r="CQ5" i="200"/>
  <c r="CP5" i="200"/>
  <c r="CO5" i="200"/>
  <c r="CN5" i="200"/>
  <c r="CM5" i="200"/>
  <c r="CL5" i="200"/>
  <c r="CK5" i="200"/>
  <c r="CJ5" i="200"/>
  <c r="CI5" i="200"/>
  <c r="CH5" i="200"/>
  <c r="CG5" i="200"/>
  <c r="CF5" i="200"/>
  <c r="CE5" i="200"/>
  <c r="CD5" i="200"/>
  <c r="CC5" i="200"/>
  <c r="CB5" i="200"/>
  <c r="FF4" i="200"/>
  <c r="FE4" i="200"/>
  <c r="FD4" i="200"/>
  <c r="FC4" i="200"/>
  <c r="FB4" i="200"/>
  <c r="FA4" i="200"/>
  <c r="EZ4" i="200"/>
  <c r="EY4" i="200"/>
  <c r="FG2" i="200"/>
  <c r="FE2" i="200"/>
  <c r="EU68" i="200" s="1"/>
  <c r="FC2" i="200"/>
  <c r="FA2" i="200"/>
  <c r="HA1" i="200"/>
  <c r="JF12" i="200" s="1"/>
  <c r="FG1" i="200"/>
  <c r="FA1" i="200"/>
  <c r="FB1" i="200" s="1"/>
  <c r="BK1" i="200"/>
  <c r="BK44" i="200" s="1"/>
  <c r="BJ1" i="200"/>
  <c r="AG50" i="199"/>
  <c r="O50" i="199"/>
  <c r="N50" i="199"/>
  <c r="M50" i="199"/>
  <c r="L50" i="199"/>
  <c r="K50" i="199"/>
  <c r="J50" i="199"/>
  <c r="I50" i="199"/>
  <c r="H50" i="199"/>
  <c r="G50" i="199"/>
  <c r="F50" i="199"/>
  <c r="E50" i="199"/>
  <c r="D50" i="199"/>
  <c r="C50" i="199"/>
  <c r="B50" i="199"/>
  <c r="AG49" i="199"/>
  <c r="P49" i="199"/>
  <c r="AG48" i="199"/>
  <c r="P48" i="199"/>
  <c r="AG47" i="199"/>
  <c r="P47" i="199"/>
  <c r="AG46" i="199"/>
  <c r="P46" i="199"/>
  <c r="AG45" i="199"/>
  <c r="P45" i="199"/>
  <c r="AG44" i="199"/>
  <c r="P44" i="199"/>
  <c r="AG43" i="199"/>
  <c r="P43" i="199"/>
  <c r="AG42" i="199"/>
  <c r="P42" i="199"/>
  <c r="AG41" i="199"/>
  <c r="P41" i="199"/>
  <c r="AG40" i="199"/>
  <c r="P40" i="199"/>
  <c r="AG39" i="199"/>
  <c r="P39" i="199"/>
  <c r="AG38" i="199"/>
  <c r="P38" i="199"/>
  <c r="AG37" i="199"/>
  <c r="P37" i="199"/>
  <c r="AG36" i="199"/>
  <c r="P36" i="199"/>
  <c r="AG35" i="199"/>
  <c r="P35" i="199"/>
  <c r="AG34" i="199"/>
  <c r="P34" i="199"/>
  <c r="AG33" i="199"/>
  <c r="P33" i="199"/>
  <c r="AG32" i="199"/>
  <c r="P32" i="199"/>
  <c r="AG31" i="199"/>
  <c r="P31" i="199"/>
  <c r="AG30" i="199"/>
  <c r="P30" i="199"/>
  <c r="AG29" i="199"/>
  <c r="P29" i="199"/>
  <c r="AG28" i="199"/>
  <c r="P28" i="199"/>
  <c r="AG27" i="199"/>
  <c r="P27" i="199"/>
  <c r="AG26" i="199"/>
  <c r="P26" i="199"/>
  <c r="AG25" i="199"/>
  <c r="P25" i="199"/>
  <c r="AG24" i="199"/>
  <c r="P24" i="199"/>
  <c r="AG23" i="199"/>
  <c r="P23" i="199"/>
  <c r="AG22" i="199"/>
  <c r="P22" i="199"/>
  <c r="AG21" i="199"/>
  <c r="P21" i="199"/>
  <c r="AG20" i="199"/>
  <c r="P20" i="199"/>
  <c r="AG19" i="199"/>
  <c r="P19" i="199"/>
  <c r="AG18" i="199"/>
  <c r="P18" i="199"/>
  <c r="AG17" i="199"/>
  <c r="P17" i="199"/>
  <c r="AG16" i="199"/>
  <c r="P16" i="199"/>
  <c r="AG15" i="199"/>
  <c r="P15" i="199"/>
  <c r="AG14" i="199"/>
  <c r="P14" i="199"/>
  <c r="S1" i="199"/>
  <c r="B87" i="160"/>
  <c r="B87" i="84"/>
  <c r="BP45" i="160"/>
  <c r="BP44" i="160"/>
  <c r="BP43" i="160"/>
  <c r="BP42" i="160"/>
  <c r="BP41" i="160"/>
  <c r="BP40" i="160"/>
  <c r="BP39" i="160"/>
  <c r="BP38" i="160"/>
  <c r="BP37" i="160"/>
  <c r="BP36" i="160"/>
  <c r="BP35" i="160"/>
  <c r="BP34" i="160"/>
  <c r="BP33" i="160"/>
  <c r="BP32" i="160"/>
  <c r="BP31" i="160"/>
  <c r="BP30" i="160"/>
  <c r="BP29" i="160"/>
  <c r="BP28" i="160"/>
  <c r="BP27" i="160"/>
  <c r="BP26" i="160"/>
  <c r="BP25" i="160"/>
  <c r="BP24" i="160"/>
  <c r="BP23" i="160"/>
  <c r="BP22" i="160"/>
  <c r="BP21" i="160"/>
  <c r="BP20" i="160"/>
  <c r="BP19" i="160"/>
  <c r="BP18" i="160"/>
  <c r="BP17" i="160"/>
  <c r="BP16" i="160"/>
  <c r="BP45" i="84"/>
  <c r="BP44" i="84"/>
  <c r="BP43" i="84"/>
  <c r="BP42" i="84"/>
  <c r="BP41" i="84"/>
  <c r="BP40" i="84"/>
  <c r="BP39" i="84"/>
  <c r="BP38" i="84"/>
  <c r="BP37" i="84"/>
  <c r="BP36" i="84"/>
  <c r="BP35" i="84"/>
  <c r="BP34" i="84"/>
  <c r="BP33" i="84"/>
  <c r="BP32" i="84"/>
  <c r="BP31" i="84"/>
  <c r="BP30" i="84"/>
  <c r="EV85" i="200" l="1"/>
  <c r="EQ22" i="200"/>
  <c r="EE70" i="200"/>
  <c r="EG70" i="200" s="1"/>
  <c r="DL70" i="200" s="1"/>
  <c r="EE66" i="200"/>
  <c r="EG66" i="200" s="1"/>
  <c r="EE81" i="200"/>
  <c r="EG81" i="200" s="1"/>
  <c r="GK64" i="200"/>
  <c r="EZ24" i="200"/>
  <c r="BM24" i="200"/>
  <c r="BR24" i="200" s="1"/>
  <c r="GK61" i="200"/>
  <c r="BM21" i="200"/>
  <c r="BR21" i="200" s="1"/>
  <c r="BY35" i="200"/>
  <c r="GK57" i="200"/>
  <c r="BM17" i="200"/>
  <c r="BR17" i="200" s="1"/>
  <c r="GD21" i="200"/>
  <c r="GB17" i="200"/>
  <c r="GL17" i="200" s="1"/>
  <c r="GM17" i="200" s="1"/>
  <c r="GD17" i="200"/>
  <c r="AA46" i="206"/>
  <c r="AA28" i="206"/>
  <c r="AC40" i="206"/>
  <c r="AC22" i="206"/>
  <c r="AC20" i="206"/>
  <c r="AC32" i="206"/>
  <c r="AC44" i="206"/>
  <c r="AC48" i="206"/>
  <c r="AA30" i="206"/>
  <c r="AC42" i="206"/>
  <c r="AA16" i="206"/>
  <c r="AC36" i="206"/>
  <c r="AA24" i="206"/>
  <c r="AA26" i="206"/>
  <c r="GK55" i="200"/>
  <c r="EF74" i="200"/>
  <c r="AC24" i="206"/>
  <c r="AA48" i="206"/>
  <c r="AC18" i="206"/>
  <c r="AC34" i="206"/>
  <c r="AC46" i="206"/>
  <c r="EQ28" i="200"/>
  <c r="EE57" i="200"/>
  <c r="EG57" i="200" s="1"/>
  <c r="DL57" i="200" s="1"/>
  <c r="EE59" i="200"/>
  <c r="EG59" i="200" s="1"/>
  <c r="DL59" i="200" s="1"/>
  <c r="AC16" i="206"/>
  <c r="AA44" i="206"/>
  <c r="EF67" i="200"/>
  <c r="EE72" i="200"/>
  <c r="EG72" i="200" s="1"/>
  <c r="DL72" i="200" s="1"/>
  <c r="EE77" i="200"/>
  <c r="EG77" i="200" s="1"/>
  <c r="DL77" i="200" s="1"/>
  <c r="EE79" i="200"/>
  <c r="EG79" i="200" s="1"/>
  <c r="DL60" i="200"/>
  <c r="EF60" i="200"/>
  <c r="AC30" i="206"/>
  <c r="EE61" i="200"/>
  <c r="EG61" i="200" s="1"/>
  <c r="DL61" i="200" s="1"/>
  <c r="EF62" i="200"/>
  <c r="EE68" i="200"/>
  <c r="EG68" i="200" s="1"/>
  <c r="DL68" i="200" s="1"/>
  <c r="EE63" i="200"/>
  <c r="EG63" i="200" s="1"/>
  <c r="DL63" i="200" s="1"/>
  <c r="DN63" i="200" s="1"/>
  <c r="EF64" i="200"/>
  <c r="EE65" i="200"/>
  <c r="EG65" i="200" s="1"/>
  <c r="DL65" i="200" s="1"/>
  <c r="DN65" i="200" s="1"/>
  <c r="EE83" i="200"/>
  <c r="EG83" i="200" s="1"/>
  <c r="AE15" i="206"/>
  <c r="AC28" i="206"/>
  <c r="DL62" i="200"/>
  <c r="AE14" i="206"/>
  <c r="AA22" i="206"/>
  <c r="EQ34" i="200"/>
  <c r="EQ41" i="200"/>
  <c r="EV64" i="200"/>
  <c r="AA20" i="206"/>
  <c r="AC26" i="206"/>
  <c r="BR15" i="200"/>
  <c r="AA18" i="206"/>
  <c r="AC38" i="206"/>
  <c r="AE13" i="206"/>
  <c r="AA32" i="206"/>
  <c r="AA34" i="206"/>
  <c r="AA36" i="206"/>
  <c r="AA38" i="206"/>
  <c r="AA40" i="206"/>
  <c r="AA42" i="206"/>
  <c r="AD15" i="206"/>
  <c r="AF16" i="206"/>
  <c r="AF18" i="206"/>
  <c r="AF20" i="206"/>
  <c r="AF22" i="206"/>
  <c r="AF24" i="206"/>
  <c r="AF26" i="206"/>
  <c r="AF28" i="206"/>
  <c r="AF30" i="206"/>
  <c r="AF32" i="206"/>
  <c r="AF34" i="206"/>
  <c r="AF36" i="206"/>
  <c r="AF38" i="206"/>
  <c r="AF40" i="206"/>
  <c r="AF42" i="206"/>
  <c r="AF44" i="206"/>
  <c r="AF46" i="206"/>
  <c r="AF48" i="206"/>
  <c r="AC14" i="206"/>
  <c r="FB15" i="200"/>
  <c r="BY15" i="200"/>
  <c r="GM19" i="200"/>
  <c r="BY24" i="200"/>
  <c r="FB24" i="200"/>
  <c r="FB28" i="200"/>
  <c r="FA28" i="200" s="1"/>
  <c r="BY28" i="200"/>
  <c r="GM23" i="200"/>
  <c r="FB33" i="200"/>
  <c r="FA33" i="200" s="1"/>
  <c r="BY33" i="200"/>
  <c r="FB22" i="200"/>
  <c r="FA22" i="200" s="1"/>
  <c r="BY22" i="200"/>
  <c r="FB14" i="200"/>
  <c r="EX14" i="200"/>
  <c r="EX15" i="200" s="1"/>
  <c r="BY14" i="200"/>
  <c r="DN55" i="200"/>
  <c r="DM55" i="200"/>
  <c r="FB16" i="200"/>
  <c r="FA16" i="200" s="1"/>
  <c r="BY16" i="200"/>
  <c r="BY23" i="200"/>
  <c r="FB23" i="200"/>
  <c r="FA23" i="200" s="1"/>
  <c r="GM18" i="200"/>
  <c r="BY36" i="200"/>
  <c r="FB36" i="200"/>
  <c r="FA36" i="200" s="1"/>
  <c r="BY29" i="200"/>
  <c r="FB29" i="200"/>
  <c r="FA29" i="200" s="1"/>
  <c r="BY18" i="200"/>
  <c r="FB18" i="200"/>
  <c r="FA18" i="200" s="1"/>
  <c r="FB27" i="200"/>
  <c r="FA27" i="200" s="1"/>
  <c r="BY27" i="200"/>
  <c r="BY17" i="200"/>
  <c r="FB17" i="200"/>
  <c r="FB21" i="200"/>
  <c r="BY21" i="200"/>
  <c r="BY30" i="200"/>
  <c r="FB30" i="200"/>
  <c r="FA30" i="200" s="1"/>
  <c r="FB39" i="200"/>
  <c r="FA39" i="200" s="1"/>
  <c r="BY39" i="200"/>
  <c r="FB34" i="200"/>
  <c r="FA34" i="200" s="1"/>
  <c r="BY34" i="200"/>
  <c r="GM25" i="200"/>
  <c r="DN64" i="200"/>
  <c r="DM64" i="200"/>
  <c r="BY42" i="200"/>
  <c r="HF12" i="200"/>
  <c r="HR12" i="200"/>
  <c r="ID12" i="200"/>
  <c r="IW12" i="200"/>
  <c r="JI12" i="200"/>
  <c r="GA15" i="200"/>
  <c r="GC16" i="200"/>
  <c r="GC22" i="200"/>
  <c r="GC28" i="200"/>
  <c r="GC34" i="200"/>
  <c r="GC39" i="200"/>
  <c r="BR42" i="200"/>
  <c r="BZ42" i="200"/>
  <c r="GE43" i="200"/>
  <c r="GC43" i="200"/>
  <c r="GB43" i="200"/>
  <c r="GL43" i="200" s="1"/>
  <c r="GM43" i="200" s="1"/>
  <c r="IM48" i="200"/>
  <c r="IA48" i="200"/>
  <c r="IL48" i="200"/>
  <c r="HZ48" i="200"/>
  <c r="IJ48" i="200"/>
  <c r="HX48" i="200"/>
  <c r="II48" i="200"/>
  <c r="HW48" i="200"/>
  <c r="IS48" i="200"/>
  <c r="IG48" i="200"/>
  <c r="HU48" i="200"/>
  <c r="IQ48" i="200"/>
  <c r="IE48" i="200"/>
  <c r="HS48" i="200"/>
  <c r="IP48" i="200"/>
  <c r="ID48" i="200"/>
  <c r="HR48" i="200"/>
  <c r="IR48" i="200"/>
  <c r="EQ56" i="200"/>
  <c r="ER56" i="200" s="1"/>
  <c r="ES56" i="200" s="1"/>
  <c r="DU57" i="200"/>
  <c r="DT57" i="200"/>
  <c r="DU60" i="200"/>
  <c r="DT60" i="200"/>
  <c r="DT70" i="200"/>
  <c r="DU70" i="200"/>
  <c r="EN73" i="200"/>
  <c r="FR55" i="200"/>
  <c r="FS56" i="200" s="1"/>
  <c r="FQ55" i="200"/>
  <c r="FY55" i="200" s="1"/>
  <c r="FP55" i="200"/>
  <c r="GA55" i="200" s="1"/>
  <c r="FO55" i="200"/>
  <c r="FN55" i="200"/>
  <c r="FW55" i="200" s="1"/>
  <c r="FV55" i="200" s="1"/>
  <c r="FU55" i="200"/>
  <c r="FT55" i="200" s="1"/>
  <c r="DZ63" i="200"/>
  <c r="FB63" i="200"/>
  <c r="HD12" i="200"/>
  <c r="HQ12" i="200"/>
  <c r="IC12" i="200"/>
  <c r="IV12" i="200"/>
  <c r="JH12" i="200"/>
  <c r="FA58" i="200"/>
  <c r="EY58" i="200" s="1"/>
  <c r="EZ58" i="200"/>
  <c r="FA64" i="200"/>
  <c r="EY64" i="200" s="1"/>
  <c r="GB28" i="200"/>
  <c r="GL28" i="200" s="1"/>
  <c r="GM28" i="200" s="1"/>
  <c r="HG12" i="200"/>
  <c r="HS12" i="200"/>
  <c r="IL12" i="200"/>
  <c r="IX12" i="200"/>
  <c r="JJ12" i="200"/>
  <c r="BK15" i="200"/>
  <c r="GB15" i="200"/>
  <c r="BZ16" i="200"/>
  <c r="GD16" i="200"/>
  <c r="FA57" i="200"/>
  <c r="EY57" i="200" s="1"/>
  <c r="EZ57" i="200"/>
  <c r="BK21" i="200"/>
  <c r="GB21" i="200"/>
  <c r="BZ22" i="200"/>
  <c r="GD22" i="200"/>
  <c r="EZ63" i="200"/>
  <c r="BK27" i="200"/>
  <c r="GB27" i="200"/>
  <c r="GL27" i="200" s="1"/>
  <c r="GM27" i="200" s="1"/>
  <c r="BZ28" i="200"/>
  <c r="GD28" i="200"/>
  <c r="EZ69" i="200"/>
  <c r="FA69" i="200"/>
  <c r="EY69" i="200" s="1"/>
  <c r="BK33" i="200"/>
  <c r="GB33" i="200"/>
  <c r="GL33" i="200" s="1"/>
  <c r="GM33" i="200" s="1"/>
  <c r="BZ34" i="200"/>
  <c r="GD34" i="200"/>
  <c r="FA75" i="200"/>
  <c r="EY75" i="200" s="1"/>
  <c r="EZ75" i="200"/>
  <c r="BK39" i="200"/>
  <c r="GD39" i="200"/>
  <c r="FA80" i="200"/>
  <c r="EY80" i="200" s="1"/>
  <c r="EZ80" i="200"/>
  <c r="FB42" i="200"/>
  <c r="FA42" i="200" s="1"/>
  <c r="GB44" i="200"/>
  <c r="HQ48" i="200"/>
  <c r="IT48" i="200"/>
  <c r="DM59" i="200"/>
  <c r="DN59" i="200"/>
  <c r="DT62" i="200"/>
  <c r="DU62" i="200"/>
  <c r="FD64" i="200"/>
  <c r="EO64" i="200"/>
  <c r="CW64" i="200"/>
  <c r="DN68" i="200"/>
  <c r="DM68" i="200"/>
  <c r="BY40" i="200"/>
  <c r="EW63" i="200"/>
  <c r="DF63" i="200"/>
  <c r="GB16" i="200"/>
  <c r="GL16" i="200" s="1"/>
  <c r="GM16" i="200" s="1"/>
  <c r="GB22" i="200"/>
  <c r="GL22" i="200" s="1"/>
  <c r="GM22" i="200" s="1"/>
  <c r="FA70" i="200"/>
  <c r="EY70" i="200" s="1"/>
  <c r="EZ70" i="200"/>
  <c r="GB34" i="200"/>
  <c r="GL34" i="200" s="1"/>
  <c r="GM34" i="200" s="1"/>
  <c r="FA76" i="200"/>
  <c r="EY76" i="200" s="1"/>
  <c r="EZ76" i="200"/>
  <c r="GA39" i="200"/>
  <c r="EV54" i="200"/>
  <c r="CZ54" i="200"/>
  <c r="EQ55" i="200"/>
  <c r="ER55" i="200" s="1"/>
  <c r="ES55" i="200" s="1"/>
  <c r="HH12" i="200"/>
  <c r="HT12" i="200"/>
  <c r="IM12" i="200"/>
  <c r="IY12" i="200"/>
  <c r="JK12" i="200"/>
  <c r="GC15" i="200"/>
  <c r="GC21" i="200"/>
  <c r="GC27" i="200"/>
  <c r="GC33" i="200"/>
  <c r="GE39" i="200"/>
  <c r="HT48" i="200"/>
  <c r="CZ55" i="200"/>
  <c r="EN56" i="200"/>
  <c r="EE58" i="200"/>
  <c r="EG58" i="200" s="1"/>
  <c r="DL58" i="200" s="1"/>
  <c r="EF58" i="200"/>
  <c r="ET58" i="200"/>
  <c r="FE58" i="200"/>
  <c r="DJ62" i="200"/>
  <c r="DH62" i="200"/>
  <c r="CV62" i="200"/>
  <c r="DK62" i="200" s="1"/>
  <c r="DG62" i="200"/>
  <c r="DI62" i="200"/>
  <c r="EW62" i="200" s="1"/>
  <c r="EN63" i="200"/>
  <c r="DF64" i="200"/>
  <c r="EN66" i="200"/>
  <c r="DF84" i="200"/>
  <c r="DF82" i="200"/>
  <c r="DF80" i="200"/>
  <c r="DF77" i="200"/>
  <c r="CZ85" i="200"/>
  <c r="DF83" i="200"/>
  <c r="DF79" i="200"/>
  <c r="CZ75" i="200"/>
  <c r="DF70" i="200"/>
  <c r="DF74" i="200"/>
  <c r="CZ80" i="200"/>
  <c r="DF72" i="200"/>
  <c r="DF69" i="200"/>
  <c r="CZ68" i="200"/>
  <c r="CZ66" i="200"/>
  <c r="CZ69" i="200"/>
  <c r="DF66" i="200"/>
  <c r="CZ62" i="200"/>
  <c r="CZ64" i="200"/>
  <c r="CZ60" i="200"/>
  <c r="CZ63" i="200"/>
  <c r="CZ59" i="200"/>
  <c r="DF57" i="200"/>
  <c r="CZ56" i="200"/>
  <c r="CZ61" i="200"/>
  <c r="DF60" i="200"/>
  <c r="FA68" i="200"/>
  <c r="EY68" i="200" s="1"/>
  <c r="EZ68" i="200"/>
  <c r="DN57" i="200"/>
  <c r="DM57" i="200"/>
  <c r="CZ73" i="200"/>
  <c r="EN76" i="200"/>
  <c r="EN67" i="200"/>
  <c r="EN78" i="200"/>
  <c r="HJ12" i="200"/>
  <c r="HV12" i="200"/>
  <c r="IO12" i="200"/>
  <c r="JA12" i="200"/>
  <c r="BY20" i="200"/>
  <c r="BY26" i="200"/>
  <c r="BY32" i="200"/>
  <c r="BY38" i="200"/>
  <c r="BZ43" i="200"/>
  <c r="HY48" i="200"/>
  <c r="ET54" i="200"/>
  <c r="CX54" i="200"/>
  <c r="FE54" i="200"/>
  <c r="EF54" i="200"/>
  <c r="DF56" i="200"/>
  <c r="ES59" i="200"/>
  <c r="DN61" i="200"/>
  <c r="DM61" i="200"/>
  <c r="ES68" i="200"/>
  <c r="FA82" i="200"/>
  <c r="EY82" i="200" s="1"/>
  <c r="EZ82" i="200"/>
  <c r="GA44" i="200"/>
  <c r="GL44" i="200" s="1"/>
  <c r="GM44" i="200" s="1"/>
  <c r="GE44" i="200"/>
  <c r="GD44" i="200"/>
  <c r="EZ67" i="200"/>
  <c r="FA67" i="200"/>
  <c r="EY67" i="200" s="1"/>
  <c r="BK31" i="200"/>
  <c r="BZ32" i="200"/>
  <c r="EZ73" i="200"/>
  <c r="FA73" i="200"/>
  <c r="EY73" i="200" s="1"/>
  <c r="BK37" i="200"/>
  <c r="BZ38" i="200"/>
  <c r="FA79" i="200"/>
  <c r="EY79" i="200" s="1"/>
  <c r="EZ79" i="200"/>
  <c r="BK41" i="200"/>
  <c r="IB48" i="200"/>
  <c r="DU55" i="200"/>
  <c r="DT55" i="200"/>
  <c r="DT61" i="200"/>
  <c r="DU61" i="200"/>
  <c r="FA63" i="200"/>
  <c r="EY63" i="200" s="1"/>
  <c r="ES67" i="200"/>
  <c r="FA56" i="200"/>
  <c r="EY56" i="200" s="1"/>
  <c r="EZ56" i="200"/>
  <c r="FA74" i="200"/>
  <c r="EY74" i="200" s="1"/>
  <c r="EZ74" i="200"/>
  <c r="HW12" i="200"/>
  <c r="JC12" i="200"/>
  <c r="GA24" i="200"/>
  <c r="GA30" i="200"/>
  <c r="GL30" i="200" s="1"/>
  <c r="GM30" i="200" s="1"/>
  <c r="BY31" i="200"/>
  <c r="GA36" i="200"/>
  <c r="BY37" i="200"/>
  <c r="BY41" i="200"/>
  <c r="BY44" i="200"/>
  <c r="BY45" i="200"/>
  <c r="FB45" i="200"/>
  <c r="FA45" i="200" s="1"/>
  <c r="IC48" i="200"/>
  <c r="FK56" i="200"/>
  <c r="FJ55" i="200"/>
  <c r="EQ57" i="200"/>
  <c r="ER57" i="200" s="1"/>
  <c r="ES57" i="200" s="1"/>
  <c r="EW58" i="200"/>
  <c r="EV61" i="200"/>
  <c r="EU64" i="200"/>
  <c r="FA62" i="200"/>
  <c r="EY62" i="200" s="1"/>
  <c r="EZ62" i="200"/>
  <c r="BY43" i="200"/>
  <c r="DX56" i="200"/>
  <c r="DV56" i="200"/>
  <c r="JB12" i="200"/>
  <c r="EU76" i="200"/>
  <c r="EU85" i="200"/>
  <c r="EU84" i="200"/>
  <c r="EU75" i="200"/>
  <c r="EU73" i="200"/>
  <c r="EU71" i="200"/>
  <c r="EU69" i="200"/>
  <c r="EU67" i="200"/>
  <c r="EU65" i="200"/>
  <c r="EU66" i="200"/>
  <c r="EU70" i="200"/>
  <c r="EU57" i="200"/>
  <c r="EU55" i="200"/>
  <c r="EU63" i="200"/>
  <c r="EU61" i="200"/>
  <c r="EU72" i="200"/>
  <c r="EU54" i="200"/>
  <c r="EU58" i="200"/>
  <c r="EU56" i="200"/>
  <c r="EU60" i="200"/>
  <c r="EU62" i="200"/>
  <c r="HX12" i="200"/>
  <c r="BK45" i="200"/>
  <c r="BZ40" i="200"/>
  <c r="BZ44" i="200"/>
  <c r="BK43" i="200"/>
  <c r="HM12" i="200"/>
  <c r="HY12" i="200"/>
  <c r="IR12" i="200"/>
  <c r="JD12" i="200"/>
  <c r="BK18" i="200"/>
  <c r="GB18" i="200"/>
  <c r="BZ19" i="200"/>
  <c r="FA60" i="200"/>
  <c r="EY60" i="200" s="1"/>
  <c r="EZ60" i="200"/>
  <c r="FB20" i="200"/>
  <c r="FA20" i="200" s="1"/>
  <c r="BK24" i="200"/>
  <c r="GB24" i="200"/>
  <c r="BZ25" i="200"/>
  <c r="FA66" i="200"/>
  <c r="EY66" i="200" s="1"/>
  <c r="EZ66" i="200"/>
  <c r="BK30" i="200"/>
  <c r="GB30" i="200"/>
  <c r="BZ31" i="200"/>
  <c r="GD31" i="200"/>
  <c r="GL31" i="200" s="1"/>
  <c r="GM31" i="200" s="1"/>
  <c r="FA72" i="200"/>
  <c r="EY72" i="200" s="1"/>
  <c r="EZ72" i="200"/>
  <c r="BK36" i="200"/>
  <c r="GB36" i="200"/>
  <c r="BZ37" i="200"/>
  <c r="GD37" i="200"/>
  <c r="GL37" i="200" s="1"/>
  <c r="GM37" i="200" s="1"/>
  <c r="FA78" i="200"/>
  <c r="EY78" i="200" s="1"/>
  <c r="EZ78" i="200"/>
  <c r="FB38" i="200"/>
  <c r="FA38" i="200" s="1"/>
  <c r="GA40" i="200"/>
  <c r="BZ41" i="200"/>
  <c r="FF43" i="200"/>
  <c r="FF42" i="200" s="1"/>
  <c r="BZ45" i="200"/>
  <c r="IF48" i="200"/>
  <c r="DM54" i="200"/>
  <c r="DU56" i="200"/>
  <c r="DF68" i="200"/>
  <c r="EN71" i="200"/>
  <c r="IP12" i="200"/>
  <c r="FA55" i="200"/>
  <c r="EY55" i="200" s="1"/>
  <c r="EZ55" i="200"/>
  <c r="GA18" i="200"/>
  <c r="GL18" i="200" s="1"/>
  <c r="BY19" i="200"/>
  <c r="BY25" i="200"/>
  <c r="HN12" i="200"/>
  <c r="HZ12" i="200"/>
  <c r="IS12" i="200"/>
  <c r="JE12" i="200"/>
  <c r="EZ54" i="200"/>
  <c r="GC18" i="200"/>
  <c r="GC24" i="200"/>
  <c r="GC30" i="200"/>
  <c r="GA35" i="200"/>
  <c r="GL35" i="200" s="1"/>
  <c r="GM35" i="200" s="1"/>
  <c r="GC36" i="200"/>
  <c r="GB40" i="200"/>
  <c r="GB42" i="200"/>
  <c r="GL42" i="200" s="1"/>
  <c r="GM42" i="200" s="1"/>
  <c r="FA83" i="200"/>
  <c r="EY83" i="200" s="1"/>
  <c r="EZ83" i="200"/>
  <c r="IH48" i="200"/>
  <c r="DZ54" i="200"/>
  <c r="FB54" i="200"/>
  <c r="DF54" i="200"/>
  <c r="DP54" i="200"/>
  <c r="EW54" i="200"/>
  <c r="DN60" i="200"/>
  <c r="DM60" i="200"/>
  <c r="DF62" i="200"/>
  <c r="EZ64" i="200"/>
  <c r="DU66" i="200"/>
  <c r="DT66" i="200"/>
  <c r="EI67" i="200"/>
  <c r="EH67" i="200"/>
  <c r="EJ67" i="200" s="1"/>
  <c r="DS67" i="200" s="1"/>
  <c r="DT69" i="200"/>
  <c r="DU69" i="200"/>
  <c r="HK12" i="200"/>
  <c r="BR16" i="200"/>
  <c r="HL12" i="200"/>
  <c r="IQ12" i="200"/>
  <c r="HO12" i="200"/>
  <c r="IA12" i="200"/>
  <c r="IT12" i="200"/>
  <c r="BK17" i="200"/>
  <c r="BZ18" i="200"/>
  <c r="FA59" i="200"/>
  <c r="EY59" i="200" s="1"/>
  <c r="EZ59" i="200"/>
  <c r="BK23" i="200"/>
  <c r="BZ24" i="200"/>
  <c r="EZ65" i="200"/>
  <c r="FA65" i="200"/>
  <c r="EY65" i="200" s="1"/>
  <c r="BK29" i="200"/>
  <c r="BZ30" i="200"/>
  <c r="EZ71" i="200"/>
  <c r="FA71" i="200"/>
  <c r="EY71" i="200" s="1"/>
  <c r="BK35" i="200"/>
  <c r="BZ36" i="200"/>
  <c r="FA77" i="200"/>
  <c r="EY77" i="200" s="1"/>
  <c r="EZ77" i="200"/>
  <c r="BK40" i="200"/>
  <c r="GC40" i="200"/>
  <c r="GC42" i="200"/>
  <c r="EZ84" i="200"/>
  <c r="FA84" i="200"/>
  <c r="EY84" i="200" s="1"/>
  <c r="IK48" i="200"/>
  <c r="DF55" i="200"/>
  <c r="CZ57" i="200"/>
  <c r="CZ58" i="200"/>
  <c r="CX58" i="200"/>
  <c r="DF59" i="200"/>
  <c r="DN62" i="200"/>
  <c r="DM62" i="200"/>
  <c r="DU65" i="200"/>
  <c r="DT65" i="200"/>
  <c r="EN69" i="200"/>
  <c r="FF41" i="200"/>
  <c r="FF40" i="200" s="1"/>
  <c r="FF39" i="200" s="1"/>
  <c r="FF38" i="200" s="1"/>
  <c r="FF37" i="200" s="1"/>
  <c r="FF36" i="200" s="1"/>
  <c r="FF35" i="200" s="1"/>
  <c r="FF34" i="200" s="1"/>
  <c r="FF33" i="200" s="1"/>
  <c r="FF32" i="200" s="1"/>
  <c r="FF31" i="200" s="1"/>
  <c r="FF30" i="200" s="1"/>
  <c r="FF29" i="200" s="1"/>
  <c r="FF28" i="200" s="1"/>
  <c r="FF27" i="200" s="1"/>
  <c r="FF26" i="200" s="1"/>
  <c r="FF25" i="200" s="1"/>
  <c r="FF24" i="200" s="1"/>
  <c r="FF23" i="200" s="1"/>
  <c r="FF22" i="200" s="1"/>
  <c r="FF21" i="200" s="1"/>
  <c r="FF20" i="200" s="1"/>
  <c r="FF19" i="200" s="1"/>
  <c r="FF18" i="200" s="1"/>
  <c r="FF17" i="200" s="1"/>
  <c r="FF16" i="200" s="1"/>
  <c r="FF15" i="200" s="1"/>
  <c r="FF14" i="200" s="1"/>
  <c r="EI58" i="200"/>
  <c r="EH58" i="200"/>
  <c r="EJ58" i="200" s="1"/>
  <c r="DS58" i="200" s="1"/>
  <c r="EU59" i="200"/>
  <c r="FA61" i="200"/>
  <c r="EY61" i="200" s="1"/>
  <c r="CZ65" i="200"/>
  <c r="FA85" i="200"/>
  <c r="EY85" i="200" s="1"/>
  <c r="EZ85" i="200"/>
  <c r="DG56" i="200"/>
  <c r="EE56" i="200"/>
  <c r="EG56" i="200" s="1"/>
  <c r="DL56" i="200" s="1"/>
  <c r="FC56" i="200"/>
  <c r="FD58" i="200"/>
  <c r="DI59" i="200"/>
  <c r="EW59" i="200" s="1"/>
  <c r="FB61" i="200"/>
  <c r="EH63" i="200"/>
  <c r="EJ63" i="200" s="1"/>
  <c r="DS63" i="200" s="1"/>
  <c r="CZ67" i="200"/>
  <c r="DA69" i="200"/>
  <c r="CZ70" i="200"/>
  <c r="EV70" i="200"/>
  <c r="DT72" i="200"/>
  <c r="DU72" i="200"/>
  <c r="DS73" i="200"/>
  <c r="FD74" i="200"/>
  <c r="EO74" i="200"/>
  <c r="CW74" i="200"/>
  <c r="DU74" i="200"/>
  <c r="CZ84" i="200"/>
  <c r="DG54" i="200"/>
  <c r="EQ54" i="200"/>
  <c r="ER54" i="200" s="1"/>
  <c r="ES54" i="200" s="1"/>
  <c r="DZ55" i="200"/>
  <c r="EL55" i="200"/>
  <c r="EM55" i="200" s="1"/>
  <c r="EN55" i="200" s="1"/>
  <c r="CV56" i="200"/>
  <c r="DK56" i="200" s="1"/>
  <c r="DH56" i="200"/>
  <c r="DZ57" i="200"/>
  <c r="EL57" i="200"/>
  <c r="EM57" i="200" s="1"/>
  <c r="EN57" i="200" s="1"/>
  <c r="DJ59" i="200"/>
  <c r="EW60" i="200"/>
  <c r="DH60" i="200"/>
  <c r="DH61" i="200"/>
  <c r="DG61" i="200"/>
  <c r="EQ63" i="200"/>
  <c r="ER63" i="200" s="1"/>
  <c r="ES63" i="200" s="1"/>
  <c r="DZ67" i="200"/>
  <c r="EV67" i="200"/>
  <c r="DM82" i="200"/>
  <c r="DN82" i="200"/>
  <c r="CX56" i="200"/>
  <c r="EO59" i="200"/>
  <c r="EL60" i="200"/>
  <c r="EM60" i="200" s="1"/>
  <c r="EN60" i="200" s="1"/>
  <c r="EW64" i="200"/>
  <c r="CV69" i="200"/>
  <c r="DK69" i="200" s="1"/>
  <c r="DD69" i="200"/>
  <c r="DB69" i="200"/>
  <c r="DN70" i="200"/>
  <c r="DM70" i="200"/>
  <c r="EL74" i="200"/>
  <c r="EM74" i="200" s="1"/>
  <c r="EN74" i="200" s="1"/>
  <c r="EU74" i="200"/>
  <c r="DS75" i="200"/>
  <c r="EN81" i="200"/>
  <c r="EH54" i="200"/>
  <c r="EJ54" i="200" s="1"/>
  <c r="DS54" i="200" s="1"/>
  <c r="CV61" i="200"/>
  <c r="DK61" i="200" s="1"/>
  <c r="DD61" i="200"/>
  <c r="DA61" i="200"/>
  <c r="ES71" i="200"/>
  <c r="EN75" i="200"/>
  <c r="CZ78" i="200"/>
  <c r="DF61" i="200"/>
  <c r="EA61" i="200"/>
  <c r="DI63" i="200"/>
  <c r="DH63" i="200"/>
  <c r="DG63" i="200"/>
  <c r="EL64" i="200"/>
  <c r="EM64" i="200" s="1"/>
  <c r="EN64" i="200" s="1"/>
  <c r="EV68" i="200"/>
  <c r="DN74" i="200"/>
  <c r="DM74" i="200"/>
  <c r="DN76" i="200"/>
  <c r="DM76" i="200"/>
  <c r="EN80" i="200"/>
  <c r="AS19" i="201"/>
  <c r="AQ19" i="201"/>
  <c r="AO19" i="201"/>
  <c r="AN19" i="201"/>
  <c r="AL19" i="201"/>
  <c r="AJ19" i="201"/>
  <c r="AM19" i="201"/>
  <c r="DG55" i="200"/>
  <c r="DA56" i="200"/>
  <c r="DG57" i="200"/>
  <c r="DF58" i="200"/>
  <c r="FB62" i="200"/>
  <c r="DV64" i="200"/>
  <c r="EN70" i="200"/>
  <c r="DX74" i="200"/>
  <c r="DV74" i="200"/>
  <c r="EN77" i="200"/>
  <c r="DB56" i="200"/>
  <c r="DJ60" i="200"/>
  <c r="DG60" i="200"/>
  <c r="EN65" i="200"/>
  <c r="DJ66" i="200"/>
  <c r="DH66" i="200"/>
  <c r="CV66" i="200"/>
  <c r="DK66" i="200" s="1"/>
  <c r="DG66" i="200"/>
  <c r="DU68" i="200"/>
  <c r="DT68" i="200"/>
  <c r="EV69" i="200"/>
  <c r="EH71" i="200"/>
  <c r="EJ71" i="200" s="1"/>
  <c r="DS71" i="200" s="1"/>
  <c r="ES76" i="200"/>
  <c r="DM77" i="200"/>
  <c r="DN77" i="200"/>
  <c r="FA81" i="200"/>
  <c r="EY81" i="200" s="1"/>
  <c r="EZ81" i="200"/>
  <c r="DI55" i="200"/>
  <c r="EW55" i="200" s="1"/>
  <c r="FE55" i="200"/>
  <c r="GC55" i="200"/>
  <c r="GC56" i="200" s="1"/>
  <c r="GC57" i="200" s="1"/>
  <c r="GC58" i="200" s="1"/>
  <c r="GC59" i="200" s="1"/>
  <c r="GC60" i="200" s="1"/>
  <c r="GC61" i="200" s="1"/>
  <c r="GC62" i="200" s="1"/>
  <c r="GC63" i="200" s="1"/>
  <c r="GC64" i="200" s="1"/>
  <c r="GC65" i="200" s="1"/>
  <c r="GC66" i="200" s="1"/>
  <c r="GC67" i="200" s="1"/>
  <c r="GC68" i="200" s="1"/>
  <c r="GC69" i="200" s="1"/>
  <c r="GC70" i="200" s="1"/>
  <c r="GC71" i="200" s="1"/>
  <c r="GC72" i="200" s="1"/>
  <c r="GC73" i="200" s="1"/>
  <c r="GC74" i="200" s="1"/>
  <c r="GC75" i="200" s="1"/>
  <c r="GC76" i="200" s="1"/>
  <c r="GC77" i="200" s="1"/>
  <c r="GC78" i="200" s="1"/>
  <c r="GC79" i="200" s="1"/>
  <c r="GC80" i="200" s="1"/>
  <c r="GC81" i="200" s="1"/>
  <c r="GC82" i="200" s="1"/>
  <c r="GC83" i="200" s="1"/>
  <c r="GC84" i="200" s="1"/>
  <c r="GC85" i="200" s="1"/>
  <c r="DC56" i="200"/>
  <c r="EV56" i="200" s="1"/>
  <c r="CW57" i="200"/>
  <c r="DI57" i="200"/>
  <c r="EW57" i="200" s="1"/>
  <c r="EL58" i="200"/>
  <c r="EM58" i="200" s="1"/>
  <c r="EN58" i="200" s="1"/>
  <c r="DI58" i="200"/>
  <c r="CV59" i="200"/>
  <c r="DK59" i="200" s="1"/>
  <c r="DA59" i="200"/>
  <c r="DD59" i="200"/>
  <c r="CW62" i="200"/>
  <c r="CV63" i="200"/>
  <c r="DK63" i="200" s="1"/>
  <c r="DU64" i="200"/>
  <c r="FB65" i="200"/>
  <c r="DZ65" i="200"/>
  <c r="DF65" i="200"/>
  <c r="EW65" i="200"/>
  <c r="DL66" i="200"/>
  <c r="DJ68" i="200"/>
  <c r="DG68" i="200"/>
  <c r="CV68" i="200"/>
  <c r="DK68" i="200" s="1"/>
  <c r="DI68" i="200"/>
  <c r="EQ69" i="200"/>
  <c r="ER69" i="200" s="1"/>
  <c r="ES69" i="200" s="1"/>
  <c r="DA81" i="200"/>
  <c r="DD81" i="200"/>
  <c r="DB81" i="200"/>
  <c r="CV81" i="200"/>
  <c r="DK81" i="200" s="1"/>
  <c r="DC81" i="200"/>
  <c r="EV81" i="200" s="1"/>
  <c r="FC81" i="200"/>
  <c r="EA81" i="200"/>
  <c r="FL54" i="200"/>
  <c r="FL55" i="200" s="1"/>
  <c r="FL56" i="200" s="1"/>
  <c r="FL57" i="200" s="1"/>
  <c r="FL58" i="200" s="1"/>
  <c r="FL59" i="200" s="1"/>
  <c r="FL60" i="200" s="1"/>
  <c r="FL61" i="200" s="1"/>
  <c r="FL62" i="200" s="1"/>
  <c r="FL63" i="200" s="1"/>
  <c r="FL64" i="200" s="1"/>
  <c r="FL65" i="200" s="1"/>
  <c r="FL66" i="200" s="1"/>
  <c r="FL67" i="200" s="1"/>
  <c r="FL68" i="200" s="1"/>
  <c r="FL69" i="200" s="1"/>
  <c r="FL70" i="200" s="1"/>
  <c r="FL71" i="200" s="1"/>
  <c r="FL72" i="200" s="1"/>
  <c r="FL73" i="200" s="1"/>
  <c r="FL74" i="200" s="1"/>
  <c r="FL75" i="200" s="1"/>
  <c r="FL76" i="200" s="1"/>
  <c r="FL77" i="200" s="1"/>
  <c r="FL78" i="200" s="1"/>
  <c r="FL79" i="200" s="1"/>
  <c r="FL80" i="200" s="1"/>
  <c r="FL81" i="200" s="1"/>
  <c r="FL82" i="200" s="1"/>
  <c r="FL83" i="200" s="1"/>
  <c r="FL84" i="200" s="1"/>
  <c r="FL85" i="200" s="1"/>
  <c r="CX55" i="200"/>
  <c r="CX57" i="200"/>
  <c r="CV58" i="200"/>
  <c r="DK58" i="200" s="1"/>
  <c r="DJ58" i="200"/>
  <c r="EH59" i="200"/>
  <c r="EJ59" i="200" s="1"/>
  <c r="DS59" i="200" s="1"/>
  <c r="EQ61" i="200"/>
  <c r="ER61" i="200" s="1"/>
  <c r="ES61" i="200" s="1"/>
  <c r="DJ63" i="200"/>
  <c r="DJ64" i="200"/>
  <c r="DH64" i="200"/>
  <c r="CV64" i="200"/>
  <c r="DK64" i="200" s="1"/>
  <c r="DG64" i="200"/>
  <c r="EW67" i="200"/>
  <c r="DF67" i="200"/>
  <c r="DN67" i="200"/>
  <c r="DM67" i="200"/>
  <c r="EW70" i="200"/>
  <c r="EL72" i="200"/>
  <c r="EM72" i="200" s="1"/>
  <c r="EN72" i="200" s="1"/>
  <c r="EQ72" i="200"/>
  <c r="ER72" i="200" s="1"/>
  <c r="ES72" i="200" s="1"/>
  <c r="EQ74" i="200"/>
  <c r="ER74" i="200" s="1"/>
  <c r="ES74" i="200" s="1"/>
  <c r="DU77" i="200"/>
  <c r="DT77" i="200"/>
  <c r="EU79" i="200"/>
  <c r="EQ79" i="200"/>
  <c r="ER79" i="200" s="1"/>
  <c r="ES79" i="200" s="1"/>
  <c r="EL79" i="200"/>
  <c r="EM79" i="200" s="1"/>
  <c r="EN79" i="200" s="1"/>
  <c r="ES65" i="200"/>
  <c r="CZ71" i="200"/>
  <c r="FB75" i="200"/>
  <c r="DZ75" i="200"/>
  <c r="DF75" i="200"/>
  <c r="EQ58" i="200"/>
  <c r="ER58" i="200" s="1"/>
  <c r="ES58" i="200" s="1"/>
  <c r="EQ60" i="200"/>
  <c r="ER60" i="200" s="1"/>
  <c r="ES60" i="200" s="1"/>
  <c r="EQ62" i="200"/>
  <c r="ER62" i="200" s="1"/>
  <c r="ES62" i="200" s="1"/>
  <c r="DA63" i="200"/>
  <c r="EQ64" i="200"/>
  <c r="ER64" i="200" s="1"/>
  <c r="ES64" i="200" s="1"/>
  <c r="DA65" i="200"/>
  <c r="ET66" i="200"/>
  <c r="EL68" i="200"/>
  <c r="EM68" i="200" s="1"/>
  <c r="EN68" i="200" s="1"/>
  <c r="DH70" i="200"/>
  <c r="EQ70" i="200"/>
  <c r="ER70" i="200" s="1"/>
  <c r="ES70" i="200" s="1"/>
  <c r="EV72" i="200"/>
  <c r="EW74" i="200"/>
  <c r="EF75" i="200"/>
  <c r="EE75" i="200"/>
  <c r="EG75" i="200" s="1"/>
  <c r="DL75" i="200" s="1"/>
  <c r="DF76" i="200"/>
  <c r="EW76" i="200"/>
  <c r="DB63" i="200"/>
  <c r="DB65" i="200"/>
  <c r="DI70" i="200"/>
  <c r="CX71" i="200"/>
  <c r="FB73" i="200"/>
  <c r="DZ73" i="200"/>
  <c r="DF73" i="200"/>
  <c r="DN80" i="200"/>
  <c r="CX60" i="200"/>
  <c r="CX62" i="200"/>
  <c r="DD63" i="200"/>
  <c r="CX64" i="200"/>
  <c r="DD65" i="200"/>
  <c r="CW67" i="200"/>
  <c r="EF69" i="200"/>
  <c r="EE69" i="200"/>
  <c r="EG69" i="200" s="1"/>
  <c r="DL69" i="200" s="1"/>
  <c r="CW70" i="200"/>
  <c r="DJ72" i="200"/>
  <c r="DH72" i="200"/>
  <c r="CV72" i="200"/>
  <c r="DK72" i="200" s="1"/>
  <c r="EQ73" i="200"/>
  <c r="ER73" i="200" s="1"/>
  <c r="ES73" i="200" s="1"/>
  <c r="EV74" i="200"/>
  <c r="CZ76" i="200"/>
  <c r="CZ82" i="200"/>
  <c r="EN82" i="200"/>
  <c r="DZ66" i="200"/>
  <c r="EO67" i="200"/>
  <c r="EF71" i="200"/>
  <c r="EE71" i="200"/>
  <c r="EG71" i="200" s="1"/>
  <c r="DL71" i="200" s="1"/>
  <c r="CX73" i="200"/>
  <c r="EE78" i="200"/>
  <c r="EG78" i="200" s="1"/>
  <c r="DL78" i="200" s="1"/>
  <c r="EF78" i="200"/>
  <c r="ET78" i="200"/>
  <c r="CX78" i="200"/>
  <c r="FE78" i="200"/>
  <c r="EX16" i="201"/>
  <c r="FQ16" i="201"/>
  <c r="BQ16" i="201"/>
  <c r="BO16" i="201"/>
  <c r="EY16" i="201"/>
  <c r="DG65" i="200"/>
  <c r="CV71" i="200"/>
  <c r="DK71" i="200" s="1"/>
  <c r="DD71" i="200"/>
  <c r="DB71" i="200"/>
  <c r="ET73" i="200"/>
  <c r="DJ74" i="200"/>
  <c r="DH74" i="200"/>
  <c r="CV74" i="200"/>
  <c r="DK74" i="200" s="1"/>
  <c r="EQ75" i="200"/>
  <c r="ER75" i="200" s="1"/>
  <c r="ES75" i="200" s="1"/>
  <c r="DC78" i="200"/>
  <c r="EV78" i="200" s="1"/>
  <c r="CV78" i="200"/>
  <c r="DK78" i="200" s="1"/>
  <c r="DA78" i="200"/>
  <c r="FC78" i="200"/>
  <c r="EA78" i="200"/>
  <c r="DH65" i="200"/>
  <c r="DA67" i="200"/>
  <c r="DG72" i="200"/>
  <c r="DA80" i="200"/>
  <c r="FD72" i="200"/>
  <c r="EO72" i="200"/>
  <c r="EW73" i="200"/>
  <c r="EO78" i="200"/>
  <c r="CW78" i="200"/>
  <c r="FD78" i="200"/>
  <c r="ES81" i="200"/>
  <c r="EN83" i="200"/>
  <c r="FB71" i="200"/>
  <c r="DZ71" i="200"/>
  <c r="DF71" i="200"/>
  <c r="DN72" i="200"/>
  <c r="DM72" i="200"/>
  <c r="EF73" i="200"/>
  <c r="EE73" i="200"/>
  <c r="EG73" i="200" s="1"/>
  <c r="DL73" i="200" s="1"/>
  <c r="DC76" i="200"/>
  <c r="EV76" i="200" s="1"/>
  <c r="CV76" i="200"/>
  <c r="DK76" i="200" s="1"/>
  <c r="DB76" i="200"/>
  <c r="FC76" i="200"/>
  <c r="EA76" i="200"/>
  <c r="DU79" i="200"/>
  <c r="DT79" i="200"/>
  <c r="DQ80" i="200"/>
  <c r="DO80" i="200"/>
  <c r="ES85" i="200"/>
  <c r="EW66" i="200"/>
  <c r="EW68" i="200"/>
  <c r="EU77" i="200"/>
  <c r="EQ77" i="200"/>
  <c r="ER77" i="200" s="1"/>
  <c r="ES77" i="200" s="1"/>
  <c r="DC80" i="200"/>
  <c r="EV80" i="200" s="1"/>
  <c r="DB80" i="200"/>
  <c r="CV80" i="200"/>
  <c r="DK80" i="200" s="1"/>
  <c r="FC80" i="200"/>
  <c r="EA80" i="200"/>
  <c r="ES80" i="200"/>
  <c r="DY84" i="200"/>
  <c r="DW84" i="200"/>
  <c r="AM16" i="201"/>
  <c r="AL16" i="201"/>
  <c r="AJ16" i="201"/>
  <c r="AS16" i="201"/>
  <c r="AQ16" i="201"/>
  <c r="AO16" i="201"/>
  <c r="AN16" i="201"/>
  <c r="AM53" i="201"/>
  <c r="AM49" i="201"/>
  <c r="FT19" i="201"/>
  <c r="FR23" i="201"/>
  <c r="DZ23" i="201"/>
  <c r="ET76" i="200"/>
  <c r="CX76" i="200"/>
  <c r="EW77" i="200"/>
  <c r="EW79" i="200"/>
  <c r="DL79" i="200"/>
  <c r="FC79" i="200"/>
  <c r="DF81" i="200"/>
  <c r="EQ82" i="200"/>
  <c r="ER82" i="200" s="1"/>
  <c r="ES82" i="200" s="1"/>
  <c r="DL83" i="200"/>
  <c r="DC84" i="200"/>
  <c r="EV84" i="200" s="1"/>
  <c r="DA84" i="200"/>
  <c r="FC84" i="200"/>
  <c r="FN41" i="201"/>
  <c r="FN42" i="201"/>
  <c r="FN45" i="201"/>
  <c r="FN29" i="201"/>
  <c r="FN40" i="201"/>
  <c r="FN33" i="201"/>
  <c r="FN35" i="201"/>
  <c r="FN20" i="201"/>
  <c r="FN18" i="201"/>
  <c r="CC20" i="201"/>
  <c r="FA20" i="201"/>
  <c r="DZ20" i="201"/>
  <c r="FR20" i="201"/>
  <c r="CA20" i="201"/>
  <c r="GE16" i="201"/>
  <c r="GC16" i="201"/>
  <c r="GD16" i="201"/>
  <c r="GB16" i="201"/>
  <c r="GL16" i="201" s="1"/>
  <c r="GM16" i="201" s="1"/>
  <c r="EU83" i="200"/>
  <c r="DY83" i="200"/>
  <c r="DW83" i="200"/>
  <c r="FD84" i="200"/>
  <c r="EO84" i="200"/>
  <c r="AL53" i="201"/>
  <c r="AL49" i="201"/>
  <c r="AN54" i="201"/>
  <c r="AN52" i="201"/>
  <c r="AS17" i="201"/>
  <c r="AO17" i="201"/>
  <c r="AN17" i="201"/>
  <c r="AL17" i="201"/>
  <c r="AJ17" i="201"/>
  <c r="FO22" i="201"/>
  <c r="CM26" i="201"/>
  <c r="DB73" i="200"/>
  <c r="DB75" i="200"/>
  <c r="EV77" i="200"/>
  <c r="CZ77" i="200"/>
  <c r="EV79" i="200"/>
  <c r="CZ79" i="200"/>
  <c r="ET80" i="200"/>
  <c r="CX80" i="200"/>
  <c r="DL81" i="200"/>
  <c r="EV83" i="200"/>
  <c r="CZ83" i="200"/>
  <c r="EW84" i="200"/>
  <c r="FS16" i="201"/>
  <c r="EN16" i="201"/>
  <c r="ER16" i="201" s="1"/>
  <c r="EM16" i="201"/>
  <c r="EQ16" i="201" s="1"/>
  <c r="EU81" i="200"/>
  <c r="EI85" i="200"/>
  <c r="DF85" i="200"/>
  <c r="EH85" i="200"/>
  <c r="EJ85" i="200" s="1"/>
  <c r="DS85" i="200" s="1"/>
  <c r="GM19" i="201"/>
  <c r="GD32" i="201"/>
  <c r="GC32" i="201"/>
  <c r="GA32" i="201"/>
  <c r="GB32" i="201"/>
  <c r="GE32" i="201"/>
  <c r="DD73" i="200"/>
  <c r="DD75" i="200"/>
  <c r="DF78" i="200"/>
  <c r="CZ81" i="200"/>
  <c r="EH81" i="200"/>
  <c r="EJ81" i="200" s="1"/>
  <c r="DS81" i="200" s="1"/>
  <c r="ES84" i="200"/>
  <c r="DH85" i="200"/>
  <c r="DJ85" i="200"/>
  <c r="DI85" i="200"/>
  <c r="DG85" i="200"/>
  <c r="EW85" i="200"/>
  <c r="DT83" i="200"/>
  <c r="CM22" i="201"/>
  <c r="CZ72" i="200"/>
  <c r="CZ74" i="200"/>
  <c r="EQ78" i="200"/>
  <c r="ER78" i="200" s="1"/>
  <c r="ES78" i="200" s="1"/>
  <c r="DC82" i="200"/>
  <c r="EV82" i="200" s="1"/>
  <c r="DA82" i="200"/>
  <c r="FC82" i="200"/>
  <c r="EA82" i="200"/>
  <c r="CW84" i="200"/>
  <c r="DT84" i="200"/>
  <c r="FP17" i="201"/>
  <c r="DZ17" i="201"/>
  <c r="FR17" i="201"/>
  <c r="EG24" i="201"/>
  <c r="EK24" i="201" s="1"/>
  <c r="EF24" i="201"/>
  <c r="EJ24" i="201" s="1"/>
  <c r="CH24" i="201" s="1"/>
  <c r="DA68" i="200"/>
  <c r="DA70" i="200"/>
  <c r="DA72" i="200"/>
  <c r="DA74" i="200"/>
  <c r="CW76" i="200"/>
  <c r="EF80" i="200"/>
  <c r="FD80" i="200"/>
  <c r="EF82" i="200"/>
  <c r="CV85" i="200"/>
  <c r="DK85" i="200" s="1"/>
  <c r="AM17" i="201"/>
  <c r="EX18" i="201"/>
  <c r="FQ18" i="201"/>
  <c r="BQ18" i="201"/>
  <c r="EY18" i="201"/>
  <c r="BO18" i="201"/>
  <c r="EG20" i="201"/>
  <c r="EK20" i="201" s="1"/>
  <c r="EV20" i="201" s="1"/>
  <c r="CJ20" i="201" s="1"/>
  <c r="EF20" i="201"/>
  <c r="EJ20" i="201" s="1"/>
  <c r="CH20" i="201" s="1"/>
  <c r="DA77" i="200"/>
  <c r="DD77" i="200"/>
  <c r="DA79" i="200"/>
  <c r="DD79" i="200"/>
  <c r="FE80" i="200"/>
  <c r="DA83" i="200"/>
  <c r="DD83" i="200"/>
  <c r="EA83" i="200"/>
  <c r="AF46" i="201"/>
  <c r="AQ17" i="201"/>
  <c r="GM17" i="201"/>
  <c r="FN19" i="201"/>
  <c r="CL24" i="201"/>
  <c r="DJ76" i="200"/>
  <c r="EH76" i="200"/>
  <c r="EJ76" i="200" s="1"/>
  <c r="DS76" i="200" s="1"/>
  <c r="EH78" i="200"/>
  <c r="EJ78" i="200" s="1"/>
  <c r="DS78" i="200" s="1"/>
  <c r="EH80" i="200"/>
  <c r="EJ80" i="200" s="1"/>
  <c r="DS80" i="200" s="1"/>
  <c r="CX82" i="200"/>
  <c r="EH82" i="200"/>
  <c r="EJ82" i="200" s="1"/>
  <c r="DS82" i="200" s="1"/>
  <c r="CX84" i="200"/>
  <c r="HK14" i="201"/>
  <c r="EX20" i="201"/>
  <c r="FQ20" i="201"/>
  <c r="BQ20" i="201"/>
  <c r="EY20" i="201"/>
  <c r="CL33" i="201"/>
  <c r="DT34" i="201"/>
  <c r="FE34" i="201"/>
  <c r="FF34" i="201" s="1"/>
  <c r="FG34" i="201" s="1"/>
  <c r="FJ34" i="201"/>
  <c r="FK34" i="201" s="1"/>
  <c r="FL34" i="201" s="1"/>
  <c r="EO77" i="200"/>
  <c r="EU78" i="200"/>
  <c r="EU80" i="200"/>
  <c r="EU82" i="200"/>
  <c r="EE85" i="200"/>
  <c r="EG85" i="200" s="1"/>
  <c r="DL85" i="200" s="1"/>
  <c r="HO14" i="201"/>
  <c r="DZ16" i="201"/>
  <c r="FO17" i="201"/>
  <c r="EV21" i="201"/>
  <c r="CJ21" i="201" s="1"/>
  <c r="EN23" i="201"/>
  <c r="ER23" i="201" s="1"/>
  <c r="EM23" i="201"/>
  <c r="EQ23" i="201" s="1"/>
  <c r="CI23" i="201" s="1"/>
  <c r="GM23" i="201"/>
  <c r="EQ83" i="200"/>
  <c r="ER83" i="200" s="1"/>
  <c r="ES83" i="200" s="1"/>
  <c r="CM17" i="201"/>
  <c r="FP19" i="201"/>
  <c r="DZ19" i="201"/>
  <c r="GM21" i="201"/>
  <c r="EX22" i="201"/>
  <c r="FQ22" i="201"/>
  <c r="EY22" i="201"/>
  <c r="BO22" i="201"/>
  <c r="EJ82" i="201"/>
  <c r="DQ23" i="201"/>
  <c r="CR23" i="201"/>
  <c r="EU23" i="201"/>
  <c r="ES23" i="201"/>
  <c r="CS23" i="201"/>
  <c r="DR23" i="201"/>
  <c r="EG26" i="201"/>
  <c r="EK26" i="201" s="1"/>
  <c r="EV26" i="201" s="1"/>
  <c r="CJ26" i="201" s="1"/>
  <c r="EF26" i="201"/>
  <c r="EJ26" i="201" s="1"/>
  <c r="CH26" i="201" s="1"/>
  <c r="EG16" i="201"/>
  <c r="EK16" i="201" s="1"/>
  <c r="EV16" i="201" s="1"/>
  <c r="CJ16" i="201" s="1"/>
  <c r="EF16" i="201"/>
  <c r="EJ16" i="201" s="1"/>
  <c r="CH16" i="201" s="1"/>
  <c r="DU17" i="201"/>
  <c r="FV17" i="201"/>
  <c r="EG18" i="201"/>
  <c r="EK18" i="201" s="1"/>
  <c r="EV18" i="201" s="1"/>
  <c r="CJ18" i="201" s="1"/>
  <c r="EF18" i="201"/>
  <c r="EJ18" i="201" s="1"/>
  <c r="EN24" i="201"/>
  <c r="ER24" i="201" s="1"/>
  <c r="EM24" i="201"/>
  <c r="EQ24" i="201" s="1"/>
  <c r="FJ26" i="201"/>
  <c r="FK26" i="201" s="1"/>
  <c r="FL26" i="201" s="1"/>
  <c r="FE26" i="201"/>
  <c r="FF26" i="201" s="1"/>
  <c r="FG26" i="201" s="1"/>
  <c r="CL28" i="201"/>
  <c r="CL30" i="201"/>
  <c r="FT30" i="201"/>
  <c r="BQ17" i="201"/>
  <c r="FO19" i="201"/>
  <c r="AS21" i="201"/>
  <c r="AQ21" i="201"/>
  <c r="AM21" i="201"/>
  <c r="AL21" i="201"/>
  <c r="AJ21" i="201"/>
  <c r="AN21" i="201"/>
  <c r="FH27" i="201"/>
  <c r="FU27" i="201"/>
  <c r="AQ30" i="201"/>
  <c r="AN30" i="201"/>
  <c r="AM30" i="201"/>
  <c r="AS30" i="201"/>
  <c r="AL30" i="201"/>
  <c r="AO30" i="201"/>
  <c r="AJ30" i="201"/>
  <c r="AO38" i="201"/>
  <c r="AL38" i="201"/>
  <c r="AS38" i="201"/>
  <c r="AQ38" i="201"/>
  <c r="AN38" i="201"/>
  <c r="AM38" i="201"/>
  <c r="AJ38" i="201"/>
  <c r="AK52" i="201"/>
  <c r="AK54" i="201"/>
  <c r="DT16" i="201"/>
  <c r="FO16" i="201"/>
  <c r="FJ16" i="201"/>
  <c r="FK16" i="201" s="1"/>
  <c r="FL16" i="201" s="1"/>
  <c r="FE16" i="201"/>
  <c r="FF16" i="201" s="1"/>
  <c r="FG16" i="201" s="1"/>
  <c r="FN17" i="201"/>
  <c r="DP17" i="201"/>
  <c r="DX17" i="201"/>
  <c r="DV17" i="201"/>
  <c r="FQ17" i="201"/>
  <c r="EE17" i="201"/>
  <c r="EF32" i="201"/>
  <c r="EJ32" i="201" s="1"/>
  <c r="CH32" i="201" s="1"/>
  <c r="EG32" i="201"/>
  <c r="EK32" i="201" s="1"/>
  <c r="FE84" i="200"/>
  <c r="EL85" i="200"/>
  <c r="EM85" i="200" s="1"/>
  <c r="EN85" i="200" s="1"/>
  <c r="IC14" i="201"/>
  <c r="HQ14" i="201"/>
  <c r="HD14" i="201"/>
  <c r="IB14" i="201"/>
  <c r="HP14" i="201"/>
  <c r="HZ14" i="201"/>
  <c r="HN14" i="201"/>
  <c r="HY14" i="201"/>
  <c r="HM14" i="201"/>
  <c r="HX14" i="201"/>
  <c r="HL14" i="201"/>
  <c r="HV14" i="201"/>
  <c r="HJ14" i="201"/>
  <c r="IF14" i="201"/>
  <c r="HT14" i="201"/>
  <c r="HH14" i="201"/>
  <c r="ID14" i="201"/>
  <c r="FN16" i="201"/>
  <c r="EL17" i="201"/>
  <c r="DT18" i="201"/>
  <c r="FO18" i="201"/>
  <c r="FJ18" i="201"/>
  <c r="FK18" i="201" s="1"/>
  <c r="FL18" i="201" s="1"/>
  <c r="FE18" i="201"/>
  <c r="FF18" i="201" s="1"/>
  <c r="FG18" i="201" s="1"/>
  <c r="CM19" i="201"/>
  <c r="EE19" i="201"/>
  <c r="BQ22" i="201"/>
  <c r="EG22" i="201"/>
  <c r="EK22" i="201" s="1"/>
  <c r="EV22" i="201" s="1"/>
  <c r="CJ22" i="201" s="1"/>
  <c r="EF22" i="201"/>
  <c r="EJ22" i="201" s="1"/>
  <c r="EF27" i="201"/>
  <c r="EG27" i="201"/>
  <c r="EK27" i="201" s="1"/>
  <c r="CW85" i="200"/>
  <c r="FR16" i="201"/>
  <c r="CC16" i="201"/>
  <c r="FA16" i="201"/>
  <c r="EN19" i="201"/>
  <c r="ER19" i="201" s="1"/>
  <c r="EM19" i="201"/>
  <c r="EQ19" i="201" s="1"/>
  <c r="CI19" i="201" s="1"/>
  <c r="DT20" i="201"/>
  <c r="FO20" i="201"/>
  <c r="FJ20" i="201"/>
  <c r="FK20" i="201" s="1"/>
  <c r="FL20" i="201" s="1"/>
  <c r="FE20" i="201"/>
  <c r="FF20" i="201" s="1"/>
  <c r="FG20" i="201" s="1"/>
  <c r="FH21" i="201"/>
  <c r="FU21" i="201"/>
  <c r="EY24" i="201"/>
  <c r="EX24" i="201"/>
  <c r="FQ24" i="201"/>
  <c r="BO24" i="201"/>
  <c r="CM24" i="201"/>
  <c r="AS25" i="201"/>
  <c r="AQ25" i="201"/>
  <c r="AO25" i="201"/>
  <c r="AN25" i="201"/>
  <c r="AJ25" i="201"/>
  <c r="AL25" i="201"/>
  <c r="EL84" i="200"/>
  <c r="EM84" i="200" s="1"/>
  <c r="EN84" i="200" s="1"/>
  <c r="EE84" i="200"/>
  <c r="EG84" i="200" s="1"/>
  <c r="DL84" i="200" s="1"/>
  <c r="EO85" i="200"/>
  <c r="FB85" i="200"/>
  <c r="HF14" i="201"/>
  <c r="AD46" i="201"/>
  <c r="AD47" i="201" s="1"/>
  <c r="FR18" i="201"/>
  <c r="CC18" i="201"/>
  <c r="FA18" i="201"/>
  <c r="DZ18" i="201"/>
  <c r="GE18" i="201"/>
  <c r="GC18" i="201"/>
  <c r="GA18" i="201"/>
  <c r="GL18" i="201" s="1"/>
  <c r="GM18" i="201" s="1"/>
  <c r="BQ19" i="201"/>
  <c r="DT19" i="201"/>
  <c r="FQ19" i="201"/>
  <c r="CL21" i="201"/>
  <c r="FR22" i="201"/>
  <c r="EC22" i="201"/>
  <c r="FP22" i="201" s="1"/>
  <c r="AM24" i="201"/>
  <c r="AJ24" i="201"/>
  <c r="AQ24" i="201"/>
  <c r="CK24" i="201"/>
  <c r="AS27" i="201"/>
  <c r="AQ27" i="201"/>
  <c r="AO27" i="201"/>
  <c r="AN27" i="201"/>
  <c r="AN29" i="201"/>
  <c r="AO29" i="201"/>
  <c r="AM29" i="201"/>
  <c r="AL29" i="201"/>
  <c r="AJ29" i="201"/>
  <c r="AS29" i="201"/>
  <c r="AZ31" i="201"/>
  <c r="AU31" i="201"/>
  <c r="EI31" i="201" s="1"/>
  <c r="CL32" i="201"/>
  <c r="CL35" i="201"/>
  <c r="DB85" i="200"/>
  <c r="AL52" i="201"/>
  <c r="AL54" i="201"/>
  <c r="DP16" i="201"/>
  <c r="EB16" i="201"/>
  <c r="FM16" i="201"/>
  <c r="FP16" i="201" s="1"/>
  <c r="DP18" i="201"/>
  <c r="EB18" i="201"/>
  <c r="FM18" i="201"/>
  <c r="FP18" i="201" s="1"/>
  <c r="DV19" i="201"/>
  <c r="DP20" i="201"/>
  <c r="EB20" i="201"/>
  <c r="DW22" i="201"/>
  <c r="DV22" i="201"/>
  <c r="DU22" i="201"/>
  <c r="FN22" i="201"/>
  <c r="DX22" i="201"/>
  <c r="AS23" i="201"/>
  <c r="AQ23" i="201"/>
  <c r="AO23" i="201"/>
  <c r="EE23" i="201"/>
  <c r="FV23" i="201"/>
  <c r="FR24" i="201"/>
  <c r="EC24" i="201"/>
  <c r="FP24" i="201" s="1"/>
  <c r="DZ25" i="201"/>
  <c r="EN27" i="201"/>
  <c r="ER27" i="201" s="1"/>
  <c r="EM27" i="201"/>
  <c r="EQ27" i="201" s="1"/>
  <c r="CI27" i="201" s="1"/>
  <c r="CL29" i="201"/>
  <c r="FT29" i="201"/>
  <c r="AN49" i="201"/>
  <c r="AN53" i="201"/>
  <c r="DX19" i="201"/>
  <c r="CM21" i="201"/>
  <c r="FP21" i="201"/>
  <c r="DZ22" i="201"/>
  <c r="GA24" i="201"/>
  <c r="GD24" i="201"/>
  <c r="CL27" i="201"/>
  <c r="FO28" i="201"/>
  <c r="DT28" i="201"/>
  <c r="FE28" i="201"/>
  <c r="FF28" i="201" s="1"/>
  <c r="FG28" i="201" s="1"/>
  <c r="FN28" i="201"/>
  <c r="FJ28" i="201"/>
  <c r="FK28" i="201" s="1"/>
  <c r="FL28" i="201" s="1"/>
  <c r="GL38" i="201"/>
  <c r="GM38" i="201" s="1"/>
  <c r="AN41" i="201"/>
  <c r="AM41" i="201"/>
  <c r="AO41" i="201"/>
  <c r="AL41" i="201"/>
  <c r="AJ41" i="201"/>
  <c r="AS41" i="201"/>
  <c r="AQ41" i="201"/>
  <c r="CM30" i="201"/>
  <c r="GD30" i="201"/>
  <c r="GA30" i="201"/>
  <c r="GE30" i="201"/>
  <c r="GC30" i="201"/>
  <c r="EQ31" i="201"/>
  <c r="CI31" i="201" s="1"/>
  <c r="AZ32" i="201"/>
  <c r="AU32" i="201"/>
  <c r="DZ33" i="201"/>
  <c r="EB44" i="201"/>
  <c r="EC44" i="201"/>
  <c r="FP44" i="201" s="1"/>
  <c r="FN44" i="201"/>
  <c r="ED44" i="201"/>
  <c r="EA44" i="201"/>
  <c r="AG46" i="201"/>
  <c r="FR21" i="201"/>
  <c r="EB22" i="201"/>
  <c r="EC23" i="201"/>
  <c r="FP23" i="201" s="1"/>
  <c r="EB23" i="201"/>
  <c r="EA23" i="201"/>
  <c r="DT23" i="201"/>
  <c r="AN24" i="201"/>
  <c r="CK26" i="201"/>
  <c r="AJ27" i="201"/>
  <c r="CK28" i="201"/>
  <c r="AQ32" i="201"/>
  <c r="AN32" i="201"/>
  <c r="AM32" i="201"/>
  <c r="AL32" i="201"/>
  <c r="AP32" i="201" s="1"/>
  <c r="AS32" i="201"/>
  <c r="AO32" i="201"/>
  <c r="DT35" i="201"/>
  <c r="AH46" i="201"/>
  <c r="GA20" i="201"/>
  <c r="GL20" i="201" s="1"/>
  <c r="GM20" i="201" s="1"/>
  <c r="ED22" i="201"/>
  <c r="AP23" i="201"/>
  <c r="AO24" i="201"/>
  <c r="EC25" i="201"/>
  <c r="FP25" i="201" s="1"/>
  <c r="EB25" i="201"/>
  <c r="EA25" i="201"/>
  <c r="CI26" i="201"/>
  <c r="AL27" i="201"/>
  <c r="CM29" i="201"/>
  <c r="EF30" i="201"/>
  <c r="EJ30" i="201" s="1"/>
  <c r="CH30" i="201" s="1"/>
  <c r="EG30" i="201"/>
  <c r="EK30" i="201" s="1"/>
  <c r="EV30" i="201" s="1"/>
  <c r="CJ30" i="201" s="1"/>
  <c r="FQ32" i="201"/>
  <c r="EY32" i="201"/>
  <c r="EX32" i="201"/>
  <c r="BO32" i="201"/>
  <c r="CM32" i="201"/>
  <c r="FP35" i="201"/>
  <c r="AY45" i="201"/>
  <c r="AY43" i="201"/>
  <c r="AY41" i="201"/>
  <c r="AY39" i="201"/>
  <c r="AY37" i="201"/>
  <c r="AY57" i="201"/>
  <c r="AY35" i="201"/>
  <c r="AY33" i="201"/>
  <c r="AY44" i="201"/>
  <c r="AY36" i="201"/>
  <c r="AY38" i="201"/>
  <c r="AY34" i="201"/>
  <c r="AY32" i="201"/>
  <c r="AY30" i="201"/>
  <c r="AY42" i="201"/>
  <c r="AY28" i="201"/>
  <c r="AY26" i="201"/>
  <c r="AY24" i="201"/>
  <c r="AY22" i="201"/>
  <c r="AY29" i="201"/>
  <c r="AY40" i="201"/>
  <c r="AK49" i="201"/>
  <c r="AK53" i="201"/>
  <c r="EB17" i="201"/>
  <c r="FA17" i="201"/>
  <c r="AJ18" i="201"/>
  <c r="DP19" i="201"/>
  <c r="EB19" i="201"/>
  <c r="FA19" i="201"/>
  <c r="AJ20" i="201"/>
  <c r="GB20" i="201"/>
  <c r="AY21" i="201"/>
  <c r="AM22" i="201"/>
  <c r="AJ22" i="201"/>
  <c r="AQ22" i="201"/>
  <c r="GA22" i="201"/>
  <c r="AL23" i="201"/>
  <c r="FN23" i="201"/>
  <c r="DP23" i="201"/>
  <c r="DW23" i="201"/>
  <c r="FO23" i="201" s="1"/>
  <c r="DV23" i="201"/>
  <c r="AY25" i="201"/>
  <c r="FR26" i="201"/>
  <c r="EC26" i="201"/>
  <c r="FP26" i="201" s="1"/>
  <c r="AM27" i="201"/>
  <c r="DZ27" i="201"/>
  <c r="FQ28" i="201"/>
  <c r="EY28" i="201"/>
  <c r="EX28" i="201"/>
  <c r="CM28" i="201"/>
  <c r="AQ29" i="201"/>
  <c r="CK30" i="201"/>
  <c r="FB17" i="201"/>
  <c r="FB19" i="201"/>
  <c r="GC20" i="201"/>
  <c r="EC21" i="201"/>
  <c r="EB21" i="201"/>
  <c r="FJ22" i="201"/>
  <c r="FK22" i="201" s="1"/>
  <c r="FL22" i="201" s="1"/>
  <c r="GB22" i="201"/>
  <c r="EO23" i="201"/>
  <c r="CL23" i="201"/>
  <c r="EY26" i="201"/>
  <c r="EX26" i="201"/>
  <c r="FQ26" i="201"/>
  <c r="FO30" i="201"/>
  <c r="CC33" i="201"/>
  <c r="CA33" i="201"/>
  <c r="FB33" i="201"/>
  <c r="FA33" i="201"/>
  <c r="FR33" i="201"/>
  <c r="AS34" i="201"/>
  <c r="AQ34" i="201"/>
  <c r="AN34" i="201"/>
  <c r="AM34" i="201"/>
  <c r="AL34" i="201"/>
  <c r="AO34" i="201"/>
  <c r="AJ34" i="201"/>
  <c r="EM36" i="201"/>
  <c r="EQ36" i="201" s="1"/>
  <c r="CI36" i="201" s="1"/>
  <c r="EN36" i="201"/>
  <c r="ER36" i="201" s="1"/>
  <c r="CC38" i="201"/>
  <c r="CA38" i="201"/>
  <c r="FB38" i="201"/>
  <c r="FA38" i="201"/>
  <c r="FR38" i="201"/>
  <c r="DZ38" i="201"/>
  <c r="AM52" i="201"/>
  <c r="AM54" i="201"/>
  <c r="AL18" i="201"/>
  <c r="AL20" i="201"/>
  <c r="GD20" i="201"/>
  <c r="DP22" i="201"/>
  <c r="GC22" i="201"/>
  <c r="ET23" i="201"/>
  <c r="AS24" i="201"/>
  <c r="CL25" i="201"/>
  <c r="BO26" i="201"/>
  <c r="FN30" i="201"/>
  <c r="EC30" i="201"/>
  <c r="FP30" i="201" s="1"/>
  <c r="DP30" i="201"/>
  <c r="FR30" i="201"/>
  <c r="ED30" i="201"/>
  <c r="EB30" i="201"/>
  <c r="EA30" i="201"/>
  <c r="AY31" i="201"/>
  <c r="FH31" i="201"/>
  <c r="FO31" i="201" s="1"/>
  <c r="FU31" i="201"/>
  <c r="GL31" i="201"/>
  <c r="GM31" i="201" s="1"/>
  <c r="FS35" i="201"/>
  <c r="EM35" i="201"/>
  <c r="EQ35" i="201" s="1"/>
  <c r="EN35" i="201"/>
  <c r="ER35" i="201" s="1"/>
  <c r="EV35" i="201" s="1"/>
  <c r="CJ35" i="201" s="1"/>
  <c r="DT42" i="201"/>
  <c r="DT40" i="201"/>
  <c r="DT38" i="201"/>
  <c r="DT36" i="201"/>
  <c r="DZ28" i="201"/>
  <c r="DT27" i="201"/>
  <c r="DZ26" i="201"/>
  <c r="DT25" i="201"/>
  <c r="DZ24" i="201"/>
  <c r="AY16" i="201"/>
  <c r="AY18" i="201"/>
  <c r="AY20" i="201"/>
  <c r="FN21" i="201"/>
  <c r="DP21" i="201"/>
  <c r="DW21" i="201"/>
  <c r="FO21" i="201" s="1"/>
  <c r="DV21" i="201"/>
  <c r="EM21" i="201"/>
  <c r="EQ21" i="201" s="1"/>
  <c r="CI21" i="201" s="1"/>
  <c r="FE22" i="201"/>
  <c r="FF22" i="201" s="1"/>
  <c r="FG22" i="201" s="1"/>
  <c r="GE22" i="201"/>
  <c r="DT24" i="201"/>
  <c r="FJ24" i="201"/>
  <c r="FK24" i="201" s="1"/>
  <c r="FL24" i="201" s="1"/>
  <c r="FE24" i="201"/>
  <c r="FF24" i="201" s="1"/>
  <c r="FG24" i="201" s="1"/>
  <c r="ED25" i="201"/>
  <c r="EN25" i="201"/>
  <c r="EM25" i="201"/>
  <c r="EQ25" i="201" s="1"/>
  <c r="BQ26" i="201"/>
  <c r="EA26" i="201"/>
  <c r="GA26" i="201"/>
  <c r="GD26" i="201"/>
  <c r="EG28" i="201"/>
  <c r="EK28" i="201" s="1"/>
  <c r="EV28" i="201" s="1"/>
  <c r="CJ28" i="201" s="1"/>
  <c r="EF28" i="201"/>
  <c r="EJ28" i="201" s="1"/>
  <c r="CH28" i="201" s="1"/>
  <c r="FN24" i="201"/>
  <c r="DW25" i="201"/>
  <c r="FO25" i="201" s="1"/>
  <c r="AQ26" i="201"/>
  <c r="FN26" i="201"/>
  <c r="DW27" i="201"/>
  <c r="FO27" i="201" s="1"/>
  <c r="AQ28" i="201"/>
  <c r="EC28" i="201"/>
  <c r="FP28" i="201" s="1"/>
  <c r="FQ30" i="201"/>
  <c r="EY30" i="201"/>
  <c r="EX30" i="201"/>
  <c r="DT33" i="201"/>
  <c r="FO33" i="201"/>
  <c r="FJ33" i="201"/>
  <c r="FK33" i="201" s="1"/>
  <c r="FL33" i="201" s="1"/>
  <c r="FE33" i="201"/>
  <c r="FF33" i="201" s="1"/>
  <c r="FG33" i="201" s="1"/>
  <c r="EV33" i="201"/>
  <c r="CJ33" i="201" s="1"/>
  <c r="ED28" i="201"/>
  <c r="CL31" i="201"/>
  <c r="FJ31" i="201"/>
  <c r="FK31" i="201" s="1"/>
  <c r="FL31" i="201" s="1"/>
  <c r="CK33" i="201"/>
  <c r="CI33" i="201"/>
  <c r="CH34" i="201"/>
  <c r="AO35" i="201"/>
  <c r="FQ34" i="201"/>
  <c r="GE35" i="201"/>
  <c r="GD35" i="201"/>
  <c r="GC35" i="201"/>
  <c r="GB35" i="201"/>
  <c r="GA35" i="201"/>
  <c r="GL35" i="201" s="1"/>
  <c r="GM35" i="201" s="1"/>
  <c r="DX36" i="201"/>
  <c r="FQ36" i="201"/>
  <c r="FO36" i="201"/>
  <c r="DP36" i="201"/>
  <c r="FN36" i="201"/>
  <c r="DW36" i="201"/>
  <c r="FH39" i="201"/>
  <c r="FU39" i="201"/>
  <c r="ES40" i="201"/>
  <c r="EM42" i="201"/>
  <c r="EQ42" i="201" s="1"/>
  <c r="EN42" i="201"/>
  <c r="AO44" i="201"/>
  <c r="AN44" i="201"/>
  <c r="AL44" i="201"/>
  <c r="AJ44" i="201"/>
  <c r="AS44" i="201"/>
  <c r="AM44" i="201"/>
  <c r="GB28" i="201"/>
  <c r="GL28" i="201" s="1"/>
  <c r="GM28" i="201" s="1"/>
  <c r="DZ29" i="201"/>
  <c r="FP29" i="201"/>
  <c r="FE35" i="201"/>
  <c r="FF35" i="201" s="1"/>
  <c r="FG35" i="201" s="1"/>
  <c r="AO36" i="201"/>
  <c r="AL36" i="201"/>
  <c r="AS36" i="201"/>
  <c r="AN36" i="201"/>
  <c r="AM36" i="201"/>
  <c r="AJ36" i="201"/>
  <c r="CL36" i="201"/>
  <c r="DT37" i="201"/>
  <c r="AO42" i="201"/>
  <c r="AN42" i="201"/>
  <c r="AL42" i="201"/>
  <c r="AS42" i="201"/>
  <c r="AQ42" i="201"/>
  <c r="AJ42" i="201"/>
  <c r="CL42" i="201"/>
  <c r="GE43" i="201"/>
  <c r="GC43" i="201"/>
  <c r="GA43" i="201"/>
  <c r="GL43" i="201" s="1"/>
  <c r="GM43" i="201" s="1"/>
  <c r="GB43" i="201"/>
  <c r="DU24" i="201"/>
  <c r="DU26" i="201"/>
  <c r="EA27" i="201"/>
  <c r="DU28" i="201"/>
  <c r="GC28" i="201"/>
  <c r="FN31" i="201"/>
  <c r="DZ32" i="201"/>
  <c r="EB32" i="201"/>
  <c r="AN33" i="201"/>
  <c r="AJ33" i="201"/>
  <c r="AS33" i="201"/>
  <c r="EY35" i="201"/>
  <c r="EK37" i="201"/>
  <c r="EM38" i="201"/>
  <c r="EQ38" i="201" s="1"/>
  <c r="CI38" i="201" s="1"/>
  <c r="EN38" i="201"/>
  <c r="ER38" i="201" s="1"/>
  <c r="EF40" i="201"/>
  <c r="EJ40" i="201" s="1"/>
  <c r="EG40" i="201"/>
  <c r="DZ40" i="201"/>
  <c r="FP40" i="201"/>
  <c r="FA21" i="201"/>
  <c r="FA23" i="201"/>
  <c r="DV24" i="201"/>
  <c r="DP25" i="201"/>
  <c r="FA25" i="201"/>
  <c r="AJ26" i="201"/>
  <c r="DV26" i="201"/>
  <c r="DP27" i="201"/>
  <c r="EB27" i="201"/>
  <c r="FA27" i="201"/>
  <c r="AJ28" i="201"/>
  <c r="DV28" i="201"/>
  <c r="GD28" i="201"/>
  <c r="DT29" i="201"/>
  <c r="FE29" i="201"/>
  <c r="FF29" i="201" s="1"/>
  <c r="FG29" i="201" s="1"/>
  <c r="FO29" i="201"/>
  <c r="DZ31" i="201"/>
  <c r="FP31" i="201"/>
  <c r="FR31" i="201"/>
  <c r="ED32" i="201"/>
  <c r="FR35" i="201"/>
  <c r="CC35" i="201"/>
  <c r="DZ35" i="201"/>
  <c r="FB35" i="201"/>
  <c r="FA35" i="201"/>
  <c r="FR37" i="201"/>
  <c r="CC37" i="201"/>
  <c r="DZ37" i="201"/>
  <c r="CA37" i="201"/>
  <c r="FB37" i="201"/>
  <c r="FA37" i="201"/>
  <c r="EG39" i="201"/>
  <c r="EK39" i="201" s="1"/>
  <c r="EV39" i="201" s="1"/>
  <c r="CJ39" i="201" s="1"/>
  <c r="EF39" i="201"/>
  <c r="EJ39" i="201" s="1"/>
  <c r="EG41" i="201"/>
  <c r="EK41" i="201" s="1"/>
  <c r="EV41" i="201" s="1"/>
  <c r="CJ41" i="201" s="1"/>
  <c r="EF41" i="201"/>
  <c r="EJ41" i="201" s="1"/>
  <c r="CH41" i="201" s="1"/>
  <c r="FQ45" i="201"/>
  <c r="BQ45" i="201"/>
  <c r="EY45" i="201"/>
  <c r="EX45" i="201"/>
  <c r="CM45" i="201"/>
  <c r="AS57" i="201"/>
  <c r="AN57" i="201"/>
  <c r="AL57" i="201"/>
  <c r="AQ57" i="201"/>
  <c r="AO57" i="201"/>
  <c r="AM57" i="201"/>
  <c r="AJ57" i="201"/>
  <c r="FN25" i="201"/>
  <c r="EC27" i="201"/>
  <c r="FP27" i="201" s="1"/>
  <c r="FN27" i="201"/>
  <c r="GE28" i="201"/>
  <c r="EE29" i="201"/>
  <c r="FR29" i="201"/>
  <c r="DZ30" i="201"/>
  <c r="DT32" i="201"/>
  <c r="FE32" i="201"/>
  <c r="FF32" i="201" s="1"/>
  <c r="FG32" i="201" s="1"/>
  <c r="FJ32" i="201"/>
  <c r="FK32" i="201" s="1"/>
  <c r="FL32" i="201" s="1"/>
  <c r="FT33" i="201"/>
  <c r="EG34" i="201"/>
  <c r="EK34" i="201" s="1"/>
  <c r="EV34" i="201" s="1"/>
  <c r="CJ34" i="201" s="1"/>
  <c r="FH34" i="201"/>
  <c r="FO34" i="201" s="1"/>
  <c r="GL36" i="201"/>
  <c r="GM36" i="201" s="1"/>
  <c r="CL38" i="201"/>
  <c r="EF38" i="201"/>
  <c r="EJ38" i="201" s="1"/>
  <c r="CH38" i="201" s="1"/>
  <c r="EG38" i="201"/>
  <c r="EK38" i="201" s="1"/>
  <c r="EV38" i="201" s="1"/>
  <c r="CJ38" i="201" s="1"/>
  <c r="FP38" i="201"/>
  <c r="AU39" i="201"/>
  <c r="ES39" i="201" s="1"/>
  <c r="AZ39" i="201"/>
  <c r="AP39" i="201"/>
  <c r="FR41" i="201"/>
  <c r="CC41" i="201"/>
  <c r="DZ41" i="201"/>
  <c r="CA41" i="201"/>
  <c r="FB41" i="201"/>
  <c r="FA41" i="201"/>
  <c r="FA29" i="201"/>
  <c r="DT31" i="201"/>
  <c r="EL32" i="201"/>
  <c r="AN35" i="201"/>
  <c r="AM35" i="201"/>
  <c r="AL35" i="201"/>
  <c r="AJ35" i="201"/>
  <c r="AS35" i="201"/>
  <c r="EX35" i="201"/>
  <c r="FQ35" i="201"/>
  <c r="CM36" i="201"/>
  <c r="EF36" i="201"/>
  <c r="EJ36" i="201" s="1"/>
  <c r="EG36" i="201"/>
  <c r="EK36" i="201" s="1"/>
  <c r="EV36" i="201" s="1"/>
  <c r="CJ36" i="201" s="1"/>
  <c r="FP36" i="201"/>
  <c r="DZ36" i="201"/>
  <c r="FN39" i="201"/>
  <c r="AN43" i="201"/>
  <c r="AM43" i="201"/>
  <c r="AL43" i="201"/>
  <c r="AJ43" i="201"/>
  <c r="AS43" i="201"/>
  <c r="AQ43" i="201"/>
  <c r="FR43" i="201"/>
  <c r="CC43" i="201"/>
  <c r="FA43" i="201"/>
  <c r="DZ43" i="201"/>
  <c r="FB43" i="201"/>
  <c r="CA43" i="201"/>
  <c r="FB29" i="201"/>
  <c r="FU29" i="201"/>
  <c r="DT30" i="201"/>
  <c r="FE30" i="201"/>
  <c r="FF30" i="201" s="1"/>
  <c r="FG30" i="201" s="1"/>
  <c r="FJ30" i="201"/>
  <c r="FK30" i="201" s="1"/>
  <c r="FL30" i="201" s="1"/>
  <c r="AN31" i="201"/>
  <c r="AP31" i="201" s="1"/>
  <c r="AS31" i="201"/>
  <c r="EH31" i="201"/>
  <c r="FB31" i="201"/>
  <c r="AL33" i="201"/>
  <c r="DZ34" i="201"/>
  <c r="AK37" i="201"/>
  <c r="CC40" i="201"/>
  <c r="CA40" i="201"/>
  <c r="FA40" i="201"/>
  <c r="FR40" i="201"/>
  <c r="FB40" i="201"/>
  <c r="AO43" i="201"/>
  <c r="EP31" i="201"/>
  <c r="CH31" i="201"/>
  <c r="FN32" i="201"/>
  <c r="EC32" i="201"/>
  <c r="FP32" i="201" s="1"/>
  <c r="EM34" i="201"/>
  <c r="EQ34" i="201" s="1"/>
  <c r="CI34" i="201" s="1"/>
  <c r="EL99" i="201"/>
  <c r="EJ99" i="201"/>
  <c r="ET40" i="201"/>
  <c r="DR40" i="201"/>
  <c r="CS40" i="201"/>
  <c r="CR40" i="201"/>
  <c r="AJ45" i="201"/>
  <c r="AN45" i="201"/>
  <c r="AS45" i="201"/>
  <c r="AQ45" i="201"/>
  <c r="AO45" i="201"/>
  <c r="AM45" i="201"/>
  <c r="AL45" i="201"/>
  <c r="CM34" i="201"/>
  <c r="DV35" i="201"/>
  <c r="EC38" i="201"/>
  <c r="ED40" i="201"/>
  <c r="EG43" i="201"/>
  <c r="EK43" i="201" s="1"/>
  <c r="EV43" i="201" s="1"/>
  <c r="CJ43" i="201" s="1"/>
  <c r="EF43" i="201"/>
  <c r="EJ43" i="201" s="1"/>
  <c r="CH43" i="201" s="1"/>
  <c r="FP33" i="201"/>
  <c r="EX34" i="201"/>
  <c r="DW35" i="201"/>
  <c r="FO35" i="201" s="1"/>
  <c r="FH36" i="201"/>
  <c r="EY37" i="201"/>
  <c r="EX37" i="201"/>
  <c r="ED38" i="201"/>
  <c r="FN38" i="201"/>
  <c r="AQ39" i="201"/>
  <c r="CL39" i="201"/>
  <c r="FS40" i="201"/>
  <c r="DT41" i="201"/>
  <c r="FO41" i="201"/>
  <c r="FE41" i="201"/>
  <c r="FF41" i="201" s="1"/>
  <c r="FG41" i="201" s="1"/>
  <c r="FJ41" i="201"/>
  <c r="FK41" i="201" s="1"/>
  <c r="FL41" i="201" s="1"/>
  <c r="FH42" i="201"/>
  <c r="DT43" i="201"/>
  <c r="FO43" i="201"/>
  <c r="FE43" i="201"/>
  <c r="FF43" i="201" s="1"/>
  <c r="FG43" i="201" s="1"/>
  <c r="FJ43" i="201"/>
  <c r="FK43" i="201" s="1"/>
  <c r="FL43" i="201" s="1"/>
  <c r="EL82" i="201"/>
  <c r="FQ29" i="201"/>
  <c r="FQ31" i="201"/>
  <c r="FQ33" i="201"/>
  <c r="EY34" i="201"/>
  <c r="GA34" i="201"/>
  <c r="DX35" i="201"/>
  <c r="DV37" i="201"/>
  <c r="FU37" i="201"/>
  <c r="DP38" i="201"/>
  <c r="FS39" i="201"/>
  <c r="DP40" i="201"/>
  <c r="FA44" i="201"/>
  <c r="FR44" i="201"/>
  <c r="CC44" i="201"/>
  <c r="BQ34" i="201"/>
  <c r="DP34" i="201"/>
  <c r="EB34" i="201"/>
  <c r="GC34" i="201"/>
  <c r="GC37" i="201"/>
  <c r="DT39" i="201"/>
  <c r="FO39" i="201"/>
  <c r="FE39" i="201"/>
  <c r="FF39" i="201" s="1"/>
  <c r="FG39" i="201" s="1"/>
  <c r="FJ39" i="201"/>
  <c r="FK39" i="201" s="1"/>
  <c r="FL39" i="201" s="1"/>
  <c r="EH39" i="201"/>
  <c r="EL40" i="201"/>
  <c r="EM41" i="201"/>
  <c r="EQ41" i="201" s="1"/>
  <c r="CI41" i="201" s="1"/>
  <c r="EN44" i="201"/>
  <c r="ER44" i="201" s="1"/>
  <c r="EM44" i="201"/>
  <c r="EQ44" i="201" s="1"/>
  <c r="CI44" i="201" s="1"/>
  <c r="FP45" i="201"/>
  <c r="EC34" i="201"/>
  <c r="FP34" i="201" s="1"/>
  <c r="FN34" i="201"/>
  <c r="AO40" i="201"/>
  <c r="AN40" i="201"/>
  <c r="AL40" i="201"/>
  <c r="AS40" i="201"/>
  <c r="FQ41" i="201"/>
  <c r="EY41" i="201"/>
  <c r="EX41" i="201"/>
  <c r="GE41" i="201"/>
  <c r="GA41" i="201"/>
  <c r="GL41" i="201" s="1"/>
  <c r="GM41" i="201" s="1"/>
  <c r="FO42" i="201"/>
  <c r="FQ43" i="201"/>
  <c r="BQ43" i="201"/>
  <c r="EY43" i="201"/>
  <c r="EX43" i="201"/>
  <c r="FN43" i="201"/>
  <c r="ED34" i="201"/>
  <c r="GE37" i="201"/>
  <c r="GA37" i="201"/>
  <c r="FR39" i="201"/>
  <c r="CC39" i="201"/>
  <c r="DZ39" i="201"/>
  <c r="CL44" i="201"/>
  <c r="EG45" i="201"/>
  <c r="EK45" i="201" s="1"/>
  <c r="EF45" i="201"/>
  <c r="EJ45" i="201" s="1"/>
  <c r="CH45" i="201" s="1"/>
  <c r="FJ35" i="201"/>
  <c r="FK35" i="201" s="1"/>
  <c r="FL35" i="201" s="1"/>
  <c r="FR36" i="201"/>
  <c r="DP35" i="201"/>
  <c r="FM37" i="201"/>
  <c r="FP37" i="201" s="1"/>
  <c r="FQ39" i="201"/>
  <c r="EY39" i="201"/>
  <c r="EX39" i="201"/>
  <c r="GE39" i="201"/>
  <c r="GA39" i="201"/>
  <c r="AQ40" i="201"/>
  <c r="DZ42" i="201"/>
  <c r="EC42" i="201"/>
  <c r="FP42" i="201" s="1"/>
  <c r="EE42" i="201"/>
  <c r="EN45" i="201"/>
  <c r="ER45" i="201" s="1"/>
  <c r="EM45" i="201"/>
  <c r="EQ45" i="201" s="1"/>
  <c r="CI45" i="201" s="1"/>
  <c r="FO37" i="201"/>
  <c r="FN37" i="201"/>
  <c r="AN39" i="201"/>
  <c r="AM39" i="201"/>
  <c r="FO45" i="201"/>
  <c r="EY44" i="201"/>
  <c r="FQ44" i="201"/>
  <c r="DT44" i="201"/>
  <c r="GE57" i="201"/>
  <c r="GD57" i="201"/>
  <c r="AD17" i="206"/>
  <c r="AD19" i="206"/>
  <c r="AD21" i="206"/>
  <c r="AD23" i="206"/>
  <c r="AD25" i="206"/>
  <c r="AD27" i="206"/>
  <c r="AD29" i="206"/>
  <c r="AD31" i="206"/>
  <c r="AE33" i="206"/>
  <c r="AE35" i="206"/>
  <c r="AE37" i="206"/>
  <c r="AE39" i="206"/>
  <c r="AE41" i="206"/>
  <c r="AE43" i="206"/>
  <c r="AE45" i="206"/>
  <c r="AE47" i="206"/>
  <c r="AE49" i="206"/>
  <c r="DP44" i="201"/>
  <c r="DV44" i="201"/>
  <c r="DU44" i="201"/>
  <c r="EA45" i="201"/>
  <c r="GA57" i="201"/>
  <c r="AE17" i="206"/>
  <c r="AE19" i="206"/>
  <c r="AE21" i="206"/>
  <c r="AE23" i="206"/>
  <c r="AE25" i="206"/>
  <c r="AE27" i="206"/>
  <c r="AE29" i="206"/>
  <c r="AE31" i="206"/>
  <c r="FQ38" i="201"/>
  <c r="FQ40" i="201"/>
  <c r="FQ42" i="201"/>
  <c r="GC44" i="201"/>
  <c r="GB44" i="201"/>
  <c r="GA44" i="201"/>
  <c r="GL44" i="201" s="1"/>
  <c r="GM44" i="201" s="1"/>
  <c r="FS45" i="201"/>
  <c r="GB57" i="201"/>
  <c r="DZ45" i="201"/>
  <c r="AA14" i="206"/>
  <c r="DZ44" i="201"/>
  <c r="DT45" i="201"/>
  <c r="FE44" i="201"/>
  <c r="FF44" i="201" s="1"/>
  <c r="FG44" i="201" s="1"/>
  <c r="EX44" i="201"/>
  <c r="FR45" i="201"/>
  <c r="FA45" i="201"/>
  <c r="GC45" i="201"/>
  <c r="GA45" i="201"/>
  <c r="P15" i="205"/>
  <c r="AO16" i="205"/>
  <c r="N14" i="207"/>
  <c r="O14" i="207" s="1" a="1"/>
  <c r="O14" i="207" s="1"/>
  <c r="L15" i="207"/>
  <c r="BO44" i="201"/>
  <c r="EG44" i="201"/>
  <c r="FT44" i="201"/>
  <c r="AT57" i="201"/>
  <c r="AD13" i="206"/>
  <c r="AF14" i="206"/>
  <c r="AX57" i="201"/>
  <c r="S28" i="202"/>
  <c r="S34" i="202"/>
  <c r="S40" i="202"/>
  <c r="AF13" i="206"/>
  <c r="Z14" i="206"/>
  <c r="AF15" i="206"/>
  <c r="Z16" i="206"/>
  <c r="AF17" i="206"/>
  <c r="Z18" i="206"/>
  <c r="AF19" i="206"/>
  <c r="Z20" i="206"/>
  <c r="AF21" i="206"/>
  <c r="Z22" i="206"/>
  <c r="AF23" i="206"/>
  <c r="Z24" i="206"/>
  <c r="AF25" i="206"/>
  <c r="Z26" i="206"/>
  <c r="AF27" i="206"/>
  <c r="Z28" i="206"/>
  <c r="AF29" i="206"/>
  <c r="Z30" i="206"/>
  <c r="AF31" i="206"/>
  <c r="Z32" i="206"/>
  <c r="AF33" i="206"/>
  <c r="Z34" i="206"/>
  <c r="AF35" i="206"/>
  <c r="Z36" i="206"/>
  <c r="AF37" i="206"/>
  <c r="Z38" i="206"/>
  <c r="AF39" i="206"/>
  <c r="Z40" i="206"/>
  <c r="AF41" i="206"/>
  <c r="Z42" i="206"/>
  <c r="AF43" i="206"/>
  <c r="Z44" i="206"/>
  <c r="AF45" i="206"/>
  <c r="Z46" i="206"/>
  <c r="AF47" i="206"/>
  <c r="Z48" i="206"/>
  <c r="AF49" i="206"/>
  <c r="DP45" i="201"/>
  <c r="S29" i="202"/>
  <c r="S35" i="202"/>
  <c r="S41" i="202"/>
  <c r="AB14" i="206"/>
  <c r="AB16" i="206"/>
  <c r="AB18" i="206"/>
  <c r="AB20" i="206"/>
  <c r="AB22" i="206"/>
  <c r="AB24" i="206"/>
  <c r="AB26" i="206"/>
  <c r="AB28" i="206"/>
  <c r="AB30" i="206"/>
  <c r="AB32" i="206"/>
  <c r="AB34" i="206"/>
  <c r="AB36" i="206"/>
  <c r="AB38" i="206"/>
  <c r="AB40" i="206"/>
  <c r="AB42" i="206"/>
  <c r="AB44" i="206"/>
  <c r="AB46" i="206"/>
  <c r="AB48" i="206"/>
  <c r="AD14" i="206"/>
  <c r="AD16" i="206"/>
  <c r="AD18" i="206"/>
  <c r="AD20" i="206"/>
  <c r="AD22" i="206"/>
  <c r="AD24" i="206"/>
  <c r="AD26" i="206"/>
  <c r="AD28" i="206"/>
  <c r="AD30" i="206"/>
  <c r="AD32" i="206"/>
  <c r="AD34" i="206"/>
  <c r="AD36" i="206"/>
  <c r="AD38" i="206"/>
  <c r="AD40" i="206"/>
  <c r="AD42" i="206"/>
  <c r="AD44" i="206"/>
  <c r="AD46" i="206"/>
  <c r="AD48" i="206"/>
  <c r="AE16" i="206"/>
  <c r="AE18" i="206"/>
  <c r="AE20" i="206"/>
  <c r="AE22" i="206"/>
  <c r="AE24" i="206"/>
  <c r="AE26" i="206"/>
  <c r="AE28" i="206"/>
  <c r="AE30" i="206"/>
  <c r="AE32" i="206"/>
  <c r="AE34" i="206"/>
  <c r="AE36" i="206"/>
  <c r="AE38" i="206"/>
  <c r="AE40" i="206"/>
  <c r="AE42" i="206"/>
  <c r="AE44" i="206"/>
  <c r="AE46" i="206"/>
  <c r="AE48" i="206"/>
  <c r="S31" i="202"/>
  <c r="S37" i="202"/>
  <c r="Z13" i="206"/>
  <c r="Z15" i="206"/>
  <c r="Z17" i="206"/>
  <c r="Z19" i="206"/>
  <c r="Z21" i="206"/>
  <c r="Z23" i="206"/>
  <c r="Z25" i="206"/>
  <c r="Z27" i="206"/>
  <c r="Z29" i="206"/>
  <c r="Z31" i="206"/>
  <c r="Z33" i="206"/>
  <c r="Z35" i="206"/>
  <c r="Z37" i="206"/>
  <c r="Z39" i="206"/>
  <c r="Z41" i="206"/>
  <c r="Z43" i="206"/>
  <c r="Z45" i="206"/>
  <c r="Z47" i="206"/>
  <c r="Z49" i="206"/>
  <c r="DU45" i="201"/>
  <c r="AA13" i="206"/>
  <c r="AA15" i="206"/>
  <c r="AA17" i="206"/>
  <c r="AA19" i="206"/>
  <c r="AA21" i="206"/>
  <c r="AA23" i="206"/>
  <c r="AA25" i="206"/>
  <c r="AA27" i="206"/>
  <c r="AA29" i="206"/>
  <c r="AA31" i="206"/>
  <c r="AA33" i="206"/>
  <c r="AA35" i="206"/>
  <c r="AA37" i="206"/>
  <c r="AA39" i="206"/>
  <c r="AA41" i="206"/>
  <c r="AA43" i="206"/>
  <c r="AA45" i="206"/>
  <c r="AA47" i="206"/>
  <c r="AA49" i="206"/>
  <c r="S26" i="202"/>
  <c r="S32" i="202"/>
  <c r="AB13" i="206"/>
  <c r="AB15" i="206"/>
  <c r="AB17" i="206"/>
  <c r="AB19" i="206"/>
  <c r="AB21" i="206"/>
  <c r="AB23" i="206"/>
  <c r="AB25" i="206"/>
  <c r="AB27" i="206"/>
  <c r="AB29" i="206"/>
  <c r="AB31" i="206"/>
  <c r="AB33" i="206"/>
  <c r="AB35" i="206"/>
  <c r="AB37" i="206"/>
  <c r="AB39" i="206"/>
  <c r="AB41" i="206"/>
  <c r="AB43" i="206"/>
  <c r="AB45" i="206"/>
  <c r="AB47" i="206"/>
  <c r="AB49" i="206"/>
  <c r="AC13" i="206"/>
  <c r="AC15" i="206"/>
  <c r="AC17" i="206"/>
  <c r="AC19" i="206"/>
  <c r="AC21" i="206"/>
  <c r="AC23" i="206"/>
  <c r="AC25" i="206"/>
  <c r="AC27" i="206"/>
  <c r="AC29" i="206"/>
  <c r="AC31" i="206"/>
  <c r="AC33" i="206"/>
  <c r="AC35" i="206"/>
  <c r="AC37" i="206"/>
  <c r="AC39" i="206"/>
  <c r="AC41" i="206"/>
  <c r="AC43" i="206"/>
  <c r="AC45" i="206"/>
  <c r="AC47" i="206"/>
  <c r="AC49" i="206"/>
  <c r="AD33" i="206"/>
  <c r="AD35" i="206"/>
  <c r="AD37" i="206"/>
  <c r="AD39" i="206"/>
  <c r="AD41" i="206"/>
  <c r="AD43" i="206"/>
  <c r="AD45" i="206"/>
  <c r="AD47" i="206"/>
  <c r="AD49" i="206"/>
  <c r="EM45" i="160"/>
  <c r="EM44" i="160"/>
  <c r="EM43" i="160"/>
  <c r="EM42" i="160"/>
  <c r="EM41" i="160"/>
  <c r="EM40" i="160"/>
  <c r="EM39" i="160"/>
  <c r="EM38" i="160"/>
  <c r="EM37" i="160"/>
  <c r="EM36" i="160"/>
  <c r="EM35" i="160"/>
  <c r="EM34" i="160"/>
  <c r="EM33" i="160"/>
  <c r="EM32" i="160"/>
  <c r="EM31" i="160"/>
  <c r="EM30" i="160"/>
  <c r="EM29" i="160"/>
  <c r="EM28" i="160"/>
  <c r="EM27" i="160"/>
  <c r="EM26" i="160"/>
  <c r="EM25" i="160"/>
  <c r="EM24" i="160"/>
  <c r="EM23" i="160"/>
  <c r="EM22" i="160"/>
  <c r="EM21" i="160"/>
  <c r="EM20" i="160"/>
  <c r="EM19" i="160"/>
  <c r="EM18" i="160"/>
  <c r="EM17" i="160"/>
  <c r="EM16" i="160"/>
  <c r="EM15" i="160"/>
  <c r="EM14" i="160"/>
  <c r="EM45" i="84"/>
  <c r="EM44" i="84"/>
  <c r="EM43" i="84"/>
  <c r="EM42" i="84"/>
  <c r="EM41" i="84"/>
  <c r="EM40" i="84"/>
  <c r="EM39" i="84"/>
  <c r="EM38" i="84"/>
  <c r="EM37" i="84"/>
  <c r="EM36" i="84"/>
  <c r="EM35" i="84"/>
  <c r="EM34" i="84"/>
  <c r="EM33" i="84"/>
  <c r="EM32" i="84"/>
  <c r="EM31" i="84"/>
  <c r="EM30" i="84"/>
  <c r="EM29" i="84"/>
  <c r="DM65" i="200" l="1"/>
  <c r="FA24" i="200"/>
  <c r="FA21" i="200"/>
  <c r="EZ61" i="200"/>
  <c r="FA17" i="200"/>
  <c r="GL21" i="200"/>
  <c r="GM21" i="200" s="1"/>
  <c r="FX55" i="200"/>
  <c r="EX16" i="200"/>
  <c r="EX17" i="200" s="1"/>
  <c r="DM63" i="200"/>
  <c r="CM37" i="201"/>
  <c r="DU58" i="200"/>
  <c r="DT58" i="200"/>
  <c r="DY61" i="200"/>
  <c r="DW61" i="200"/>
  <c r="DQ55" i="200"/>
  <c r="EN15" i="200" s="1"/>
  <c r="DO55" i="200"/>
  <c r="EH43" i="201"/>
  <c r="CL43" i="201"/>
  <c r="CL22" i="201"/>
  <c r="DQ74" i="200"/>
  <c r="DO74" i="200"/>
  <c r="DR82" i="200"/>
  <c r="DP82" i="200"/>
  <c r="DX61" i="200"/>
  <c r="EO21" i="200" s="1"/>
  <c r="DV61" i="200"/>
  <c r="DO61" i="200"/>
  <c r="DQ61" i="200"/>
  <c r="DO64" i="200"/>
  <c r="DQ64" i="200"/>
  <c r="DR55" i="200"/>
  <c r="DP55" i="200"/>
  <c r="GL45" i="201"/>
  <c r="GM45" i="201" s="1"/>
  <c r="EV37" i="201"/>
  <c r="CJ37" i="201" s="1"/>
  <c r="CH37" i="201"/>
  <c r="ER42" i="201"/>
  <c r="EP42" i="201"/>
  <c r="EO31" i="201"/>
  <c r="EO21" i="201"/>
  <c r="EF19" i="201"/>
  <c r="EJ19" i="201" s="1"/>
  <c r="EG19" i="201"/>
  <c r="EK19" i="201" s="1"/>
  <c r="EV19" i="201" s="1"/>
  <c r="CJ19" i="201" s="1"/>
  <c r="DN69" i="200"/>
  <c r="DM69" i="200"/>
  <c r="DO67" i="200"/>
  <c r="DQ67" i="200"/>
  <c r="DY64" i="200"/>
  <c r="EO24" i="200" s="1"/>
  <c r="DW64" i="200"/>
  <c r="DP74" i="200"/>
  <c r="DR74" i="200"/>
  <c r="DQ82" i="200"/>
  <c r="DO82" i="200"/>
  <c r="DY72" i="200"/>
  <c r="DW72" i="200"/>
  <c r="GL24" i="200"/>
  <c r="GM24" i="200" s="1"/>
  <c r="DV55" i="200"/>
  <c r="DX55" i="200"/>
  <c r="DP61" i="200"/>
  <c r="DR61" i="200"/>
  <c r="EC61" i="200" s="1"/>
  <c r="EP21" i="200" s="1"/>
  <c r="DQ57" i="200"/>
  <c r="DO57" i="200"/>
  <c r="DQ68" i="200"/>
  <c r="DO68" i="200"/>
  <c r="DR64" i="200"/>
  <c r="EC64" i="200" s="1"/>
  <c r="EP24" i="200" s="1"/>
  <c r="DP64" i="200"/>
  <c r="DN71" i="200"/>
  <c r="DM71" i="200"/>
  <c r="DT75" i="200"/>
  <c r="DU75" i="200"/>
  <c r="DX66" i="200"/>
  <c r="DV66" i="200"/>
  <c r="EH28" i="201"/>
  <c r="CI16" i="201"/>
  <c r="AP17" i="201"/>
  <c r="AZ17" i="201"/>
  <c r="AU17" i="201"/>
  <c r="CL16" i="201"/>
  <c r="DR67" i="200"/>
  <c r="DP67" i="200"/>
  <c r="DQ65" i="200"/>
  <c r="DO65" i="200"/>
  <c r="AP19" i="201"/>
  <c r="AZ19" i="201"/>
  <c r="AU19" i="201"/>
  <c r="DQ70" i="200"/>
  <c r="DO70" i="200"/>
  <c r="DX72" i="200"/>
  <c r="EO32" i="200" s="1"/>
  <c r="DV72" i="200"/>
  <c r="FJ56" i="200"/>
  <c r="FK57" i="200"/>
  <c r="DW55" i="200"/>
  <c r="DY55" i="200"/>
  <c r="DR57" i="200"/>
  <c r="DP57" i="200"/>
  <c r="GL39" i="200"/>
  <c r="GM39" i="200" s="1"/>
  <c r="DR68" i="200"/>
  <c r="DP68" i="200"/>
  <c r="GB55" i="200"/>
  <c r="FZ55" i="200"/>
  <c r="P16" i="205"/>
  <c r="AO17" i="205"/>
  <c r="EJ91" i="201"/>
  <c r="DQ32" i="201"/>
  <c r="CR32" i="201"/>
  <c r="CS32" i="201"/>
  <c r="DR32" i="201"/>
  <c r="EU32" i="201"/>
  <c r="ET32" i="201"/>
  <c r="ES32" i="201"/>
  <c r="CL20" i="201"/>
  <c r="DO54" i="200"/>
  <c r="DQ54" i="200"/>
  <c r="EN14" i="200" s="1"/>
  <c r="AU45" i="201"/>
  <c r="AP45" i="201"/>
  <c r="AZ45" i="201"/>
  <c r="CM43" i="201"/>
  <c r="EO43" i="201"/>
  <c r="CH36" i="201"/>
  <c r="AZ28" i="201"/>
  <c r="AU28" i="201"/>
  <c r="AP28" i="201"/>
  <c r="ET31" i="201"/>
  <c r="GL26" i="201"/>
  <c r="GM26" i="201" s="1"/>
  <c r="AU18" i="201"/>
  <c r="AP18" i="201"/>
  <c r="AZ18" i="201"/>
  <c r="GL24" i="201"/>
  <c r="GM24" i="201" s="1"/>
  <c r="EO19" i="201"/>
  <c r="AP21" i="201"/>
  <c r="AZ21" i="201"/>
  <c r="AU21" i="201"/>
  <c r="EP23" i="201"/>
  <c r="DV84" i="200"/>
  <c r="DX84" i="200"/>
  <c r="EO44" i="200" s="1"/>
  <c r="DX83" i="200"/>
  <c r="EO43" i="200" s="1"/>
  <c r="DV83" i="200"/>
  <c r="CM20" i="201"/>
  <c r="EP20" i="201"/>
  <c r="EO20" i="201"/>
  <c r="DN73" i="200"/>
  <c r="DM73" i="200"/>
  <c r="DR65" i="200"/>
  <c r="DP65" i="200"/>
  <c r="DR70" i="200"/>
  <c r="DP70" i="200"/>
  <c r="DN56" i="200"/>
  <c r="DM56" i="200"/>
  <c r="DX65" i="200"/>
  <c r="DV65" i="200"/>
  <c r="DQ60" i="200"/>
  <c r="DO60" i="200"/>
  <c r="FU56" i="200"/>
  <c r="FT56" i="200" s="1"/>
  <c r="FR56" i="200"/>
  <c r="FS57" i="200" s="1"/>
  <c r="FP56" i="200"/>
  <c r="GA56" i="200" s="1"/>
  <c r="FO56" i="200"/>
  <c r="FQ56" i="200"/>
  <c r="FY56" i="200" s="1"/>
  <c r="FN56" i="200"/>
  <c r="FW56" i="200" s="1"/>
  <c r="FV56" i="200" s="1"/>
  <c r="AU20" i="201"/>
  <c r="AP20" i="201"/>
  <c r="AZ20" i="201"/>
  <c r="DR76" i="200"/>
  <c r="DP76" i="200"/>
  <c r="EH45" i="201"/>
  <c r="CL45" i="201"/>
  <c r="EI45" i="201"/>
  <c r="DT59" i="200"/>
  <c r="DU59" i="200"/>
  <c r="GL37" i="201"/>
  <c r="GM37" i="201" s="1"/>
  <c r="CH39" i="201"/>
  <c r="CM35" i="201"/>
  <c r="AZ33" i="201"/>
  <c r="AU33" i="201"/>
  <c r="EP33" i="201" s="1"/>
  <c r="AP33" i="201"/>
  <c r="GL22" i="201"/>
  <c r="GM22" i="201" s="1"/>
  <c r="EH19" i="201"/>
  <c r="CL19" i="201"/>
  <c r="EI19" i="201"/>
  <c r="DM84" i="200"/>
  <c r="DN84" i="200"/>
  <c r="EP19" i="201"/>
  <c r="EI28" i="201"/>
  <c r="DM83" i="200"/>
  <c r="DN83" i="200"/>
  <c r="DW65" i="200"/>
  <c r="DY65" i="200"/>
  <c r="DR60" i="200"/>
  <c r="EC60" i="200" s="1"/>
  <c r="EP20" i="200" s="1"/>
  <c r="DP60" i="200"/>
  <c r="GL40" i="200"/>
  <c r="GM40" i="200" s="1"/>
  <c r="EH32" i="201"/>
  <c r="CL26" i="201"/>
  <c r="CM38" i="201"/>
  <c r="EO38" i="201"/>
  <c r="AP27" i="201"/>
  <c r="AZ27" i="201"/>
  <c r="AU27" i="201"/>
  <c r="GL30" i="201"/>
  <c r="GM30" i="201" s="1"/>
  <c r="AZ29" i="201"/>
  <c r="AP29" i="201"/>
  <c r="AU29" i="201"/>
  <c r="CM16" i="201"/>
  <c r="EP16" i="201"/>
  <c r="AZ30" i="201"/>
  <c r="AU30" i="201"/>
  <c r="EH30" i="201" s="1"/>
  <c r="AP30" i="201"/>
  <c r="DU82" i="200"/>
  <c r="DT82" i="200"/>
  <c r="DQ72" i="200"/>
  <c r="DO72" i="200"/>
  <c r="DP77" i="200"/>
  <c r="DR77" i="200"/>
  <c r="DO62" i="200"/>
  <c r="DQ62" i="200"/>
  <c r="DY70" i="200"/>
  <c r="DW70" i="200"/>
  <c r="GL15" i="200"/>
  <c r="GM15" i="200" s="1"/>
  <c r="EI32" i="201"/>
  <c r="AU16" i="201"/>
  <c r="AP16" i="201"/>
  <c r="AZ16" i="201"/>
  <c r="DT73" i="200"/>
  <c r="DU73" i="200"/>
  <c r="EM32" i="201"/>
  <c r="EN32" i="201"/>
  <c r="EF29" i="201"/>
  <c r="EG29" i="201"/>
  <c r="EH36" i="201"/>
  <c r="AZ22" i="201"/>
  <c r="AU22" i="201"/>
  <c r="EI22" i="201" s="1"/>
  <c r="AP22" i="201"/>
  <c r="AU24" i="201"/>
  <c r="AP24" i="201"/>
  <c r="AZ24" i="201"/>
  <c r="GL32" i="201"/>
  <c r="GM32" i="201" s="1"/>
  <c r="DP72" i="200"/>
  <c r="DR72" i="200"/>
  <c r="EC72" i="200" s="1"/>
  <c r="EP32" i="200" s="1"/>
  <c r="DX77" i="200"/>
  <c r="DV77" i="200"/>
  <c r="DQ77" i="200"/>
  <c r="EN37" i="200" s="1"/>
  <c r="DO77" i="200"/>
  <c r="DR62" i="200"/>
  <c r="EC62" i="200" s="1"/>
  <c r="EP22" i="200" s="1"/>
  <c r="DP62" i="200"/>
  <c r="DY62" i="200"/>
  <c r="DW62" i="200"/>
  <c r="DV70" i="200"/>
  <c r="DX70" i="200"/>
  <c r="EO30" i="200" s="1"/>
  <c r="CM44" i="201"/>
  <c r="AU41" i="201"/>
  <c r="AZ41" i="201"/>
  <c r="AP41" i="201"/>
  <c r="DY68" i="200"/>
  <c r="DW68" i="200"/>
  <c r="DY66" i="200"/>
  <c r="DW66" i="200"/>
  <c r="EP39" i="201"/>
  <c r="EO39" i="201"/>
  <c r="CM39" i="201"/>
  <c r="EJ90" i="201"/>
  <c r="EU31" i="201"/>
  <c r="DR31" i="201"/>
  <c r="CS31" i="201"/>
  <c r="DQ31" i="201"/>
  <c r="ES31" i="201"/>
  <c r="CR31" i="201"/>
  <c r="EK44" i="201"/>
  <c r="GL39" i="201"/>
  <c r="GM39" i="201" s="1"/>
  <c r="AU43" i="201"/>
  <c r="EP43" i="201" s="1"/>
  <c r="AP43" i="201"/>
  <c r="AZ43" i="201"/>
  <c r="EP45" i="201"/>
  <c r="EK40" i="201"/>
  <c r="EV40" i="201" s="1"/>
  <c r="CJ40" i="201" s="1"/>
  <c r="EI40" i="201"/>
  <c r="EI36" i="201"/>
  <c r="ER25" i="201"/>
  <c r="EV25" i="201" s="1"/>
  <c r="CJ25" i="201" s="1"/>
  <c r="CM33" i="201"/>
  <c r="AP25" i="201"/>
  <c r="AZ25" i="201"/>
  <c r="AU25" i="201"/>
  <c r="CI24" i="201"/>
  <c r="DU80" i="200"/>
  <c r="DT80" i="200"/>
  <c r="DX79" i="200"/>
  <c r="EO39" i="200" s="1"/>
  <c r="DV79" i="200"/>
  <c r="DN75" i="200"/>
  <c r="DM75" i="200"/>
  <c r="DY77" i="200"/>
  <c r="DW77" i="200"/>
  <c r="DW69" i="200"/>
  <c r="DY69" i="200"/>
  <c r="DV62" i="200"/>
  <c r="DX62" i="200"/>
  <c r="EO22" i="200" s="1"/>
  <c r="DV60" i="200"/>
  <c r="DX60" i="200"/>
  <c r="EO20" i="200" s="1"/>
  <c r="DM81" i="200"/>
  <c r="DN81" i="200"/>
  <c r="EF42" i="201"/>
  <c r="EG42" i="201"/>
  <c r="CL34" i="201"/>
  <c r="EH34" i="201"/>
  <c r="CM40" i="201"/>
  <c r="EO40" i="201"/>
  <c r="AZ36" i="201"/>
  <c r="AU36" i="201"/>
  <c r="AP36" i="201"/>
  <c r="EH40" i="201"/>
  <c r="AP34" i="201"/>
  <c r="AZ34" i="201"/>
  <c r="AU34" i="201"/>
  <c r="EV27" i="201"/>
  <c r="CJ27" i="201" s="1"/>
  <c r="DU78" i="200"/>
  <c r="DT78" i="200"/>
  <c r="EI18" i="201"/>
  <c r="CL18" i="201"/>
  <c r="EH18" i="201"/>
  <c r="DM79" i="200"/>
  <c r="DN79" i="200"/>
  <c r="DY79" i="200"/>
  <c r="DW79" i="200"/>
  <c r="DM66" i="200"/>
  <c r="DN66" i="200"/>
  <c r="DT71" i="200"/>
  <c r="DU71" i="200"/>
  <c r="DY74" i="200"/>
  <c r="EO34" i="200" s="1"/>
  <c r="DW74" i="200"/>
  <c r="DU63" i="200"/>
  <c r="DT63" i="200"/>
  <c r="DX69" i="200"/>
  <c r="EO29" i="200" s="1"/>
  <c r="DV69" i="200"/>
  <c r="DQ63" i="200"/>
  <c r="DO63" i="200"/>
  <c r="DN58" i="200"/>
  <c r="DM58" i="200"/>
  <c r="DR59" i="200"/>
  <c r="DP59" i="200"/>
  <c r="DY60" i="200"/>
  <c r="DW60" i="200"/>
  <c r="FA14" i="200"/>
  <c r="FA15" i="200"/>
  <c r="AU57" i="201"/>
  <c r="AP57" i="201"/>
  <c r="AZ57" i="201" s="1"/>
  <c r="CI42" i="201"/>
  <c r="L16" i="207"/>
  <c r="N15" i="207"/>
  <c r="AP40" i="201"/>
  <c r="EL90" i="201"/>
  <c r="AN37" i="201"/>
  <c r="AM37" i="201"/>
  <c r="AS37" i="201"/>
  <c r="AQ37" i="201"/>
  <c r="AL37" i="201"/>
  <c r="AJ37" i="201"/>
  <c r="AO37" i="201"/>
  <c r="EO45" i="201"/>
  <c r="AZ26" i="201"/>
  <c r="AU26" i="201"/>
  <c r="AP26" i="201"/>
  <c r="EI39" i="201"/>
  <c r="AZ44" i="201"/>
  <c r="AP44" i="201"/>
  <c r="AU44" i="201"/>
  <c r="EO44" i="201" s="1"/>
  <c r="CI35" i="201"/>
  <c r="EJ27" i="201"/>
  <c r="CH27" i="201" s="1"/>
  <c r="EN17" i="201"/>
  <c r="EM17" i="201"/>
  <c r="EF17" i="201"/>
  <c r="EJ17" i="201" s="1"/>
  <c r="CH17" i="201" s="1"/>
  <c r="EG17" i="201"/>
  <c r="EK17" i="201" s="1"/>
  <c r="AP38" i="201"/>
  <c r="AZ38" i="201"/>
  <c r="AU38" i="201"/>
  <c r="CL17" i="201"/>
  <c r="DN85" i="200"/>
  <c r="DM85" i="200"/>
  <c r="DT76" i="200"/>
  <c r="DU76" i="200"/>
  <c r="DN78" i="200"/>
  <c r="DM78" i="200"/>
  <c r="DR80" i="200"/>
  <c r="DP80" i="200"/>
  <c r="DU54" i="200"/>
  <c r="DT54" i="200"/>
  <c r="DU67" i="200"/>
  <c r="DT67" i="200"/>
  <c r="DP63" i="200"/>
  <c r="DR63" i="200"/>
  <c r="DQ59" i="200"/>
  <c r="DO59" i="200"/>
  <c r="DV57" i="200"/>
  <c r="DX57" i="200"/>
  <c r="EO17" i="200" s="1"/>
  <c r="DR39" i="201"/>
  <c r="CS39" i="201"/>
  <c r="EL98" i="201"/>
  <c r="CR39" i="201"/>
  <c r="DQ39" i="201"/>
  <c r="EJ98" i="201"/>
  <c r="EU39" i="201"/>
  <c r="ET39" i="201"/>
  <c r="EL91" i="201"/>
  <c r="EV45" i="201"/>
  <c r="CJ45" i="201" s="1"/>
  <c r="EM40" i="201"/>
  <c r="EQ40" i="201" s="1"/>
  <c r="EN40" i="201"/>
  <c r="ER40" i="201" s="1"/>
  <c r="GL34" i="201"/>
  <c r="GM34" i="201" s="1"/>
  <c r="EH41" i="201"/>
  <c r="AZ35" i="201"/>
  <c r="AU35" i="201"/>
  <c r="AP35" i="201"/>
  <c r="EP41" i="201"/>
  <c r="EO41" i="201"/>
  <c r="CM41" i="201"/>
  <c r="AZ42" i="201"/>
  <c r="AU42" i="201"/>
  <c r="AP42" i="201"/>
  <c r="EI41" i="201"/>
  <c r="EG23" i="201"/>
  <c r="EF23" i="201"/>
  <c r="CM18" i="201"/>
  <c r="EP18" i="201"/>
  <c r="EO18" i="201"/>
  <c r="CH22" i="201"/>
  <c r="CH18" i="201"/>
  <c r="EV24" i="201"/>
  <c r="CJ24" i="201" s="1"/>
  <c r="DU81" i="200"/>
  <c r="DT81" i="200"/>
  <c r="DT85" i="200"/>
  <c r="DU85" i="200"/>
  <c r="DV68" i="200"/>
  <c r="DX68" i="200"/>
  <c r="EO28" i="200" s="1"/>
  <c r="DO76" i="200"/>
  <c r="DQ76" i="200"/>
  <c r="EN36" i="200" s="1"/>
  <c r="DY56" i="200"/>
  <c r="EO16" i="200" s="1"/>
  <c r="DW56" i="200"/>
  <c r="GL36" i="200"/>
  <c r="GM36" i="200" s="1"/>
  <c r="DW57" i="200"/>
  <c r="DY57" i="200"/>
  <c r="GD48" i="84"/>
  <c r="GC48" i="84"/>
  <c r="GB48" i="84"/>
  <c r="GA48" i="84"/>
  <c r="GD48" i="160"/>
  <c r="GC48" i="160"/>
  <c r="GB48" i="160"/>
  <c r="GA48" i="160"/>
  <c r="GD57" i="147"/>
  <c r="GC57" i="147"/>
  <c r="GB57" i="147"/>
  <c r="GA57" i="147"/>
  <c r="EN24" i="200" l="1"/>
  <c r="EN21" i="200"/>
  <c r="EN42" i="200"/>
  <c r="EX18" i="200"/>
  <c r="EX19" i="200" s="1"/>
  <c r="EX20" i="200" s="1"/>
  <c r="EX21" i="200" s="1"/>
  <c r="EN30" i="200"/>
  <c r="EN17" i="200"/>
  <c r="FX56" i="200"/>
  <c r="EL86" i="201"/>
  <c r="EJ86" i="201"/>
  <c r="DR27" i="201"/>
  <c r="CS27" i="201"/>
  <c r="DQ27" i="201"/>
  <c r="CR27" i="201"/>
  <c r="EU27" i="201"/>
  <c r="ET27" i="201"/>
  <c r="ES27" i="201"/>
  <c r="EO27" i="201"/>
  <c r="EP27" i="201"/>
  <c r="DQ73" i="200"/>
  <c r="DO73" i="200"/>
  <c r="EJ94" i="201"/>
  <c r="DR35" i="201"/>
  <c r="CS35" i="201"/>
  <c r="EL94" i="201"/>
  <c r="EU35" i="201"/>
  <c r="ET35" i="201"/>
  <c r="CR35" i="201"/>
  <c r="DQ35" i="201"/>
  <c r="EI35" i="201"/>
  <c r="ES35" i="201"/>
  <c r="EH35" i="201"/>
  <c r="DX54" i="200"/>
  <c r="DV54" i="200"/>
  <c r="EH17" i="201"/>
  <c r="DV78" i="200"/>
  <c r="DX78" i="200"/>
  <c r="EP40" i="201"/>
  <c r="EJ100" i="201"/>
  <c r="DR41" i="201"/>
  <c r="CS41" i="201"/>
  <c r="EU41" i="201"/>
  <c r="ET41" i="201"/>
  <c r="CR41" i="201"/>
  <c r="DQ41" i="201"/>
  <c r="ES41" i="201"/>
  <c r="EL100" i="201"/>
  <c r="CI25" i="201"/>
  <c r="EJ75" i="201"/>
  <c r="EL75" i="201"/>
  <c r="DR16" i="201"/>
  <c r="CS16" i="201"/>
  <c r="CR16" i="201"/>
  <c r="DQ16" i="201"/>
  <c r="EU16" i="201"/>
  <c r="ES16" i="201"/>
  <c r="ET16" i="201"/>
  <c r="DY82" i="200"/>
  <c r="DW82" i="200"/>
  <c r="DR73" i="200"/>
  <c r="DP73" i="200"/>
  <c r="EC68" i="200"/>
  <c r="EP28" i="200" s="1"/>
  <c r="EJ78" i="201"/>
  <c r="EL78" i="201"/>
  <c r="DR19" i="201"/>
  <c r="CS19" i="201"/>
  <c r="DQ19" i="201"/>
  <c r="CR19" i="201"/>
  <c r="EU19" i="201"/>
  <c r="ES19" i="201"/>
  <c r="ET19" i="201"/>
  <c r="EN28" i="200"/>
  <c r="EI27" i="201"/>
  <c r="EI43" i="201"/>
  <c r="DV82" i="200"/>
  <c r="DX82" i="200"/>
  <c r="EO42" i="200" s="1"/>
  <c r="FP57" i="200"/>
  <c r="GA57" i="200" s="1"/>
  <c r="FU57" i="200"/>
  <c r="FT57" i="200" s="1"/>
  <c r="FR57" i="200"/>
  <c r="FS58" i="200" s="1"/>
  <c r="FQ57" i="200"/>
  <c r="FY57" i="200" s="1"/>
  <c r="FO57" i="200"/>
  <c r="FN57" i="200"/>
  <c r="FW57" i="200" s="1"/>
  <c r="FV57" i="200" s="1"/>
  <c r="DW54" i="200"/>
  <c r="DY54" i="200"/>
  <c r="EC54" i="200" s="1"/>
  <c r="EP14" i="200" s="1"/>
  <c r="EL97" i="201"/>
  <c r="DR38" i="201"/>
  <c r="CS38" i="201"/>
  <c r="EJ97" i="201"/>
  <c r="EU38" i="201"/>
  <c r="DQ38" i="201"/>
  <c r="ET38" i="201"/>
  <c r="ES38" i="201"/>
  <c r="CR38" i="201"/>
  <c r="DW71" i="200"/>
  <c r="DY71" i="200"/>
  <c r="DW78" i="200"/>
  <c r="DY78" i="200"/>
  <c r="EJ84" i="201"/>
  <c r="DQ25" i="201"/>
  <c r="CR25" i="201"/>
  <c r="EU25" i="201"/>
  <c r="CS25" i="201"/>
  <c r="ET25" i="201"/>
  <c r="DR25" i="201"/>
  <c r="ES25" i="201"/>
  <c r="EH25" i="201"/>
  <c r="EO25" i="201"/>
  <c r="EI25" i="201"/>
  <c r="EL84" i="201"/>
  <c r="EP44" i="201"/>
  <c r="EO37" i="200"/>
  <c r="EI38" i="201"/>
  <c r="EC74" i="200"/>
  <c r="EP34" i="200" s="1"/>
  <c r="DV71" i="200"/>
  <c r="DX71" i="200"/>
  <c r="EO31" i="200" s="1"/>
  <c r="DP83" i="200"/>
  <c r="DR83" i="200"/>
  <c r="EC83" i="200" s="1"/>
  <c r="EP43" i="200" s="1"/>
  <c r="DQ58" i="200"/>
  <c r="DO58" i="200"/>
  <c r="DR66" i="200"/>
  <c r="EC66" i="200" s="1"/>
  <c r="EP26" i="200" s="1"/>
  <c r="DP66" i="200"/>
  <c r="EL93" i="201"/>
  <c r="DR34" i="201"/>
  <c r="CS34" i="201"/>
  <c r="DQ34" i="201"/>
  <c r="CR34" i="201"/>
  <c r="EJ93" i="201"/>
  <c r="EU34" i="201"/>
  <c r="ES34" i="201"/>
  <c r="ET34" i="201"/>
  <c r="EP34" i="201"/>
  <c r="EO34" i="201"/>
  <c r="EI34" i="201"/>
  <c r="EJ102" i="201"/>
  <c r="DR43" i="201"/>
  <c r="CS43" i="201"/>
  <c r="EU43" i="201"/>
  <c r="ET43" i="201"/>
  <c r="CR43" i="201"/>
  <c r="DQ43" i="201"/>
  <c r="EL102" i="201"/>
  <c r="ES43" i="201"/>
  <c r="EH38" i="201"/>
  <c r="EP38" i="201"/>
  <c r="DQ83" i="200"/>
  <c r="EN43" i="200" s="1"/>
  <c r="DO83" i="200"/>
  <c r="EC57" i="200"/>
  <c r="EP17" i="200" s="1"/>
  <c r="DQ44" i="201"/>
  <c r="EU44" i="201"/>
  <c r="EJ103" i="201"/>
  <c r="CR44" i="201"/>
  <c r="DR44" i="201"/>
  <c r="ES44" i="201"/>
  <c r="CS44" i="201"/>
  <c r="ET44" i="201"/>
  <c r="EH44" i="201"/>
  <c r="EL103" i="201"/>
  <c r="DQ78" i="200"/>
  <c r="DO78" i="200"/>
  <c r="EV17" i="201"/>
  <c r="CJ17" i="201" s="1"/>
  <c r="EL85" i="201"/>
  <c r="EJ85" i="201"/>
  <c r="EU26" i="201"/>
  <c r="ES26" i="201"/>
  <c r="DQ26" i="201"/>
  <c r="CR26" i="201"/>
  <c r="CS26" i="201"/>
  <c r="DR26" i="201"/>
  <c r="EP26" i="201"/>
  <c r="ET26" i="201"/>
  <c r="EO26" i="201"/>
  <c r="O15" i="207" a="1"/>
  <c r="O15" i="207" s="1"/>
  <c r="DR58" i="200"/>
  <c r="DP58" i="200"/>
  <c r="DO66" i="200"/>
  <c r="DQ66" i="200"/>
  <c r="EO33" i="201"/>
  <c r="EN40" i="200"/>
  <c r="EK29" i="201"/>
  <c r="EV29" i="201" s="1"/>
  <c r="CJ29" i="201" s="1"/>
  <c r="EI29" i="201"/>
  <c r="EO16" i="201"/>
  <c r="EO35" i="201"/>
  <c r="EO25" i="200"/>
  <c r="EJ77" i="201"/>
  <c r="EU18" i="201"/>
  <c r="DR18" i="201"/>
  <c r="CS18" i="201"/>
  <c r="DQ18" i="201"/>
  <c r="CR18" i="201"/>
  <c r="ET18" i="201"/>
  <c r="ES18" i="201"/>
  <c r="EL77" i="201"/>
  <c r="CS45" i="201"/>
  <c r="DR45" i="201"/>
  <c r="CR45" i="201"/>
  <c r="EJ104" i="201"/>
  <c r="EU45" i="201"/>
  <c r="DQ45" i="201"/>
  <c r="ES45" i="201"/>
  <c r="EL104" i="201"/>
  <c r="ET45" i="201"/>
  <c r="EN25" i="200"/>
  <c r="EO26" i="200"/>
  <c r="EC82" i="200"/>
  <c r="EP42" i="200" s="1"/>
  <c r="CI40" i="201"/>
  <c r="DR78" i="200"/>
  <c r="EC78" i="200" s="1"/>
  <c r="EP38" i="200" s="1"/>
  <c r="DP78" i="200"/>
  <c r="L17" i="207"/>
  <c r="N16" i="207"/>
  <c r="O16" i="207" s="1" a="1"/>
  <c r="O16" i="207" s="1"/>
  <c r="EK42" i="201"/>
  <c r="EV42" i="201" s="1"/>
  <c r="CJ42" i="201" s="1"/>
  <c r="EI42" i="201"/>
  <c r="DQ75" i="200"/>
  <c r="DO75" i="200"/>
  <c r="EI44" i="201"/>
  <c r="EJ29" i="201"/>
  <c r="CH29" i="201" s="1"/>
  <c r="EH29" i="201"/>
  <c r="EN22" i="200"/>
  <c r="EH26" i="201"/>
  <c r="DQ56" i="200"/>
  <c r="DO56" i="200"/>
  <c r="DW75" i="200"/>
  <c r="DY75" i="200"/>
  <c r="EO15" i="200"/>
  <c r="EN27" i="200"/>
  <c r="DX58" i="200"/>
  <c r="DV58" i="200"/>
  <c r="DY85" i="200"/>
  <c r="DW85" i="200"/>
  <c r="DX85" i="200"/>
  <c r="DV85" i="200"/>
  <c r="DX81" i="200"/>
  <c r="DV81" i="200"/>
  <c r="EJ101" i="201"/>
  <c r="EU42" i="201"/>
  <c r="DR42" i="201"/>
  <c r="CS42" i="201"/>
  <c r="DQ42" i="201"/>
  <c r="CR42" i="201"/>
  <c r="EO42" i="201"/>
  <c r="ET42" i="201"/>
  <c r="ES42" i="201"/>
  <c r="EL101" i="201"/>
  <c r="DW76" i="200"/>
  <c r="DY76" i="200"/>
  <c r="EC76" i="200" s="1"/>
  <c r="EP36" i="200" s="1"/>
  <c r="EQ17" i="201"/>
  <c r="EO17" i="201"/>
  <c r="EN23" i="200"/>
  <c r="EJ42" i="201"/>
  <c r="CH42" i="201" s="1"/>
  <c r="EH42" i="201"/>
  <c r="DR75" i="200"/>
  <c r="EC75" i="200" s="1"/>
  <c r="EP35" i="200" s="1"/>
  <c r="DP75" i="200"/>
  <c r="EV44" i="201"/>
  <c r="CJ44" i="201" s="1"/>
  <c r="CH44" i="201"/>
  <c r="ER32" i="201"/>
  <c r="EV32" i="201" s="1"/>
  <c r="CJ32" i="201" s="1"/>
  <c r="EP32" i="201"/>
  <c r="EP35" i="201"/>
  <c r="EL79" i="201"/>
  <c r="EJ79" i="201"/>
  <c r="EU20" i="201"/>
  <c r="DR20" i="201"/>
  <c r="CS20" i="201"/>
  <c r="DQ20" i="201"/>
  <c r="CR20" i="201"/>
  <c r="ET20" i="201"/>
  <c r="ES20" i="201"/>
  <c r="DP56" i="200"/>
  <c r="DR56" i="200"/>
  <c r="EC56" i="200" s="1"/>
  <c r="EP16" i="200" s="1"/>
  <c r="AO18" i="205"/>
  <c r="P17" i="205"/>
  <c r="FK58" i="200"/>
  <c r="FJ57" i="200"/>
  <c r="DX75" i="200"/>
  <c r="EO35" i="200" s="1"/>
  <c r="DV75" i="200"/>
  <c r="EN34" i="200"/>
  <c r="DY58" i="200"/>
  <c r="DW58" i="200"/>
  <c r="EJ92" i="201"/>
  <c r="EU33" i="201"/>
  <c r="DR33" i="201"/>
  <c r="CS33" i="201"/>
  <c r="ES33" i="201"/>
  <c r="CR33" i="201"/>
  <c r="DQ33" i="201"/>
  <c r="EI33" i="201"/>
  <c r="EL92" i="201"/>
  <c r="EH33" i="201"/>
  <c r="ET33" i="201"/>
  <c r="EK23" i="201"/>
  <c r="EV23" i="201" s="1"/>
  <c r="CJ23" i="201" s="1"/>
  <c r="EI23" i="201"/>
  <c r="DY81" i="200"/>
  <c r="DW81" i="200"/>
  <c r="EN19" i="200"/>
  <c r="DV76" i="200"/>
  <c r="DX76" i="200"/>
  <c r="ER17" i="201"/>
  <c r="EP17" i="201"/>
  <c r="DP79" i="200"/>
  <c r="DR79" i="200"/>
  <c r="EC79" i="200" s="1"/>
  <c r="EP39" i="200" s="1"/>
  <c r="DP81" i="200"/>
  <c r="DR81" i="200"/>
  <c r="EP25" i="201"/>
  <c r="EQ32" i="201"/>
  <c r="CI32" i="201" s="1"/>
  <c r="EO32" i="201"/>
  <c r="EC77" i="200"/>
  <c r="EP37" i="200" s="1"/>
  <c r="EJ88" i="201"/>
  <c r="EL88" i="201"/>
  <c r="EU29" i="201"/>
  <c r="DR29" i="201"/>
  <c r="CS29" i="201"/>
  <c r="DQ29" i="201"/>
  <c r="CR29" i="201"/>
  <c r="ES29" i="201"/>
  <c r="ET29" i="201"/>
  <c r="EP29" i="201"/>
  <c r="EO29" i="201"/>
  <c r="EI26" i="201"/>
  <c r="DR84" i="200"/>
  <c r="EC84" i="200" s="1"/>
  <c r="EP44" i="200" s="1"/>
  <c r="DP84" i="200"/>
  <c r="EH20" i="201"/>
  <c r="DQ71" i="200"/>
  <c r="DO71" i="200"/>
  <c r="DO69" i="200"/>
  <c r="DQ69" i="200"/>
  <c r="EH22" i="201"/>
  <c r="DW67" i="200"/>
  <c r="DY67" i="200"/>
  <c r="EC67" i="200" s="1"/>
  <c r="EP27" i="200" s="1"/>
  <c r="EJ23" i="201"/>
  <c r="CH23" i="201" s="1"/>
  <c r="EH23" i="201"/>
  <c r="EN20" i="200"/>
  <c r="DQ85" i="200"/>
  <c r="DO85" i="200"/>
  <c r="EH27" i="201"/>
  <c r="AU37" i="201"/>
  <c r="AZ37" i="201"/>
  <c r="AP37" i="201"/>
  <c r="DQ79" i="200"/>
  <c r="DO79" i="200"/>
  <c r="EJ95" i="201"/>
  <c r="DR36" i="201"/>
  <c r="CS36" i="201"/>
  <c r="DQ36" i="201"/>
  <c r="CR36" i="201"/>
  <c r="EU36" i="201"/>
  <c r="ET36" i="201"/>
  <c r="ES36" i="201"/>
  <c r="EL95" i="201"/>
  <c r="EP36" i="201"/>
  <c r="EO36" i="201"/>
  <c r="DQ81" i="200"/>
  <c r="EN41" i="200" s="1"/>
  <c r="DO81" i="200"/>
  <c r="EJ83" i="201"/>
  <c r="EU24" i="201"/>
  <c r="ES24" i="201"/>
  <c r="DQ24" i="201"/>
  <c r="CR24" i="201"/>
  <c r="CS24" i="201"/>
  <c r="DR24" i="201"/>
  <c r="EP24" i="201"/>
  <c r="EH24" i="201"/>
  <c r="EO24" i="201"/>
  <c r="EI24" i="201"/>
  <c r="EL83" i="201"/>
  <c r="ET24" i="201"/>
  <c r="DW73" i="200"/>
  <c r="DY73" i="200"/>
  <c r="DQ84" i="200"/>
  <c r="DO84" i="200"/>
  <c r="GB56" i="200"/>
  <c r="FZ56" i="200"/>
  <c r="EC70" i="200"/>
  <c r="EP30" i="200" s="1"/>
  <c r="EJ87" i="201"/>
  <c r="EL87" i="201"/>
  <c r="EU28" i="201"/>
  <c r="ET28" i="201"/>
  <c r="DR28" i="201"/>
  <c r="CS28" i="201"/>
  <c r="DQ28" i="201"/>
  <c r="CR28" i="201"/>
  <c r="ES28" i="201"/>
  <c r="EO28" i="201"/>
  <c r="EP28" i="201"/>
  <c r="EI16" i="201"/>
  <c r="DR71" i="200"/>
  <c r="EC71" i="200" s="1"/>
  <c r="EP31" i="200" s="1"/>
  <c r="DP71" i="200"/>
  <c r="DP69" i="200"/>
  <c r="DR69" i="200"/>
  <c r="EC69" i="200" s="1"/>
  <c r="EP29" i="200" s="1"/>
  <c r="EC55" i="200"/>
  <c r="EP15" i="200" s="1"/>
  <c r="DX63" i="200"/>
  <c r="DV63" i="200"/>
  <c r="DV80" i="200"/>
  <c r="DX80" i="200"/>
  <c r="DX73" i="200"/>
  <c r="EO33" i="200" s="1"/>
  <c r="DV73" i="200"/>
  <c r="DY59" i="200"/>
  <c r="EC59" i="200" s="1"/>
  <c r="EP19" i="200" s="1"/>
  <c r="DW59" i="200"/>
  <c r="EJ80" i="201"/>
  <c r="DQ21" i="201"/>
  <c r="CR21" i="201"/>
  <c r="EU21" i="201"/>
  <c r="CS21" i="201"/>
  <c r="DR21" i="201"/>
  <c r="ES21" i="201"/>
  <c r="ET21" i="201"/>
  <c r="EP21" i="201"/>
  <c r="EI21" i="201"/>
  <c r="EL80" i="201"/>
  <c r="EH21" i="201"/>
  <c r="EI20" i="201"/>
  <c r="EH16" i="201"/>
  <c r="EJ89" i="201"/>
  <c r="DQ30" i="201"/>
  <c r="CR30" i="201"/>
  <c r="EU30" i="201"/>
  <c r="CS30" i="201"/>
  <c r="DR30" i="201"/>
  <c r="ET30" i="201"/>
  <c r="ES30" i="201"/>
  <c r="EO30" i="201"/>
  <c r="EI30" i="201"/>
  <c r="EP30" i="201"/>
  <c r="EL89" i="201"/>
  <c r="DP85" i="200"/>
  <c r="DR85" i="200"/>
  <c r="EC85" i="200" s="1"/>
  <c r="EP45" i="200" s="1"/>
  <c r="DV67" i="200"/>
  <c r="DX67" i="200"/>
  <c r="EI17" i="201"/>
  <c r="DY63" i="200"/>
  <c r="EC63" i="200" s="1"/>
  <c r="EP23" i="200" s="1"/>
  <c r="DW63" i="200"/>
  <c r="CH40" i="201"/>
  <c r="DW80" i="200"/>
  <c r="DY80" i="200"/>
  <c r="EC80" i="200" s="1"/>
  <c r="EP40" i="200" s="1"/>
  <c r="EL81" i="201"/>
  <c r="EJ81" i="201"/>
  <c r="EU22" i="201"/>
  <c r="ES22" i="201"/>
  <c r="DQ22" i="201"/>
  <c r="CR22" i="201"/>
  <c r="DR22" i="201"/>
  <c r="CS22" i="201"/>
  <c r="EP22" i="201"/>
  <c r="ET22" i="201"/>
  <c r="EO22" i="201"/>
  <c r="EN32" i="200"/>
  <c r="DX59" i="200"/>
  <c r="EO19" i="200" s="1"/>
  <c r="DV59" i="200"/>
  <c r="EC65" i="200"/>
  <c r="EP25" i="200" s="1"/>
  <c r="EJ76" i="201"/>
  <c r="DR17" i="201"/>
  <c r="CS17" i="201"/>
  <c r="DQ17" i="201"/>
  <c r="CR17" i="201"/>
  <c r="EU17" i="201"/>
  <c r="ES17" i="201"/>
  <c r="ET17" i="201"/>
  <c r="EL76" i="201"/>
  <c r="CH19" i="201"/>
  <c r="EM28" i="84"/>
  <c r="EN26" i="200" l="1"/>
  <c r="EN33" i="200"/>
  <c r="EN44" i="200"/>
  <c r="EX22" i="200"/>
  <c r="EX23" i="200" s="1"/>
  <c r="EX24" i="200" s="1"/>
  <c r="EN39" i="200"/>
  <c r="FX57" i="200"/>
  <c r="EO41" i="200"/>
  <c r="EC81" i="200"/>
  <c r="EP41" i="200" s="1"/>
  <c r="EO45" i="200"/>
  <c r="EN29" i="200"/>
  <c r="EN38" i="200"/>
  <c r="EN16" i="200"/>
  <c r="EJ96" i="201"/>
  <c r="DR37" i="201"/>
  <c r="CS37" i="201"/>
  <c r="EU37" i="201"/>
  <c r="ET37" i="201"/>
  <c r="CR37" i="201"/>
  <c r="DQ37" i="201"/>
  <c r="EH37" i="201"/>
  <c r="EL96" i="201"/>
  <c r="EI37" i="201"/>
  <c r="ES37" i="201"/>
  <c r="EP37" i="201"/>
  <c r="EO37" i="201"/>
  <c r="EO40" i="200"/>
  <c r="EO38" i="200"/>
  <c r="EN31" i="200"/>
  <c r="EO27" i="200"/>
  <c r="EN45" i="200"/>
  <c r="EO18" i="200"/>
  <c r="EC73" i="200"/>
  <c r="EP33" i="200" s="1"/>
  <c r="EO23" i="200"/>
  <c r="EO36" i="200"/>
  <c r="EN35" i="200"/>
  <c r="EN18" i="200"/>
  <c r="N17" i="207"/>
  <c r="L18" i="207"/>
  <c r="FO58" i="200"/>
  <c r="FP58" i="200"/>
  <c r="GA58" i="200" s="1"/>
  <c r="FN58" i="200"/>
  <c r="FW58" i="200" s="1"/>
  <c r="FV58" i="200" s="1"/>
  <c r="FU58" i="200"/>
  <c r="FT58" i="200" s="1"/>
  <c r="FR58" i="200"/>
  <c r="FS59" i="200" s="1"/>
  <c r="FQ58" i="200"/>
  <c r="FY58" i="200" s="1"/>
  <c r="FJ58" i="200"/>
  <c r="FK59" i="200"/>
  <c r="CI17" i="201"/>
  <c r="EO14" i="200"/>
  <c r="P18" i="205"/>
  <c r="AO19" i="205"/>
  <c r="EC58" i="200"/>
  <c r="EP18" i="200" s="1"/>
  <c r="GB57" i="200"/>
  <c r="FZ57" i="200"/>
  <c r="ES5" i="160"/>
  <c r="ER5" i="160"/>
  <c r="EQ5" i="160"/>
  <c r="EP5" i="160"/>
  <c r="EO5" i="160"/>
  <c r="EN5" i="160"/>
  <c r="EM5" i="160"/>
  <c r="EL5" i="160"/>
  <c r="EK5" i="160"/>
  <c r="EJ5" i="160"/>
  <c r="EI5" i="160"/>
  <c r="EH5" i="160"/>
  <c r="EG5" i="160"/>
  <c r="EF5" i="160"/>
  <c r="EE5" i="160"/>
  <c r="ED5" i="160"/>
  <c r="EC5" i="160"/>
  <c r="EB5" i="160"/>
  <c r="EA5" i="160"/>
  <c r="DZ5" i="160"/>
  <c r="DY5" i="160"/>
  <c r="DX5" i="160"/>
  <c r="DW5" i="160"/>
  <c r="DV5" i="160"/>
  <c r="DU5" i="160"/>
  <c r="DT5" i="160"/>
  <c r="DS5" i="160"/>
  <c r="DR5" i="160"/>
  <c r="DQ5" i="160"/>
  <c r="DP5" i="160"/>
  <c r="DO5" i="160"/>
  <c r="DN5" i="160"/>
  <c r="DM5" i="160"/>
  <c r="DL5" i="160"/>
  <c r="DK5" i="160"/>
  <c r="DJ5" i="160"/>
  <c r="DI5" i="160"/>
  <c r="DH5" i="160"/>
  <c r="DE5" i="160"/>
  <c r="DD5" i="160"/>
  <c r="DC5" i="160"/>
  <c r="DB5" i="160"/>
  <c r="DA5" i="160"/>
  <c r="CZ5" i="160"/>
  <c r="CY5" i="160"/>
  <c r="CX5" i="160"/>
  <c r="CW5" i="160"/>
  <c r="CV5" i="160"/>
  <c r="CU5" i="160"/>
  <c r="CT5" i="160"/>
  <c r="CS5" i="160"/>
  <c r="CR5" i="160"/>
  <c r="CQ5" i="160"/>
  <c r="CP5" i="160"/>
  <c r="CO5" i="160"/>
  <c r="CN5" i="160"/>
  <c r="CM5" i="160"/>
  <c r="CL5" i="160"/>
  <c r="CK5" i="160"/>
  <c r="CJ5" i="160"/>
  <c r="CI5" i="160"/>
  <c r="CH5" i="160"/>
  <c r="CG5" i="160"/>
  <c r="CF5" i="160"/>
  <c r="CE5" i="160"/>
  <c r="CD5" i="160"/>
  <c r="CC5" i="160"/>
  <c r="CB5" i="160"/>
  <c r="EX25" i="200" l="1"/>
  <c r="EX26" i="200" s="1"/>
  <c r="EX27" i="200" s="1"/>
  <c r="EX28" i="200" s="1"/>
  <c r="EX29" i="200" s="1"/>
  <c r="EX30" i="200" s="1"/>
  <c r="EX31" i="200" s="1"/>
  <c r="EX32" i="200" s="1"/>
  <c r="EX33" i="200" s="1"/>
  <c r="EX34" i="200" s="1"/>
  <c r="EX35" i="200" s="1"/>
  <c r="EX36" i="200" s="1"/>
  <c r="EX37" i="200" s="1"/>
  <c r="EX38" i="200" s="1"/>
  <c r="EX39" i="200" s="1"/>
  <c r="EX40" i="200" s="1"/>
  <c r="EX41" i="200" s="1"/>
  <c r="EX42" i="200" s="1"/>
  <c r="EX43" i="200" s="1"/>
  <c r="EX44" i="200" s="1"/>
  <c r="EX45" i="200" s="1"/>
  <c r="EY17" i="200" s="1"/>
  <c r="FX58" i="200"/>
  <c r="L19" i="207"/>
  <c r="N18" i="207"/>
  <c r="O18" i="207" s="1" a="1"/>
  <c r="O18" i="207" s="1"/>
  <c r="P19" i="205"/>
  <c r="AO20" i="205"/>
  <c r="O17" i="207" a="1"/>
  <c r="O17" i="207" s="1"/>
  <c r="FJ59" i="200"/>
  <c r="FK60" i="200"/>
  <c r="GB58" i="200"/>
  <c r="FZ58" i="200"/>
  <c r="FP59" i="200"/>
  <c r="GA59" i="200" s="1"/>
  <c r="FU59" i="200"/>
  <c r="FT59" i="200" s="1"/>
  <c r="FR59" i="200"/>
  <c r="FS60" i="200" s="1"/>
  <c r="FQ59" i="200"/>
  <c r="FY59" i="200" s="1"/>
  <c r="FN59" i="200"/>
  <c r="FW59" i="200" s="1"/>
  <c r="FV59" i="200" s="1"/>
  <c r="FO59" i="200"/>
  <c r="CG10" i="165"/>
  <c r="CF10" i="165"/>
  <c r="CE10" i="165"/>
  <c r="CD10" i="165"/>
  <c r="CC10" i="165"/>
  <c r="CB10" i="165"/>
  <c r="CA10" i="165"/>
  <c r="BZ10" i="165"/>
  <c r="BY10" i="165"/>
  <c r="BX10" i="165"/>
  <c r="BW10" i="165"/>
  <c r="BV10" i="165"/>
  <c r="BU10" i="165"/>
  <c r="BT10" i="165"/>
  <c r="BS10" i="165"/>
  <c r="BR10" i="165"/>
  <c r="BQ10" i="165"/>
  <c r="BP10" i="165"/>
  <c r="BO10" i="165"/>
  <c r="BN10" i="165"/>
  <c r="BM10" i="165"/>
  <c r="BL10" i="165"/>
  <c r="BK10" i="165"/>
  <c r="BJ10" i="165"/>
  <c r="BI10" i="165"/>
  <c r="BH10" i="165"/>
  <c r="BG10" i="165"/>
  <c r="BF10" i="165"/>
  <c r="BE10" i="165"/>
  <c r="BD10" i="165"/>
  <c r="BC10" i="165"/>
  <c r="BB10" i="165"/>
  <c r="EY21" i="200" l="1"/>
  <c r="EY15" i="200"/>
  <c r="EY24" i="200"/>
  <c r="FX59" i="200"/>
  <c r="N19" i="207"/>
  <c r="O19" i="207" s="1" a="1"/>
  <c r="O19" i="207" s="1"/>
  <c r="L20" i="207"/>
  <c r="FJ60" i="200"/>
  <c r="FK61" i="200"/>
  <c r="P20" i="205"/>
  <c r="AO21" i="205"/>
  <c r="GB59" i="200"/>
  <c r="FZ59" i="200"/>
  <c r="FU60" i="200"/>
  <c r="FT60" i="200" s="1"/>
  <c r="FR60" i="200"/>
  <c r="FS61" i="200" s="1"/>
  <c r="FO60" i="200"/>
  <c r="FQ60" i="200"/>
  <c r="FY60" i="200" s="1"/>
  <c r="FP60" i="200"/>
  <c r="GA60" i="200" s="1"/>
  <c r="FN60" i="200"/>
  <c r="FW60" i="200" s="1"/>
  <c r="FV60" i="200" s="1"/>
  <c r="O13" i="80" a="1"/>
  <c r="O13" i="80" s="1"/>
  <c r="FX60" i="200" l="1"/>
  <c r="FP61" i="200"/>
  <c r="GA61" i="200" s="1"/>
  <c r="FO61" i="200"/>
  <c r="FU61" i="200"/>
  <c r="FT61" i="200" s="1"/>
  <c r="FR61" i="200"/>
  <c r="FS62" i="200" s="1"/>
  <c r="FQ61" i="200"/>
  <c r="FY61" i="200" s="1"/>
  <c r="FN61" i="200"/>
  <c r="FW61" i="200" s="1"/>
  <c r="FV61" i="200" s="1"/>
  <c r="GB60" i="200"/>
  <c r="FZ60" i="200"/>
  <c r="AO22" i="205"/>
  <c r="P21" i="205"/>
  <c r="FK62" i="200"/>
  <c r="FJ61" i="200"/>
  <c r="L21" i="207"/>
  <c r="N20" i="207"/>
  <c r="O20" i="207" s="1" a="1"/>
  <c r="O20" i="207" s="1"/>
  <c r="R99" i="169"/>
  <c r="R98" i="169"/>
  <c r="R97" i="169"/>
  <c r="R96" i="169"/>
  <c r="R95" i="169"/>
  <c r="R94" i="169"/>
  <c r="R93" i="169"/>
  <c r="R92" i="169"/>
  <c r="R91" i="169"/>
  <c r="R90" i="169"/>
  <c r="R89" i="169"/>
  <c r="R88" i="169"/>
  <c r="R87" i="169"/>
  <c r="R86" i="169"/>
  <c r="R85" i="169"/>
  <c r="R84" i="169"/>
  <c r="R83" i="169"/>
  <c r="R82" i="169"/>
  <c r="R81" i="169"/>
  <c r="R80" i="169"/>
  <c r="R79" i="169"/>
  <c r="R78" i="169"/>
  <c r="R77" i="169"/>
  <c r="R76" i="169"/>
  <c r="R75" i="169"/>
  <c r="R74" i="169"/>
  <c r="R73" i="169"/>
  <c r="R72" i="169"/>
  <c r="R71" i="169"/>
  <c r="R70" i="169"/>
  <c r="R69" i="169"/>
  <c r="R68" i="169"/>
  <c r="R67" i="169"/>
  <c r="R66" i="169"/>
  <c r="R65" i="169"/>
  <c r="R64" i="169"/>
  <c r="R63" i="169"/>
  <c r="R62" i="169"/>
  <c r="R61" i="169"/>
  <c r="R60" i="169"/>
  <c r="R59" i="169"/>
  <c r="R58" i="169"/>
  <c r="R57" i="169"/>
  <c r="R56" i="169"/>
  <c r="R55" i="169"/>
  <c r="R54" i="169"/>
  <c r="R53" i="169"/>
  <c r="R52" i="169"/>
  <c r="R51" i="169"/>
  <c r="R50" i="169"/>
  <c r="R49" i="169"/>
  <c r="R48" i="169"/>
  <c r="R47" i="169"/>
  <c r="R46" i="169"/>
  <c r="R45" i="169"/>
  <c r="R44" i="169"/>
  <c r="R43" i="169"/>
  <c r="R42" i="169"/>
  <c r="R41" i="169"/>
  <c r="R40" i="169"/>
  <c r="R39" i="169"/>
  <c r="R38" i="169"/>
  <c r="R37" i="169"/>
  <c r="R36" i="169"/>
  <c r="R35" i="169"/>
  <c r="R34" i="169"/>
  <c r="R33" i="169"/>
  <c r="R32" i="169"/>
  <c r="R31" i="169"/>
  <c r="R30" i="169"/>
  <c r="R29" i="169"/>
  <c r="R28" i="169"/>
  <c r="R27" i="169"/>
  <c r="R26" i="169"/>
  <c r="R25" i="169"/>
  <c r="R24" i="169"/>
  <c r="R23" i="169"/>
  <c r="R22" i="169"/>
  <c r="R21" i="169"/>
  <c r="R20" i="169"/>
  <c r="R19" i="169"/>
  <c r="R18" i="169"/>
  <c r="R17" i="169"/>
  <c r="R16" i="169"/>
  <c r="R15" i="169"/>
  <c r="R14" i="169"/>
  <c r="L14" i="169"/>
  <c r="L15" i="169" s="1"/>
  <c r="R13" i="169"/>
  <c r="L13" i="169"/>
  <c r="P10" i="169"/>
  <c r="J10" i="169"/>
  <c r="G10" i="169"/>
  <c r="B10" i="169"/>
  <c r="G9" i="169"/>
  <c r="B9" i="169"/>
  <c r="H7" i="169"/>
  <c r="H6" i="169"/>
  <c r="M1" i="169"/>
  <c r="FX61" i="200" l="1"/>
  <c r="FJ62" i="200"/>
  <c r="FK63" i="200"/>
  <c r="P22" i="205"/>
  <c r="AO23" i="205"/>
  <c r="GB61" i="200"/>
  <c r="FZ61" i="200"/>
  <c r="FU62" i="200"/>
  <c r="FT62" i="200" s="1"/>
  <c r="FR62" i="200"/>
  <c r="FS63" i="200" s="1"/>
  <c r="FP62" i="200"/>
  <c r="GA62" i="200" s="1"/>
  <c r="FO62" i="200"/>
  <c r="FQ62" i="200"/>
  <c r="FY62" i="200" s="1"/>
  <c r="FN62" i="200"/>
  <c r="FW62" i="200" s="1"/>
  <c r="FV62" i="200" s="1"/>
  <c r="L22" i="207"/>
  <c r="N21" i="207"/>
  <c r="O21" i="207" s="1" a="1"/>
  <c r="O21" i="207" s="1"/>
  <c r="L16" i="169"/>
  <c r="FX62" i="200" l="1"/>
  <c r="GB62" i="200"/>
  <c r="FZ62" i="200"/>
  <c r="L23" i="207"/>
  <c r="N22" i="207"/>
  <c r="O22" i="207" s="1" a="1"/>
  <c r="O22" i="207" s="1"/>
  <c r="FQ63" i="200"/>
  <c r="FY63" i="200" s="1"/>
  <c r="FP63" i="200"/>
  <c r="GA63" i="200" s="1"/>
  <c r="FO63" i="200"/>
  <c r="FU63" i="200"/>
  <c r="FT63" i="200" s="1"/>
  <c r="FR63" i="200"/>
  <c r="FS64" i="200" s="1"/>
  <c r="FN63" i="200"/>
  <c r="FW63" i="200" s="1"/>
  <c r="FV63" i="200" s="1"/>
  <c r="P23" i="205"/>
  <c r="AO24" i="205"/>
  <c r="FK64" i="200"/>
  <c r="FJ63" i="200"/>
  <c r="L17" i="169"/>
  <c r="FX63" i="200" l="1"/>
  <c r="FU64" i="200"/>
  <c r="FT64" i="200" s="1"/>
  <c r="FR64" i="200"/>
  <c r="FS65" i="200" s="1"/>
  <c r="FP64" i="200"/>
  <c r="GA64" i="200" s="1"/>
  <c r="FO64" i="200"/>
  <c r="FQ64" i="200"/>
  <c r="FY64" i="200" s="1"/>
  <c r="FN64" i="200"/>
  <c r="FW64" i="200" s="1"/>
  <c r="FV64" i="200" s="1"/>
  <c r="GB63" i="200"/>
  <c r="FZ63" i="200"/>
  <c r="L24" i="207"/>
  <c r="N23" i="207"/>
  <c r="O23" i="207" s="1" a="1"/>
  <c r="O23" i="207" s="1"/>
  <c r="P24" i="205"/>
  <c r="AO25" i="205"/>
  <c r="FJ64" i="200"/>
  <c r="FK65" i="200"/>
  <c r="L18" i="169"/>
  <c r="T42" i="163"/>
  <c r="T41" i="163"/>
  <c r="T40" i="163"/>
  <c r="T39" i="163"/>
  <c r="T38" i="163"/>
  <c r="T37" i="163"/>
  <c r="T36" i="163"/>
  <c r="T35" i="163"/>
  <c r="T34" i="163"/>
  <c r="T33" i="163"/>
  <c r="T32" i="163"/>
  <c r="T31" i="163"/>
  <c r="T30" i="163"/>
  <c r="T29" i="163"/>
  <c r="T28" i="163"/>
  <c r="T27" i="163"/>
  <c r="T26" i="163"/>
  <c r="T25" i="163"/>
  <c r="T24" i="163"/>
  <c r="T23" i="163"/>
  <c r="T22" i="163"/>
  <c r="T21" i="163"/>
  <c r="T20" i="163"/>
  <c r="T19" i="163"/>
  <c r="T18" i="163"/>
  <c r="T17" i="163"/>
  <c r="T16" i="163"/>
  <c r="T15" i="163"/>
  <c r="T14" i="163"/>
  <c r="T42" i="162"/>
  <c r="T41" i="162"/>
  <c r="T40" i="162"/>
  <c r="T39" i="162"/>
  <c r="T38" i="162"/>
  <c r="T37" i="162"/>
  <c r="T36" i="162"/>
  <c r="T35" i="162"/>
  <c r="T34" i="162"/>
  <c r="T33" i="162"/>
  <c r="T32" i="162"/>
  <c r="T31" i="162"/>
  <c r="T30" i="162"/>
  <c r="T29" i="162"/>
  <c r="T28" i="162"/>
  <c r="T27" i="162"/>
  <c r="FX64" i="200" l="1"/>
  <c r="N24" i="207"/>
  <c r="O24" i="207" s="1" a="1"/>
  <c r="O24" i="207" s="1"/>
  <c r="L25" i="207"/>
  <c r="GB64" i="200"/>
  <c r="FZ64" i="200"/>
  <c r="FJ65" i="200"/>
  <c r="FK66" i="200"/>
  <c r="FQ65" i="200"/>
  <c r="FY65" i="200" s="1"/>
  <c r="FP65" i="200"/>
  <c r="GA65" i="200" s="1"/>
  <c r="FO65" i="200"/>
  <c r="FN65" i="200"/>
  <c r="FW65" i="200" s="1"/>
  <c r="FV65" i="200" s="1"/>
  <c r="FU65" i="200"/>
  <c r="FT65" i="200" s="1"/>
  <c r="FR65" i="200"/>
  <c r="FS66" i="200" s="1"/>
  <c r="AO26" i="205"/>
  <c r="P25" i="205"/>
  <c r="L19" i="169"/>
  <c r="L13" i="80"/>
  <c r="N13" i="80" s="1"/>
  <c r="FX65" i="200" l="1"/>
  <c r="FK67" i="200"/>
  <c r="FJ66" i="200"/>
  <c r="GB65" i="200"/>
  <c r="FZ65" i="200"/>
  <c r="L26" i="207"/>
  <c r="N25" i="207"/>
  <c r="O25" i="207" s="1" a="1"/>
  <c r="O25" i="207" s="1"/>
  <c r="P26" i="205"/>
  <c r="AO27" i="205"/>
  <c r="FU66" i="200"/>
  <c r="FT66" i="200" s="1"/>
  <c r="FQ66" i="200"/>
  <c r="FY66" i="200" s="1"/>
  <c r="FO66" i="200"/>
  <c r="FN66" i="200"/>
  <c r="FW66" i="200" s="1"/>
  <c r="FV66" i="200" s="1"/>
  <c r="FR66" i="200"/>
  <c r="FS67" i="200" s="1"/>
  <c r="FP66" i="200"/>
  <c r="GA66" i="200" s="1"/>
  <c r="L20" i="169"/>
  <c r="L14" i="80"/>
  <c r="N14" i="80" s="1"/>
  <c r="O14" i="80" s="1" a="1"/>
  <c r="O14" i="80" s="1"/>
  <c r="FX66" i="200" l="1"/>
  <c r="FK68" i="200"/>
  <c r="FJ67" i="200"/>
  <c r="P27" i="205"/>
  <c r="AO28" i="205"/>
  <c r="GB66" i="200"/>
  <c r="FZ66" i="200"/>
  <c r="N26" i="207"/>
  <c r="O26" i="207" s="1" a="1"/>
  <c r="O26" i="207" s="1"/>
  <c r="L27" i="207"/>
  <c r="FP67" i="200"/>
  <c r="GA67" i="200" s="1"/>
  <c r="FO67" i="200"/>
  <c r="FQ67" i="200"/>
  <c r="FY67" i="200" s="1"/>
  <c r="FN67" i="200"/>
  <c r="FW67" i="200" s="1"/>
  <c r="FV67" i="200" s="1"/>
  <c r="FU67" i="200"/>
  <c r="FT67" i="200" s="1"/>
  <c r="FR67" i="200"/>
  <c r="FS68" i="200" s="1"/>
  <c r="L21" i="169"/>
  <c r="L15" i="80"/>
  <c r="N15" i="80" s="1"/>
  <c r="O15" i="80" s="1" a="1"/>
  <c r="O15" i="80" s="1"/>
  <c r="AO14" i="114"/>
  <c r="P14" i="114" s="1"/>
  <c r="T1" i="114"/>
  <c r="FX67" i="200" l="1"/>
  <c r="GB67" i="200"/>
  <c r="FZ67" i="200"/>
  <c r="FJ68" i="200"/>
  <c r="FK69" i="200"/>
  <c r="L28" i="207"/>
  <c r="N27" i="207"/>
  <c r="O27" i="207" s="1" a="1"/>
  <c r="O27" i="207" s="1"/>
  <c r="P28" i="205"/>
  <c r="AO29" i="205"/>
  <c r="FU68" i="200"/>
  <c r="FT68" i="200" s="1"/>
  <c r="FR68" i="200"/>
  <c r="FS69" i="200" s="1"/>
  <c r="FP68" i="200"/>
  <c r="GA68" i="200" s="1"/>
  <c r="FO68" i="200"/>
  <c r="FN68" i="200"/>
  <c r="FW68" i="200" s="1"/>
  <c r="FV68" i="200" s="1"/>
  <c r="FQ68" i="200"/>
  <c r="FY68" i="200" s="1"/>
  <c r="AO15" i="114"/>
  <c r="P15" i="114" s="1"/>
  <c r="L22" i="169"/>
  <c r="L16" i="80"/>
  <c r="N16" i="80" s="1"/>
  <c r="O16" i="80" s="1" a="1"/>
  <c r="O16" i="80" s="1"/>
  <c r="FP69" i="200" l="1"/>
  <c r="GA69" i="200" s="1"/>
  <c r="FO69" i="200"/>
  <c r="FU69" i="200"/>
  <c r="FT69" i="200" s="1"/>
  <c r="FR69" i="200"/>
  <c r="FS70" i="200" s="1"/>
  <c r="FN69" i="200"/>
  <c r="FW69" i="200" s="1"/>
  <c r="FV69" i="200" s="1"/>
  <c r="FQ69" i="200"/>
  <c r="FY69" i="200" s="1"/>
  <c r="L29" i="207"/>
  <c r="N28" i="207"/>
  <c r="O28" i="207" s="1" a="1"/>
  <c r="O28" i="207" s="1"/>
  <c r="AO30" i="205"/>
  <c r="P29" i="205"/>
  <c r="FJ69" i="200"/>
  <c r="FK70" i="200"/>
  <c r="GB68" i="200"/>
  <c r="FZ68" i="200"/>
  <c r="FX68" i="200"/>
  <c r="AO16" i="114"/>
  <c r="P16" i="114" s="1"/>
  <c r="L23" i="169"/>
  <c r="L17" i="80"/>
  <c r="N17" i="80" s="1"/>
  <c r="O17" i="80" s="1" a="1"/>
  <c r="O17" i="80" s="1"/>
  <c r="AO17" i="114"/>
  <c r="AO18" i="114" s="1"/>
  <c r="ES45" i="160"/>
  <c r="ER45" i="160"/>
  <c r="ES44" i="160"/>
  <c r="ER44" i="160"/>
  <c r="ES43" i="160"/>
  <c r="ER43" i="160"/>
  <c r="ES42" i="160"/>
  <c r="ER42" i="160"/>
  <c r="ES41" i="160"/>
  <c r="ER41" i="160"/>
  <c r="ES40" i="160"/>
  <c r="ER40" i="160"/>
  <c r="ES39" i="160"/>
  <c r="ER39" i="160"/>
  <c r="ES38" i="160"/>
  <c r="ER38" i="160"/>
  <c r="ES37" i="160"/>
  <c r="ER37" i="160"/>
  <c r="ES36" i="160"/>
  <c r="ER36" i="160"/>
  <c r="ES35" i="160"/>
  <c r="ER35" i="160"/>
  <c r="ES34" i="160"/>
  <c r="ER34" i="160"/>
  <c r="ES33" i="160"/>
  <c r="ER33" i="160"/>
  <c r="ES32" i="160"/>
  <c r="ER32" i="160"/>
  <c r="ES31" i="160"/>
  <c r="ER31" i="160"/>
  <c r="ES30" i="160"/>
  <c r="ER30" i="160"/>
  <c r="ES29" i="160"/>
  <c r="ER29" i="160"/>
  <c r="ES28" i="160"/>
  <c r="ER28" i="160"/>
  <c r="ES27" i="160"/>
  <c r="ER27" i="160"/>
  <c r="ES26" i="160"/>
  <c r="ER26" i="160"/>
  <c r="ES25" i="160"/>
  <c r="ER25" i="160"/>
  <c r="ES24" i="160"/>
  <c r="ER24" i="160"/>
  <c r="ES23" i="160"/>
  <c r="ER23" i="160"/>
  <c r="ES22" i="160"/>
  <c r="ER22" i="160"/>
  <c r="ES21" i="160"/>
  <c r="ER21" i="160"/>
  <c r="ES20" i="160"/>
  <c r="ER20" i="160"/>
  <c r="ES19" i="160"/>
  <c r="ER19" i="160"/>
  <c r="ES18" i="160"/>
  <c r="ER18" i="160"/>
  <c r="ES17" i="160"/>
  <c r="ER17" i="160"/>
  <c r="ES15" i="160"/>
  <c r="ER15" i="160"/>
  <c r="ES14" i="160"/>
  <c r="ER14" i="160"/>
  <c r="ES45" i="84"/>
  <c r="ER45" i="84"/>
  <c r="ES44" i="84"/>
  <c r="ER44" i="84"/>
  <c r="ES43" i="84"/>
  <c r="ER43" i="84"/>
  <c r="ES42" i="84"/>
  <c r="ER42" i="84"/>
  <c r="ES41" i="84"/>
  <c r="ER41" i="84"/>
  <c r="ES40" i="84"/>
  <c r="ER40" i="84"/>
  <c r="ES39" i="84"/>
  <c r="ER39" i="84"/>
  <c r="ES38" i="84"/>
  <c r="ER38" i="84"/>
  <c r="ES37" i="84"/>
  <c r="ER37" i="84"/>
  <c r="ES36" i="84"/>
  <c r="ER36" i="84"/>
  <c r="ES35" i="84"/>
  <c r="ER35" i="84"/>
  <c r="ES34" i="84"/>
  <c r="ER34" i="84"/>
  <c r="ES33" i="84"/>
  <c r="ER33" i="84"/>
  <c r="ES32" i="84"/>
  <c r="ER32" i="84"/>
  <c r="ES30" i="84"/>
  <c r="ER30" i="84"/>
  <c r="ES29" i="84"/>
  <c r="ER29" i="84"/>
  <c r="ES28" i="84"/>
  <c r="ER28" i="84"/>
  <c r="FJ70" i="200" l="1"/>
  <c r="FK71" i="200"/>
  <c r="AO31" i="205"/>
  <c r="P30" i="205"/>
  <c r="N29" i="207"/>
  <c r="O29" i="207" s="1" a="1"/>
  <c r="O29" i="207" s="1"/>
  <c r="L30" i="207"/>
  <c r="GB69" i="200"/>
  <c r="FZ69" i="200"/>
  <c r="FU70" i="200"/>
  <c r="FT70" i="200" s="1"/>
  <c r="FR70" i="200"/>
  <c r="FS71" i="200" s="1"/>
  <c r="FP70" i="200"/>
  <c r="GA70" i="200" s="1"/>
  <c r="FN70" i="200"/>
  <c r="FW70" i="200" s="1"/>
  <c r="FV70" i="200" s="1"/>
  <c r="FQ70" i="200"/>
  <c r="FY70" i="200" s="1"/>
  <c r="FO70" i="200"/>
  <c r="FX69" i="200"/>
  <c r="L24" i="169"/>
  <c r="L18" i="80"/>
  <c r="N18" i="80" s="1"/>
  <c r="O18" i="80" s="1" a="1"/>
  <c r="O18" i="80" s="1"/>
  <c r="AO19" i="114"/>
  <c r="P18" i="114"/>
  <c r="BC45" i="160"/>
  <c r="BB45" i="160"/>
  <c r="AY45" i="160"/>
  <c r="AX45" i="160"/>
  <c r="AU45" i="160"/>
  <c r="AT45" i="160"/>
  <c r="BC44" i="160"/>
  <c r="BB44" i="160"/>
  <c r="AY44" i="160"/>
  <c r="AX44" i="160"/>
  <c r="AU44" i="160"/>
  <c r="AT44" i="160"/>
  <c r="BC43" i="160"/>
  <c r="BB43" i="160"/>
  <c r="AY43" i="160"/>
  <c r="AX43" i="160"/>
  <c r="AU43" i="160"/>
  <c r="AT43" i="160"/>
  <c r="BC42" i="160"/>
  <c r="BB42" i="160"/>
  <c r="AY42" i="160"/>
  <c r="AX42" i="160"/>
  <c r="AU42" i="160"/>
  <c r="AT42" i="160"/>
  <c r="BC41" i="160"/>
  <c r="BB41" i="160"/>
  <c r="AY41" i="160"/>
  <c r="AX41" i="160"/>
  <c r="AU41" i="160"/>
  <c r="AT41" i="160"/>
  <c r="BC40" i="160"/>
  <c r="BB40" i="160"/>
  <c r="AY40" i="160"/>
  <c r="AX40" i="160"/>
  <c r="AU40" i="160"/>
  <c r="AT40" i="160"/>
  <c r="BC39" i="160"/>
  <c r="BB39" i="160"/>
  <c r="AY39" i="160"/>
  <c r="AX39" i="160"/>
  <c r="AU39" i="160"/>
  <c r="AT39" i="160"/>
  <c r="BC38" i="160"/>
  <c r="BB38" i="160"/>
  <c r="AY38" i="160"/>
  <c r="AX38" i="160"/>
  <c r="AU38" i="160"/>
  <c r="AT38" i="160"/>
  <c r="BC37" i="160"/>
  <c r="BB37" i="160"/>
  <c r="AY37" i="160"/>
  <c r="AX37" i="160"/>
  <c r="AU37" i="160"/>
  <c r="AT37" i="160"/>
  <c r="BC36" i="160"/>
  <c r="BB36" i="160"/>
  <c r="AY36" i="160"/>
  <c r="AX36" i="160"/>
  <c r="AU36" i="160"/>
  <c r="AT36" i="160"/>
  <c r="BC35" i="160"/>
  <c r="BB35" i="160"/>
  <c r="AY35" i="160"/>
  <c r="AX35" i="160"/>
  <c r="AU35" i="160"/>
  <c r="AT35" i="160"/>
  <c r="BC34" i="160"/>
  <c r="BB34" i="160"/>
  <c r="AY34" i="160"/>
  <c r="AX34" i="160"/>
  <c r="AU34" i="160"/>
  <c r="AT34" i="160"/>
  <c r="BC33" i="160"/>
  <c r="BB33" i="160"/>
  <c r="AY33" i="160"/>
  <c r="AX33" i="160"/>
  <c r="AU33" i="160"/>
  <c r="AT33" i="160"/>
  <c r="BC32" i="160"/>
  <c r="BB32" i="160"/>
  <c r="AY32" i="160"/>
  <c r="AX32" i="160"/>
  <c r="AU32" i="160"/>
  <c r="AT32" i="160"/>
  <c r="BC31" i="160"/>
  <c r="BB31" i="160"/>
  <c r="AY31" i="160"/>
  <c r="AX31" i="160"/>
  <c r="AU31" i="160"/>
  <c r="AT31" i="160"/>
  <c r="BC30" i="160"/>
  <c r="BB30" i="160"/>
  <c r="AY30" i="160"/>
  <c r="AX30" i="160"/>
  <c r="AU30" i="160"/>
  <c r="AT30" i="160"/>
  <c r="BC29" i="160"/>
  <c r="BB29" i="160"/>
  <c r="AY29" i="160"/>
  <c r="AX29" i="160"/>
  <c r="AU29" i="160"/>
  <c r="AT29" i="160"/>
  <c r="BC28" i="160"/>
  <c r="BB28" i="160"/>
  <c r="AY28" i="160"/>
  <c r="AX28" i="160"/>
  <c r="AU28" i="160"/>
  <c r="AT28" i="160"/>
  <c r="BC27" i="160"/>
  <c r="BB27" i="160"/>
  <c r="AY27" i="160"/>
  <c r="AX27" i="160"/>
  <c r="AU27" i="160"/>
  <c r="AT27" i="160"/>
  <c r="BC26" i="160"/>
  <c r="BB26" i="160"/>
  <c r="AY26" i="160"/>
  <c r="AX26" i="160"/>
  <c r="AU26" i="160"/>
  <c r="AT26" i="160"/>
  <c r="BC25" i="160"/>
  <c r="BB25" i="160"/>
  <c r="AY25" i="160"/>
  <c r="AX25" i="160"/>
  <c r="AU25" i="160"/>
  <c r="AT25" i="160"/>
  <c r="BC24" i="160"/>
  <c r="BB24" i="160"/>
  <c r="AY24" i="160"/>
  <c r="AX24" i="160"/>
  <c r="AU24" i="160"/>
  <c r="AT24" i="160"/>
  <c r="BC23" i="160"/>
  <c r="BB23" i="160"/>
  <c r="AY23" i="160"/>
  <c r="AX23" i="160"/>
  <c r="AU23" i="160"/>
  <c r="AT23" i="160"/>
  <c r="BC22" i="160"/>
  <c r="BB22" i="160"/>
  <c r="AY22" i="160"/>
  <c r="AX22" i="160"/>
  <c r="AU22" i="160"/>
  <c r="AT22" i="160"/>
  <c r="BC21" i="160"/>
  <c r="BB21" i="160"/>
  <c r="AY21" i="160"/>
  <c r="AX21" i="160"/>
  <c r="AU21" i="160"/>
  <c r="AT21" i="160"/>
  <c r="BC20" i="160"/>
  <c r="BB20" i="160"/>
  <c r="AY20" i="160"/>
  <c r="AX20" i="160"/>
  <c r="AU20" i="160"/>
  <c r="AT20" i="160"/>
  <c r="BC19" i="160"/>
  <c r="BB19" i="160"/>
  <c r="AY19" i="160"/>
  <c r="AX19" i="160"/>
  <c r="AU19" i="160"/>
  <c r="AT19" i="160"/>
  <c r="BC18" i="160"/>
  <c r="BB18" i="160"/>
  <c r="AY18" i="160"/>
  <c r="AX18" i="160"/>
  <c r="AU18" i="160"/>
  <c r="AT18" i="160"/>
  <c r="BC17" i="160"/>
  <c r="BB17" i="160"/>
  <c r="AY17" i="160"/>
  <c r="AX17" i="160"/>
  <c r="AU17" i="160"/>
  <c r="AT17" i="160"/>
  <c r="BC16" i="160"/>
  <c r="BB16" i="160"/>
  <c r="AY16" i="160"/>
  <c r="AX16" i="160"/>
  <c r="AU16" i="160"/>
  <c r="AT16" i="160"/>
  <c r="BC15" i="160"/>
  <c r="BB15" i="160"/>
  <c r="AY15" i="160"/>
  <c r="AX15" i="160"/>
  <c r="AU15" i="160"/>
  <c r="AT15" i="160"/>
  <c r="BC14" i="160"/>
  <c r="BB14" i="160"/>
  <c r="AY14" i="160"/>
  <c r="AX14" i="160"/>
  <c r="AU14" i="160"/>
  <c r="AT14" i="160"/>
  <c r="BC45" i="84"/>
  <c r="BB45" i="84"/>
  <c r="AY45" i="84"/>
  <c r="AX45" i="84"/>
  <c r="AU45" i="84"/>
  <c r="AT45" i="84"/>
  <c r="BC44" i="84"/>
  <c r="BB44" i="84"/>
  <c r="AY44" i="84"/>
  <c r="AX44" i="84"/>
  <c r="AU44" i="84"/>
  <c r="AT44" i="84"/>
  <c r="BC43" i="84"/>
  <c r="BB43" i="84"/>
  <c r="AY43" i="84"/>
  <c r="AX43" i="84"/>
  <c r="AU43" i="84"/>
  <c r="AT43" i="84"/>
  <c r="BC42" i="84"/>
  <c r="BB42" i="84"/>
  <c r="AY42" i="84"/>
  <c r="AX42" i="84"/>
  <c r="AU42" i="84"/>
  <c r="AT42" i="84"/>
  <c r="BC41" i="84"/>
  <c r="BB41" i="84"/>
  <c r="AY41" i="84"/>
  <c r="AX41" i="84"/>
  <c r="AU41" i="84"/>
  <c r="AT41" i="84"/>
  <c r="BC40" i="84"/>
  <c r="BB40" i="84"/>
  <c r="AY40" i="84"/>
  <c r="AX40" i="84"/>
  <c r="AU40" i="84"/>
  <c r="AT40" i="84"/>
  <c r="BC39" i="84"/>
  <c r="BB39" i="84"/>
  <c r="AY39" i="84"/>
  <c r="AX39" i="84"/>
  <c r="AU39" i="84"/>
  <c r="AT39" i="84"/>
  <c r="BC38" i="84"/>
  <c r="BB38" i="84"/>
  <c r="AY38" i="84"/>
  <c r="AX38" i="84"/>
  <c r="AU38" i="84"/>
  <c r="AT38" i="84"/>
  <c r="BC37" i="84"/>
  <c r="BB37" i="84"/>
  <c r="AY37" i="84"/>
  <c r="AX37" i="84"/>
  <c r="AU37" i="84"/>
  <c r="AT37" i="84"/>
  <c r="BC36" i="84"/>
  <c r="BB36" i="84"/>
  <c r="AY36" i="84"/>
  <c r="AX36" i="84"/>
  <c r="AU36" i="84"/>
  <c r="AT36" i="84"/>
  <c r="BC35" i="84"/>
  <c r="BB35" i="84"/>
  <c r="AY35" i="84"/>
  <c r="AX35" i="84"/>
  <c r="AU35" i="84"/>
  <c r="AT35" i="84"/>
  <c r="BC34" i="84"/>
  <c r="BB34" i="84"/>
  <c r="AY34" i="84"/>
  <c r="AX34" i="84"/>
  <c r="AU34" i="84"/>
  <c r="AT34" i="84"/>
  <c r="BC33" i="84"/>
  <c r="BB33" i="84"/>
  <c r="AY33" i="84"/>
  <c r="AX33" i="84"/>
  <c r="AU33" i="84"/>
  <c r="AT33" i="84"/>
  <c r="BC32" i="84"/>
  <c r="BB32" i="84"/>
  <c r="AY32" i="84"/>
  <c r="AX32" i="84"/>
  <c r="AU32" i="84"/>
  <c r="AT32" i="84"/>
  <c r="BC31" i="84"/>
  <c r="BB31" i="84"/>
  <c r="AY31" i="84"/>
  <c r="AX31" i="84"/>
  <c r="AU31" i="84"/>
  <c r="AT31" i="84"/>
  <c r="BC30" i="84"/>
  <c r="BB30" i="84"/>
  <c r="AY30" i="84"/>
  <c r="AX30" i="84"/>
  <c r="AU30" i="84"/>
  <c r="AT30" i="84"/>
  <c r="BC29" i="84"/>
  <c r="BB29" i="84"/>
  <c r="AY29" i="84"/>
  <c r="AX29" i="84"/>
  <c r="AU29" i="84"/>
  <c r="AT29" i="84"/>
  <c r="BC28" i="84"/>
  <c r="BB28" i="84"/>
  <c r="AY28" i="84"/>
  <c r="AX28" i="84"/>
  <c r="AU28" i="84"/>
  <c r="AT28" i="84"/>
  <c r="BC27" i="84"/>
  <c r="BB27" i="84"/>
  <c r="AY27" i="84"/>
  <c r="AX27" i="84"/>
  <c r="AU27" i="84"/>
  <c r="AT27" i="84"/>
  <c r="BC26" i="84"/>
  <c r="BB26" i="84"/>
  <c r="AY26" i="84"/>
  <c r="AX26" i="84"/>
  <c r="AU26" i="84"/>
  <c r="AT26" i="84"/>
  <c r="BC25" i="84"/>
  <c r="BB25" i="84"/>
  <c r="AY25" i="84"/>
  <c r="AX25" i="84"/>
  <c r="AU25" i="84"/>
  <c r="AT25" i="84"/>
  <c r="BC24" i="84"/>
  <c r="BB24" i="84"/>
  <c r="AY24" i="84"/>
  <c r="AX24" i="84"/>
  <c r="AU24" i="84"/>
  <c r="AT24" i="84"/>
  <c r="BC23" i="84"/>
  <c r="BB23" i="84"/>
  <c r="AY23" i="84"/>
  <c r="AX23" i="84"/>
  <c r="AU23" i="84"/>
  <c r="AT23" i="84"/>
  <c r="BC22" i="84"/>
  <c r="BB22" i="84"/>
  <c r="AY22" i="84"/>
  <c r="AX22" i="84"/>
  <c r="AU22" i="84"/>
  <c r="AT22" i="84"/>
  <c r="BC21" i="84"/>
  <c r="BB21" i="84"/>
  <c r="AY21" i="84"/>
  <c r="AX21" i="84"/>
  <c r="AU21" i="84"/>
  <c r="AT21" i="84"/>
  <c r="BC20" i="84"/>
  <c r="BB20" i="84"/>
  <c r="AY20" i="84"/>
  <c r="AX20" i="84"/>
  <c r="AU20" i="84"/>
  <c r="AT20" i="84"/>
  <c r="BC19" i="84"/>
  <c r="BB19" i="84"/>
  <c r="AY19" i="84"/>
  <c r="AX19" i="84"/>
  <c r="AU19" i="84"/>
  <c r="AT19" i="84"/>
  <c r="BC18" i="84"/>
  <c r="BB18" i="84"/>
  <c r="AY18" i="84"/>
  <c r="AX18" i="84"/>
  <c r="AU18" i="84"/>
  <c r="AT18" i="84"/>
  <c r="BC17" i="84"/>
  <c r="BB17" i="84"/>
  <c r="AY17" i="84"/>
  <c r="AX17" i="84"/>
  <c r="AU17" i="84"/>
  <c r="AT17" i="84"/>
  <c r="BC16" i="84"/>
  <c r="BB16" i="84"/>
  <c r="AY16" i="84"/>
  <c r="AX16" i="84"/>
  <c r="AU16" i="84"/>
  <c r="AT16" i="84"/>
  <c r="BC15" i="84"/>
  <c r="BB15" i="84"/>
  <c r="AY15" i="84"/>
  <c r="AX15" i="84"/>
  <c r="AU15" i="84"/>
  <c r="AT15" i="84"/>
  <c r="FX70" i="200" l="1"/>
  <c r="FP71" i="200"/>
  <c r="GA71" i="200" s="1"/>
  <c r="FO71" i="200"/>
  <c r="FN71" i="200"/>
  <c r="FW71" i="200" s="1"/>
  <c r="FV71" i="200" s="1"/>
  <c r="FQ71" i="200"/>
  <c r="FY71" i="200" s="1"/>
  <c r="FU71" i="200"/>
  <c r="FT71" i="200" s="1"/>
  <c r="FR71" i="200"/>
  <c r="FS72" i="200" s="1"/>
  <c r="L31" i="207"/>
  <c r="N30" i="207"/>
  <c r="O30" i="207" s="1" a="1"/>
  <c r="O30" i="207" s="1"/>
  <c r="P31" i="205"/>
  <c r="AO32" i="205"/>
  <c r="GB70" i="200"/>
  <c r="FZ70" i="200"/>
  <c r="FJ71" i="200"/>
  <c r="FK72" i="200"/>
  <c r="L25" i="169"/>
  <c r="L19" i="80"/>
  <c r="N19" i="80" s="1"/>
  <c r="O19" i="80" s="1" a="1"/>
  <c r="O19" i="80" s="1"/>
  <c r="AO20" i="114"/>
  <c r="P19" i="114"/>
  <c r="GE70" i="84"/>
  <c r="AQ30" i="84" s="1"/>
  <c r="GD70" i="84"/>
  <c r="AP30" i="84" s="1"/>
  <c r="FX71" i="200" l="1"/>
  <c r="P32" i="205"/>
  <c r="AO33" i="205"/>
  <c r="N31" i="207"/>
  <c r="O31" i="207" s="1" a="1"/>
  <c r="O31" i="207" s="1"/>
  <c r="L32" i="207"/>
  <c r="FU72" i="200"/>
  <c r="FT72" i="200" s="1"/>
  <c r="FR72" i="200"/>
  <c r="FS73" i="200" s="1"/>
  <c r="FP72" i="200"/>
  <c r="GA72" i="200" s="1"/>
  <c r="FQ72" i="200"/>
  <c r="FY72" i="200" s="1"/>
  <c r="FO72" i="200"/>
  <c r="FN72" i="200"/>
  <c r="FW72" i="200" s="1"/>
  <c r="FV72" i="200" s="1"/>
  <c r="GB71" i="200"/>
  <c r="FZ71" i="200"/>
  <c r="FJ72" i="200"/>
  <c r="FK73" i="200"/>
  <c r="L26" i="169"/>
  <c r="L20" i="80"/>
  <c r="N20" i="80" s="1"/>
  <c r="O20" i="80" s="1" a="1"/>
  <c r="O20" i="80" s="1"/>
  <c r="AO21" i="114"/>
  <c r="P20" i="114"/>
  <c r="FX72" i="200" l="1"/>
  <c r="GB72" i="200"/>
  <c r="FZ72" i="200"/>
  <c r="FP73" i="200"/>
  <c r="GA73" i="200" s="1"/>
  <c r="FO73" i="200"/>
  <c r="FN73" i="200"/>
  <c r="FW73" i="200" s="1"/>
  <c r="FV73" i="200" s="1"/>
  <c r="FQ73" i="200"/>
  <c r="FY73" i="200" s="1"/>
  <c r="FU73" i="200"/>
  <c r="FT73" i="200" s="1"/>
  <c r="FR73" i="200"/>
  <c r="FS74" i="200" s="1"/>
  <c r="L33" i="207"/>
  <c r="N32" i="207"/>
  <c r="O32" i="207" s="1" a="1"/>
  <c r="O32" i="207" s="1"/>
  <c r="FJ73" i="200"/>
  <c r="FK74" i="200"/>
  <c r="AO34" i="205"/>
  <c r="P33" i="205"/>
  <c r="L27" i="169"/>
  <c r="L21" i="80"/>
  <c r="AO22" i="114"/>
  <c r="P21" i="114"/>
  <c r="L34" i="207" l="1"/>
  <c r="N33" i="207"/>
  <c r="O33" i="207" s="1" a="1"/>
  <c r="O33" i="207" s="1"/>
  <c r="GB73" i="200"/>
  <c r="FZ73" i="200"/>
  <c r="FX73" i="200"/>
  <c r="FU74" i="200"/>
  <c r="FT74" i="200" s="1"/>
  <c r="FR74" i="200"/>
  <c r="FS75" i="200" s="1"/>
  <c r="FP74" i="200"/>
  <c r="GA74" i="200" s="1"/>
  <c r="FQ74" i="200"/>
  <c r="FY74" i="200" s="1"/>
  <c r="FO74" i="200"/>
  <c r="FN74" i="200"/>
  <c r="FW74" i="200" s="1"/>
  <c r="FV74" i="200" s="1"/>
  <c r="AO35" i="205"/>
  <c r="P34" i="205"/>
  <c r="FJ74" i="200"/>
  <c r="FK75" i="200"/>
  <c r="L28" i="169"/>
  <c r="N21" i="80"/>
  <c r="O21" i="80" s="1" a="1"/>
  <c r="O21" i="80" s="1"/>
  <c r="L22" i="80"/>
  <c r="N22" i="80" s="1"/>
  <c r="O22" i="80" s="1" a="1"/>
  <c r="O22" i="80" s="1"/>
  <c r="AO23" i="114"/>
  <c r="P22" i="114"/>
  <c r="P10" i="80"/>
  <c r="R72" i="80"/>
  <c r="R71" i="80"/>
  <c r="R70" i="80"/>
  <c r="R69" i="80"/>
  <c r="R68" i="80"/>
  <c r="R67" i="80"/>
  <c r="R66" i="80"/>
  <c r="R65" i="80"/>
  <c r="R64" i="80"/>
  <c r="R63" i="80"/>
  <c r="R62" i="80"/>
  <c r="R61" i="80"/>
  <c r="R60" i="80"/>
  <c r="R59" i="80"/>
  <c r="R58" i="80"/>
  <c r="R57" i="80"/>
  <c r="R56" i="80"/>
  <c r="R55" i="80"/>
  <c r="R54" i="80"/>
  <c r="R53" i="80"/>
  <c r="R52" i="80"/>
  <c r="R51" i="80"/>
  <c r="R50" i="80"/>
  <c r="R49" i="80"/>
  <c r="R48" i="80"/>
  <c r="R47" i="80"/>
  <c r="HA1" i="147"/>
  <c r="HA1" i="84"/>
  <c r="FX74" i="200" l="1"/>
  <c r="GB74" i="200"/>
  <c r="FZ74" i="200"/>
  <c r="FU75" i="200"/>
  <c r="FT75" i="200" s="1"/>
  <c r="FQ75" i="200"/>
  <c r="FY75" i="200" s="1"/>
  <c r="FR75" i="200"/>
  <c r="FS76" i="200" s="1"/>
  <c r="FP75" i="200"/>
  <c r="GA75" i="200" s="1"/>
  <c r="FO75" i="200"/>
  <c r="FN75" i="200"/>
  <c r="FW75" i="200" s="1"/>
  <c r="FV75" i="200" s="1"/>
  <c r="FK76" i="200"/>
  <c r="FJ75" i="200"/>
  <c r="P35" i="205"/>
  <c r="AO36" i="205"/>
  <c r="L35" i="207"/>
  <c r="N34" i="207"/>
  <c r="O34" i="207" s="1" a="1"/>
  <c r="O34" i="207" s="1"/>
  <c r="L29" i="169"/>
  <c r="L23" i="80"/>
  <c r="N23" i="80" s="1"/>
  <c r="O23" i="80" s="1" a="1"/>
  <c r="O23" i="80" s="1"/>
  <c r="AO24" i="114"/>
  <c r="P23" i="114"/>
  <c r="FX75" i="200" l="1"/>
  <c r="FK77" i="200"/>
  <c r="FJ76" i="200"/>
  <c r="FO76" i="200"/>
  <c r="FN76" i="200"/>
  <c r="FW76" i="200" s="1"/>
  <c r="FV76" i="200" s="1"/>
  <c r="FR76" i="200"/>
  <c r="FS77" i="200" s="1"/>
  <c r="FU76" i="200"/>
  <c r="FT76" i="200" s="1"/>
  <c r="FP76" i="200"/>
  <c r="GA76" i="200" s="1"/>
  <c r="FQ76" i="200"/>
  <c r="FY76" i="200" s="1"/>
  <c r="GB75" i="200"/>
  <c r="FZ75" i="200"/>
  <c r="L36" i="207"/>
  <c r="N35" i="207"/>
  <c r="O35" i="207" s="1" a="1"/>
  <c r="O35" i="207" s="1"/>
  <c r="AO37" i="205"/>
  <c r="P36" i="205"/>
  <c r="L30" i="169"/>
  <c r="L24" i="80"/>
  <c r="N24" i="80" s="1"/>
  <c r="O24" i="80" s="1" a="1"/>
  <c r="O24" i="80" s="1"/>
  <c r="AO25" i="114"/>
  <c r="P24" i="114"/>
  <c r="AA57" i="165"/>
  <c r="Z57" i="165"/>
  <c r="Y57" i="165"/>
  <c r="X57" i="165"/>
  <c r="W57" i="165"/>
  <c r="V57" i="165"/>
  <c r="U57" i="165"/>
  <c r="T57" i="165"/>
  <c r="S57" i="165"/>
  <c r="R57" i="165"/>
  <c r="Q57" i="165"/>
  <c r="P57" i="165"/>
  <c r="O57" i="165"/>
  <c r="N57" i="165"/>
  <c r="M57" i="165"/>
  <c r="L57" i="165"/>
  <c r="K57" i="165"/>
  <c r="J57" i="165"/>
  <c r="I57" i="165"/>
  <c r="H57" i="165"/>
  <c r="G57" i="165"/>
  <c r="F57" i="165"/>
  <c r="E57" i="165"/>
  <c r="D57" i="165"/>
  <c r="C57" i="165"/>
  <c r="B57" i="165"/>
  <c r="A57" i="165"/>
  <c r="FZ76" i="200" l="1"/>
  <c r="GB76" i="200"/>
  <c r="N36" i="207"/>
  <c r="O36" i="207" s="1" a="1"/>
  <c r="O36" i="207" s="1"/>
  <c r="L37" i="207"/>
  <c r="FU77" i="200"/>
  <c r="FT77" i="200" s="1"/>
  <c r="FQ77" i="200"/>
  <c r="FY77" i="200" s="1"/>
  <c r="FO77" i="200"/>
  <c r="FN77" i="200"/>
  <c r="FW77" i="200" s="1"/>
  <c r="FV77" i="200" s="1"/>
  <c r="FP77" i="200"/>
  <c r="GA77" i="200" s="1"/>
  <c r="FR77" i="200"/>
  <c r="FS78" i="200" s="1"/>
  <c r="FX76" i="200"/>
  <c r="AO38" i="205"/>
  <c r="P37" i="205"/>
  <c r="FK78" i="200"/>
  <c r="FJ77" i="200"/>
  <c r="L31" i="169"/>
  <c r="L25" i="80"/>
  <c r="N25" i="80" s="1"/>
  <c r="O25" i="80" s="1" a="1"/>
  <c r="O25" i="80" s="1"/>
  <c r="AO26" i="114"/>
  <c r="P25" i="114"/>
  <c r="DY45" i="165"/>
  <c r="DY44" i="165"/>
  <c r="DY43" i="165"/>
  <c r="DY42" i="165"/>
  <c r="DY41" i="165"/>
  <c r="DY40" i="165"/>
  <c r="DY39" i="165"/>
  <c r="DY38" i="165"/>
  <c r="DY37" i="165"/>
  <c r="DY36" i="165"/>
  <c r="DY35" i="165"/>
  <c r="DY34" i="165"/>
  <c r="DY33" i="165"/>
  <c r="DY32" i="165"/>
  <c r="DY31" i="165"/>
  <c r="DY30" i="165"/>
  <c r="DY29" i="165"/>
  <c r="DY28" i="165"/>
  <c r="DY27" i="165"/>
  <c r="DY26" i="165"/>
  <c r="DY25" i="165"/>
  <c r="DY24" i="165"/>
  <c r="DY23" i="165"/>
  <c r="DY22" i="165"/>
  <c r="DY21" i="165"/>
  <c r="DY20" i="165"/>
  <c r="DY19" i="165"/>
  <c r="DY18" i="165"/>
  <c r="DY17" i="165"/>
  <c r="DY16" i="165"/>
  <c r="DY40" i="147"/>
  <c r="DY39" i="147"/>
  <c r="DY38" i="147"/>
  <c r="DY37" i="147"/>
  <c r="DY36" i="147"/>
  <c r="DY35" i="147"/>
  <c r="DY34" i="147"/>
  <c r="DY33" i="147"/>
  <c r="DY32" i="147"/>
  <c r="DY31" i="147"/>
  <c r="DY30" i="147"/>
  <c r="DY29" i="147"/>
  <c r="DY28" i="147"/>
  <c r="DY27" i="147"/>
  <c r="DY26" i="147"/>
  <c r="DY24" i="147"/>
  <c r="DY23" i="147"/>
  <c r="AA40" i="147"/>
  <c r="C40" i="147"/>
  <c r="B40" i="147"/>
  <c r="A40" i="147"/>
  <c r="AA39" i="147"/>
  <c r="C39" i="147"/>
  <c r="B39" i="147"/>
  <c r="A39" i="147"/>
  <c r="AA38" i="147"/>
  <c r="C38" i="147"/>
  <c r="B38" i="147"/>
  <c r="A38" i="147"/>
  <c r="AA37" i="147"/>
  <c r="C37" i="147"/>
  <c r="B37" i="147"/>
  <c r="A37" i="147"/>
  <c r="AA36" i="147"/>
  <c r="C36" i="147"/>
  <c r="B36" i="147"/>
  <c r="A36" i="147"/>
  <c r="AA35" i="147"/>
  <c r="C35" i="147"/>
  <c r="B35" i="147"/>
  <c r="A35" i="147"/>
  <c r="AA34" i="147"/>
  <c r="C34" i="147"/>
  <c r="B34" i="147"/>
  <c r="A34" i="147"/>
  <c r="AA33" i="147"/>
  <c r="C33" i="147"/>
  <c r="B33" i="147"/>
  <c r="A33" i="147"/>
  <c r="AA32" i="147"/>
  <c r="C32" i="147"/>
  <c r="B32" i="147"/>
  <c r="A32" i="147"/>
  <c r="AA31" i="147"/>
  <c r="C31" i="147"/>
  <c r="B31" i="147"/>
  <c r="A31" i="147"/>
  <c r="AA30" i="147"/>
  <c r="C30" i="147"/>
  <c r="B30" i="147"/>
  <c r="A30" i="147"/>
  <c r="AA29" i="147"/>
  <c r="C29" i="147"/>
  <c r="B29" i="147"/>
  <c r="A29" i="147"/>
  <c r="AA28" i="147"/>
  <c r="C28" i="147"/>
  <c r="B28" i="147"/>
  <c r="A28" i="147"/>
  <c r="AA27" i="147"/>
  <c r="C27" i="147"/>
  <c r="B27" i="147"/>
  <c r="A27" i="147"/>
  <c r="AA26" i="147"/>
  <c r="C26" i="147"/>
  <c r="B26" i="147"/>
  <c r="A26" i="147"/>
  <c r="AA24" i="147"/>
  <c r="C24" i="147"/>
  <c r="B24" i="147"/>
  <c r="A24" i="147"/>
  <c r="AA23" i="147"/>
  <c r="C23" i="147"/>
  <c r="B23" i="147"/>
  <c r="A23" i="147"/>
  <c r="AA57" i="147"/>
  <c r="Z57" i="147"/>
  <c r="Y57" i="147"/>
  <c r="X57" i="147"/>
  <c r="W57" i="147"/>
  <c r="V57" i="147"/>
  <c r="U57" i="147"/>
  <c r="T57" i="147"/>
  <c r="S57" i="147"/>
  <c r="R57" i="147"/>
  <c r="Q57" i="147"/>
  <c r="P57" i="147"/>
  <c r="O57" i="147"/>
  <c r="N57" i="147"/>
  <c r="M57" i="147"/>
  <c r="L57" i="147"/>
  <c r="K57" i="147"/>
  <c r="J57" i="147"/>
  <c r="I57" i="147"/>
  <c r="H57" i="147"/>
  <c r="G57" i="147"/>
  <c r="F57" i="147"/>
  <c r="E57" i="147"/>
  <c r="D57" i="147"/>
  <c r="C57" i="147"/>
  <c r="B57" i="147"/>
  <c r="A57" i="147"/>
  <c r="EG43" i="147"/>
  <c r="EF43" i="147"/>
  <c r="FO78" i="200" l="1"/>
  <c r="FN78" i="200"/>
  <c r="FW78" i="200" s="1"/>
  <c r="FV78" i="200" s="1"/>
  <c r="FR78" i="200"/>
  <c r="FS79" i="200" s="1"/>
  <c r="FU78" i="200"/>
  <c r="FT78" i="200" s="1"/>
  <c r="FP78" i="200"/>
  <c r="GA78" i="200" s="1"/>
  <c r="FQ78" i="200"/>
  <c r="FY78" i="200" s="1"/>
  <c r="FX77" i="200"/>
  <c r="GB77" i="200"/>
  <c r="FZ77" i="200"/>
  <c r="L38" i="207"/>
  <c r="N37" i="207"/>
  <c r="O37" i="207" s="1" a="1"/>
  <c r="O37" i="207" s="1"/>
  <c r="FK79" i="200"/>
  <c r="FJ78" i="200"/>
  <c r="AO39" i="205"/>
  <c r="P38" i="205"/>
  <c r="L32" i="169"/>
  <c r="L26" i="80"/>
  <c r="N26" i="80" s="1"/>
  <c r="O26" i="80" s="1" a="1"/>
  <c r="O26" i="80" s="1"/>
  <c r="AO27" i="114"/>
  <c r="P26" i="114"/>
  <c r="FZ78" i="200" l="1"/>
  <c r="GB78" i="200"/>
  <c r="N38" i="207"/>
  <c r="O38" i="207" s="1" a="1"/>
  <c r="O38" i="207" s="1"/>
  <c r="L39" i="207"/>
  <c r="P39" i="205"/>
  <c r="AO40" i="205"/>
  <c r="FU79" i="200"/>
  <c r="FT79" i="200" s="1"/>
  <c r="FQ79" i="200"/>
  <c r="FY79" i="200" s="1"/>
  <c r="FP79" i="200"/>
  <c r="GA79" i="200" s="1"/>
  <c r="FN79" i="200"/>
  <c r="FW79" i="200" s="1"/>
  <c r="FV79" i="200" s="1"/>
  <c r="FR79" i="200"/>
  <c r="FS80" i="200" s="1"/>
  <c r="FO79" i="200"/>
  <c r="FK80" i="200"/>
  <c r="FJ79" i="200"/>
  <c r="FX78" i="200"/>
  <c r="L33" i="169"/>
  <c r="L27" i="80"/>
  <c r="N27" i="80" s="1"/>
  <c r="O27" i="80" s="1" a="1"/>
  <c r="O27" i="80" s="1"/>
  <c r="AO28" i="114"/>
  <c r="P27" i="114"/>
  <c r="AA36" i="165"/>
  <c r="AO41" i="205" l="1"/>
  <c r="P40" i="205"/>
  <c r="FO80" i="200"/>
  <c r="FN80" i="200"/>
  <c r="FW80" i="200" s="1"/>
  <c r="FV80" i="200" s="1"/>
  <c r="FR80" i="200"/>
  <c r="FS81" i="200" s="1"/>
  <c r="FU80" i="200"/>
  <c r="FT80" i="200" s="1"/>
  <c r="FQ80" i="200"/>
  <c r="FY80" i="200" s="1"/>
  <c r="FP80" i="200"/>
  <c r="GA80" i="200" s="1"/>
  <c r="L40" i="207"/>
  <c r="N39" i="207"/>
  <c r="O39" i="207" s="1" a="1"/>
  <c r="O39" i="207" s="1"/>
  <c r="GB79" i="200"/>
  <c r="FZ79" i="200"/>
  <c r="FK81" i="200"/>
  <c r="FJ80" i="200"/>
  <c r="FX79" i="200"/>
  <c r="L34" i="169"/>
  <c r="L28" i="80"/>
  <c r="N28" i="80" s="1"/>
  <c r="O28" i="80" s="1" a="1"/>
  <c r="O28" i="80" s="1"/>
  <c r="AO29" i="114"/>
  <c r="P28" i="114"/>
  <c r="DI45" i="165"/>
  <c r="DI44" i="165"/>
  <c r="DI43" i="165"/>
  <c r="DI42" i="165"/>
  <c r="DI41" i="165"/>
  <c r="DI40" i="165"/>
  <c r="DI39" i="165"/>
  <c r="DI38" i="165"/>
  <c r="DI37" i="165"/>
  <c r="DI36" i="165"/>
  <c r="DI35" i="165"/>
  <c r="DI34" i="165"/>
  <c r="DI33" i="165"/>
  <c r="DI32" i="165"/>
  <c r="DI31" i="165"/>
  <c r="DI30" i="165"/>
  <c r="DI29" i="165"/>
  <c r="DI28" i="165"/>
  <c r="DI27" i="165"/>
  <c r="DI26" i="165"/>
  <c r="DI25" i="165"/>
  <c r="DI24" i="165"/>
  <c r="DI21" i="165"/>
  <c r="DI20" i="165"/>
  <c r="DI19" i="165"/>
  <c r="DI18" i="165"/>
  <c r="DI17" i="165"/>
  <c r="DI16" i="165"/>
  <c r="CY45" i="165"/>
  <c r="CY44" i="165"/>
  <c r="CY43" i="165"/>
  <c r="CY42" i="165"/>
  <c r="CY41" i="165"/>
  <c r="CY40" i="165"/>
  <c r="CY39" i="165"/>
  <c r="CY38" i="165"/>
  <c r="CY37" i="165"/>
  <c r="CY36" i="165"/>
  <c r="CY35" i="165"/>
  <c r="CY34" i="165"/>
  <c r="CY33" i="165"/>
  <c r="CY32" i="165"/>
  <c r="CY31" i="165"/>
  <c r="CY30" i="165"/>
  <c r="CY29" i="165"/>
  <c r="CY28" i="165"/>
  <c r="CY27" i="165"/>
  <c r="CY26" i="165"/>
  <c r="CY25" i="165"/>
  <c r="CY24" i="165"/>
  <c r="CY21" i="165"/>
  <c r="CY20" i="165"/>
  <c r="CY19" i="165"/>
  <c r="CY18" i="165"/>
  <c r="CY17" i="165"/>
  <c r="CY16" i="165"/>
  <c r="DI40" i="147"/>
  <c r="DI39" i="147"/>
  <c r="DI38" i="147"/>
  <c r="DI37" i="147"/>
  <c r="DI36" i="147"/>
  <c r="DI35" i="147"/>
  <c r="DI34" i="147"/>
  <c r="DI33" i="147"/>
  <c r="DI32" i="147"/>
  <c r="DI31" i="147"/>
  <c r="DI30" i="147"/>
  <c r="DI29" i="147"/>
  <c r="DI28" i="147"/>
  <c r="DI24" i="147"/>
  <c r="CY40" i="147"/>
  <c r="CY39" i="147"/>
  <c r="CY38" i="147"/>
  <c r="CY37" i="147"/>
  <c r="CY36" i="147"/>
  <c r="CY35" i="147"/>
  <c r="CY34" i="147"/>
  <c r="CY33" i="147"/>
  <c r="CY32" i="147"/>
  <c r="CY31" i="147"/>
  <c r="CY30" i="147"/>
  <c r="CY29" i="147"/>
  <c r="CY28" i="147"/>
  <c r="CY24" i="147"/>
  <c r="L41" i="207" l="1"/>
  <c r="N40" i="207"/>
  <c r="O40" i="207" s="1" a="1"/>
  <c r="O40" i="207" s="1"/>
  <c r="FZ80" i="200"/>
  <c r="GB80" i="200"/>
  <c r="FU81" i="200"/>
  <c r="FT81" i="200" s="1"/>
  <c r="FQ81" i="200"/>
  <c r="FY81" i="200" s="1"/>
  <c r="FR81" i="200"/>
  <c r="FS82" i="200" s="1"/>
  <c r="FP81" i="200"/>
  <c r="GA81" i="200" s="1"/>
  <c r="FO81" i="200"/>
  <c r="FN81" i="200"/>
  <c r="FW81" i="200" s="1"/>
  <c r="FV81" i="200" s="1"/>
  <c r="FX80" i="200"/>
  <c r="FK82" i="200"/>
  <c r="FJ81" i="200"/>
  <c r="AO42" i="205"/>
  <c r="P41" i="205"/>
  <c r="L35" i="169"/>
  <c r="L29" i="80"/>
  <c r="N29" i="80" s="1"/>
  <c r="O29" i="80" s="1" a="1"/>
  <c r="O29" i="80" s="1"/>
  <c r="AO30" i="114"/>
  <c r="P29" i="114"/>
  <c r="AA45" i="165"/>
  <c r="AA44" i="165"/>
  <c r="AA43" i="165"/>
  <c r="AA42" i="165"/>
  <c r="AA41" i="165"/>
  <c r="AA40" i="165"/>
  <c r="AA39" i="165"/>
  <c r="AA38" i="165"/>
  <c r="AA37" i="165"/>
  <c r="AA35" i="165"/>
  <c r="AA34" i="165"/>
  <c r="AA33" i="165"/>
  <c r="AA32" i="165"/>
  <c r="AA31" i="165"/>
  <c r="AA30" i="165"/>
  <c r="AA29" i="165"/>
  <c r="AA28" i="165"/>
  <c r="AA27" i="165"/>
  <c r="AA26" i="165"/>
  <c r="AA25" i="165"/>
  <c r="AA24" i="165"/>
  <c r="AA23" i="165"/>
  <c r="AA22" i="165"/>
  <c r="AA21" i="165"/>
  <c r="AA20" i="165"/>
  <c r="AA19" i="165"/>
  <c r="AA18" i="165"/>
  <c r="AA17" i="165"/>
  <c r="AA16" i="165"/>
  <c r="GF40" i="147"/>
  <c r="GE40" i="147" s="1"/>
  <c r="GF39" i="147"/>
  <c r="GE39" i="147" s="1"/>
  <c r="GF38" i="147"/>
  <c r="GF37" i="147"/>
  <c r="GD37" i="147" s="1"/>
  <c r="GF36" i="147"/>
  <c r="GE36" i="147" s="1"/>
  <c r="GB36" i="147"/>
  <c r="GF35" i="147"/>
  <c r="GE35" i="147" s="1"/>
  <c r="GF34" i="147"/>
  <c r="GF33" i="147"/>
  <c r="GD33" i="147" s="1"/>
  <c r="GF32" i="147"/>
  <c r="GE32" i="147" s="1"/>
  <c r="GF31" i="147"/>
  <c r="GE31" i="147" s="1"/>
  <c r="GF30" i="147"/>
  <c r="GF29" i="147"/>
  <c r="GD29" i="147" s="1"/>
  <c r="GF28" i="147"/>
  <c r="GE28" i="147" s="1"/>
  <c r="GF27" i="147"/>
  <c r="AA25" i="147"/>
  <c r="Z45" i="160"/>
  <c r="Z44" i="160"/>
  <c r="Z43" i="160"/>
  <c r="Z42" i="160"/>
  <c r="Z41" i="160"/>
  <c r="Z40" i="160"/>
  <c r="Z39" i="160"/>
  <c r="Z38" i="160"/>
  <c r="Z37" i="160"/>
  <c r="Z36" i="160"/>
  <c r="Z35" i="160"/>
  <c r="Z34" i="160"/>
  <c r="Z33" i="160"/>
  <c r="Z32" i="160"/>
  <c r="Z31" i="160"/>
  <c r="Z30" i="160"/>
  <c r="Z29" i="160"/>
  <c r="Z28" i="160"/>
  <c r="Z27" i="160"/>
  <c r="Z26" i="160"/>
  <c r="Z25" i="160"/>
  <c r="Z24" i="160"/>
  <c r="Z23" i="160"/>
  <c r="Z22" i="160"/>
  <c r="Z21" i="160"/>
  <c r="Z20" i="160"/>
  <c r="Z19" i="160"/>
  <c r="Z18" i="160"/>
  <c r="Z17" i="160"/>
  <c r="Z16" i="160"/>
  <c r="Z15" i="160"/>
  <c r="Z14" i="160"/>
  <c r="Z45" i="84"/>
  <c r="Z44" i="84"/>
  <c r="Z43" i="84"/>
  <c r="Z42" i="84"/>
  <c r="Z41" i="84"/>
  <c r="Z40" i="84"/>
  <c r="Z39" i="84"/>
  <c r="Z38" i="84"/>
  <c r="Z37" i="84"/>
  <c r="Z36" i="84"/>
  <c r="Z35" i="84"/>
  <c r="Z34" i="84"/>
  <c r="Z33" i="84"/>
  <c r="Z32" i="84"/>
  <c r="Z31" i="84"/>
  <c r="Z30" i="84"/>
  <c r="Z29" i="84"/>
  <c r="Z28" i="84"/>
  <c r="FX81" i="200" l="1"/>
  <c r="FO82" i="200"/>
  <c r="FN82" i="200"/>
  <c r="FW82" i="200" s="1"/>
  <c r="FV82" i="200" s="1"/>
  <c r="FU82" i="200"/>
  <c r="FT82" i="200" s="1"/>
  <c r="FR82" i="200"/>
  <c r="FS83" i="200" s="1"/>
  <c r="FQ82" i="200"/>
  <c r="FY82" i="200" s="1"/>
  <c r="FP82" i="200"/>
  <c r="GA82" i="200" s="1"/>
  <c r="GB81" i="200"/>
  <c r="FZ81" i="200"/>
  <c r="AO43" i="205"/>
  <c r="P42" i="205"/>
  <c r="FK83" i="200"/>
  <c r="FJ82" i="200"/>
  <c r="N41" i="207"/>
  <c r="O41" i="207" s="1" a="1"/>
  <c r="O41" i="207" s="1"/>
  <c r="L42" i="207"/>
  <c r="GB32" i="147"/>
  <c r="GB28" i="147"/>
  <c r="GB40" i="147"/>
  <c r="GD28" i="147"/>
  <c r="L36" i="169"/>
  <c r="L30" i="80"/>
  <c r="N30" i="80" s="1"/>
  <c r="O30" i="80" s="1" a="1"/>
  <c r="O30" i="80" s="1"/>
  <c r="AO31" i="114"/>
  <c r="P30" i="114"/>
  <c r="GB27" i="147"/>
  <c r="GD32" i="147"/>
  <c r="GD36" i="147"/>
  <c r="GD40" i="147"/>
  <c r="GB33" i="147"/>
  <c r="GB37" i="147"/>
  <c r="GB29" i="147"/>
  <c r="GE29" i="147"/>
  <c r="GA33" i="147"/>
  <c r="GE33" i="147"/>
  <c r="GA37" i="147"/>
  <c r="GE37" i="147"/>
  <c r="GD30" i="147"/>
  <c r="GE30" i="147"/>
  <c r="GD34" i="147"/>
  <c r="GE34" i="147"/>
  <c r="GD38" i="147"/>
  <c r="GE38" i="147"/>
  <c r="GA28" i="147"/>
  <c r="GC29" i="147"/>
  <c r="GA32" i="147"/>
  <c r="GC33" i="147"/>
  <c r="GA36" i="147"/>
  <c r="GC37" i="147"/>
  <c r="GA40" i="147"/>
  <c r="GA27" i="147"/>
  <c r="GC28" i="147"/>
  <c r="GA31" i="147"/>
  <c r="GC32" i="147"/>
  <c r="GA35" i="147"/>
  <c r="GC36" i="147"/>
  <c r="GA39" i="147"/>
  <c r="GC40" i="147"/>
  <c r="GB31" i="147"/>
  <c r="GB35" i="147"/>
  <c r="GB39" i="147"/>
  <c r="GA30" i="147"/>
  <c r="GC31" i="147"/>
  <c r="GA34" i="147"/>
  <c r="GC35" i="147"/>
  <c r="GA38" i="147"/>
  <c r="GC39" i="147"/>
  <c r="GB30" i="147"/>
  <c r="GD31" i="147"/>
  <c r="GB34" i="147"/>
  <c r="GD35" i="147"/>
  <c r="GB38" i="147"/>
  <c r="GD39" i="147"/>
  <c r="GA29" i="147"/>
  <c r="GC30" i="147"/>
  <c r="GC34" i="147"/>
  <c r="GC38" i="147"/>
  <c r="Z87" i="160"/>
  <c r="P43" i="205" l="1"/>
  <c r="AO44" i="205"/>
  <c r="FK84" i="200"/>
  <c r="FJ83" i="200"/>
  <c r="FZ82" i="200"/>
  <c r="GB82" i="200"/>
  <c r="FU83" i="200"/>
  <c r="FT83" i="200" s="1"/>
  <c r="FQ83" i="200"/>
  <c r="FY83" i="200" s="1"/>
  <c r="FO83" i="200"/>
  <c r="FP83" i="200"/>
  <c r="GA83" i="200" s="1"/>
  <c r="FN83" i="200"/>
  <c r="FW83" i="200" s="1"/>
  <c r="FV83" i="200" s="1"/>
  <c r="FR83" i="200"/>
  <c r="FS84" i="200" s="1"/>
  <c r="L43" i="207"/>
  <c r="N42" i="207"/>
  <c r="O42" i="207" s="1" a="1"/>
  <c r="O42" i="207" s="1"/>
  <c r="FX82" i="200"/>
  <c r="L37" i="169"/>
  <c r="L31" i="80"/>
  <c r="N31" i="80" s="1"/>
  <c r="O31" i="80" s="1" a="1"/>
  <c r="O31" i="80" s="1"/>
  <c r="AO32" i="114"/>
  <c r="P31" i="114"/>
  <c r="GB83" i="200" l="1"/>
  <c r="FZ83" i="200"/>
  <c r="FJ84" i="200"/>
  <c r="FK85" i="200"/>
  <c r="FJ85" i="200" s="1"/>
  <c r="N43" i="207"/>
  <c r="O43" i="207" s="1" a="1"/>
  <c r="O43" i="207" s="1"/>
  <c r="L44" i="207"/>
  <c r="P44" i="205"/>
  <c r="AO45" i="205"/>
  <c r="FX83" i="200"/>
  <c r="FP84" i="200"/>
  <c r="GA84" i="200" s="1"/>
  <c r="FU84" i="200"/>
  <c r="FT84" i="200" s="1"/>
  <c r="FQ84" i="200"/>
  <c r="FY84" i="200" s="1"/>
  <c r="FO84" i="200"/>
  <c r="FN84" i="200"/>
  <c r="FW84" i="200" s="1"/>
  <c r="FV84" i="200" s="1"/>
  <c r="FR84" i="200"/>
  <c r="FS85" i="200" s="1"/>
  <c r="L38" i="169"/>
  <c r="L32" i="80"/>
  <c r="N32" i="80" s="1"/>
  <c r="O32" i="80" s="1" a="1"/>
  <c r="O32" i="80" s="1"/>
  <c r="AO33" i="114"/>
  <c r="P32" i="114"/>
  <c r="AO46" i="205" l="1"/>
  <c r="P45" i="205"/>
  <c r="L45" i="207"/>
  <c r="N44" i="207"/>
  <c r="O44" i="207" s="1" a="1"/>
  <c r="O44" i="207" s="1"/>
  <c r="FX84" i="200"/>
  <c r="FP85" i="200"/>
  <c r="GA85" i="200" s="1"/>
  <c r="FQ85" i="200"/>
  <c r="FY85" i="200" s="1"/>
  <c r="FO85" i="200"/>
  <c r="FN85" i="200"/>
  <c r="FW85" i="200" s="1"/>
  <c r="FV85" i="200" s="1"/>
  <c r="FU85" i="200"/>
  <c r="FT85" i="200" s="1"/>
  <c r="FR85" i="200"/>
  <c r="GB84" i="200"/>
  <c r="FZ84" i="200"/>
  <c r="L39" i="169"/>
  <c r="L33" i="80"/>
  <c r="N33" i="80" s="1"/>
  <c r="O33" i="80" s="1" a="1"/>
  <c r="O33" i="80" s="1"/>
  <c r="AO34" i="114"/>
  <c r="P33" i="114"/>
  <c r="FX85" i="200" l="1"/>
  <c r="GB85" i="200"/>
  <c r="GJ85" i="200"/>
  <c r="GJ84" i="200" s="1"/>
  <c r="GJ83" i="200" s="1"/>
  <c r="GJ82" i="200" s="1"/>
  <c r="GJ81" i="200" s="1"/>
  <c r="GJ80" i="200" s="1"/>
  <c r="GJ79" i="200" s="1"/>
  <c r="GJ78" i="200" s="1"/>
  <c r="GJ77" i="200" s="1"/>
  <c r="GJ76" i="200" s="1"/>
  <c r="GJ75" i="200" s="1"/>
  <c r="GJ74" i="200" s="1"/>
  <c r="GJ73" i="200" s="1"/>
  <c r="GJ72" i="200" s="1"/>
  <c r="GJ71" i="200" s="1"/>
  <c r="GJ70" i="200" s="1"/>
  <c r="GJ69" i="200" s="1"/>
  <c r="GJ68" i="200" s="1"/>
  <c r="GJ67" i="200" s="1"/>
  <c r="GJ66" i="200" s="1"/>
  <c r="GJ65" i="200" s="1"/>
  <c r="GJ64" i="200" s="1"/>
  <c r="GJ63" i="200" s="1"/>
  <c r="GJ62" i="200" s="1"/>
  <c r="GJ61" i="200" s="1"/>
  <c r="GJ60" i="200" s="1"/>
  <c r="GJ59" i="200" s="1"/>
  <c r="GJ58" i="200" s="1"/>
  <c r="GJ57" i="200" s="1"/>
  <c r="GJ56" i="200" s="1"/>
  <c r="GJ55" i="200" s="1"/>
  <c r="GJ54" i="200" s="1"/>
  <c r="FZ85" i="200"/>
  <c r="L46" i="207"/>
  <c r="N45" i="207"/>
  <c r="O45" i="207" s="1" a="1"/>
  <c r="O45" i="207" s="1"/>
  <c r="AO47" i="205"/>
  <c r="P46" i="205"/>
  <c r="L40" i="169"/>
  <c r="L34" i="80"/>
  <c r="N34" i="80" s="1"/>
  <c r="O34" i="80" s="1" a="1"/>
  <c r="O34" i="80" s="1"/>
  <c r="AO35" i="114"/>
  <c r="P34" i="114"/>
  <c r="BG87" i="160"/>
  <c r="BF87" i="160"/>
  <c r="BE87" i="160"/>
  <c r="BD87" i="160"/>
  <c r="BC87" i="160"/>
  <c r="BB87" i="160"/>
  <c r="BA87" i="160"/>
  <c r="AZ87" i="160"/>
  <c r="AY87" i="160"/>
  <c r="AX87" i="160"/>
  <c r="AW87" i="160"/>
  <c r="AV87" i="160"/>
  <c r="AU87" i="160"/>
  <c r="AT87" i="160"/>
  <c r="AS87" i="160"/>
  <c r="AR87" i="160"/>
  <c r="AQ87" i="160"/>
  <c r="AP87" i="160"/>
  <c r="AO87" i="160"/>
  <c r="AN87" i="160"/>
  <c r="AM87" i="160"/>
  <c r="AL87" i="160"/>
  <c r="AK87" i="160"/>
  <c r="AJ87" i="160"/>
  <c r="AI87" i="160"/>
  <c r="AH87" i="160"/>
  <c r="AG87" i="160"/>
  <c r="AF87" i="160"/>
  <c r="AE87" i="160"/>
  <c r="AD87" i="160"/>
  <c r="AC87" i="160"/>
  <c r="AB87" i="160"/>
  <c r="AA87" i="160"/>
  <c r="Y87" i="160"/>
  <c r="X87" i="160"/>
  <c r="W87" i="160"/>
  <c r="V87" i="160"/>
  <c r="U87" i="160"/>
  <c r="T87" i="160"/>
  <c r="S87" i="160"/>
  <c r="R87" i="160"/>
  <c r="Q87" i="160"/>
  <c r="P87" i="160"/>
  <c r="O87" i="160"/>
  <c r="N87" i="160"/>
  <c r="M87" i="160"/>
  <c r="L87" i="160"/>
  <c r="K87" i="160"/>
  <c r="J87" i="160"/>
  <c r="I87" i="160"/>
  <c r="H87" i="160"/>
  <c r="G87" i="160"/>
  <c r="F87" i="160"/>
  <c r="E87" i="160"/>
  <c r="D87" i="160"/>
  <c r="C87" i="160"/>
  <c r="A87" i="160"/>
  <c r="BG87" i="84"/>
  <c r="BF87" i="84"/>
  <c r="BE87" i="84"/>
  <c r="BD87" i="84"/>
  <c r="BC87" i="84"/>
  <c r="BB87" i="84"/>
  <c r="BA87" i="84"/>
  <c r="AZ87" i="84"/>
  <c r="AY87" i="84"/>
  <c r="AX87" i="84"/>
  <c r="AW87" i="84"/>
  <c r="AV87" i="84"/>
  <c r="AU87" i="84"/>
  <c r="AT87" i="84"/>
  <c r="AS87" i="84"/>
  <c r="AR87" i="84"/>
  <c r="AQ87" i="84"/>
  <c r="AP87" i="84"/>
  <c r="AO87" i="84"/>
  <c r="AN87" i="84"/>
  <c r="AM87" i="84"/>
  <c r="AL87" i="84"/>
  <c r="AK87" i="84"/>
  <c r="AJ87" i="84"/>
  <c r="AI87" i="84"/>
  <c r="AH87" i="84"/>
  <c r="AG87" i="84"/>
  <c r="AF87" i="84"/>
  <c r="AE87" i="84"/>
  <c r="AD87" i="84"/>
  <c r="AC87" i="84"/>
  <c r="AB87" i="84"/>
  <c r="AA87" i="84"/>
  <c r="Z87" i="84"/>
  <c r="Y87" i="84"/>
  <c r="X87" i="84"/>
  <c r="W87" i="84"/>
  <c r="V87" i="84"/>
  <c r="U87" i="84"/>
  <c r="T87" i="84"/>
  <c r="S87" i="84"/>
  <c r="R87" i="84"/>
  <c r="Q87" i="84"/>
  <c r="P87" i="84"/>
  <c r="O87" i="84"/>
  <c r="N87" i="84"/>
  <c r="M87" i="84"/>
  <c r="L87" i="84"/>
  <c r="BU87" i="84" s="1"/>
  <c r="K87" i="84"/>
  <c r="J87" i="84"/>
  <c r="I87" i="84"/>
  <c r="BS87" i="84" s="1"/>
  <c r="H87" i="84"/>
  <c r="G87" i="84"/>
  <c r="F87" i="84"/>
  <c r="E87" i="84"/>
  <c r="D87" i="84"/>
  <c r="C87" i="84"/>
  <c r="BQ87" i="84" s="1"/>
  <c r="A87" i="84"/>
  <c r="GF23" i="147"/>
  <c r="GE23" i="147" s="1"/>
  <c r="P47" i="205" l="1"/>
  <c r="AO48" i="205"/>
  <c r="L47" i="207"/>
  <c r="N46" i="207"/>
  <c r="O46" i="207" s="1" a="1"/>
  <c r="O46" i="207" s="1"/>
  <c r="L41" i="169"/>
  <c r="L35" i="80"/>
  <c r="N35" i="80" s="1"/>
  <c r="O35" i="80" s="1" a="1"/>
  <c r="O35" i="80" s="1"/>
  <c r="AO36" i="114"/>
  <c r="P35" i="114"/>
  <c r="GB23" i="147"/>
  <c r="GA23" i="147"/>
  <c r="BV87" i="84"/>
  <c r="BJ87" i="84"/>
  <c r="BT87" i="84"/>
  <c r="BM87" i="84"/>
  <c r="BN87" i="84"/>
  <c r="BO87" i="84"/>
  <c r="BW87" i="84"/>
  <c r="BX87" i="84" s="1"/>
  <c r="BP87" i="84"/>
  <c r="L48" i="207" l="1"/>
  <c r="N47" i="207"/>
  <c r="O47" i="207" s="1" a="1"/>
  <c r="O47" i="207" s="1"/>
  <c r="AO49" i="205"/>
  <c r="P48" i="205"/>
  <c r="L42" i="169"/>
  <c r="L36" i="80"/>
  <c r="N36" i="80" s="1"/>
  <c r="O36" i="80" s="1" a="1"/>
  <c r="O36" i="80" s="1"/>
  <c r="AO37" i="114"/>
  <c r="P36" i="114"/>
  <c r="BR87" i="84"/>
  <c r="AO50" i="205" l="1"/>
  <c r="P49" i="205"/>
  <c r="N48" i="207"/>
  <c r="O48" i="207" s="1" a="1"/>
  <c r="O48" i="207" s="1"/>
  <c r="L49" i="207"/>
  <c r="L43" i="169"/>
  <c r="L37" i="80"/>
  <c r="N37" i="80" s="1"/>
  <c r="O37" i="80" s="1" a="1"/>
  <c r="O37" i="80" s="1"/>
  <c r="AO38" i="114"/>
  <c r="P37" i="114"/>
  <c r="GF26" i="147"/>
  <c r="L50" i="207" l="1"/>
  <c r="N49" i="207"/>
  <c r="O49" i="207" s="1" a="1"/>
  <c r="O49" i="207" s="1"/>
  <c r="AO51" i="205"/>
  <c r="P50" i="205"/>
  <c r="L44" i="169"/>
  <c r="L38" i="80"/>
  <c r="N38" i="80" s="1"/>
  <c r="O38" i="80" s="1" a="1"/>
  <c r="O38" i="80" s="1"/>
  <c r="AO39" i="114"/>
  <c r="P38" i="114"/>
  <c r="GB26" i="147"/>
  <c r="GA26" i="147"/>
  <c r="P51" i="205" l="1"/>
  <c r="AO52" i="205"/>
  <c r="N50" i="207"/>
  <c r="O50" i="207" s="1" a="1"/>
  <c r="O50" i="207" s="1"/>
  <c r="L51" i="207"/>
  <c r="N51" i="207" s="1"/>
  <c r="O51" i="207" s="1" a="1"/>
  <c r="O51" i="207" s="1"/>
  <c r="N52" i="207" s="1"/>
  <c r="L45" i="169"/>
  <c r="L39" i="80"/>
  <c r="N39" i="80" s="1"/>
  <c r="O39" i="80" s="1" a="1"/>
  <c r="O39" i="80" s="1"/>
  <c r="AO40" i="114"/>
  <c r="P39" i="114"/>
  <c r="JL14" i="160"/>
  <c r="JL15" i="160" s="1"/>
  <c r="JL16" i="160" s="1"/>
  <c r="JL17" i="160" s="1"/>
  <c r="JL18" i="160" s="1"/>
  <c r="JL19" i="160" s="1"/>
  <c r="JL20" i="160" s="1"/>
  <c r="JL21" i="160" s="1"/>
  <c r="JL22" i="160" s="1"/>
  <c r="JL23" i="160" s="1"/>
  <c r="JL24" i="160" s="1"/>
  <c r="JL25" i="160" s="1"/>
  <c r="JL26" i="160" s="1"/>
  <c r="JL27" i="160" s="1"/>
  <c r="JL28" i="160" s="1"/>
  <c r="JL29" i="160" s="1"/>
  <c r="JL30" i="160" s="1"/>
  <c r="JL31" i="160" s="1"/>
  <c r="JL32" i="160" s="1"/>
  <c r="JL33" i="160" s="1"/>
  <c r="JL34" i="160" s="1"/>
  <c r="JL35" i="160" s="1"/>
  <c r="JL36" i="160" s="1"/>
  <c r="JL37" i="160" s="1"/>
  <c r="JL38" i="160" s="1"/>
  <c r="JL39" i="160" s="1"/>
  <c r="JL40" i="160" s="1"/>
  <c r="JL41" i="160" s="1"/>
  <c r="JL42" i="160" s="1"/>
  <c r="JL43" i="160" s="1"/>
  <c r="JL44" i="160" s="1"/>
  <c r="JL45" i="160" s="1"/>
  <c r="HA1" i="160"/>
  <c r="IB12" i="160" s="1"/>
  <c r="AO53" i="205" l="1"/>
  <c r="P52" i="205"/>
  <c r="L46" i="169"/>
  <c r="L40" i="80"/>
  <c r="N40" i="80" s="1"/>
  <c r="O40" i="80" s="1" a="1"/>
  <c r="O40" i="80" s="1"/>
  <c r="AO41" i="114"/>
  <c r="P40" i="114"/>
  <c r="IN12" i="160"/>
  <c r="IV12" i="160"/>
  <c r="JD12" i="160"/>
  <c r="IW12" i="160"/>
  <c r="HH12" i="160"/>
  <c r="IX12" i="160"/>
  <c r="IQ12" i="160"/>
  <c r="IY12" i="160"/>
  <c r="JG12" i="160"/>
  <c r="IO12" i="160"/>
  <c r="JE12" i="160"/>
  <c r="IP12" i="160"/>
  <c r="JF12" i="160"/>
  <c r="IR12" i="160"/>
  <c r="IZ12" i="160"/>
  <c r="JH12" i="160"/>
  <c r="IS12" i="160"/>
  <c r="IL12" i="160"/>
  <c r="JB12" i="160"/>
  <c r="JJ12" i="160"/>
  <c r="JA12" i="160"/>
  <c r="JI12" i="160"/>
  <c r="IT12" i="160"/>
  <c r="IM12" i="160"/>
  <c r="IU12" i="160"/>
  <c r="JC12" i="160"/>
  <c r="JK12" i="160"/>
  <c r="HI12" i="160"/>
  <c r="HS12" i="160"/>
  <c r="ID12" i="160"/>
  <c r="HJ12" i="160"/>
  <c r="HT12" i="160"/>
  <c r="HK12" i="160"/>
  <c r="HX12" i="160"/>
  <c r="HW12" i="160"/>
  <c r="HL12" i="160"/>
  <c r="HD12" i="160"/>
  <c r="HO12" i="160"/>
  <c r="HY12" i="160"/>
  <c r="HF12" i="160"/>
  <c r="HP12" i="160"/>
  <c r="HZ12" i="160"/>
  <c r="HG12" i="160"/>
  <c r="HQ12" i="160"/>
  <c r="IA12" i="160"/>
  <c r="HR12" i="160"/>
  <c r="HM12" i="160"/>
  <c r="HU12" i="160"/>
  <c r="IC12" i="160"/>
  <c r="HN12" i="160"/>
  <c r="HV12" i="160"/>
  <c r="AO54" i="205" l="1"/>
  <c r="P53" i="205"/>
  <c r="L47" i="169"/>
  <c r="L41" i="80"/>
  <c r="N41" i="80" s="1"/>
  <c r="O41" i="80" s="1" a="1"/>
  <c r="O41" i="80" s="1"/>
  <c r="AO42" i="114"/>
  <c r="P41" i="114"/>
  <c r="JL14" i="84"/>
  <c r="JL15" i="84" s="1"/>
  <c r="JL16" i="84" s="1"/>
  <c r="JL17" i="84" s="1"/>
  <c r="JL18" i="84" s="1"/>
  <c r="JL19" i="84" s="1"/>
  <c r="JL20" i="84" s="1"/>
  <c r="JL21" i="84" s="1"/>
  <c r="JL22" i="84" s="1"/>
  <c r="JL23" i="84" s="1"/>
  <c r="JL24" i="84" s="1"/>
  <c r="JL25" i="84" s="1"/>
  <c r="JL26" i="84" s="1"/>
  <c r="JL27" i="84" s="1"/>
  <c r="JL28" i="84" s="1"/>
  <c r="JL29" i="84" s="1"/>
  <c r="JL30" i="84" s="1"/>
  <c r="JL31" i="84" s="1"/>
  <c r="JL32" i="84" s="1"/>
  <c r="JL33" i="84" s="1"/>
  <c r="JL34" i="84" s="1"/>
  <c r="JL35" i="84" s="1"/>
  <c r="JL36" i="84" s="1"/>
  <c r="JL37" i="84" s="1"/>
  <c r="JL38" i="84" s="1"/>
  <c r="JL39" i="84" s="1"/>
  <c r="JL40" i="84" s="1"/>
  <c r="JL41" i="84" s="1"/>
  <c r="JL42" i="84" s="1"/>
  <c r="JL43" i="84" s="1"/>
  <c r="JL44" i="84" s="1"/>
  <c r="JL45" i="84" s="1"/>
  <c r="AO55" i="205" l="1"/>
  <c r="P55" i="205" s="1"/>
  <c r="P56" i="205" s="1"/>
  <c r="P54" i="205"/>
  <c r="L48" i="169"/>
  <c r="L42" i="80"/>
  <c r="N42" i="80" s="1"/>
  <c r="O42" i="80" s="1" a="1"/>
  <c r="O42" i="80" s="1"/>
  <c r="AO43" i="114"/>
  <c r="P42" i="114"/>
  <c r="IB26" i="84"/>
  <c r="JK12" i="84"/>
  <c r="L49" i="169" l="1"/>
  <c r="L43" i="80"/>
  <c r="N43" i="80" s="1"/>
  <c r="O43" i="80" s="1" a="1"/>
  <c r="O43" i="80" s="1"/>
  <c r="AO44" i="114"/>
  <c r="P43" i="114"/>
  <c r="IO12" i="84"/>
  <c r="IW12" i="84"/>
  <c r="JG12" i="84"/>
  <c r="JB12" i="84"/>
  <c r="IL12" i="84"/>
  <c r="JF12" i="84"/>
  <c r="IM12" i="84"/>
  <c r="IY12" i="84"/>
  <c r="JH12" i="84"/>
  <c r="IV12" i="84"/>
  <c r="IP12" i="84"/>
  <c r="IQ12" i="84"/>
  <c r="JE12" i="84"/>
  <c r="JJ12" i="84"/>
  <c r="IS12" i="84"/>
  <c r="IZ12" i="84"/>
  <c r="IT12" i="84"/>
  <c r="JD12" i="84"/>
  <c r="IU12" i="84"/>
  <c r="IN12" i="84"/>
  <c r="JC12" i="84"/>
  <c r="JA12" i="84"/>
  <c r="JI12" i="84"/>
  <c r="IR12" i="84"/>
  <c r="IX12" i="84"/>
  <c r="HZ26" i="84"/>
  <c r="HA1" i="165"/>
  <c r="IF14" i="165" s="1"/>
  <c r="HB11" i="165"/>
  <c r="HC11" i="165" s="1"/>
  <c r="HD11" i="165" s="1"/>
  <c r="HE11" i="165" s="1"/>
  <c r="HF11" i="165" s="1"/>
  <c r="HG11" i="165" s="1"/>
  <c r="HH11" i="165" s="1"/>
  <c r="HI11" i="165" s="1"/>
  <c r="HJ11" i="165" s="1"/>
  <c r="HK11" i="165" s="1"/>
  <c r="HL11" i="165" s="1"/>
  <c r="HM11" i="165" s="1"/>
  <c r="HN11" i="165" s="1"/>
  <c r="HO11" i="165" s="1"/>
  <c r="HP11" i="165" s="1"/>
  <c r="HQ11" i="165" s="1"/>
  <c r="HR11" i="165" s="1"/>
  <c r="HS11" i="165" s="1"/>
  <c r="HT11" i="165" s="1"/>
  <c r="HU11" i="165" s="1"/>
  <c r="HV11" i="165" s="1"/>
  <c r="HW11" i="165" s="1"/>
  <c r="HX11" i="165" s="1"/>
  <c r="HY11" i="165" s="1"/>
  <c r="HZ11" i="165" s="1"/>
  <c r="IA11" i="165" s="1"/>
  <c r="IB11" i="165" s="1"/>
  <c r="IC11" i="165" s="1"/>
  <c r="ID11" i="165" s="1"/>
  <c r="IE11" i="165" s="1"/>
  <c r="IF11" i="165" s="1"/>
  <c r="IC21" i="147"/>
  <c r="L50" i="169" l="1"/>
  <c r="L44" i="80"/>
  <c r="N44" i="80" s="1"/>
  <c r="O44" i="80" s="1" a="1"/>
  <c r="O44" i="80" s="1"/>
  <c r="AO45" i="114"/>
  <c r="P44" i="114"/>
  <c r="HD21" i="147"/>
  <c r="HM21" i="147"/>
  <c r="ID21" i="147"/>
  <c r="HH21" i="147"/>
  <c r="HV21" i="147"/>
  <c r="HF21" i="147"/>
  <c r="HO21" i="147"/>
  <c r="HW21" i="147"/>
  <c r="IF21" i="147"/>
  <c r="HU21" i="147"/>
  <c r="HN21" i="147"/>
  <c r="IE21" i="147"/>
  <c r="HG21" i="147"/>
  <c r="HP21" i="147"/>
  <c r="HX21" i="147"/>
  <c r="IB21" i="147"/>
  <c r="HJ21" i="147"/>
  <c r="HR21" i="147"/>
  <c r="HZ21" i="147"/>
  <c r="HI21" i="147"/>
  <c r="HQ21" i="147"/>
  <c r="HY21" i="147"/>
  <c r="HK21" i="147"/>
  <c r="HS21" i="147"/>
  <c r="IA21" i="147"/>
  <c r="HL21" i="147"/>
  <c r="HT21" i="147"/>
  <c r="HT26" i="84"/>
  <c r="HD26" i="84"/>
  <c r="HU26" i="84"/>
  <c r="IC26" i="84"/>
  <c r="HF26" i="84"/>
  <c r="HN26" i="84"/>
  <c r="HV26" i="84"/>
  <c r="ID26" i="84"/>
  <c r="HH26" i="84"/>
  <c r="HO26" i="84"/>
  <c r="HW26" i="84"/>
  <c r="HK26" i="84"/>
  <c r="HS26" i="84"/>
  <c r="HI26" i="84"/>
  <c r="IA26" i="84"/>
  <c r="HX26" i="84"/>
  <c r="HL26" i="84"/>
  <c r="HM26" i="84"/>
  <c r="HP26" i="84"/>
  <c r="HY26" i="84"/>
  <c r="HG26" i="84"/>
  <c r="HQ26" i="84"/>
  <c r="HJ26" i="84"/>
  <c r="HR26" i="84"/>
  <c r="HY14" i="165"/>
  <c r="IA14" i="165"/>
  <c r="HI14" i="165"/>
  <c r="HR14" i="165"/>
  <c r="HK14" i="165"/>
  <c r="IB14" i="165"/>
  <c r="IC14" i="165"/>
  <c r="HF14" i="165"/>
  <c r="HN14" i="165"/>
  <c r="HV14" i="165"/>
  <c r="ID14" i="165"/>
  <c r="HJ14" i="165"/>
  <c r="HS14" i="165"/>
  <c r="HT14" i="165"/>
  <c r="HM14" i="165"/>
  <c r="HG14" i="165"/>
  <c r="HO14" i="165"/>
  <c r="HW14" i="165"/>
  <c r="IE14" i="165"/>
  <c r="HQ14" i="165"/>
  <c r="HZ14" i="165"/>
  <c r="HL14" i="165"/>
  <c r="HD14" i="165"/>
  <c r="HU14" i="165"/>
  <c r="HH14" i="165"/>
  <c r="HP14" i="165"/>
  <c r="HX14" i="165"/>
  <c r="L51" i="169" l="1"/>
  <c r="N52" i="169" s="1"/>
  <c r="L45" i="80"/>
  <c r="N45" i="80" s="1"/>
  <c r="O45" i="80" s="1" a="1"/>
  <c r="O45" i="80" s="1"/>
  <c r="AO46" i="114"/>
  <c r="P45" i="114"/>
  <c r="IG7" i="84"/>
  <c r="IH7" i="84" s="1"/>
  <c r="II7" i="84" s="1"/>
  <c r="IJ7" i="84" s="1"/>
  <c r="IK7" i="84" s="1"/>
  <c r="IL7" i="84" s="1"/>
  <c r="IM7" i="84" s="1"/>
  <c r="IN7" i="84" s="1"/>
  <c r="IO7" i="84" s="1"/>
  <c r="IP7" i="84" s="1"/>
  <c r="IQ7" i="84" s="1"/>
  <c r="IR7" i="84" s="1"/>
  <c r="IS7" i="84" s="1"/>
  <c r="IT7" i="84" s="1"/>
  <c r="IU7" i="84" s="1"/>
  <c r="IV7" i="84" s="1"/>
  <c r="IW7" i="84" s="1"/>
  <c r="IX7" i="84" s="1"/>
  <c r="IY7" i="84" s="1"/>
  <c r="IZ7" i="84" s="1"/>
  <c r="JA7" i="84" s="1"/>
  <c r="JB7" i="84" s="1"/>
  <c r="JC7" i="84" s="1"/>
  <c r="JD7" i="84" s="1"/>
  <c r="JE7" i="84" s="1"/>
  <c r="JF7" i="84" s="1"/>
  <c r="JG7" i="84" s="1"/>
  <c r="JH7" i="84" s="1"/>
  <c r="JI7" i="84" s="1"/>
  <c r="JJ7" i="84" s="1"/>
  <c r="IG6" i="84"/>
  <c r="IH6" i="84" s="1"/>
  <c r="II6" i="84" s="1"/>
  <c r="IJ6" i="84" s="1"/>
  <c r="IK6" i="84" s="1"/>
  <c r="IL6" i="84" s="1"/>
  <c r="IM6" i="84" s="1"/>
  <c r="IN6" i="84" s="1"/>
  <c r="IO6" i="84" s="1"/>
  <c r="IP6" i="84" s="1"/>
  <c r="IQ6" i="84" s="1"/>
  <c r="IR6" i="84" s="1"/>
  <c r="IS6" i="84" s="1"/>
  <c r="IT6" i="84" s="1"/>
  <c r="IU6" i="84" s="1"/>
  <c r="IV6" i="84" s="1"/>
  <c r="IW6" i="84" s="1"/>
  <c r="IX6" i="84" s="1"/>
  <c r="IY6" i="84" s="1"/>
  <c r="IZ6" i="84" s="1"/>
  <c r="JA6" i="84" s="1"/>
  <c r="JB6" i="84" s="1"/>
  <c r="JC6" i="84" s="1"/>
  <c r="JD6" i="84" s="1"/>
  <c r="JE6" i="84" s="1"/>
  <c r="JF6" i="84" s="1"/>
  <c r="JG6" i="84" s="1"/>
  <c r="JH6" i="84" s="1"/>
  <c r="HB19" i="84"/>
  <c r="HC19" i="84" s="1"/>
  <c r="HD19" i="84" s="1"/>
  <c r="HE19" i="84" s="1"/>
  <c r="HF19" i="84" s="1"/>
  <c r="HG19" i="84" s="1"/>
  <c r="HH19" i="84" s="1"/>
  <c r="HI19" i="84" s="1"/>
  <c r="HJ19" i="84" s="1"/>
  <c r="HK19" i="84" s="1"/>
  <c r="HL19" i="84" s="1"/>
  <c r="HM19" i="84" s="1"/>
  <c r="HN19" i="84" s="1"/>
  <c r="HO19" i="84" s="1"/>
  <c r="HP19" i="84" s="1"/>
  <c r="HQ19" i="84" s="1"/>
  <c r="HR19" i="84" s="1"/>
  <c r="HS19" i="84" s="1"/>
  <c r="HT19" i="84" s="1"/>
  <c r="HU19" i="84" s="1"/>
  <c r="HV19" i="84" s="1"/>
  <c r="HW19" i="84" s="1"/>
  <c r="HX19" i="84" s="1"/>
  <c r="HY19" i="84" s="1"/>
  <c r="HZ19" i="84" s="1"/>
  <c r="IA19" i="84" s="1"/>
  <c r="IB19" i="84" s="1"/>
  <c r="IC19" i="84" s="1"/>
  <c r="ID19" i="84" s="1"/>
  <c r="HB20" i="84"/>
  <c r="HC20" i="84" s="1"/>
  <c r="HD20" i="84" s="1"/>
  <c r="HE20" i="84" s="1"/>
  <c r="HF20" i="84" s="1"/>
  <c r="HG20" i="84" s="1"/>
  <c r="HH20" i="84" s="1"/>
  <c r="HI20" i="84" s="1"/>
  <c r="HJ20" i="84" s="1"/>
  <c r="HK20" i="84" s="1"/>
  <c r="HL20" i="84" s="1"/>
  <c r="HM20" i="84" s="1"/>
  <c r="HN20" i="84" s="1"/>
  <c r="HO20" i="84" s="1"/>
  <c r="HP20" i="84" s="1"/>
  <c r="HQ20" i="84" s="1"/>
  <c r="HR20" i="84" s="1"/>
  <c r="HS20" i="84" s="1"/>
  <c r="HT20" i="84" s="1"/>
  <c r="HU20" i="84" s="1"/>
  <c r="HV20" i="84" s="1"/>
  <c r="HW20" i="84" s="1"/>
  <c r="HX20" i="84" s="1"/>
  <c r="HY20" i="84" s="1"/>
  <c r="HZ20" i="84" s="1"/>
  <c r="L46" i="80" l="1"/>
  <c r="N46" i="80" s="1"/>
  <c r="O46" i="80" s="1" a="1"/>
  <c r="O46" i="80" s="1"/>
  <c r="AO47" i="114"/>
  <c r="P46" i="114"/>
  <c r="IG10" i="84"/>
  <c r="IH10" i="84" s="1"/>
  <c r="II10" i="84" s="1"/>
  <c r="IJ10" i="84" s="1"/>
  <c r="IK10" i="84" s="1"/>
  <c r="IL10" i="84" s="1"/>
  <c r="IM10" i="84" s="1"/>
  <c r="IN10" i="84" s="1"/>
  <c r="IO10" i="84" s="1"/>
  <c r="IP10" i="84" s="1"/>
  <c r="IQ10" i="84" s="1"/>
  <c r="IR10" i="84" s="1"/>
  <c r="IS10" i="84" s="1"/>
  <c r="IT10" i="84" s="1"/>
  <c r="IU10" i="84" s="1"/>
  <c r="IV10" i="84" s="1"/>
  <c r="IW10" i="84" s="1"/>
  <c r="IX10" i="84" s="1"/>
  <c r="IY10" i="84" s="1"/>
  <c r="IZ10" i="84" s="1"/>
  <c r="JA10" i="84" s="1"/>
  <c r="JB10" i="84" s="1"/>
  <c r="JC10" i="84" s="1"/>
  <c r="JD10" i="84" s="1"/>
  <c r="JE10" i="84" s="1"/>
  <c r="JF10" i="84" s="1"/>
  <c r="JG10" i="84" s="1"/>
  <c r="JH10" i="84" s="1"/>
  <c r="JI10" i="84" s="1"/>
  <c r="JJ10" i="84" s="1"/>
  <c r="JK10" i="84" s="1"/>
  <c r="HB22" i="84"/>
  <c r="HC22" i="84" s="1"/>
  <c r="HD22" i="84" s="1"/>
  <c r="HE22" i="84" s="1"/>
  <c r="HF22" i="84" s="1"/>
  <c r="HG22" i="84" s="1"/>
  <c r="HH22" i="84" s="1"/>
  <c r="HI22" i="84" s="1"/>
  <c r="HJ22" i="84" s="1"/>
  <c r="HK22" i="84" s="1"/>
  <c r="HL22" i="84" s="1"/>
  <c r="HM22" i="84" s="1"/>
  <c r="HN22" i="84" s="1"/>
  <c r="HO22" i="84" s="1"/>
  <c r="HP22" i="84" s="1"/>
  <c r="HQ22" i="84" s="1"/>
  <c r="HR22" i="84" s="1"/>
  <c r="HS22" i="84" s="1"/>
  <c r="HT22" i="84" s="1"/>
  <c r="HU22" i="84" s="1"/>
  <c r="HV22" i="84" s="1"/>
  <c r="HW22" i="84" s="1"/>
  <c r="HX22" i="84" s="1"/>
  <c r="HY22" i="84" s="1"/>
  <c r="HZ22" i="84" s="1"/>
  <c r="IA22" i="84" s="1"/>
  <c r="IB22" i="84" s="1"/>
  <c r="HB10" i="163"/>
  <c r="HC10" i="163" s="1"/>
  <c r="HD10" i="163" s="1"/>
  <c r="HE10" i="163" s="1"/>
  <c r="HF10" i="163" s="1"/>
  <c r="HG10" i="163" s="1"/>
  <c r="HH10" i="163" s="1"/>
  <c r="HI10" i="163" s="1"/>
  <c r="HJ10" i="163" s="1"/>
  <c r="HK10" i="163" s="1"/>
  <c r="HL10" i="163" s="1"/>
  <c r="HM10" i="163" s="1"/>
  <c r="HN10" i="163" s="1"/>
  <c r="HO10" i="163" s="1"/>
  <c r="HP10" i="163" s="1"/>
  <c r="HB22" i="162"/>
  <c r="HC22" i="162" s="1"/>
  <c r="HD22" i="162" s="1"/>
  <c r="HE22" i="162" s="1"/>
  <c r="HF22" i="162" s="1"/>
  <c r="HG22" i="162" s="1"/>
  <c r="HH22" i="162" s="1"/>
  <c r="HI22" i="162" s="1"/>
  <c r="HJ22" i="162" s="1"/>
  <c r="HK22" i="162" s="1"/>
  <c r="HL22" i="162" s="1"/>
  <c r="HM22" i="162" s="1"/>
  <c r="HN22" i="162" s="1"/>
  <c r="HO22" i="162" s="1"/>
  <c r="HP22" i="162" s="1"/>
  <c r="L47" i="80" l="1"/>
  <c r="N47" i="80" s="1"/>
  <c r="O47" i="80" s="1" a="1"/>
  <c r="O47" i="80" s="1"/>
  <c r="AO48" i="114"/>
  <c r="P47" i="114"/>
  <c r="GG54" i="84"/>
  <c r="GH54" i="84"/>
  <c r="AZ14" i="84" s="1"/>
  <c r="GI54" i="84"/>
  <c r="BD14" i="84" s="1"/>
  <c r="GG55" i="84"/>
  <c r="GH55" i="84"/>
  <c r="GI55" i="84"/>
  <c r="GG56" i="84"/>
  <c r="GH56" i="84"/>
  <c r="GI56" i="84"/>
  <c r="GG57" i="84"/>
  <c r="GH57" i="84"/>
  <c r="GI57" i="84"/>
  <c r="GG58" i="84"/>
  <c r="GH58" i="84"/>
  <c r="GI58" i="84"/>
  <c r="GG59" i="84"/>
  <c r="GH59" i="84"/>
  <c r="GI59" i="84"/>
  <c r="L48" i="80" l="1"/>
  <c r="N48" i="80" s="1"/>
  <c r="O48" i="80" s="1" a="1"/>
  <c r="O48" i="80" s="1"/>
  <c r="AO49" i="114"/>
  <c r="P48" i="114"/>
  <c r="AW16" i="84"/>
  <c r="AV16" i="84"/>
  <c r="AW19" i="84"/>
  <c r="AV19" i="84"/>
  <c r="BE15" i="84"/>
  <c r="BD15" i="84"/>
  <c r="BA15" i="84"/>
  <c r="AZ15" i="84"/>
  <c r="AW15" i="84"/>
  <c r="AV15" i="84"/>
  <c r="BA16" i="84"/>
  <c r="AZ16" i="84"/>
  <c r="AW18" i="84"/>
  <c r="AV18" i="84"/>
  <c r="BA17" i="84"/>
  <c r="AZ17" i="84"/>
  <c r="BA18" i="84"/>
  <c r="AZ18" i="84"/>
  <c r="BE18" i="84"/>
  <c r="BD18" i="84"/>
  <c r="BE17" i="84"/>
  <c r="BD17" i="84"/>
  <c r="BE19" i="84"/>
  <c r="BD19" i="84"/>
  <c r="AW17" i="84"/>
  <c r="AV17" i="84"/>
  <c r="BA19" i="84"/>
  <c r="AZ19" i="84"/>
  <c r="BD16" i="84"/>
  <c r="BE16" i="84"/>
  <c r="BE14" i="84"/>
  <c r="BA14" i="84"/>
  <c r="AV14" i="84"/>
  <c r="AW14" i="84"/>
  <c r="BB7" i="84"/>
  <c r="BB7" i="160"/>
  <c r="L49" i="80" l="1"/>
  <c r="N49" i="80" s="1"/>
  <c r="O49" i="80" s="1" a="1"/>
  <c r="O49" i="80" s="1"/>
  <c r="AO50" i="114"/>
  <c r="P49" i="114"/>
  <c r="O7" i="163"/>
  <c r="O7" i="162"/>
  <c r="Y7" i="165"/>
  <c r="Y7" i="147"/>
  <c r="X7" i="160"/>
  <c r="X7" i="84"/>
  <c r="L50" i="80" l="1"/>
  <c r="N50" i="80" s="1"/>
  <c r="O50" i="80" s="1" a="1"/>
  <c r="O50" i="80" s="1"/>
  <c r="AO51" i="114"/>
  <c r="P50" i="114"/>
  <c r="L7" i="145"/>
  <c r="L7" i="117"/>
  <c r="H7" i="80"/>
  <c r="M7" i="84"/>
  <c r="M7" i="160"/>
  <c r="M7" i="165"/>
  <c r="M7" i="147"/>
  <c r="DN9" i="165"/>
  <c r="DM9" i="165"/>
  <c r="DL9" i="165"/>
  <c r="DK9" i="165"/>
  <c r="DJ9" i="165"/>
  <c r="DI9" i="165"/>
  <c r="DH9" i="165"/>
  <c r="DG9" i="165"/>
  <c r="DN8" i="165"/>
  <c r="DM8" i="165"/>
  <c r="DL8" i="165"/>
  <c r="DK8" i="165"/>
  <c r="DJ8" i="165"/>
  <c r="DI8" i="165"/>
  <c r="DH8" i="165"/>
  <c r="DG8" i="165"/>
  <c r="DN7" i="165"/>
  <c r="DM7" i="165"/>
  <c r="DL7" i="165"/>
  <c r="DK7" i="165"/>
  <c r="DJ7" i="165"/>
  <c r="DI7" i="165"/>
  <c r="DH7" i="165"/>
  <c r="DG7" i="165"/>
  <c r="DN6" i="165"/>
  <c r="DM6" i="165"/>
  <c r="DL6" i="165"/>
  <c r="DK6" i="165"/>
  <c r="DJ6" i="165"/>
  <c r="DI6" i="165"/>
  <c r="DH6" i="165"/>
  <c r="DG6" i="165"/>
  <c r="DN5" i="165"/>
  <c r="DM5" i="165"/>
  <c r="DL5" i="165"/>
  <c r="DK5" i="165"/>
  <c r="DJ5" i="165"/>
  <c r="DI5" i="165"/>
  <c r="DH5" i="165"/>
  <c r="DG5" i="165"/>
  <c r="DN4" i="165"/>
  <c r="DM4" i="165"/>
  <c r="DL4" i="165"/>
  <c r="DK4" i="165"/>
  <c r="DJ4" i="165"/>
  <c r="DI4" i="165"/>
  <c r="DH4" i="165"/>
  <c r="DG4" i="165"/>
  <c r="DN3" i="165"/>
  <c r="DM3" i="165"/>
  <c r="DL3" i="165"/>
  <c r="DK3" i="165"/>
  <c r="DJ3" i="165"/>
  <c r="DI3" i="165"/>
  <c r="DH3" i="165"/>
  <c r="DG3" i="165"/>
  <c r="DN2" i="165"/>
  <c r="DM2" i="165"/>
  <c r="DL2" i="165"/>
  <c r="DK2" i="165"/>
  <c r="DJ2" i="165"/>
  <c r="DI2" i="165"/>
  <c r="DH2" i="165"/>
  <c r="DG2" i="165"/>
  <c r="L51" i="80" l="1"/>
  <c r="N51" i="80" s="1"/>
  <c r="O51" i="80" s="1" a="1"/>
  <c r="O51" i="80" s="1"/>
  <c r="AO52" i="114"/>
  <c r="P51" i="114"/>
  <c r="N10" i="114"/>
  <c r="N7" i="114"/>
  <c r="AO53" i="114" l="1"/>
  <c r="P52" i="114"/>
  <c r="AR57" i="165"/>
  <c r="AX57" i="165"/>
  <c r="AO54" i="114" l="1"/>
  <c r="P53" i="114"/>
  <c r="AT57" i="165"/>
  <c r="AV57" i="165"/>
  <c r="AW57" i="165"/>
  <c r="EX5" i="84"/>
  <c r="EX5" i="160"/>
  <c r="DJ45" i="165"/>
  <c r="DJ44" i="165"/>
  <c r="DJ43" i="165"/>
  <c r="DJ42" i="165"/>
  <c r="DJ41" i="165"/>
  <c r="DJ40" i="165"/>
  <c r="DJ39" i="165"/>
  <c r="DJ38" i="165"/>
  <c r="DJ37" i="165"/>
  <c r="DJ36" i="165"/>
  <c r="DJ35" i="165"/>
  <c r="DJ34" i="165"/>
  <c r="DJ33" i="165"/>
  <c r="DJ32" i="165"/>
  <c r="DJ31" i="165"/>
  <c r="DJ30" i="165"/>
  <c r="DJ29" i="165"/>
  <c r="DJ28" i="165"/>
  <c r="DJ27" i="165"/>
  <c r="DJ26" i="165"/>
  <c r="DJ25" i="165"/>
  <c r="DJ24" i="165"/>
  <c r="DJ23" i="165"/>
  <c r="DJ22" i="165"/>
  <c r="DJ21" i="165"/>
  <c r="DJ20" i="165"/>
  <c r="DJ19" i="165"/>
  <c r="DJ18" i="165"/>
  <c r="DJ17" i="165"/>
  <c r="CZ45" i="165"/>
  <c r="CZ44" i="165"/>
  <c r="CZ43" i="165"/>
  <c r="CZ42" i="165"/>
  <c r="CZ41" i="165"/>
  <c r="CZ40" i="165"/>
  <c r="CZ39" i="165"/>
  <c r="CZ38" i="165"/>
  <c r="CZ37" i="165"/>
  <c r="CZ36" i="165"/>
  <c r="CZ35" i="165"/>
  <c r="CZ34" i="165"/>
  <c r="CZ33" i="165"/>
  <c r="CZ32" i="165"/>
  <c r="CZ31" i="165"/>
  <c r="CZ30" i="165"/>
  <c r="CZ29" i="165"/>
  <c r="CZ28" i="165"/>
  <c r="CZ27" i="165"/>
  <c r="CZ26" i="165"/>
  <c r="CZ25" i="165"/>
  <c r="CZ24" i="165"/>
  <c r="CZ23" i="165"/>
  <c r="CZ22" i="165"/>
  <c r="CZ21" i="165"/>
  <c r="CZ20" i="165"/>
  <c r="CZ19" i="165"/>
  <c r="CZ18" i="165"/>
  <c r="CZ17" i="165"/>
  <c r="DJ16" i="165"/>
  <c r="CZ16" i="165"/>
  <c r="DJ40" i="147"/>
  <c r="DJ39" i="147"/>
  <c r="DJ38" i="147"/>
  <c r="DJ37" i="147"/>
  <c r="DJ36" i="147"/>
  <c r="DJ35" i="147"/>
  <c r="DJ34" i="147"/>
  <c r="DJ33" i="147"/>
  <c r="DJ32" i="147"/>
  <c r="DJ31" i="147"/>
  <c r="DJ30" i="147"/>
  <c r="DJ29" i="147"/>
  <c r="DJ28" i="147"/>
  <c r="DJ27" i="147"/>
  <c r="DJ26" i="147"/>
  <c r="DJ24" i="147"/>
  <c r="DJ23" i="147"/>
  <c r="DJ25" i="147"/>
  <c r="AO55" i="114" l="1"/>
  <c r="P55" i="114" s="1"/>
  <c r="P54" i="114"/>
  <c r="AK57" i="165"/>
  <c r="AJ57" i="165" s="1"/>
  <c r="DN9" i="147"/>
  <c r="DM9" i="147"/>
  <c r="DL9" i="147"/>
  <c r="DK9" i="147"/>
  <c r="DJ9" i="147"/>
  <c r="DI9" i="147"/>
  <c r="DH9" i="147"/>
  <c r="DG9" i="147"/>
  <c r="DN8" i="147"/>
  <c r="DM8" i="147"/>
  <c r="DL8" i="147"/>
  <c r="DK8" i="147"/>
  <c r="DJ8" i="147"/>
  <c r="DI8" i="147"/>
  <c r="DH8" i="147"/>
  <c r="DG8" i="147"/>
  <c r="DN7" i="147"/>
  <c r="DM7" i="147"/>
  <c r="DL7" i="147"/>
  <c r="DK7" i="147"/>
  <c r="DJ7" i="147"/>
  <c r="DI7" i="147"/>
  <c r="DH7" i="147"/>
  <c r="DG7" i="147"/>
  <c r="DN6" i="147"/>
  <c r="DM6" i="147"/>
  <c r="DL6" i="147"/>
  <c r="DK6" i="147"/>
  <c r="DJ6" i="147"/>
  <c r="DI6" i="147"/>
  <c r="DH6" i="147"/>
  <c r="DG6" i="147"/>
  <c r="DN5" i="147"/>
  <c r="DM5" i="147"/>
  <c r="DL5" i="147"/>
  <c r="DK5" i="147"/>
  <c r="DJ5" i="147"/>
  <c r="DI5" i="147"/>
  <c r="DH5" i="147"/>
  <c r="DG5" i="147"/>
  <c r="DN4" i="147"/>
  <c r="DM4" i="147"/>
  <c r="DL4" i="147"/>
  <c r="DK4" i="147"/>
  <c r="DJ4" i="147"/>
  <c r="DI4" i="147"/>
  <c r="DH4" i="147"/>
  <c r="DG4" i="147"/>
  <c r="DN3" i="147"/>
  <c r="DM3" i="147"/>
  <c r="DL3" i="147"/>
  <c r="DK3" i="147"/>
  <c r="DJ3" i="147"/>
  <c r="DI3" i="147"/>
  <c r="DH3" i="147"/>
  <c r="DG3" i="147"/>
  <c r="DN2" i="147"/>
  <c r="DM2" i="147"/>
  <c r="DL2" i="147"/>
  <c r="DK2" i="147"/>
  <c r="DJ2" i="147"/>
  <c r="DI2" i="147"/>
  <c r="DH2" i="147"/>
  <c r="DG2" i="147"/>
  <c r="AQ57" i="165" l="1"/>
  <c r="AM57" i="165"/>
  <c r="AL57" i="165"/>
  <c r="AU57" i="165" s="1"/>
  <c r="AS57" i="165"/>
  <c r="AN57" i="165"/>
  <c r="AO57" i="165"/>
  <c r="CZ40" i="147"/>
  <c r="CZ39" i="147"/>
  <c r="CZ38" i="147"/>
  <c r="CZ37" i="147"/>
  <c r="CZ36" i="147"/>
  <c r="CZ35" i="147"/>
  <c r="CZ34" i="147"/>
  <c r="CZ33" i="147"/>
  <c r="CZ32" i="147"/>
  <c r="CZ31" i="147"/>
  <c r="CZ30" i="147"/>
  <c r="CZ29" i="147"/>
  <c r="CZ28" i="147"/>
  <c r="CZ27" i="147"/>
  <c r="CZ26" i="147"/>
  <c r="CZ25" i="147"/>
  <c r="CZ24" i="147"/>
  <c r="CZ23" i="147"/>
  <c r="AP57" i="165" l="1"/>
  <c r="AZ57" i="165" s="1"/>
  <c r="AH49" i="117" l="1"/>
  <c r="AG49" i="117"/>
  <c r="Y49" i="117"/>
  <c r="X49" i="117"/>
  <c r="W49" i="117"/>
  <c r="V49" i="117"/>
  <c r="U49" i="117"/>
  <c r="T49" i="117"/>
  <c r="S49" i="117"/>
  <c r="R49" i="117"/>
  <c r="Z49" i="117" s="1"/>
  <c r="P49" i="117"/>
  <c r="AE49" i="117" l="1"/>
  <c r="AA49" i="117"/>
  <c r="AB49" i="117"/>
  <c r="AC49" i="117"/>
  <c r="AD49" i="117"/>
  <c r="AF49" i="117"/>
  <c r="A30" i="160"/>
  <c r="A29" i="160"/>
  <c r="A28" i="160"/>
  <c r="A27" i="160"/>
  <c r="A26" i="160"/>
  <c r="A25" i="160"/>
  <c r="A24" i="160"/>
  <c r="A23" i="160"/>
  <c r="A22" i="160"/>
  <c r="A21" i="160"/>
  <c r="A20" i="160"/>
  <c r="A19" i="160"/>
  <c r="A18" i="160"/>
  <c r="A17" i="160"/>
  <c r="A16" i="160"/>
  <c r="GF16" i="160" s="1"/>
  <c r="BJ28" i="160"/>
  <c r="AB23" i="84"/>
  <c r="AB22" i="84"/>
  <c r="AB21" i="84"/>
  <c r="AB20" i="84"/>
  <c r="AB19" i="84"/>
  <c r="AB18" i="84"/>
  <c r="AB17" i="84"/>
  <c r="A30" i="84"/>
  <c r="A33" i="84"/>
  <c r="A32" i="84"/>
  <c r="A31" i="84"/>
  <c r="GF31" i="84" s="1"/>
  <c r="A29" i="84"/>
  <c r="A28" i="84"/>
  <c r="GF28" i="84" s="1"/>
  <c r="A34" i="84"/>
  <c r="A25" i="147"/>
  <c r="GF25" i="147" s="1"/>
  <c r="GF33" i="84" l="1"/>
  <c r="GF23" i="160"/>
  <c r="GF29" i="160"/>
  <c r="GF30" i="160"/>
  <c r="GD16" i="160"/>
  <c r="GB16" i="160"/>
  <c r="GE16" i="160"/>
  <c r="GC16" i="160"/>
  <c r="GA16" i="160"/>
  <c r="GF24" i="160"/>
  <c r="GF22" i="160"/>
  <c r="GF34" i="84"/>
  <c r="GF17" i="160"/>
  <c r="GF25" i="160"/>
  <c r="GC28" i="84"/>
  <c r="GE28" i="84"/>
  <c r="GB28" i="84"/>
  <c r="GD28" i="84"/>
  <c r="GA28" i="84"/>
  <c r="GF18" i="160"/>
  <c r="GF26" i="160"/>
  <c r="GF32" i="84"/>
  <c r="GF19" i="160"/>
  <c r="GF27" i="160"/>
  <c r="GF21" i="160"/>
  <c r="GA31" i="84"/>
  <c r="GD31" i="84"/>
  <c r="GE31" i="84"/>
  <c r="GB31" i="84"/>
  <c r="GC31" i="84"/>
  <c r="GF20" i="160"/>
  <c r="GF28" i="160"/>
  <c r="GF30" i="84"/>
  <c r="GF29" i="84"/>
  <c r="GB25" i="147"/>
  <c r="GA25" i="147"/>
  <c r="FQ21" i="84"/>
  <c r="FQ22" i="84"/>
  <c r="FQ17" i="84"/>
  <c r="FQ23" i="84"/>
  <c r="FQ19" i="84"/>
  <c r="FQ18" i="84"/>
  <c r="FQ20" i="84"/>
  <c r="BJ21" i="160"/>
  <c r="AX23" i="147"/>
  <c r="BJ22" i="160"/>
  <c r="BJ27" i="160"/>
  <c r="BJ33" i="84"/>
  <c r="BJ34" i="84"/>
  <c r="BJ29" i="84"/>
  <c r="BJ30" i="84"/>
  <c r="BJ31" i="84" s="1"/>
  <c r="BJ32" i="84" s="1"/>
  <c r="BJ29" i="160"/>
  <c r="BJ23" i="160"/>
  <c r="BJ18" i="160"/>
  <c r="BJ19" i="160" s="1"/>
  <c r="BJ30" i="160"/>
  <c r="BJ16" i="160"/>
  <c r="BJ24" i="160"/>
  <c r="BJ28" i="84"/>
  <c r="BY87" i="84" s="1"/>
  <c r="BJ20" i="160"/>
  <c r="BJ17" i="160"/>
  <c r="BJ25" i="160"/>
  <c r="BJ26" i="160"/>
  <c r="AX27" i="147"/>
  <c r="GE25" i="160" l="1"/>
  <c r="GB25" i="160"/>
  <c r="GC25" i="160"/>
  <c r="GD25" i="160"/>
  <c r="GA25" i="160"/>
  <c r="GA27" i="160"/>
  <c r="GD27" i="160"/>
  <c r="GB27" i="160"/>
  <c r="GC27" i="160"/>
  <c r="GE27" i="160"/>
  <c r="GE18" i="160"/>
  <c r="GD18" i="160"/>
  <c r="GB18" i="160"/>
  <c r="GC18" i="160"/>
  <c r="GA18" i="160"/>
  <c r="GE29" i="160"/>
  <c r="GB29" i="160"/>
  <c r="GA29" i="160"/>
  <c r="GC29" i="160"/>
  <c r="GD29" i="160"/>
  <c r="GE21" i="160"/>
  <c r="GB21" i="160"/>
  <c r="GC21" i="160"/>
  <c r="GD21" i="160"/>
  <c r="GA21" i="160"/>
  <c r="GE17" i="160"/>
  <c r="GB17" i="160"/>
  <c r="GC17" i="160"/>
  <c r="GD17" i="160"/>
  <c r="GA17" i="160"/>
  <c r="GE22" i="160"/>
  <c r="GD22" i="160"/>
  <c r="GB22" i="160"/>
  <c r="GC22" i="160"/>
  <c r="GA22" i="160"/>
  <c r="GD24" i="160"/>
  <c r="GE24" i="160"/>
  <c r="GB24" i="160"/>
  <c r="GA24" i="160"/>
  <c r="GC24" i="160"/>
  <c r="GA19" i="160"/>
  <c r="GD19" i="160"/>
  <c r="GB19" i="160"/>
  <c r="GE19" i="160"/>
  <c r="GC19" i="160"/>
  <c r="GB23" i="160"/>
  <c r="GD23" i="160"/>
  <c r="GC23" i="160"/>
  <c r="GE23" i="160"/>
  <c r="GA23" i="160"/>
  <c r="GC28" i="160"/>
  <c r="GD28" i="160"/>
  <c r="GE28" i="160"/>
  <c r="GA28" i="160"/>
  <c r="GB28" i="160"/>
  <c r="GE26" i="160"/>
  <c r="GD26" i="160"/>
  <c r="GB26" i="160"/>
  <c r="GA26" i="160"/>
  <c r="GC26" i="160"/>
  <c r="GE34" i="84"/>
  <c r="GD34" i="84"/>
  <c r="GB34" i="84"/>
  <c r="GA34" i="84"/>
  <c r="GC34" i="84"/>
  <c r="GE30" i="160"/>
  <c r="GD30" i="160"/>
  <c r="GB30" i="160"/>
  <c r="GC30" i="160"/>
  <c r="GA30" i="160"/>
  <c r="GC20" i="160"/>
  <c r="GA20" i="160"/>
  <c r="GB20" i="160"/>
  <c r="GD20" i="160"/>
  <c r="GE20" i="160"/>
  <c r="GD32" i="84"/>
  <c r="GB32" i="84"/>
  <c r="GE32" i="84"/>
  <c r="GA32" i="84"/>
  <c r="GC32" i="84"/>
  <c r="GE33" i="84"/>
  <c r="GB33" i="84"/>
  <c r="GC33" i="84"/>
  <c r="GA33" i="84"/>
  <c r="GD33" i="84"/>
  <c r="GE30" i="84"/>
  <c r="GD30" i="84"/>
  <c r="GB30" i="84"/>
  <c r="GC30" i="84"/>
  <c r="GA30" i="84"/>
  <c r="GE29" i="84"/>
  <c r="GB29" i="84"/>
  <c r="GA29" i="84"/>
  <c r="GD29" i="84"/>
  <c r="GC29" i="84"/>
  <c r="CX1" i="147"/>
  <c r="CY1" i="147" s="1"/>
  <c r="DD1" i="147"/>
  <c r="DQ1" i="147"/>
  <c r="CX2" i="147"/>
  <c r="CZ2" i="147"/>
  <c r="DB2" i="147"/>
  <c r="DD2" i="147"/>
  <c r="CU23" i="147"/>
  <c r="CW23" i="147"/>
  <c r="CX23" i="147"/>
  <c r="DA23" i="147"/>
  <c r="DC23" i="147"/>
  <c r="DD23" i="147"/>
  <c r="FD23" i="147" s="1"/>
  <c r="DG23" i="147"/>
  <c r="DH23" i="147"/>
  <c r="FM23" i="147" s="1"/>
  <c r="DK23" i="147"/>
  <c r="DM23" i="147"/>
  <c r="DN23" i="147"/>
  <c r="FI23" i="147" s="1"/>
  <c r="DO23" i="147"/>
  <c r="DS23" i="147"/>
  <c r="CW24" i="147"/>
  <c r="CX24" i="147"/>
  <c r="DA24" i="147"/>
  <c r="DC24" i="147"/>
  <c r="DD24" i="147"/>
  <c r="FD24" i="147" s="1"/>
  <c r="DG24" i="147"/>
  <c r="DH24" i="147"/>
  <c r="DK24" i="147"/>
  <c r="DM24" i="147"/>
  <c r="DN24" i="147"/>
  <c r="FI24" i="147" s="1"/>
  <c r="DO24" i="147"/>
  <c r="DS24" i="147"/>
  <c r="CW25" i="147"/>
  <c r="CX25" i="147"/>
  <c r="DA25" i="147"/>
  <c r="DC25" i="147"/>
  <c r="DD25" i="147"/>
  <c r="FD25" i="147" s="1"/>
  <c r="DE25" i="147"/>
  <c r="DG25" i="147"/>
  <c r="DH25" i="147"/>
  <c r="DK25" i="147"/>
  <c r="DM25" i="147"/>
  <c r="DN25" i="147"/>
  <c r="FI25" i="147" s="1"/>
  <c r="DO25" i="147"/>
  <c r="DS25" i="147"/>
  <c r="DY25" i="147"/>
  <c r="CW26" i="147"/>
  <c r="CX26" i="147"/>
  <c r="DA26" i="147"/>
  <c r="DC26" i="147"/>
  <c r="DD26" i="147"/>
  <c r="FD26" i="147" s="1"/>
  <c r="DE26" i="147"/>
  <c r="DG26" i="147"/>
  <c r="DH26" i="147"/>
  <c r="FM26" i="147" s="1"/>
  <c r="DK26" i="147"/>
  <c r="DM26" i="147"/>
  <c r="DN26" i="147"/>
  <c r="FI26" i="147" s="1"/>
  <c r="DO26" i="147"/>
  <c r="DS26" i="147"/>
  <c r="CU27" i="147"/>
  <c r="CW27" i="147"/>
  <c r="CX27" i="147"/>
  <c r="DA27" i="147"/>
  <c r="DC27" i="147"/>
  <c r="DD27" i="147"/>
  <c r="FD27" i="147" s="1"/>
  <c r="DE27" i="147"/>
  <c r="DG27" i="147"/>
  <c r="DH27" i="147"/>
  <c r="DK27" i="147"/>
  <c r="DM27" i="147"/>
  <c r="DN27" i="147"/>
  <c r="FI27" i="147" s="1"/>
  <c r="DO27" i="147"/>
  <c r="DS27" i="147"/>
  <c r="CU28" i="147"/>
  <c r="BO28" i="147" s="1"/>
  <c r="CW28" i="147"/>
  <c r="CX28" i="147"/>
  <c r="DA28" i="147"/>
  <c r="DB28" i="147"/>
  <c r="DC28" i="147"/>
  <c r="DD28" i="147"/>
  <c r="FD28" i="147" s="1"/>
  <c r="DE28" i="147"/>
  <c r="DG28" i="147"/>
  <c r="DH28" i="147"/>
  <c r="DK28" i="147"/>
  <c r="DL28" i="147"/>
  <c r="DM28" i="147"/>
  <c r="DN28" i="147"/>
  <c r="FI28" i="147" s="1"/>
  <c r="DO28" i="147"/>
  <c r="DS28" i="147"/>
  <c r="EZ28" i="147"/>
  <c r="FC28" i="147"/>
  <c r="CU29" i="147"/>
  <c r="CW29" i="147"/>
  <c r="CX29" i="147"/>
  <c r="DA29" i="147"/>
  <c r="DB29" i="147"/>
  <c r="DC29" i="147"/>
  <c r="DD29" i="147"/>
  <c r="FD29" i="147" s="1"/>
  <c r="DE29" i="147"/>
  <c r="DG29" i="147"/>
  <c r="DH29" i="147"/>
  <c r="DK29" i="147"/>
  <c r="DL29" i="147"/>
  <c r="DM29" i="147"/>
  <c r="DN29" i="147"/>
  <c r="FI29" i="147" s="1"/>
  <c r="DO29" i="147"/>
  <c r="DS29" i="147"/>
  <c r="EZ29" i="147"/>
  <c r="FC29" i="147"/>
  <c r="CU30" i="147"/>
  <c r="CW30" i="147"/>
  <c r="CX30" i="147"/>
  <c r="DA30" i="147"/>
  <c r="DB30" i="147"/>
  <c r="DC30" i="147"/>
  <c r="DD30" i="147"/>
  <c r="FD30" i="147" s="1"/>
  <c r="DE30" i="147"/>
  <c r="DG30" i="147"/>
  <c r="DH30" i="147"/>
  <c r="DK30" i="147"/>
  <c r="DL30" i="147"/>
  <c r="DM30" i="147"/>
  <c r="DN30" i="147"/>
  <c r="FI30" i="147" s="1"/>
  <c r="DO30" i="147"/>
  <c r="DS30" i="147"/>
  <c r="EZ30" i="147"/>
  <c r="FC30" i="147"/>
  <c r="CU31" i="147"/>
  <c r="CV31" i="147"/>
  <c r="CW31" i="147"/>
  <c r="CX31" i="147"/>
  <c r="FH31" i="147" s="1"/>
  <c r="DA31" i="147"/>
  <c r="DB31" i="147"/>
  <c r="DC31" i="147"/>
  <c r="DD31" i="147"/>
  <c r="FD31" i="147" s="1"/>
  <c r="DE31" i="147"/>
  <c r="DF31" i="147"/>
  <c r="DG31" i="147"/>
  <c r="DH31" i="147"/>
  <c r="FV31" i="147" s="1"/>
  <c r="DK31" i="147"/>
  <c r="DL31" i="147"/>
  <c r="DM31" i="147"/>
  <c r="DN31" i="147"/>
  <c r="FI31" i="147" s="1"/>
  <c r="DO31" i="147"/>
  <c r="DS31" i="147"/>
  <c r="EZ31" i="147"/>
  <c r="FC31" i="147"/>
  <c r="CU32" i="147"/>
  <c r="BO32" i="147" s="1"/>
  <c r="CV32" i="147"/>
  <c r="CW32" i="147"/>
  <c r="CX32" i="147"/>
  <c r="DA32" i="147"/>
  <c r="DB32" i="147"/>
  <c r="DC32" i="147"/>
  <c r="DD32" i="147"/>
  <c r="FD32" i="147" s="1"/>
  <c r="DE32" i="147"/>
  <c r="DF32" i="147"/>
  <c r="DG32" i="147"/>
  <c r="DH32" i="147"/>
  <c r="FM32" i="147" s="1"/>
  <c r="DK32" i="147"/>
  <c r="DL32" i="147"/>
  <c r="DM32" i="147"/>
  <c r="DN32" i="147"/>
  <c r="FI32" i="147" s="1"/>
  <c r="DO32" i="147"/>
  <c r="DS32" i="147"/>
  <c r="EZ32" i="147"/>
  <c r="FC32" i="147"/>
  <c r="CU33" i="147"/>
  <c r="CV33" i="147"/>
  <c r="CW33" i="147"/>
  <c r="CX33" i="147"/>
  <c r="FH33" i="147" s="1"/>
  <c r="DA33" i="147"/>
  <c r="DB33" i="147"/>
  <c r="DC33" i="147"/>
  <c r="DD33" i="147"/>
  <c r="FD33" i="147" s="1"/>
  <c r="DE33" i="147"/>
  <c r="DF33" i="147"/>
  <c r="DG33" i="147"/>
  <c r="DH33" i="147"/>
  <c r="DK33" i="147"/>
  <c r="DL33" i="147"/>
  <c r="DM33" i="147"/>
  <c r="DN33" i="147"/>
  <c r="FI33" i="147" s="1"/>
  <c r="DO33" i="147"/>
  <c r="DS33" i="147"/>
  <c r="EZ33" i="147"/>
  <c r="FC33" i="147"/>
  <c r="CU34" i="147"/>
  <c r="CV34" i="147"/>
  <c r="CW34" i="147"/>
  <c r="CX34" i="147"/>
  <c r="DA34" i="147"/>
  <c r="DB34" i="147"/>
  <c r="DC34" i="147"/>
  <c r="DD34" i="147"/>
  <c r="FD34" i="147" s="1"/>
  <c r="DE34" i="147"/>
  <c r="DF34" i="147"/>
  <c r="DG34" i="147"/>
  <c r="DH34" i="147"/>
  <c r="FV34" i="147" s="1"/>
  <c r="DK34" i="147"/>
  <c r="DL34" i="147"/>
  <c r="DM34" i="147"/>
  <c r="DN34" i="147"/>
  <c r="FI34" i="147" s="1"/>
  <c r="DO34" i="147"/>
  <c r="DS34" i="147"/>
  <c r="EZ34" i="147"/>
  <c r="FC34" i="147"/>
  <c r="CU35" i="147"/>
  <c r="CV35" i="147"/>
  <c r="CW35" i="147"/>
  <c r="CX35" i="147"/>
  <c r="FU35" i="147" s="1"/>
  <c r="DA35" i="147"/>
  <c r="DB35" i="147"/>
  <c r="DC35" i="147"/>
  <c r="DD35" i="147"/>
  <c r="FD35" i="147" s="1"/>
  <c r="DE35" i="147"/>
  <c r="DF35" i="147"/>
  <c r="DG35" i="147"/>
  <c r="DH35" i="147"/>
  <c r="FM35" i="147" s="1"/>
  <c r="DK35" i="147"/>
  <c r="DL35" i="147"/>
  <c r="DM35" i="147"/>
  <c r="DN35" i="147"/>
  <c r="FI35" i="147" s="1"/>
  <c r="DO35" i="147"/>
  <c r="DS35" i="147"/>
  <c r="EZ35" i="147"/>
  <c r="FC35" i="147"/>
  <c r="CU36" i="147"/>
  <c r="CV36" i="147"/>
  <c r="CW36" i="147"/>
  <c r="CX36" i="147"/>
  <c r="FH36" i="147" s="1"/>
  <c r="DA36" i="147"/>
  <c r="DB36" i="147"/>
  <c r="DC36" i="147"/>
  <c r="DD36" i="147"/>
  <c r="FD36" i="147" s="1"/>
  <c r="DE36" i="147"/>
  <c r="DF36" i="147"/>
  <c r="DG36" i="147"/>
  <c r="DH36" i="147"/>
  <c r="DK36" i="147"/>
  <c r="DL36" i="147"/>
  <c r="DM36" i="147"/>
  <c r="DN36" i="147"/>
  <c r="FI36" i="147" s="1"/>
  <c r="DO36" i="147"/>
  <c r="DS36" i="147"/>
  <c r="EZ36" i="147"/>
  <c r="FC36" i="147"/>
  <c r="CU37" i="147"/>
  <c r="CV37" i="147"/>
  <c r="CW37" i="147"/>
  <c r="CX37" i="147"/>
  <c r="DA37" i="147"/>
  <c r="DB37" i="147"/>
  <c r="DC37" i="147"/>
  <c r="DD37" i="147"/>
  <c r="FD37" i="147" s="1"/>
  <c r="DE37" i="147"/>
  <c r="DF37" i="147"/>
  <c r="DG37" i="147"/>
  <c r="DH37" i="147"/>
  <c r="FV37" i="147" s="1"/>
  <c r="DK37" i="147"/>
  <c r="DL37" i="147"/>
  <c r="DM37" i="147"/>
  <c r="DN37" i="147"/>
  <c r="FI37" i="147" s="1"/>
  <c r="DO37" i="147"/>
  <c r="DS37" i="147"/>
  <c r="EZ37" i="147"/>
  <c r="FC37" i="147"/>
  <c r="CU38" i="147"/>
  <c r="CV38" i="147"/>
  <c r="CW38" i="147"/>
  <c r="CX38" i="147"/>
  <c r="FU38" i="147" s="1"/>
  <c r="DA38" i="147"/>
  <c r="DB38" i="147"/>
  <c r="DC38" i="147"/>
  <c r="DD38" i="147"/>
  <c r="FD38" i="147" s="1"/>
  <c r="DE38" i="147"/>
  <c r="DF38" i="147"/>
  <c r="DG38" i="147"/>
  <c r="DH38" i="147"/>
  <c r="FV38" i="147" s="1"/>
  <c r="DK38" i="147"/>
  <c r="DL38" i="147"/>
  <c r="DM38" i="147"/>
  <c r="DN38" i="147"/>
  <c r="FI38" i="147" s="1"/>
  <c r="DO38" i="147"/>
  <c r="DS38" i="147"/>
  <c r="EZ38" i="147"/>
  <c r="FC38" i="147"/>
  <c r="CU39" i="147"/>
  <c r="CV39" i="147"/>
  <c r="CW39" i="147"/>
  <c r="CX39" i="147"/>
  <c r="FH39" i="147" s="1"/>
  <c r="FS39" i="147"/>
  <c r="DA39" i="147"/>
  <c r="DB39" i="147"/>
  <c r="DC39" i="147"/>
  <c r="DD39" i="147"/>
  <c r="FD39" i="147" s="1"/>
  <c r="DE39" i="147"/>
  <c r="DF39" i="147"/>
  <c r="DG39" i="147"/>
  <c r="DH39" i="147"/>
  <c r="FV39" i="147" s="1"/>
  <c r="FT39" i="147"/>
  <c r="DK39" i="147"/>
  <c r="DL39" i="147"/>
  <c r="DM39" i="147"/>
  <c r="DN39" i="147"/>
  <c r="FI39" i="147" s="1"/>
  <c r="DO39" i="147"/>
  <c r="DS39" i="147"/>
  <c r="EZ39" i="147"/>
  <c r="FC39" i="147"/>
  <c r="CU40" i="147"/>
  <c r="CV40" i="147"/>
  <c r="CW40" i="147"/>
  <c r="CX40" i="147"/>
  <c r="DA40" i="147"/>
  <c r="DB40" i="147"/>
  <c r="DC40" i="147"/>
  <c r="DD40" i="147"/>
  <c r="FD40" i="147" s="1"/>
  <c r="DE40" i="147"/>
  <c r="DF40" i="147"/>
  <c r="DG40" i="147"/>
  <c r="DH40" i="147"/>
  <c r="FT40" i="147"/>
  <c r="DK40" i="147"/>
  <c r="DL40" i="147"/>
  <c r="DM40" i="147"/>
  <c r="DN40" i="147"/>
  <c r="FI40" i="147" s="1"/>
  <c r="DO40" i="147"/>
  <c r="DS40" i="147"/>
  <c r="EZ40" i="147"/>
  <c r="FC40" i="147"/>
  <c r="CU69" i="147"/>
  <c r="EY69" i="147" s="1"/>
  <c r="CV69" i="147"/>
  <c r="DX69" i="147" s="1"/>
  <c r="CW69" i="147"/>
  <c r="CX69" i="147"/>
  <c r="FU69" i="147" s="1"/>
  <c r="CY69" i="147"/>
  <c r="CZ69" i="147"/>
  <c r="DA69" i="147"/>
  <c r="DB69" i="147"/>
  <c r="DC69" i="147"/>
  <c r="DD69" i="147"/>
  <c r="DO69" i="147" s="1"/>
  <c r="DE69" i="147"/>
  <c r="FA69" i="147" s="1"/>
  <c r="DF69" i="147"/>
  <c r="EC69" i="147" s="1"/>
  <c r="DG69" i="147"/>
  <c r="DH69" i="147"/>
  <c r="FM69" i="147" s="1"/>
  <c r="DI69" i="147"/>
  <c r="DJ69" i="147"/>
  <c r="DK69" i="147"/>
  <c r="DL69" i="147"/>
  <c r="DM69" i="147"/>
  <c r="DN69" i="147"/>
  <c r="FI69" i="147" s="1"/>
  <c r="DQ69" i="147"/>
  <c r="DR69" i="147"/>
  <c r="DS69" i="147"/>
  <c r="DY69" i="147"/>
  <c r="EU69" i="147"/>
  <c r="EW69" i="147"/>
  <c r="EZ69" i="147"/>
  <c r="FC69" i="147"/>
  <c r="CC25" i="147" l="1"/>
  <c r="CM25" i="147" s="1"/>
  <c r="EE30" i="147"/>
  <c r="BQ28" i="147"/>
  <c r="CL28" i="147" s="1"/>
  <c r="CA27" i="147"/>
  <c r="CC27" i="147"/>
  <c r="CM27" i="147" s="1"/>
  <c r="CA39" i="147"/>
  <c r="CC39" i="147"/>
  <c r="CM39" i="147" s="1"/>
  <c r="CA28" i="147"/>
  <c r="CC28" i="147"/>
  <c r="CM28" i="147" s="1"/>
  <c r="CA29" i="147"/>
  <c r="CC29" i="147"/>
  <c r="CM29" i="147" s="1"/>
  <c r="DZ39" i="147"/>
  <c r="BQ39" i="147"/>
  <c r="CL39" i="147" s="1"/>
  <c r="BO39" i="147"/>
  <c r="CC37" i="147"/>
  <c r="CM37" i="147" s="1"/>
  <c r="CA37" i="147"/>
  <c r="BO37" i="147"/>
  <c r="BQ37" i="147"/>
  <c r="CL37" i="147" s="1"/>
  <c r="CA35" i="147"/>
  <c r="CC35" i="147"/>
  <c r="CM35" i="147" s="1"/>
  <c r="BQ35" i="147"/>
  <c r="CL35" i="147" s="1"/>
  <c r="BO35" i="147"/>
  <c r="CC33" i="147"/>
  <c r="CM33" i="147" s="1"/>
  <c r="CA33" i="147"/>
  <c r="BQ33" i="147"/>
  <c r="CL33" i="147" s="1"/>
  <c r="BO33" i="147"/>
  <c r="CA31" i="147"/>
  <c r="CC31" i="147"/>
  <c r="CM31" i="147" s="1"/>
  <c r="BQ31" i="147"/>
  <c r="CL31" i="147" s="1"/>
  <c r="BO31" i="147"/>
  <c r="DZ29" i="147"/>
  <c r="DZ26" i="147"/>
  <c r="BO23" i="147"/>
  <c r="BQ23" i="147"/>
  <c r="CL23" i="147" s="1"/>
  <c r="BO30" i="147"/>
  <c r="BQ30" i="147"/>
  <c r="CL30" i="147" s="1"/>
  <c r="DZ28" i="147"/>
  <c r="CA25" i="147"/>
  <c r="CA40" i="147"/>
  <c r="CC40" i="147"/>
  <c r="CM40" i="147" s="1"/>
  <c r="CA30" i="147"/>
  <c r="CC30" i="147"/>
  <c r="CM30" i="147" s="1"/>
  <c r="BO40" i="147"/>
  <c r="BQ40" i="147"/>
  <c r="CL40" i="147" s="1"/>
  <c r="CA38" i="147"/>
  <c r="CC38" i="147"/>
  <c r="CM38" i="147" s="1"/>
  <c r="BO38" i="147"/>
  <c r="BQ38" i="147"/>
  <c r="CL38" i="147" s="1"/>
  <c r="CA36" i="147"/>
  <c r="CC36" i="147"/>
  <c r="CM36" i="147" s="1"/>
  <c r="BO36" i="147"/>
  <c r="BQ36" i="147"/>
  <c r="CL36" i="147" s="1"/>
  <c r="CA34" i="147"/>
  <c r="CC34" i="147"/>
  <c r="CM34" i="147" s="1"/>
  <c r="BO34" i="147"/>
  <c r="BQ34" i="147"/>
  <c r="CL34" i="147" s="1"/>
  <c r="CA32" i="147"/>
  <c r="CC32" i="147"/>
  <c r="CM32" i="147" s="1"/>
  <c r="BQ32" i="147"/>
  <c r="CL32" i="147" s="1"/>
  <c r="BQ29" i="147"/>
  <c r="CL29" i="147" s="1"/>
  <c r="BO29" i="147"/>
  <c r="BO27" i="147"/>
  <c r="BQ27" i="147"/>
  <c r="CL27" i="147" s="1"/>
  <c r="CA26" i="147"/>
  <c r="CC26" i="147"/>
  <c r="CM26" i="147" s="1"/>
  <c r="DZ38" i="147"/>
  <c r="EE37" i="147"/>
  <c r="EF37" i="147" s="1"/>
  <c r="EJ37" i="147" s="1"/>
  <c r="DZ36" i="147"/>
  <c r="EE35" i="147"/>
  <c r="EF35" i="147" s="1"/>
  <c r="EJ35" i="147" s="1"/>
  <c r="DZ34" i="147"/>
  <c r="EE33" i="147"/>
  <c r="EG33" i="147" s="1"/>
  <c r="EK33" i="147" s="1"/>
  <c r="DZ32" i="147"/>
  <c r="EE31" i="147"/>
  <c r="EG31" i="147" s="1"/>
  <c r="EK31" i="147" s="1"/>
  <c r="FR37" i="147"/>
  <c r="FR35" i="147"/>
  <c r="FQ35" i="147"/>
  <c r="FR33" i="147"/>
  <c r="FQ33" i="147"/>
  <c r="DZ27" i="147"/>
  <c r="EL37" i="147"/>
  <c r="EM37" i="147" s="1"/>
  <c r="EL35" i="147"/>
  <c r="EM35" i="147" s="1"/>
  <c r="EE39" i="147"/>
  <c r="EG39" i="147" s="1"/>
  <c r="EK39" i="147" s="1"/>
  <c r="EL33" i="147"/>
  <c r="EM33" i="147" s="1"/>
  <c r="EL31" i="147"/>
  <c r="EM31" i="147" s="1"/>
  <c r="EL28" i="147"/>
  <c r="EN28" i="147" s="1"/>
  <c r="DZ30" i="147"/>
  <c r="EE28" i="147"/>
  <c r="EF28" i="147" s="1"/>
  <c r="EJ28" i="147" s="1"/>
  <c r="EL36" i="147"/>
  <c r="EL32" i="147"/>
  <c r="FQ40" i="147"/>
  <c r="EE38" i="147"/>
  <c r="EE36" i="147"/>
  <c r="DZ35" i="147"/>
  <c r="EE34" i="147"/>
  <c r="DZ33" i="147"/>
  <c r="EE32" i="147"/>
  <c r="DZ31" i="147"/>
  <c r="EF30" i="147"/>
  <c r="EJ30" i="147" s="1"/>
  <c r="EG30" i="147"/>
  <c r="EK30" i="147" s="1"/>
  <c r="DX40" i="147"/>
  <c r="DW40" i="147"/>
  <c r="FR40" i="147"/>
  <c r="DZ37" i="147"/>
  <c r="DZ40" i="147"/>
  <c r="EL39" i="147"/>
  <c r="EC38" i="147"/>
  <c r="EB38" i="147"/>
  <c r="EA38" i="147"/>
  <c r="ED38" i="147"/>
  <c r="DV38" i="147"/>
  <c r="DX38" i="147"/>
  <c r="DW38" i="147"/>
  <c r="EC36" i="147"/>
  <c r="EB36" i="147"/>
  <c r="EA36" i="147"/>
  <c r="ED36" i="147"/>
  <c r="DV36" i="147"/>
  <c r="DX36" i="147"/>
  <c r="DW36" i="147"/>
  <c r="FO36" i="147" s="1"/>
  <c r="EC34" i="147"/>
  <c r="EB34" i="147"/>
  <c r="EA34" i="147"/>
  <c r="ED34" i="147"/>
  <c r="DU34" i="147"/>
  <c r="DX34" i="147"/>
  <c r="DW34" i="147"/>
  <c r="EC32" i="147"/>
  <c r="FP32" i="147" s="1"/>
  <c r="EB32" i="147"/>
  <c r="EA32" i="147"/>
  <c r="ED32" i="147"/>
  <c r="DX32" i="147"/>
  <c r="DW32" i="147"/>
  <c r="EL29" i="147"/>
  <c r="FQ39" i="147"/>
  <c r="FQ37" i="147"/>
  <c r="FQ31" i="147"/>
  <c r="EC40" i="147"/>
  <c r="EB40" i="147"/>
  <c r="EA40" i="147"/>
  <c r="ED40" i="147"/>
  <c r="FR38" i="147"/>
  <c r="FQ38" i="147"/>
  <c r="FR36" i="147"/>
  <c r="FQ36" i="147"/>
  <c r="FR34" i="147"/>
  <c r="FQ34" i="147"/>
  <c r="FR32" i="147"/>
  <c r="FQ32" i="147"/>
  <c r="EE29" i="147"/>
  <c r="EL34" i="147"/>
  <c r="ED39" i="147"/>
  <c r="EC39" i="147"/>
  <c r="EB39" i="147"/>
  <c r="EA39" i="147"/>
  <c r="FR31" i="147"/>
  <c r="CY23" i="147"/>
  <c r="EL38" i="147"/>
  <c r="EL30" i="147"/>
  <c r="EL40" i="147"/>
  <c r="EE40" i="147"/>
  <c r="FR39" i="147"/>
  <c r="DV39" i="147"/>
  <c r="DX39" i="147"/>
  <c r="DW39" i="147"/>
  <c r="FO39" i="147" s="1"/>
  <c r="ED37" i="147"/>
  <c r="EC37" i="147"/>
  <c r="EB37" i="147"/>
  <c r="EA37" i="147"/>
  <c r="DV37" i="147"/>
  <c r="DX37" i="147"/>
  <c r="DW37" i="147"/>
  <c r="ED35" i="147"/>
  <c r="EC35" i="147"/>
  <c r="FP35" i="147" s="1"/>
  <c r="EB35" i="147"/>
  <c r="EA35" i="147"/>
  <c r="DU35" i="147"/>
  <c r="DX35" i="147"/>
  <c r="DW35" i="147"/>
  <c r="ED33" i="147"/>
  <c r="I33" i="147" s="1"/>
  <c r="EC33" i="147"/>
  <c r="EB33" i="147"/>
  <c r="EA33" i="147"/>
  <c r="DV33" i="147"/>
  <c r="DX33" i="147"/>
  <c r="DW33" i="147"/>
  <c r="FO33" i="147" s="1"/>
  <c r="ED31" i="147"/>
  <c r="EC31" i="147"/>
  <c r="EB31" i="147"/>
  <c r="EA31" i="147"/>
  <c r="DX31" i="147"/>
  <c r="DW31" i="147"/>
  <c r="FO31" i="147" s="1"/>
  <c r="DI27" i="147"/>
  <c r="FA28" i="147"/>
  <c r="FA32" i="147"/>
  <c r="EX30" i="147"/>
  <c r="FA37" i="147"/>
  <c r="FA25" i="147"/>
  <c r="DI25" i="147"/>
  <c r="FB35" i="147"/>
  <c r="EY35" i="147"/>
  <c r="FA26" i="147"/>
  <c r="DI26" i="147"/>
  <c r="FA38" i="147"/>
  <c r="FA33" i="147"/>
  <c r="EY33" i="147"/>
  <c r="EY29" i="147"/>
  <c r="EY27" i="147"/>
  <c r="CY27" i="147"/>
  <c r="FA39" i="147"/>
  <c r="FA36" i="147"/>
  <c r="EX36" i="147"/>
  <c r="FB29" i="147"/>
  <c r="EX40" i="147"/>
  <c r="FA34" i="147"/>
  <c r="EY23" i="147"/>
  <c r="FH26" i="147"/>
  <c r="FH25" i="147"/>
  <c r="DT32" i="147"/>
  <c r="DT30" i="147"/>
  <c r="FE30" i="147"/>
  <c r="FF30" i="147" s="1"/>
  <c r="FG30" i="147" s="1"/>
  <c r="Y30" i="147" s="1"/>
  <c r="DT39" i="147"/>
  <c r="DT37" i="147"/>
  <c r="FJ26" i="147"/>
  <c r="FK26" i="147" s="1"/>
  <c r="FL26" i="147" s="1"/>
  <c r="Z26" i="147" s="1"/>
  <c r="FJ31" i="147"/>
  <c r="FK31" i="147" s="1"/>
  <c r="FL31" i="147" s="1"/>
  <c r="Z31" i="147" s="1"/>
  <c r="FE23" i="147"/>
  <c r="FF23" i="147" s="1"/>
  <c r="FG23" i="147" s="1"/>
  <c r="Y23" i="147" s="1"/>
  <c r="FJ27" i="147"/>
  <c r="FK27" i="147" s="1"/>
  <c r="FL27" i="147" s="1"/>
  <c r="Z27" i="147" s="1"/>
  <c r="FT35" i="147"/>
  <c r="FS28" i="147"/>
  <c r="FJ36" i="147"/>
  <c r="FK36" i="147" s="1"/>
  <c r="FL36" i="147" s="1"/>
  <c r="Z36" i="147" s="1"/>
  <c r="FS34" i="147"/>
  <c r="FS31" i="147"/>
  <c r="FT30" i="147"/>
  <c r="FS38" i="147"/>
  <c r="FS33" i="147"/>
  <c r="FT24" i="147"/>
  <c r="FT36" i="147"/>
  <c r="DT35" i="147"/>
  <c r="FE31" i="147"/>
  <c r="FF31" i="147" s="1"/>
  <c r="FG31" i="147" s="1"/>
  <c r="Y31" i="147" s="1"/>
  <c r="FT28" i="147"/>
  <c r="FS36" i="147"/>
  <c r="FE36" i="147"/>
  <c r="FF36" i="147" s="1"/>
  <c r="FG36" i="147" s="1"/>
  <c r="Y36" i="147" s="1"/>
  <c r="FT33" i="147"/>
  <c r="FN69" i="147"/>
  <c r="FT37" i="147"/>
  <c r="FE33" i="147"/>
  <c r="FF33" i="147" s="1"/>
  <c r="FG33" i="147" s="1"/>
  <c r="Y33" i="147" s="1"/>
  <c r="FJ30" i="147"/>
  <c r="FK30" i="147" s="1"/>
  <c r="FL30" i="147" s="1"/>
  <c r="Z30" i="147" s="1"/>
  <c r="FS30" i="147"/>
  <c r="FT29" i="147"/>
  <c r="FE39" i="147"/>
  <c r="FF39" i="147" s="1"/>
  <c r="FG39" i="147" s="1"/>
  <c r="Y39" i="147" s="1"/>
  <c r="FJ37" i="147"/>
  <c r="FK37" i="147" s="1"/>
  <c r="FL37" i="147" s="1"/>
  <c r="Z37" i="147" s="1"/>
  <c r="FS37" i="147"/>
  <c r="DT34" i="147"/>
  <c r="FB25" i="147"/>
  <c r="FU39" i="147"/>
  <c r="FM27" i="147"/>
  <c r="EX27" i="147"/>
  <c r="FH30" i="147"/>
  <c r="FB38" i="147"/>
  <c r="FB32" i="147"/>
  <c r="EL69" i="147"/>
  <c r="EN69" i="147" s="1"/>
  <c r="ER69" i="147" s="1"/>
  <c r="EY30" i="147"/>
  <c r="FM38" i="147"/>
  <c r="EY36" i="147"/>
  <c r="FB26" i="147"/>
  <c r="FR69" i="147"/>
  <c r="FB39" i="147"/>
  <c r="FH35" i="147"/>
  <c r="EY40" i="147"/>
  <c r="DU37" i="147"/>
  <c r="FM37" i="147"/>
  <c r="FN31" i="147"/>
  <c r="EB69" i="147"/>
  <c r="EA69" i="147"/>
  <c r="FV35" i="147"/>
  <c r="FB34" i="147"/>
  <c r="EX23" i="147"/>
  <c r="ED69" i="147"/>
  <c r="FH69" i="147"/>
  <c r="DT69" i="147"/>
  <c r="EX35" i="147"/>
  <c r="DU31" i="147"/>
  <c r="DV31" i="147" s="1"/>
  <c r="DU38" i="147"/>
  <c r="FA29" i="147"/>
  <c r="FB28" i="147"/>
  <c r="FB36" i="147"/>
  <c r="DP31" i="147"/>
  <c r="FV32" i="147"/>
  <c r="FB69" i="147"/>
  <c r="DP34" i="147"/>
  <c r="DU33" i="147"/>
  <c r="EX69" i="147"/>
  <c r="FU36" i="147"/>
  <c r="FB33" i="147"/>
  <c r="FM28" i="147"/>
  <c r="FH27" i="147"/>
  <c r="FU40" i="147"/>
  <c r="FH40" i="147"/>
  <c r="FE28" i="147"/>
  <c r="FF28" i="147" s="1"/>
  <c r="FG28" i="147" s="1"/>
  <c r="Y28" i="147" s="1"/>
  <c r="FJ28" i="147"/>
  <c r="FK28" i="147" s="1"/>
  <c r="FL28" i="147" s="1"/>
  <c r="Z28" i="147" s="1"/>
  <c r="FM24" i="147"/>
  <c r="ES69" i="147"/>
  <c r="FS69" i="147"/>
  <c r="DP40" i="147"/>
  <c r="DU40" i="147"/>
  <c r="EY39" i="147"/>
  <c r="DP38" i="147"/>
  <c r="FU34" i="147"/>
  <c r="FH34" i="147"/>
  <c r="FJ33" i="147"/>
  <c r="FK33" i="147" s="1"/>
  <c r="FL33" i="147" s="1"/>
  <c r="Z33" i="147" s="1"/>
  <c r="DV32" i="147"/>
  <c r="FT31" i="147"/>
  <c r="FM30" i="147"/>
  <c r="DV40" i="147"/>
  <c r="EX39" i="147"/>
  <c r="FN38" i="147"/>
  <c r="FJ38" i="147"/>
  <c r="FK38" i="147" s="1"/>
  <c r="FL38" i="147" s="1"/>
  <c r="Z38" i="147" s="1"/>
  <c r="FH37" i="147"/>
  <c r="FU37" i="147"/>
  <c r="DV35" i="147"/>
  <c r="EY32" i="147"/>
  <c r="FT69" i="147"/>
  <c r="FM34" i="147"/>
  <c r="DP35" i="147"/>
  <c r="EY34" i="147"/>
  <c r="EX34" i="147"/>
  <c r="EX32" i="147"/>
  <c r="FM40" i="147"/>
  <c r="FV40" i="147"/>
  <c r="FM39" i="147"/>
  <c r="FH38" i="147"/>
  <c r="DU36" i="147"/>
  <c r="FU33" i="147"/>
  <c r="FA31" i="147"/>
  <c r="FB31" i="147"/>
  <c r="FE26" i="147"/>
  <c r="FF26" i="147" s="1"/>
  <c r="FG26" i="147" s="1"/>
  <c r="Y26" i="147" s="1"/>
  <c r="FE25" i="147"/>
  <c r="FF25" i="147" s="1"/>
  <c r="FG25" i="147" s="1"/>
  <c r="DZ25" i="147"/>
  <c r="DU39" i="147"/>
  <c r="FN40" i="147"/>
  <c r="FA40" i="147"/>
  <c r="FB40" i="147"/>
  <c r="FS29" i="147"/>
  <c r="FE37" i="147"/>
  <c r="FF37" i="147" s="1"/>
  <c r="FG37" i="147" s="1"/>
  <c r="Y37" i="147" s="1"/>
  <c r="FM25" i="147"/>
  <c r="FJ23" i="147"/>
  <c r="FK23" i="147" s="1"/>
  <c r="FL23" i="147" s="1"/>
  <c r="Z23" i="147" s="1"/>
  <c r="EY38" i="147"/>
  <c r="EX38" i="147"/>
  <c r="DP33" i="147"/>
  <c r="EX29" i="147"/>
  <c r="FM29" i="147"/>
  <c r="FM31" i="147"/>
  <c r="DT29" i="147"/>
  <c r="DZ69" i="147"/>
  <c r="FJ35" i="147"/>
  <c r="FK35" i="147" s="1"/>
  <c r="FL35" i="147" s="1"/>
  <c r="Z35" i="147" s="1"/>
  <c r="DT27" i="147"/>
  <c r="FJ39" i="147"/>
  <c r="FK39" i="147" s="1"/>
  <c r="FL39" i="147" s="1"/>
  <c r="Z39" i="147" s="1"/>
  <c r="DV34" i="147"/>
  <c r="FE34" i="147"/>
  <c r="FF34" i="147" s="1"/>
  <c r="FG34" i="147" s="1"/>
  <c r="Y34" i="147" s="1"/>
  <c r="FD69" i="147"/>
  <c r="FE69" i="147" s="1"/>
  <c r="FF69" i="147" s="1"/>
  <c r="FG69" i="147" s="1"/>
  <c r="ET69" i="147"/>
  <c r="DV69" i="147"/>
  <c r="EE69" i="147"/>
  <c r="EG69" i="147" s="1"/>
  <c r="EK69" i="147" s="1"/>
  <c r="DP69" i="147"/>
  <c r="FP69" i="147"/>
  <c r="FJ69" i="147"/>
  <c r="FK69" i="147" s="1"/>
  <c r="FL69" i="147" s="1"/>
  <c r="FT34" i="147"/>
  <c r="FV69" i="147"/>
  <c r="FE38" i="147"/>
  <c r="FF38" i="147" s="1"/>
  <c r="FG38" i="147" s="1"/>
  <c r="Y38" i="147" s="1"/>
  <c r="FV33" i="147"/>
  <c r="FM33" i="147"/>
  <c r="DT40" i="147"/>
  <c r="FN35" i="147"/>
  <c r="FA35" i="147"/>
  <c r="FB30" i="147"/>
  <c r="FH23" i="147"/>
  <c r="FJ40" i="147"/>
  <c r="FK40" i="147" s="1"/>
  <c r="FL40" i="147" s="1"/>
  <c r="Z40" i="147" s="1"/>
  <c r="FE40" i="147"/>
  <c r="FF40" i="147" s="1"/>
  <c r="FG40" i="147" s="1"/>
  <c r="Y40" i="147" s="1"/>
  <c r="FS40" i="147"/>
  <c r="FB37" i="147"/>
  <c r="FN36" i="147"/>
  <c r="DT33" i="147"/>
  <c r="EX33" i="147"/>
  <c r="FA30" i="147"/>
  <c r="FA27" i="147"/>
  <c r="FB27" i="147"/>
  <c r="FT32" i="147"/>
  <c r="EY31" i="147"/>
  <c r="EX31" i="147"/>
  <c r="FH29" i="147"/>
  <c r="FJ32" i="147"/>
  <c r="FK32" i="147" s="1"/>
  <c r="FL32" i="147" s="1"/>
  <c r="Z32" i="147" s="1"/>
  <c r="FE32" i="147"/>
  <c r="FF32" i="147" s="1"/>
  <c r="FG32" i="147" s="1"/>
  <c r="Y32" i="147" s="1"/>
  <c r="DU69" i="147"/>
  <c r="DW69" i="147"/>
  <c r="FO69" i="147" s="1"/>
  <c r="DP39" i="147"/>
  <c r="FT38" i="147"/>
  <c r="DP37" i="147"/>
  <c r="FN37" i="147"/>
  <c r="DP36" i="147"/>
  <c r="FM36" i="147"/>
  <c r="FV36" i="147"/>
  <c r="FE35" i="147"/>
  <c r="FF35" i="147" s="1"/>
  <c r="FG35" i="147" s="1"/>
  <c r="Y35" i="147" s="1"/>
  <c r="DT28" i="147"/>
  <c r="EX28" i="147"/>
  <c r="EY28" i="147"/>
  <c r="FJ24" i="147"/>
  <c r="FK24" i="147" s="1"/>
  <c r="FL24" i="147" s="1"/>
  <c r="Z24" i="147" s="1"/>
  <c r="FE24" i="147"/>
  <c r="FF24" i="147" s="1"/>
  <c r="FG24" i="147" s="1"/>
  <c r="Y24" i="147" s="1"/>
  <c r="FS35" i="147"/>
  <c r="DT31" i="147"/>
  <c r="FQ69" i="147"/>
  <c r="FN39" i="147"/>
  <c r="EX37" i="147"/>
  <c r="EY37" i="147"/>
  <c r="FS32" i="147"/>
  <c r="FN34" i="147"/>
  <c r="FJ34" i="147"/>
  <c r="FK34" i="147" s="1"/>
  <c r="FL34" i="147" s="1"/>
  <c r="Z34" i="147" s="1"/>
  <c r="FH32" i="147"/>
  <c r="FU32" i="147"/>
  <c r="FE29" i="147"/>
  <c r="FF29" i="147" s="1"/>
  <c r="FG29" i="147" s="1"/>
  <c r="Y29" i="147" s="1"/>
  <c r="FJ29" i="147"/>
  <c r="FK29" i="147" s="1"/>
  <c r="FL29" i="147" s="1"/>
  <c r="Z29" i="147" s="1"/>
  <c r="FJ25" i="147"/>
  <c r="FK25" i="147" s="1"/>
  <c r="FL25" i="147" s="1"/>
  <c r="DT38" i="147"/>
  <c r="DT36" i="147"/>
  <c r="DU32" i="147"/>
  <c r="DP32" i="147"/>
  <c r="FH24" i="147"/>
  <c r="FN32" i="147"/>
  <c r="FH28" i="147"/>
  <c r="FE27" i="147"/>
  <c r="FF27" i="147" s="1"/>
  <c r="FG27" i="147" s="1"/>
  <c r="Y27" i="147" s="1"/>
  <c r="FN33" i="147"/>
  <c r="DT23" i="147"/>
  <c r="EN37" i="147" l="1"/>
  <c r="FO38" i="147"/>
  <c r="EG35" i="147"/>
  <c r="EK35" i="147" s="1"/>
  <c r="FO40" i="147"/>
  <c r="FP38" i="147"/>
  <c r="EN31" i="147"/>
  <c r="ER31" i="147" s="1"/>
  <c r="FP40" i="147"/>
  <c r="EG37" i="147"/>
  <c r="EK37" i="147" s="1"/>
  <c r="FP36" i="147"/>
  <c r="FP37" i="147"/>
  <c r="FP34" i="147"/>
  <c r="FP33" i="147"/>
  <c r="FO34" i="147"/>
  <c r="FP31" i="147"/>
  <c r="FO37" i="147"/>
  <c r="FP39" i="147"/>
  <c r="FO35" i="147"/>
  <c r="FO32" i="147"/>
  <c r="EM28" i="147"/>
  <c r="EF39" i="147"/>
  <c r="EJ39" i="147" s="1"/>
  <c r="EF33" i="147"/>
  <c r="EJ33" i="147" s="1"/>
  <c r="EF31" i="147"/>
  <c r="EJ31" i="147" s="1"/>
  <c r="EG28" i="147"/>
  <c r="EK28" i="147" s="1"/>
  <c r="EN33" i="147"/>
  <c r="K33" i="147"/>
  <c r="J33" i="147"/>
  <c r="EN35" i="147"/>
  <c r="GE26" i="147"/>
  <c r="E38" i="147"/>
  <c r="D38" i="147"/>
  <c r="E36" i="147"/>
  <c r="D36" i="147"/>
  <c r="E33" i="147"/>
  <c r="D33" i="147"/>
  <c r="D34" i="147"/>
  <c r="E34" i="147"/>
  <c r="EF34" i="147"/>
  <c r="EJ34" i="147" s="1"/>
  <c r="EG34" i="147"/>
  <c r="EK34" i="147" s="1"/>
  <c r="EF38" i="147"/>
  <c r="EJ38" i="147" s="1"/>
  <c r="EG38" i="147"/>
  <c r="EK38" i="147" s="1"/>
  <c r="EF40" i="147"/>
  <c r="EJ40" i="147" s="1"/>
  <c r="EG40" i="147"/>
  <c r="EK40" i="147" s="1"/>
  <c r="E40" i="147"/>
  <c r="D40" i="147"/>
  <c r="EN40" i="147"/>
  <c r="ER40" i="147" s="1"/>
  <c r="EM40" i="147"/>
  <c r="EN34" i="147"/>
  <c r="ER34" i="147" s="1"/>
  <c r="EM34" i="147"/>
  <c r="EF32" i="147"/>
  <c r="EJ32" i="147" s="1"/>
  <c r="EG32" i="147"/>
  <c r="EK32" i="147" s="1"/>
  <c r="E37" i="147"/>
  <c r="D37" i="147"/>
  <c r="E35" i="147"/>
  <c r="D35" i="147"/>
  <c r="EN30" i="147"/>
  <c r="EM30" i="147"/>
  <c r="EM39" i="147"/>
  <c r="EN39" i="147"/>
  <c r="EN32" i="147"/>
  <c r="EM32" i="147"/>
  <c r="EN38" i="147"/>
  <c r="EM38" i="147"/>
  <c r="EF36" i="147"/>
  <c r="EJ36" i="147" s="1"/>
  <c r="EG36" i="147"/>
  <c r="EK36" i="147" s="1"/>
  <c r="EN36" i="147"/>
  <c r="EM36" i="147"/>
  <c r="E31" i="147"/>
  <c r="D31" i="147"/>
  <c r="E39" i="147"/>
  <c r="D39" i="147"/>
  <c r="EM29" i="147"/>
  <c r="EN29" i="147"/>
  <c r="E32" i="147"/>
  <c r="D32" i="147"/>
  <c r="EG29" i="147"/>
  <c r="EK29" i="147" s="1"/>
  <c r="EF29" i="147"/>
  <c r="EJ29" i="147" s="1"/>
  <c r="GE27" i="147"/>
  <c r="F39" i="147"/>
  <c r="H39" i="147"/>
  <c r="G39" i="147"/>
  <c r="I38" i="147"/>
  <c r="K38" i="147"/>
  <c r="J38" i="147"/>
  <c r="H38" i="147"/>
  <c r="G38" i="147"/>
  <c r="F38" i="147"/>
  <c r="J35" i="147"/>
  <c r="I35" i="147"/>
  <c r="K35" i="147"/>
  <c r="K31" i="147"/>
  <c r="J31" i="147"/>
  <c r="I31" i="147"/>
  <c r="K32" i="147"/>
  <c r="J32" i="147"/>
  <c r="I32" i="147"/>
  <c r="H32" i="147"/>
  <c r="G32" i="147"/>
  <c r="F32" i="147"/>
  <c r="H34" i="147"/>
  <c r="G34" i="147"/>
  <c r="F34" i="147"/>
  <c r="H37" i="147"/>
  <c r="F37" i="147"/>
  <c r="G37" i="147"/>
  <c r="I36" i="147"/>
  <c r="K36" i="147"/>
  <c r="J36" i="147"/>
  <c r="G36" i="147"/>
  <c r="F36" i="147"/>
  <c r="H36" i="147"/>
  <c r="K37" i="147"/>
  <c r="J37" i="147"/>
  <c r="I37" i="147"/>
  <c r="H40" i="147"/>
  <c r="G40" i="147"/>
  <c r="F40" i="147"/>
  <c r="K39" i="147"/>
  <c r="J39" i="147"/>
  <c r="I39" i="147"/>
  <c r="K40" i="147"/>
  <c r="J40" i="147"/>
  <c r="I40" i="147"/>
  <c r="H35" i="147"/>
  <c r="G35" i="147"/>
  <c r="F35" i="147"/>
  <c r="K34" i="147"/>
  <c r="J34" i="147"/>
  <c r="I34" i="147"/>
  <c r="H33" i="147"/>
  <c r="G33" i="147"/>
  <c r="F33" i="147"/>
  <c r="EQ33" i="147"/>
  <c r="EQ35" i="147"/>
  <c r="EZ23" i="147"/>
  <c r="EE23" i="147" s="1"/>
  <c r="FU31" i="147"/>
  <c r="EM69" i="147"/>
  <c r="EO69" i="147" s="1"/>
  <c r="EP69" i="147"/>
  <c r="EI69" i="147"/>
  <c r="EF69" i="147"/>
  <c r="EH69" i="147" s="1"/>
  <c r="EV69" i="147"/>
  <c r="EQ37" i="147"/>
  <c r="ER28" i="147"/>
  <c r="EQ36" i="147" l="1"/>
  <c r="EQ39" i="147"/>
  <c r="ER38" i="147"/>
  <c r="EV38" i="147" s="1"/>
  <c r="EQ30" i="147"/>
  <c r="EQ29" i="147"/>
  <c r="EF23" i="147"/>
  <c r="EG23" i="147"/>
  <c r="EV40" i="147"/>
  <c r="ER30" i="147"/>
  <c r="EV30" i="147" s="1"/>
  <c r="ER35" i="147"/>
  <c r="EV35" i="147" s="1"/>
  <c r="ER33" i="147"/>
  <c r="EV33" i="147" s="1"/>
  <c r="EQ38" i="147"/>
  <c r="ER39" i="147"/>
  <c r="ER29" i="147"/>
  <c r="ER37" i="147"/>
  <c r="EV37" i="147" s="1"/>
  <c r="EQ31" i="147"/>
  <c r="ER36" i="147"/>
  <c r="EV36" i="147" s="1"/>
  <c r="EQ34" i="147"/>
  <c r="EV28" i="147"/>
  <c r="EQ28" i="147"/>
  <c r="EQ40" i="147"/>
  <c r="EV34" i="147"/>
  <c r="EQ69" i="147"/>
  <c r="EJ69" i="147"/>
  <c r="ER32" i="147"/>
  <c r="EV32" i="147" s="1"/>
  <c r="EQ32" i="147"/>
  <c r="EV31" i="147"/>
  <c r="AX29" i="147"/>
  <c r="AX28" i="147"/>
  <c r="EK23" i="147" l="1"/>
  <c r="EJ23" i="147"/>
  <c r="CJ40" i="147"/>
  <c r="X40" i="147"/>
  <c r="CJ28" i="147"/>
  <c r="X28" i="147"/>
  <c r="CJ30" i="147"/>
  <c r="X30" i="147"/>
  <c r="CJ38" i="147"/>
  <c r="X38" i="147"/>
  <c r="CJ33" i="147"/>
  <c r="X33" i="147"/>
  <c r="CJ34" i="147"/>
  <c r="X34" i="147"/>
  <c r="CJ32" i="147"/>
  <c r="X32" i="147"/>
  <c r="CJ36" i="147"/>
  <c r="X36" i="147"/>
  <c r="CJ31" i="147"/>
  <c r="X31" i="147"/>
  <c r="F31" i="147"/>
  <c r="H31" i="147"/>
  <c r="G31" i="147"/>
  <c r="CJ37" i="147"/>
  <c r="X37" i="147"/>
  <c r="CJ35" i="147"/>
  <c r="X35" i="147"/>
  <c r="EV29" i="147"/>
  <c r="EV39" i="147"/>
  <c r="CJ39" i="147" l="1"/>
  <c r="X39" i="147"/>
  <c r="CJ29" i="147"/>
  <c r="X29" i="147"/>
  <c r="DQ1" i="165"/>
  <c r="EY4" i="160" l="1"/>
  <c r="EY4" i="84"/>
  <c r="C44" i="165" l="1"/>
  <c r="B44" i="165"/>
  <c r="A44" i="165"/>
  <c r="GF44" i="165" s="1"/>
  <c r="C43" i="165"/>
  <c r="B43" i="165"/>
  <c r="A43" i="165"/>
  <c r="GF43" i="165" s="1"/>
  <c r="C42" i="165"/>
  <c r="B42" i="165"/>
  <c r="A42" i="165"/>
  <c r="GF42" i="165" s="1"/>
  <c r="C41" i="165"/>
  <c r="B41" i="165"/>
  <c r="A41" i="165"/>
  <c r="GF41" i="165" s="1"/>
  <c r="C40" i="165"/>
  <c r="B40" i="165"/>
  <c r="A40" i="165"/>
  <c r="GF40" i="165" s="1"/>
  <c r="C39" i="165"/>
  <c r="B39" i="165"/>
  <c r="A39" i="165"/>
  <c r="GF39" i="165" s="1"/>
  <c r="C38" i="165"/>
  <c r="B38" i="165"/>
  <c r="A38" i="165"/>
  <c r="GF38" i="165" s="1"/>
  <c r="C37" i="165"/>
  <c r="B37" i="165"/>
  <c r="A37" i="165"/>
  <c r="GF37" i="165" s="1"/>
  <c r="C36" i="165"/>
  <c r="B36" i="165"/>
  <c r="A36" i="165"/>
  <c r="GF36" i="165" s="1"/>
  <c r="C35" i="165"/>
  <c r="B35" i="165"/>
  <c r="A35" i="165"/>
  <c r="GF35" i="165" s="1"/>
  <c r="C34" i="165"/>
  <c r="B34" i="165"/>
  <c r="A34" i="165"/>
  <c r="GF34" i="165" s="1"/>
  <c r="C33" i="165"/>
  <c r="B33" i="165"/>
  <c r="A33" i="165"/>
  <c r="GF33" i="165" s="1"/>
  <c r="C32" i="165"/>
  <c r="B32" i="165"/>
  <c r="A32" i="165"/>
  <c r="GF32" i="165" s="1"/>
  <c r="C31" i="165"/>
  <c r="B31" i="165"/>
  <c r="A31" i="165"/>
  <c r="GF31" i="165" s="1"/>
  <c r="C30" i="165"/>
  <c r="B30" i="165"/>
  <c r="A30" i="165"/>
  <c r="GF30" i="165" s="1"/>
  <c r="C29" i="165"/>
  <c r="B29" i="165"/>
  <c r="A29" i="165"/>
  <c r="GF29" i="165" s="1"/>
  <c r="C28" i="165"/>
  <c r="B28" i="165"/>
  <c r="A28" i="165"/>
  <c r="GF28" i="165" s="1"/>
  <c r="C27" i="165"/>
  <c r="B27" i="165"/>
  <c r="A27" i="165"/>
  <c r="GF27" i="165" s="1"/>
  <c r="C26" i="165"/>
  <c r="B26" i="165"/>
  <c r="A26" i="165"/>
  <c r="GF26" i="165" s="1"/>
  <c r="C25" i="165"/>
  <c r="B25" i="165"/>
  <c r="A25" i="165"/>
  <c r="GF25" i="165" s="1"/>
  <c r="C24" i="165"/>
  <c r="B24" i="165"/>
  <c r="A24" i="165"/>
  <c r="GF24" i="165" s="1"/>
  <c r="C23" i="165"/>
  <c r="B23" i="165"/>
  <c r="A23" i="165"/>
  <c r="GF23" i="165" s="1"/>
  <c r="C22" i="165"/>
  <c r="B22" i="165"/>
  <c r="A22" i="165"/>
  <c r="GF22" i="165" s="1"/>
  <c r="C21" i="165"/>
  <c r="B21" i="165"/>
  <c r="A21" i="165"/>
  <c r="GF21" i="165" s="1"/>
  <c r="C20" i="165"/>
  <c r="B20" i="165"/>
  <c r="A20" i="165"/>
  <c r="GF20" i="165" s="1"/>
  <c r="C19" i="165"/>
  <c r="B19" i="165"/>
  <c r="A19" i="165"/>
  <c r="GF19" i="165" s="1"/>
  <c r="C18" i="165"/>
  <c r="B18" i="165"/>
  <c r="A18" i="165"/>
  <c r="GF18" i="165" s="1"/>
  <c r="GE18" i="165" s="1"/>
  <c r="C17" i="165"/>
  <c r="B17" i="165"/>
  <c r="A17" i="165"/>
  <c r="GF17" i="165" s="1"/>
  <c r="C16" i="165"/>
  <c r="B16" i="165"/>
  <c r="A16" i="165"/>
  <c r="GF16" i="165" s="1"/>
  <c r="AV39" i="147"/>
  <c r="AV38" i="147"/>
  <c r="AV37" i="147"/>
  <c r="AV36" i="147"/>
  <c r="AV35" i="147"/>
  <c r="AV34" i="147"/>
  <c r="AV33" i="147"/>
  <c r="AV32" i="147"/>
  <c r="AV31" i="147"/>
  <c r="AV30" i="147"/>
  <c r="AV29" i="147"/>
  <c r="AV28" i="147"/>
  <c r="AV26" i="147"/>
  <c r="C25" i="147"/>
  <c r="B25" i="147"/>
  <c r="AV24" i="147"/>
  <c r="GF24" i="147"/>
  <c r="GE24" i="147" s="1"/>
  <c r="AV23" i="147"/>
  <c r="AA44" i="84"/>
  <c r="F44" i="84"/>
  <c r="C44" i="84"/>
  <c r="B44" i="84"/>
  <c r="A44" i="84"/>
  <c r="AA43" i="84"/>
  <c r="F43" i="84"/>
  <c r="C43" i="84"/>
  <c r="B43" i="84"/>
  <c r="A43" i="84"/>
  <c r="AA42" i="84"/>
  <c r="F42" i="84"/>
  <c r="C42" i="84"/>
  <c r="B42" i="84"/>
  <c r="A42" i="84"/>
  <c r="AA41" i="84"/>
  <c r="F41" i="84"/>
  <c r="C41" i="84"/>
  <c r="B41" i="84"/>
  <c r="A41" i="84"/>
  <c r="AA40" i="84"/>
  <c r="F40" i="84"/>
  <c r="C40" i="84"/>
  <c r="B40" i="84"/>
  <c r="A40" i="84"/>
  <c r="AA39" i="84"/>
  <c r="F39" i="84"/>
  <c r="C39" i="84"/>
  <c r="B39" i="84"/>
  <c r="A39" i="84"/>
  <c r="AA38" i="84"/>
  <c r="F38" i="84"/>
  <c r="C38" i="84"/>
  <c r="B38" i="84"/>
  <c r="A38" i="84"/>
  <c r="AA37" i="84"/>
  <c r="F37" i="84"/>
  <c r="C37" i="84"/>
  <c r="B37" i="84"/>
  <c r="A37" i="84"/>
  <c r="AA36" i="84"/>
  <c r="F36" i="84"/>
  <c r="C36" i="84"/>
  <c r="B36" i="84"/>
  <c r="A36" i="84"/>
  <c r="AA35" i="84"/>
  <c r="F35" i="84"/>
  <c r="C35" i="84"/>
  <c r="B35" i="84"/>
  <c r="A35" i="84"/>
  <c r="AA34" i="84"/>
  <c r="F34" i="84"/>
  <c r="C34" i="84"/>
  <c r="B34" i="84"/>
  <c r="AA33" i="84"/>
  <c r="F33" i="84"/>
  <c r="C33" i="84"/>
  <c r="B33" i="84"/>
  <c r="AA32" i="84"/>
  <c r="F32" i="84"/>
  <c r="C32" i="84"/>
  <c r="B32" i="84"/>
  <c r="AA31" i="84"/>
  <c r="F31" i="84"/>
  <c r="C31" i="84"/>
  <c r="B31" i="84"/>
  <c r="AA30" i="84"/>
  <c r="F30" i="84"/>
  <c r="C30" i="84"/>
  <c r="B30" i="84"/>
  <c r="AA29" i="84"/>
  <c r="F29" i="84"/>
  <c r="C29" i="84"/>
  <c r="BP29" i="84" s="1"/>
  <c r="B29" i="84"/>
  <c r="AA28" i="84"/>
  <c r="F28" i="84"/>
  <c r="C28" i="84"/>
  <c r="BP28" i="84" s="1"/>
  <c r="B28" i="84"/>
  <c r="GF36" i="84" l="1"/>
  <c r="GB19" i="165"/>
  <c r="GE19" i="165"/>
  <c r="GD19" i="165"/>
  <c r="GA19" i="165"/>
  <c r="GC19" i="165"/>
  <c r="GF42" i="84"/>
  <c r="GE21" i="165"/>
  <c r="GB21" i="165"/>
  <c r="GC21" i="165"/>
  <c r="GA21" i="165"/>
  <c r="GD21" i="165"/>
  <c r="GE29" i="165"/>
  <c r="GB29" i="165"/>
  <c r="GA29" i="165"/>
  <c r="GC29" i="165"/>
  <c r="GD29" i="165"/>
  <c r="GE37" i="165"/>
  <c r="GB37" i="165"/>
  <c r="GC37" i="165"/>
  <c r="GA37" i="165"/>
  <c r="GD37" i="165"/>
  <c r="GF39" i="84"/>
  <c r="GD16" i="165"/>
  <c r="GE16" i="165"/>
  <c r="GC16" i="165"/>
  <c r="GA16" i="165"/>
  <c r="GB16" i="165"/>
  <c r="GD32" i="165"/>
  <c r="GE32" i="165"/>
  <c r="GA32" i="165"/>
  <c r="GB32" i="165"/>
  <c r="GC32" i="165"/>
  <c r="GD40" i="165"/>
  <c r="GE40" i="165"/>
  <c r="GC40" i="165"/>
  <c r="GA40" i="165"/>
  <c r="GB40" i="165"/>
  <c r="GF41" i="84"/>
  <c r="GE30" i="165"/>
  <c r="GD30" i="165"/>
  <c r="GB30" i="165"/>
  <c r="GA30" i="165"/>
  <c r="GC30" i="165"/>
  <c r="GE38" i="165"/>
  <c r="GD38" i="165"/>
  <c r="GB38" i="165"/>
  <c r="GA38" i="165"/>
  <c r="GC38" i="165"/>
  <c r="GF44" i="84"/>
  <c r="GF38" i="84"/>
  <c r="GE17" i="165"/>
  <c r="GD17" i="165"/>
  <c r="GA17" i="165"/>
  <c r="GB17" i="165"/>
  <c r="GC17" i="165"/>
  <c r="GE25" i="165"/>
  <c r="GA25" i="165"/>
  <c r="GB25" i="165"/>
  <c r="GD25" i="165"/>
  <c r="GC25" i="165"/>
  <c r="GE33" i="165"/>
  <c r="GB33" i="165"/>
  <c r="GA33" i="165"/>
  <c r="GC33" i="165"/>
  <c r="GD33" i="165"/>
  <c r="GE41" i="165"/>
  <c r="GA41" i="165"/>
  <c r="GD41" i="165"/>
  <c r="GB41" i="165"/>
  <c r="GC41" i="165"/>
  <c r="GA43" i="165"/>
  <c r="GE43" i="165"/>
  <c r="GD43" i="165"/>
  <c r="GB43" i="165"/>
  <c r="GC43" i="165"/>
  <c r="GF43" i="84"/>
  <c r="GD28" i="165"/>
  <c r="GE28" i="165"/>
  <c r="GA28" i="165"/>
  <c r="GB28" i="165"/>
  <c r="GC28" i="165"/>
  <c r="GD36" i="165"/>
  <c r="GE36" i="165"/>
  <c r="GA36" i="165"/>
  <c r="GB36" i="165"/>
  <c r="GC36" i="165"/>
  <c r="GC44" i="165"/>
  <c r="GE44" i="165"/>
  <c r="GD44" i="165"/>
  <c r="GA44" i="165"/>
  <c r="GB44" i="165"/>
  <c r="GA35" i="165"/>
  <c r="GE35" i="165"/>
  <c r="GD35" i="165"/>
  <c r="GB35" i="165"/>
  <c r="GC35" i="165"/>
  <c r="GF35" i="84"/>
  <c r="GF40" i="84"/>
  <c r="GA31" i="165"/>
  <c r="GE31" i="165"/>
  <c r="GD31" i="165"/>
  <c r="GB31" i="165"/>
  <c r="GC31" i="165"/>
  <c r="GA39" i="165"/>
  <c r="GE39" i="165"/>
  <c r="GD39" i="165"/>
  <c r="GB39" i="165"/>
  <c r="GC39" i="165"/>
  <c r="GA27" i="165"/>
  <c r="GE27" i="165"/>
  <c r="GD27" i="165"/>
  <c r="GB27" i="165"/>
  <c r="GC27" i="165"/>
  <c r="GF37" i="84"/>
  <c r="GE26" i="165"/>
  <c r="GD26" i="165"/>
  <c r="GB26" i="165"/>
  <c r="GA26" i="165"/>
  <c r="GC26" i="165"/>
  <c r="GE34" i="165"/>
  <c r="GD34" i="165"/>
  <c r="GB34" i="165"/>
  <c r="GA34" i="165"/>
  <c r="GC34" i="165"/>
  <c r="GE42" i="165"/>
  <c r="GD42" i="165"/>
  <c r="GB42" i="165"/>
  <c r="GA42" i="165"/>
  <c r="GC42" i="165"/>
  <c r="GA20" i="165"/>
  <c r="GB20" i="165"/>
  <c r="GB24" i="165"/>
  <c r="GA24" i="165"/>
  <c r="GA23" i="165"/>
  <c r="GB23" i="165"/>
  <c r="GB22" i="165"/>
  <c r="GA22" i="165"/>
  <c r="GB18" i="165"/>
  <c r="GA18" i="165"/>
  <c r="GB24" i="147"/>
  <c r="GA24" i="147"/>
  <c r="AX24" i="147"/>
  <c r="AX25" i="147" s="1"/>
  <c r="AX26" i="147" s="1"/>
  <c r="AV27" i="147"/>
  <c r="AV25" i="147"/>
  <c r="AX29" i="165"/>
  <c r="AX37" i="165"/>
  <c r="BJ44" i="84"/>
  <c r="AX32" i="147"/>
  <c r="AX16" i="165"/>
  <c r="AX24" i="165"/>
  <c r="AX32" i="165"/>
  <c r="AX40" i="165"/>
  <c r="AX19" i="165"/>
  <c r="AX27" i="165"/>
  <c r="AX35" i="165"/>
  <c r="AX43" i="165"/>
  <c r="AX38" i="147"/>
  <c r="AX22" i="165"/>
  <c r="AX30" i="165"/>
  <c r="AX38" i="165"/>
  <c r="AX34" i="147"/>
  <c r="BJ39" i="84"/>
  <c r="AX37" i="147"/>
  <c r="AX17" i="165"/>
  <c r="AX25" i="165"/>
  <c r="AX33" i="165"/>
  <c r="AX41" i="165"/>
  <c r="BJ37" i="84"/>
  <c r="AX31" i="147"/>
  <c r="BJ42" i="84"/>
  <c r="BJ36" i="84"/>
  <c r="BJ41" i="84"/>
  <c r="AX35" i="147"/>
  <c r="BJ38" i="84"/>
  <c r="AX30" i="147"/>
  <c r="BJ35" i="84"/>
  <c r="BJ43" i="84"/>
  <c r="AX33" i="147"/>
  <c r="BJ40" i="84"/>
  <c r="AX36" i="147"/>
  <c r="AX20" i="165"/>
  <c r="AX21" i="165" s="1"/>
  <c r="AX28" i="165"/>
  <c r="AX36" i="165"/>
  <c r="AX44" i="165"/>
  <c r="AX39" i="147"/>
  <c r="AX23" i="165"/>
  <c r="AX31" i="165"/>
  <c r="AX39" i="165"/>
  <c r="AX18" i="165"/>
  <c r="AX26" i="165"/>
  <c r="AX34" i="165"/>
  <c r="AX42" i="165"/>
  <c r="AV23" i="165"/>
  <c r="AW23" i="165"/>
  <c r="AV31" i="165"/>
  <c r="AW31" i="165"/>
  <c r="AV39" i="165"/>
  <c r="AW39" i="165"/>
  <c r="AW26" i="165"/>
  <c r="AV26" i="165"/>
  <c r="AW34" i="165"/>
  <c r="AV34" i="165"/>
  <c r="AW42" i="165"/>
  <c r="AV42" i="165"/>
  <c r="AW21" i="165"/>
  <c r="AV21" i="165"/>
  <c r="AV29" i="165"/>
  <c r="AW29" i="165"/>
  <c r="AV43" i="165"/>
  <c r="AW43" i="165"/>
  <c r="AW22" i="165"/>
  <c r="AV22" i="165"/>
  <c r="AW30" i="165"/>
  <c r="AV30" i="165"/>
  <c r="AW38" i="165"/>
  <c r="AV38" i="165"/>
  <c r="AV16" i="165"/>
  <c r="AW16" i="165"/>
  <c r="AW32" i="165"/>
  <c r="AV32" i="165"/>
  <c r="AW40" i="165"/>
  <c r="AV40" i="165"/>
  <c r="AV27" i="165"/>
  <c r="AW27" i="165"/>
  <c r="AV35" i="165"/>
  <c r="AW35" i="165"/>
  <c r="AW25" i="165"/>
  <c r="AV25" i="165"/>
  <c r="AW33" i="165"/>
  <c r="AV33" i="165"/>
  <c r="AW41" i="165"/>
  <c r="AV41" i="165"/>
  <c r="AV37" i="165"/>
  <c r="AW37" i="165"/>
  <c r="AW24" i="165"/>
  <c r="AV24" i="165"/>
  <c r="AW20" i="165"/>
  <c r="AV20" i="165"/>
  <c r="AW28" i="165"/>
  <c r="AV28" i="165"/>
  <c r="AW36" i="165"/>
  <c r="AV36" i="165"/>
  <c r="AW44" i="165"/>
  <c r="AV44" i="165"/>
  <c r="AW19" i="165"/>
  <c r="AV19" i="165"/>
  <c r="AV18" i="165"/>
  <c r="AW18" i="165"/>
  <c r="AV17" i="165"/>
  <c r="AW17" i="165"/>
  <c r="FC29" i="165"/>
  <c r="FC28" i="165"/>
  <c r="FC27" i="165"/>
  <c r="FC26" i="165"/>
  <c r="FC25" i="165"/>
  <c r="FC24" i="165"/>
  <c r="FC21" i="165"/>
  <c r="FC19" i="165"/>
  <c r="FC17" i="165"/>
  <c r="FC16" i="165"/>
  <c r="GE38" i="84" l="1"/>
  <c r="GD38" i="84"/>
  <c r="GB38" i="84"/>
  <c r="GC38" i="84"/>
  <c r="GA38" i="84"/>
  <c r="GE42" i="84"/>
  <c r="GD42" i="84"/>
  <c r="GB42" i="84"/>
  <c r="GC42" i="84"/>
  <c r="GA42" i="84"/>
  <c r="GE37" i="84"/>
  <c r="GB37" i="84"/>
  <c r="GC37" i="84"/>
  <c r="GD37" i="84"/>
  <c r="GA37" i="84"/>
  <c r="GD40" i="84"/>
  <c r="GC40" i="84"/>
  <c r="GA40" i="84"/>
  <c r="GE40" i="84"/>
  <c r="GB40" i="84"/>
  <c r="GA43" i="84"/>
  <c r="GD43" i="84"/>
  <c r="GE43" i="84"/>
  <c r="GB43" i="84"/>
  <c r="GC43" i="84"/>
  <c r="GE41" i="84"/>
  <c r="GB41" i="84"/>
  <c r="GA41" i="84"/>
  <c r="GC41" i="84"/>
  <c r="GD41" i="84"/>
  <c r="GC44" i="84"/>
  <c r="GD44" i="84"/>
  <c r="GE44" i="84"/>
  <c r="GA44" i="84"/>
  <c r="GB44" i="84"/>
  <c r="GA35" i="84"/>
  <c r="GD35" i="84"/>
  <c r="GC35" i="84"/>
  <c r="GB35" i="84"/>
  <c r="GE35" i="84"/>
  <c r="GB39" i="84"/>
  <c r="GD39" i="84"/>
  <c r="GE39" i="84"/>
  <c r="GA39" i="84"/>
  <c r="GC39" i="84"/>
  <c r="GC36" i="84"/>
  <c r="GA36" i="84"/>
  <c r="GE36" i="84"/>
  <c r="GB36" i="84"/>
  <c r="GD36" i="84"/>
  <c r="BG45" i="160"/>
  <c r="BF45" i="160"/>
  <c r="AO45" i="160"/>
  <c r="AN45" i="160"/>
  <c r="AM45" i="160"/>
  <c r="AL45" i="160"/>
  <c r="AK45" i="160"/>
  <c r="AC45" i="160"/>
  <c r="AB45" i="160"/>
  <c r="BG44" i="160"/>
  <c r="BF44" i="160"/>
  <c r="AO44" i="160"/>
  <c r="AN44" i="160"/>
  <c r="AM44" i="160"/>
  <c r="AL44" i="160"/>
  <c r="AK44" i="160"/>
  <c r="AC44" i="160"/>
  <c r="AB44" i="160"/>
  <c r="BG43" i="160"/>
  <c r="BF43" i="160"/>
  <c r="AO43" i="160"/>
  <c r="AN43" i="160"/>
  <c r="AM43" i="160"/>
  <c r="AL43" i="160"/>
  <c r="AK43" i="160"/>
  <c r="AC43" i="160"/>
  <c r="AB43" i="160"/>
  <c r="BG42" i="160"/>
  <c r="BF42" i="160"/>
  <c r="AO42" i="160"/>
  <c r="AN42" i="160"/>
  <c r="AM42" i="160"/>
  <c r="AL42" i="160"/>
  <c r="AK42" i="160"/>
  <c r="AC42" i="160"/>
  <c r="AB42" i="160"/>
  <c r="BG41" i="160"/>
  <c r="BF41" i="160"/>
  <c r="AO41" i="160"/>
  <c r="AN41" i="160"/>
  <c r="AM41" i="160"/>
  <c r="AL41" i="160"/>
  <c r="AK41" i="160"/>
  <c r="AC41" i="160"/>
  <c r="AB41" i="160"/>
  <c r="BG40" i="160"/>
  <c r="BF40" i="160"/>
  <c r="AO40" i="160"/>
  <c r="AN40" i="160"/>
  <c r="AM40" i="160"/>
  <c r="AL40" i="160"/>
  <c r="AK40" i="160"/>
  <c r="AC40" i="160"/>
  <c r="AB40" i="160"/>
  <c r="BG39" i="160"/>
  <c r="BF39" i="160"/>
  <c r="AO39" i="160"/>
  <c r="AN39" i="160"/>
  <c r="AM39" i="160"/>
  <c r="AL39" i="160"/>
  <c r="AK39" i="160"/>
  <c r="AC39" i="160"/>
  <c r="AB39" i="160"/>
  <c r="BG38" i="160"/>
  <c r="BF38" i="160"/>
  <c r="AO38" i="160"/>
  <c r="AN38" i="160"/>
  <c r="AM38" i="160"/>
  <c r="AL38" i="160"/>
  <c r="AK38" i="160"/>
  <c r="AC38" i="160"/>
  <c r="AB38" i="160"/>
  <c r="BG37" i="160"/>
  <c r="BF37" i="160"/>
  <c r="AO37" i="160"/>
  <c r="AN37" i="160"/>
  <c r="AM37" i="160"/>
  <c r="AL37" i="160"/>
  <c r="AK37" i="160"/>
  <c r="AC37" i="160"/>
  <c r="AB37" i="160"/>
  <c r="BG36" i="160"/>
  <c r="BF36" i="160"/>
  <c r="AO36" i="160"/>
  <c r="AN36" i="160"/>
  <c r="AM36" i="160"/>
  <c r="AL36" i="160"/>
  <c r="AK36" i="160"/>
  <c r="AC36" i="160"/>
  <c r="AB36" i="160"/>
  <c r="BG35" i="160"/>
  <c r="BF35" i="160"/>
  <c r="AO35" i="160"/>
  <c r="AN35" i="160"/>
  <c r="AM35" i="160"/>
  <c r="AL35" i="160"/>
  <c r="AK35" i="160"/>
  <c r="AC35" i="160"/>
  <c r="AB35" i="160"/>
  <c r="BG34" i="160"/>
  <c r="BF34" i="160"/>
  <c r="AO34" i="160"/>
  <c r="AN34" i="160"/>
  <c r="AM34" i="160"/>
  <c r="AL34" i="160"/>
  <c r="AK34" i="160"/>
  <c r="AC34" i="160"/>
  <c r="AB34" i="160"/>
  <c r="BG33" i="160"/>
  <c r="BF33" i="160"/>
  <c r="AO33" i="160"/>
  <c r="AN33" i="160"/>
  <c r="AM33" i="160"/>
  <c r="AL33" i="160"/>
  <c r="AK33" i="160"/>
  <c r="AC33" i="160"/>
  <c r="AB33" i="160"/>
  <c r="BG32" i="160"/>
  <c r="BF32" i="160"/>
  <c r="AO32" i="160"/>
  <c r="AN32" i="160"/>
  <c r="AM32" i="160"/>
  <c r="AL32" i="160"/>
  <c r="AK32" i="160"/>
  <c r="AC32" i="160"/>
  <c r="AB32" i="160"/>
  <c r="BG31" i="160"/>
  <c r="BF31" i="160"/>
  <c r="AO31" i="160"/>
  <c r="AN31" i="160"/>
  <c r="AM31" i="160"/>
  <c r="AL31" i="160"/>
  <c r="AK31" i="160"/>
  <c r="AC31" i="160"/>
  <c r="AB31" i="160"/>
  <c r="BG30" i="160"/>
  <c r="BF30" i="160"/>
  <c r="AO30" i="160"/>
  <c r="AN30" i="160"/>
  <c r="AM30" i="160"/>
  <c r="AL30" i="160"/>
  <c r="AK30" i="160"/>
  <c r="AC30" i="160"/>
  <c r="AB30" i="160"/>
  <c r="BG29" i="160"/>
  <c r="BF29" i="160"/>
  <c r="AO29" i="160"/>
  <c r="AN29" i="160"/>
  <c r="AM29" i="160"/>
  <c r="AL29" i="160"/>
  <c r="AK29" i="160"/>
  <c r="AC29" i="160"/>
  <c r="AB29" i="160"/>
  <c r="BG28" i="160"/>
  <c r="BF28" i="160"/>
  <c r="AO28" i="160"/>
  <c r="AN28" i="160"/>
  <c r="AM28" i="160"/>
  <c r="AL28" i="160"/>
  <c r="AK28" i="160"/>
  <c r="AC28" i="160"/>
  <c r="AB28" i="160"/>
  <c r="BG27" i="160"/>
  <c r="BF27" i="160"/>
  <c r="AO27" i="160"/>
  <c r="AN27" i="160"/>
  <c r="AM27" i="160"/>
  <c r="AL27" i="160"/>
  <c r="AK27" i="160"/>
  <c r="AC27" i="160"/>
  <c r="AB27" i="160"/>
  <c r="BG26" i="160"/>
  <c r="BF26" i="160"/>
  <c r="AO26" i="160"/>
  <c r="AN26" i="160"/>
  <c r="AM26" i="160"/>
  <c r="AL26" i="160"/>
  <c r="AK26" i="160"/>
  <c r="AC26" i="160"/>
  <c r="AB26" i="160"/>
  <c r="BG25" i="160"/>
  <c r="BF25" i="160"/>
  <c r="AO25" i="160"/>
  <c r="AN25" i="160"/>
  <c r="AM25" i="160"/>
  <c r="AL25" i="160"/>
  <c r="AK25" i="160"/>
  <c r="AC25" i="160"/>
  <c r="AB25" i="160"/>
  <c r="BG24" i="160"/>
  <c r="BF24" i="160"/>
  <c r="AO24" i="160"/>
  <c r="AN24" i="160"/>
  <c r="AM24" i="160"/>
  <c r="AL24" i="160"/>
  <c r="AK24" i="160"/>
  <c r="AC24" i="160"/>
  <c r="AB24" i="160"/>
  <c r="BG23" i="160"/>
  <c r="BF23" i="160"/>
  <c r="AO23" i="160"/>
  <c r="AN23" i="160"/>
  <c r="AM23" i="160"/>
  <c r="AL23" i="160"/>
  <c r="AK23" i="160"/>
  <c r="AC23" i="160"/>
  <c r="AB23" i="160"/>
  <c r="BG22" i="160"/>
  <c r="BF22" i="160"/>
  <c r="AO22" i="160"/>
  <c r="AN22" i="160"/>
  <c r="AM22" i="160"/>
  <c r="AL22" i="160"/>
  <c r="AK22" i="160"/>
  <c r="AC22" i="160"/>
  <c r="AB22" i="160"/>
  <c r="BG21" i="160"/>
  <c r="BF21" i="160"/>
  <c r="AO21" i="160"/>
  <c r="AN21" i="160"/>
  <c r="AM21" i="160"/>
  <c r="AL21" i="160"/>
  <c r="AK21" i="160"/>
  <c r="AC21" i="160"/>
  <c r="AB21" i="160"/>
  <c r="BG20" i="160"/>
  <c r="BF20" i="160"/>
  <c r="AO20" i="160"/>
  <c r="AN20" i="160"/>
  <c r="AM20" i="160"/>
  <c r="AL20" i="160"/>
  <c r="AK20" i="160"/>
  <c r="AC20" i="160"/>
  <c r="AB20" i="160"/>
  <c r="BG19" i="160"/>
  <c r="BF19" i="160"/>
  <c r="AO19" i="160"/>
  <c r="AN19" i="160"/>
  <c r="AM19" i="160"/>
  <c r="AL19" i="160"/>
  <c r="AK19" i="160"/>
  <c r="AC19" i="160"/>
  <c r="AB19" i="160"/>
  <c r="BG18" i="160"/>
  <c r="BF18" i="160"/>
  <c r="AO18" i="160"/>
  <c r="AN18" i="160"/>
  <c r="AM18" i="160"/>
  <c r="AL18" i="160"/>
  <c r="AK18" i="160"/>
  <c r="AC18" i="160"/>
  <c r="AB18" i="160"/>
  <c r="BG17" i="160"/>
  <c r="BF17" i="160"/>
  <c r="AO17" i="160"/>
  <c r="AN17" i="160"/>
  <c r="AM17" i="160"/>
  <c r="AL17" i="160"/>
  <c r="AK17" i="160"/>
  <c r="AC17" i="160"/>
  <c r="AB17" i="160"/>
  <c r="BG16" i="160"/>
  <c r="BF16" i="160"/>
  <c r="AO16" i="160"/>
  <c r="AN16" i="160"/>
  <c r="AM16" i="160"/>
  <c r="AL16" i="160"/>
  <c r="AK16" i="160"/>
  <c r="AC16" i="160"/>
  <c r="AB16" i="160"/>
  <c r="BG15" i="160"/>
  <c r="BF15" i="160"/>
  <c r="AO15" i="160"/>
  <c r="AN15" i="160"/>
  <c r="AM15" i="160"/>
  <c r="AL15" i="160"/>
  <c r="AK15" i="160"/>
  <c r="AC15" i="160"/>
  <c r="AB15" i="160"/>
  <c r="BG14" i="160"/>
  <c r="BF14" i="160"/>
  <c r="AO14" i="160"/>
  <c r="AN14" i="160"/>
  <c r="AM14" i="160"/>
  <c r="AL14" i="160"/>
  <c r="AK14" i="160"/>
  <c r="AC14" i="160"/>
  <c r="AB14" i="160"/>
  <c r="FO22" i="160" l="1"/>
  <c r="FO28" i="160"/>
  <c r="FO29" i="160"/>
  <c r="FO25" i="160"/>
  <c r="FO16" i="160"/>
  <c r="FO18" i="160"/>
  <c r="FO24" i="160"/>
  <c r="FO20" i="160"/>
  <c r="FO26" i="160"/>
  <c r="FO23" i="160"/>
  <c r="FO19" i="160"/>
  <c r="FO27" i="160"/>
  <c r="FO30" i="160"/>
  <c r="FO21" i="160"/>
  <c r="FO17" i="160"/>
  <c r="EZ45" i="160"/>
  <c r="EZ44" i="160"/>
  <c r="EZ43" i="160"/>
  <c r="EZ42" i="160"/>
  <c r="EZ41" i="160"/>
  <c r="EZ40" i="160"/>
  <c r="EZ39" i="160"/>
  <c r="EZ38" i="160"/>
  <c r="EZ37" i="160"/>
  <c r="EZ36" i="160"/>
  <c r="EZ35" i="160"/>
  <c r="EZ34" i="160"/>
  <c r="EZ33" i="160"/>
  <c r="EZ32" i="160"/>
  <c r="EZ31" i="160"/>
  <c r="EZ15" i="160"/>
  <c r="EZ14" i="160"/>
  <c r="EX85" i="160"/>
  <c r="EX84" i="160"/>
  <c r="EX83" i="160"/>
  <c r="EX82" i="160"/>
  <c r="EX81" i="160"/>
  <c r="EX80" i="160"/>
  <c r="EX79" i="160"/>
  <c r="EX78" i="160"/>
  <c r="EX77" i="160"/>
  <c r="EX76" i="160"/>
  <c r="EX75" i="160"/>
  <c r="EX74" i="160"/>
  <c r="EX73" i="160"/>
  <c r="EX72" i="160"/>
  <c r="EX71" i="160"/>
  <c r="EX70" i="160"/>
  <c r="EX69" i="160"/>
  <c r="EX68" i="160"/>
  <c r="EX67" i="160"/>
  <c r="EX66" i="160"/>
  <c r="EX65" i="160"/>
  <c r="EX64" i="160"/>
  <c r="EX63" i="160"/>
  <c r="EX61" i="160"/>
  <c r="EX60" i="160"/>
  <c r="EX57" i="160"/>
  <c r="EX85" i="84"/>
  <c r="EX84" i="84"/>
  <c r="EX83" i="84"/>
  <c r="EX82" i="84"/>
  <c r="EX81" i="84"/>
  <c r="EX80" i="84"/>
  <c r="EX79" i="84"/>
  <c r="EX78" i="84"/>
  <c r="EX77" i="84"/>
  <c r="EX76" i="84"/>
  <c r="EX74" i="84"/>
  <c r="EX73" i="84"/>
  <c r="CV23" i="147" l="1"/>
  <c r="CV27" i="147"/>
  <c r="DF23" i="147"/>
  <c r="CV25" i="147"/>
  <c r="DF25" i="147"/>
  <c r="DF27" i="147"/>
  <c r="CV26" i="147"/>
  <c r="DF26" i="147"/>
  <c r="CV30" i="147"/>
  <c r="DF30" i="147"/>
  <c r="CV29" i="147"/>
  <c r="DF29" i="147"/>
  <c r="CV28" i="147"/>
  <c r="DF28" i="147"/>
  <c r="CV24" i="147"/>
  <c r="DF24" i="147"/>
  <c r="EY45" i="160"/>
  <c r="EY44" i="160"/>
  <c r="EY43" i="160"/>
  <c r="EY42" i="160"/>
  <c r="EY41" i="160"/>
  <c r="EY40" i="160"/>
  <c r="EY39" i="160"/>
  <c r="EY38" i="160"/>
  <c r="EY37" i="160"/>
  <c r="EY36" i="160"/>
  <c r="EY35" i="160"/>
  <c r="EY34" i="160"/>
  <c r="EY33" i="160"/>
  <c r="EY32" i="160"/>
  <c r="EY31" i="160"/>
  <c r="EY15" i="160"/>
  <c r="EY14" i="160"/>
  <c r="DW26" i="147" l="1"/>
  <c r="FO26" i="147" s="1"/>
  <c r="FQ27" i="147"/>
  <c r="FR26" i="147"/>
  <c r="FR27" i="147"/>
  <c r="FR25" i="147"/>
  <c r="EC28" i="147"/>
  <c r="FP28" i="147" s="1"/>
  <c r="EB28" i="147"/>
  <c r="EA28" i="147"/>
  <c r="ED28" i="147"/>
  <c r="FR28" i="147"/>
  <c r="GD24" i="147"/>
  <c r="GC24" i="147"/>
  <c r="ED29" i="147"/>
  <c r="EC29" i="147"/>
  <c r="FP29" i="147" s="1"/>
  <c r="EB29" i="147"/>
  <c r="EA29" i="147"/>
  <c r="FR29" i="147"/>
  <c r="GD26" i="147"/>
  <c r="EA26" i="147"/>
  <c r="EB26" i="147" s="1"/>
  <c r="EC26" i="147" s="1"/>
  <c r="FP26" i="147" s="1"/>
  <c r="DX29" i="147"/>
  <c r="DW29" i="147"/>
  <c r="FO29" i="147" s="1"/>
  <c r="FQ29" i="147"/>
  <c r="EB23" i="147"/>
  <c r="EA23" i="147"/>
  <c r="ED23" i="147"/>
  <c r="EC23" i="147"/>
  <c r="FP23" i="147" s="1"/>
  <c r="DX28" i="147"/>
  <c r="DW28" i="147"/>
  <c r="FO28" i="147" s="1"/>
  <c r="FQ28" i="147"/>
  <c r="EC30" i="147"/>
  <c r="FP30" i="147" s="1"/>
  <c r="EB30" i="147"/>
  <c r="EA30" i="147"/>
  <c r="ED30" i="147"/>
  <c r="FR30" i="147"/>
  <c r="DX30" i="147"/>
  <c r="DW30" i="147"/>
  <c r="FO30" i="147" s="1"/>
  <c r="FQ30" i="147"/>
  <c r="DX23" i="147"/>
  <c r="DW23" i="147"/>
  <c r="FO23" i="147" s="1"/>
  <c r="FQ23" i="147"/>
  <c r="EA27" i="147"/>
  <c r="GD27" i="147"/>
  <c r="GC27" i="147"/>
  <c r="GD25" i="147"/>
  <c r="GC26" i="147"/>
  <c r="GC25" i="147"/>
  <c r="GD23" i="147"/>
  <c r="GC23" i="147"/>
  <c r="EA25" i="147"/>
  <c r="FN26" i="147"/>
  <c r="DP26" i="147" s="1"/>
  <c r="D26" i="147" s="1"/>
  <c r="E26" i="147" s="1"/>
  <c r="FV29" i="147"/>
  <c r="FN25" i="147"/>
  <c r="DP25" i="147" s="1"/>
  <c r="DU28" i="147"/>
  <c r="DV28" i="147" s="1"/>
  <c r="FU28" i="147" s="1"/>
  <c r="DP28" i="147"/>
  <c r="FN28" i="147"/>
  <c r="FN29" i="147"/>
  <c r="DP29" i="147" s="1"/>
  <c r="DU29" i="147"/>
  <c r="DV29" i="147" s="1"/>
  <c r="FU29" i="147" s="1"/>
  <c r="FV30" i="147"/>
  <c r="DU27" i="147"/>
  <c r="FN27" i="147"/>
  <c r="DP27" i="147" s="1"/>
  <c r="DU30" i="147"/>
  <c r="DV30" i="147" s="1"/>
  <c r="FN30" i="147"/>
  <c r="DP30" i="147"/>
  <c r="DU23" i="147"/>
  <c r="FN23" i="147"/>
  <c r="DP23" i="147" s="1"/>
  <c r="FN24" i="147"/>
  <c r="DP24" i="147" s="1"/>
  <c r="CO85" i="160"/>
  <c r="CN85" i="160"/>
  <c r="CM85" i="160"/>
  <c r="CO84" i="160"/>
  <c r="CN84" i="160"/>
  <c r="CM84" i="160"/>
  <c r="CO83" i="160"/>
  <c r="CN83" i="160"/>
  <c r="CM83" i="160"/>
  <c r="CO82" i="160"/>
  <c r="CN82" i="160"/>
  <c r="CM82" i="160"/>
  <c r="CO81" i="160"/>
  <c r="CN81" i="160"/>
  <c r="CM81" i="160"/>
  <c r="CO80" i="160"/>
  <c r="CN80" i="160"/>
  <c r="CM80" i="160"/>
  <c r="CO79" i="160"/>
  <c r="CN79" i="160"/>
  <c r="CM79" i="160"/>
  <c r="CO78" i="160"/>
  <c r="CN78" i="160"/>
  <c r="CM78" i="160"/>
  <c r="CO77" i="160"/>
  <c r="CN77" i="160"/>
  <c r="CM77" i="160"/>
  <c r="CO76" i="160"/>
  <c r="CN76" i="160"/>
  <c r="CM76" i="160"/>
  <c r="CO75" i="160"/>
  <c r="CN75" i="160"/>
  <c r="CM75" i="160"/>
  <c r="CO74" i="160"/>
  <c r="CN74" i="160"/>
  <c r="CM74" i="160"/>
  <c r="CO73" i="160"/>
  <c r="CN73" i="160"/>
  <c r="CM73" i="160"/>
  <c r="CO72" i="160"/>
  <c r="CN72" i="160"/>
  <c r="CM72" i="160"/>
  <c r="CO71" i="160"/>
  <c r="CN71" i="160"/>
  <c r="CM71" i="160"/>
  <c r="CO70" i="160"/>
  <c r="CN70" i="160"/>
  <c r="CM70" i="160"/>
  <c r="CO69" i="160"/>
  <c r="CN69" i="160"/>
  <c r="CM69" i="160"/>
  <c r="CO68" i="160"/>
  <c r="CN68" i="160"/>
  <c r="CM68" i="160"/>
  <c r="CO67" i="160"/>
  <c r="CN67" i="160"/>
  <c r="CM67" i="160"/>
  <c r="CO66" i="160"/>
  <c r="CN66" i="160"/>
  <c r="CM66" i="160"/>
  <c r="CO65" i="160"/>
  <c r="CN65" i="160"/>
  <c r="CM65" i="160"/>
  <c r="CO64" i="160"/>
  <c r="CN64" i="160"/>
  <c r="CM64" i="160"/>
  <c r="CO63" i="160"/>
  <c r="CN63" i="160"/>
  <c r="CM63" i="160"/>
  <c r="CO62" i="160"/>
  <c r="CN62" i="160"/>
  <c r="CM62" i="160"/>
  <c r="CO61" i="160"/>
  <c r="CN61" i="160"/>
  <c r="CM61" i="160"/>
  <c r="CO60" i="160"/>
  <c r="CN60" i="160"/>
  <c r="CM60" i="160"/>
  <c r="DH60" i="160" s="1"/>
  <c r="CO59" i="160"/>
  <c r="CN59" i="160"/>
  <c r="CM59" i="160"/>
  <c r="CO58" i="160"/>
  <c r="CN58" i="160"/>
  <c r="CM58" i="160"/>
  <c r="CO57" i="160"/>
  <c r="CN57" i="160"/>
  <c r="CM57" i="160"/>
  <c r="CO56" i="160"/>
  <c r="CN56" i="160"/>
  <c r="CM56" i="160"/>
  <c r="CO55" i="160"/>
  <c r="CN55" i="160"/>
  <c r="CM55" i="160"/>
  <c r="CO54" i="160"/>
  <c r="CN54" i="160"/>
  <c r="CM54" i="160"/>
  <c r="CF85" i="160"/>
  <c r="CE85" i="160"/>
  <c r="CD85" i="160"/>
  <c r="CF84" i="160"/>
  <c r="CE84" i="160"/>
  <c r="CD84" i="160"/>
  <c r="CF83" i="160"/>
  <c r="CE83" i="160"/>
  <c r="CD83" i="160"/>
  <c r="CF82" i="160"/>
  <c r="CE82" i="160"/>
  <c r="CD82" i="160"/>
  <c r="CF81" i="160"/>
  <c r="CE81" i="160"/>
  <c r="CD81" i="160"/>
  <c r="CF80" i="160"/>
  <c r="CE80" i="160"/>
  <c r="CD80" i="160"/>
  <c r="CF79" i="160"/>
  <c r="CE79" i="160"/>
  <c r="CD79" i="160"/>
  <c r="CF78" i="160"/>
  <c r="CE78" i="160"/>
  <c r="CD78" i="160"/>
  <c r="CF77" i="160"/>
  <c r="CE77" i="160"/>
  <c r="CD77" i="160"/>
  <c r="CF76" i="160"/>
  <c r="CE76" i="160"/>
  <c r="CD76" i="160"/>
  <c r="CF75" i="160"/>
  <c r="CE75" i="160"/>
  <c r="CD75" i="160"/>
  <c r="CF74" i="160"/>
  <c r="CE74" i="160"/>
  <c r="CD74" i="160"/>
  <c r="CF73" i="160"/>
  <c r="CE73" i="160"/>
  <c r="CD73" i="160"/>
  <c r="CF72" i="160"/>
  <c r="CE72" i="160"/>
  <c r="CD72" i="160"/>
  <c r="CF71" i="160"/>
  <c r="CE71" i="160"/>
  <c r="CD71" i="160"/>
  <c r="CF70" i="160"/>
  <c r="CE70" i="160"/>
  <c r="CD70" i="160"/>
  <c r="CF69" i="160"/>
  <c r="CE69" i="160"/>
  <c r="CD69" i="160"/>
  <c r="CF68" i="160"/>
  <c r="CE68" i="160"/>
  <c r="CD68" i="160"/>
  <c r="CF67" i="160"/>
  <c r="CE67" i="160"/>
  <c r="CD67" i="160"/>
  <c r="CF66" i="160"/>
  <c r="CE66" i="160"/>
  <c r="CD66" i="160"/>
  <c r="CF65" i="160"/>
  <c r="CE65" i="160"/>
  <c r="CD65" i="160"/>
  <c r="CF64" i="160"/>
  <c r="CE64" i="160"/>
  <c r="CD64" i="160"/>
  <c r="CF63" i="160"/>
  <c r="CE63" i="160"/>
  <c r="CD63" i="160"/>
  <c r="CF62" i="160"/>
  <c r="CE62" i="160"/>
  <c r="CD62" i="160"/>
  <c r="CF61" i="160"/>
  <c r="CE61" i="160"/>
  <c r="CD61" i="160"/>
  <c r="CF60" i="160"/>
  <c r="CE60" i="160"/>
  <c r="CD60" i="160"/>
  <c r="DB60" i="160" s="1"/>
  <c r="CF59" i="160"/>
  <c r="CE59" i="160"/>
  <c r="CD59" i="160"/>
  <c r="CF58" i="160"/>
  <c r="CE58" i="160"/>
  <c r="CD58" i="160"/>
  <c r="CF57" i="160"/>
  <c r="CE57" i="160"/>
  <c r="CD57" i="160"/>
  <c r="CF56" i="160"/>
  <c r="CE56" i="160"/>
  <c r="CD56" i="160"/>
  <c r="CF55" i="160"/>
  <c r="CE55" i="160"/>
  <c r="CD55" i="160"/>
  <c r="CF54" i="160"/>
  <c r="CE54" i="160"/>
  <c r="CD54" i="160"/>
  <c r="CO85" i="84"/>
  <c r="CO84" i="84"/>
  <c r="CO83" i="84"/>
  <c r="CO82" i="84"/>
  <c r="CO81" i="84"/>
  <c r="CO80" i="84"/>
  <c r="CO79" i="84"/>
  <c r="CO78" i="84"/>
  <c r="CO77" i="84"/>
  <c r="CO76" i="84"/>
  <c r="CO75" i="84"/>
  <c r="CO74" i="84"/>
  <c r="CO73" i="84"/>
  <c r="CO72" i="84"/>
  <c r="CO71" i="84"/>
  <c r="CO70" i="84"/>
  <c r="CO69" i="84"/>
  <c r="CO68" i="84"/>
  <c r="CF85" i="84"/>
  <c r="CF84" i="84"/>
  <c r="CF83" i="84"/>
  <c r="CF82" i="84"/>
  <c r="CF81" i="84"/>
  <c r="CF80" i="84"/>
  <c r="CF79" i="84"/>
  <c r="CF78" i="84"/>
  <c r="CF77" i="84"/>
  <c r="CF76" i="84"/>
  <c r="CF75" i="84"/>
  <c r="CF74" i="84"/>
  <c r="CF73" i="84"/>
  <c r="CF72" i="84"/>
  <c r="CF71" i="84"/>
  <c r="CF70" i="84"/>
  <c r="CF69" i="84"/>
  <c r="CF68" i="84"/>
  <c r="CM85" i="84"/>
  <c r="CM84" i="84"/>
  <c r="CM83" i="84"/>
  <c r="CM82" i="84"/>
  <c r="CM81" i="84"/>
  <c r="CM80" i="84"/>
  <c r="CM79" i="84"/>
  <c r="CM78" i="84"/>
  <c r="CM77" i="84"/>
  <c r="CM76" i="84"/>
  <c r="CM75" i="84"/>
  <c r="CM74" i="84"/>
  <c r="CM73" i="84"/>
  <c r="CM72" i="84"/>
  <c r="CM71" i="84"/>
  <c r="CM70" i="84"/>
  <c r="CM69" i="84"/>
  <c r="CM68" i="84"/>
  <c r="CD85" i="84"/>
  <c r="CD84" i="84"/>
  <c r="CD83" i="84"/>
  <c r="CD82" i="84"/>
  <c r="CD81" i="84"/>
  <c r="CD80" i="84"/>
  <c r="CD79" i="84"/>
  <c r="CD78" i="84"/>
  <c r="CD77" i="84"/>
  <c r="CD76" i="84"/>
  <c r="CD75" i="84"/>
  <c r="CD74" i="84"/>
  <c r="CD73" i="84"/>
  <c r="CD72" i="84"/>
  <c r="CD71" i="84"/>
  <c r="CD70" i="84"/>
  <c r="CD69" i="84"/>
  <c r="CD68" i="84"/>
  <c r="D24" i="147" l="1"/>
  <c r="E24" i="147" s="1"/>
  <c r="DX26" i="147"/>
  <c r="D23" i="147"/>
  <c r="E23" i="147"/>
  <c r="ED26" i="147"/>
  <c r="E29" i="147"/>
  <c r="D29" i="147"/>
  <c r="D30" i="147"/>
  <c r="E30" i="147"/>
  <c r="E28" i="147"/>
  <c r="D28" i="147"/>
  <c r="D27" i="147"/>
  <c r="E27" i="147" s="1"/>
  <c r="FV28" i="147"/>
  <c r="FU30" i="147"/>
  <c r="DC76" i="84"/>
  <c r="DB76" i="84"/>
  <c r="DC84" i="84"/>
  <c r="DB84" i="84"/>
  <c r="DI74" i="84"/>
  <c r="DH74" i="84"/>
  <c r="DI82" i="84"/>
  <c r="DH82" i="84"/>
  <c r="DC54" i="160"/>
  <c r="DB54" i="160"/>
  <c r="DC62" i="160"/>
  <c r="DB62" i="160"/>
  <c r="DC70" i="160"/>
  <c r="DB70" i="160"/>
  <c r="DC78" i="160"/>
  <c r="DB78" i="160"/>
  <c r="DI54" i="160"/>
  <c r="DH54" i="160"/>
  <c r="DI62" i="160"/>
  <c r="DH62" i="160"/>
  <c r="DI70" i="160"/>
  <c r="DH70" i="160"/>
  <c r="DI78" i="160"/>
  <c r="DH78" i="160"/>
  <c r="DC69" i="84"/>
  <c r="DB69" i="84"/>
  <c r="DC77" i="84"/>
  <c r="DB77" i="84"/>
  <c r="DC85" i="84"/>
  <c r="DB85" i="84"/>
  <c r="DI75" i="84"/>
  <c r="DH75" i="84"/>
  <c r="DI83" i="84"/>
  <c r="DH83" i="84"/>
  <c r="DC57" i="160"/>
  <c r="DB57" i="160"/>
  <c r="DC65" i="160"/>
  <c r="DB65" i="160"/>
  <c r="DC73" i="160"/>
  <c r="DB73" i="160"/>
  <c r="DC81" i="160"/>
  <c r="DB81" i="160"/>
  <c r="DI57" i="160"/>
  <c r="DH57" i="160"/>
  <c r="DI65" i="160"/>
  <c r="DH65" i="160"/>
  <c r="DI73" i="160"/>
  <c r="DH73" i="160"/>
  <c r="DI81" i="160"/>
  <c r="DH81" i="160"/>
  <c r="DC78" i="84"/>
  <c r="DB78" i="84"/>
  <c r="DI84" i="84"/>
  <c r="DH84" i="84"/>
  <c r="DC68" i="160"/>
  <c r="DB68" i="160"/>
  <c r="DC76" i="160"/>
  <c r="DB76" i="160"/>
  <c r="DI68" i="160"/>
  <c r="DH68" i="160"/>
  <c r="DI76" i="160"/>
  <c r="DH76" i="160"/>
  <c r="DI69" i="84"/>
  <c r="DH69" i="84"/>
  <c r="DC63" i="160"/>
  <c r="DB63" i="160"/>
  <c r="DC71" i="160"/>
  <c r="DB71" i="160"/>
  <c r="DI55" i="160"/>
  <c r="DH55" i="160"/>
  <c r="DI63" i="160"/>
  <c r="DH63" i="160"/>
  <c r="DI71" i="160"/>
  <c r="DH71" i="160"/>
  <c r="DI79" i="160"/>
  <c r="DH79" i="160"/>
  <c r="DC74" i="160"/>
  <c r="DB74" i="160"/>
  <c r="DC82" i="160"/>
  <c r="DB82" i="160"/>
  <c r="DI74" i="160"/>
  <c r="DH74" i="160"/>
  <c r="DC73" i="84"/>
  <c r="DB73" i="84"/>
  <c r="DC81" i="84"/>
  <c r="DB81" i="84"/>
  <c r="DI79" i="84"/>
  <c r="DH79" i="84"/>
  <c r="DC61" i="160"/>
  <c r="DB61" i="160"/>
  <c r="DC69" i="160"/>
  <c r="DB69" i="160"/>
  <c r="DC77" i="160"/>
  <c r="DB77" i="160"/>
  <c r="DC85" i="160"/>
  <c r="DB85" i="160"/>
  <c r="DI61" i="160"/>
  <c r="DH61" i="160"/>
  <c r="DI69" i="160"/>
  <c r="DH69" i="160"/>
  <c r="DI77" i="160"/>
  <c r="DH77" i="160"/>
  <c r="DI85" i="160"/>
  <c r="DH85" i="160"/>
  <c r="DI76" i="84"/>
  <c r="DH76" i="84"/>
  <c r="DC84" i="160"/>
  <c r="DB84" i="160"/>
  <c r="DI84" i="160"/>
  <c r="DH84" i="160"/>
  <c r="DC79" i="84"/>
  <c r="DB79" i="84"/>
  <c r="DI85" i="84"/>
  <c r="DH85" i="84"/>
  <c r="DC80" i="84"/>
  <c r="DB80" i="84"/>
  <c r="DI78" i="84"/>
  <c r="DH78" i="84"/>
  <c r="DC58" i="160"/>
  <c r="DB58" i="160"/>
  <c r="DC66" i="160"/>
  <c r="DB66" i="160"/>
  <c r="DI58" i="160"/>
  <c r="DH58" i="160"/>
  <c r="DI66" i="160"/>
  <c r="DH66" i="160"/>
  <c r="DI82" i="160"/>
  <c r="DH82" i="160"/>
  <c r="DC74" i="84"/>
  <c r="DB74" i="84"/>
  <c r="DC82" i="84"/>
  <c r="DB82" i="84"/>
  <c r="DI80" i="84"/>
  <c r="DH80" i="84"/>
  <c r="DC64" i="160"/>
  <c r="DB64" i="160"/>
  <c r="DC72" i="160"/>
  <c r="DB72" i="160"/>
  <c r="DC80" i="160"/>
  <c r="DB80" i="160"/>
  <c r="DI64" i="160"/>
  <c r="DH64" i="160"/>
  <c r="DI72" i="160"/>
  <c r="DH72" i="160"/>
  <c r="DI80" i="160"/>
  <c r="DH80" i="160"/>
  <c r="DI77" i="84"/>
  <c r="DH77" i="84"/>
  <c r="DC55" i="160"/>
  <c r="DB55" i="160"/>
  <c r="DC79" i="160"/>
  <c r="DB79" i="160"/>
  <c r="DC75" i="84"/>
  <c r="DB75" i="84"/>
  <c r="DC83" i="84"/>
  <c r="DB83" i="84"/>
  <c r="DI73" i="84"/>
  <c r="DH73" i="84"/>
  <c r="DI81" i="84"/>
  <c r="DH81" i="84"/>
  <c r="DC59" i="160"/>
  <c r="DB59" i="160"/>
  <c r="DC67" i="160"/>
  <c r="DB67" i="160"/>
  <c r="DC75" i="160"/>
  <c r="DB75" i="160"/>
  <c r="DC83" i="160"/>
  <c r="DB83" i="160"/>
  <c r="DI59" i="160"/>
  <c r="DH59" i="160"/>
  <c r="DI67" i="160"/>
  <c r="DH67" i="160"/>
  <c r="DI75" i="160"/>
  <c r="DH75" i="160"/>
  <c r="DI83" i="160"/>
  <c r="DH83" i="160"/>
  <c r="H26" i="147" l="1"/>
  <c r="F26" i="147"/>
  <c r="G26" i="147" s="1"/>
  <c r="DH45" i="165"/>
  <c r="DH44" i="165"/>
  <c r="DH43" i="165"/>
  <c r="DH42" i="165"/>
  <c r="DH41" i="165"/>
  <c r="DH40" i="165"/>
  <c r="DH39" i="165"/>
  <c r="DH38" i="165"/>
  <c r="DH37" i="165"/>
  <c r="DH36" i="165"/>
  <c r="DH35" i="165"/>
  <c r="DH34" i="165"/>
  <c r="DH33" i="165"/>
  <c r="DH32" i="165"/>
  <c r="DH31" i="165"/>
  <c r="DH30" i="165"/>
  <c r="DH29" i="165"/>
  <c r="DH28" i="165"/>
  <c r="DH27" i="165"/>
  <c r="DH26" i="165"/>
  <c r="DH25" i="165"/>
  <c r="DH24" i="165"/>
  <c r="DH23" i="165"/>
  <c r="DH22" i="165"/>
  <c r="DH21" i="165"/>
  <c r="DH20" i="165"/>
  <c r="DH19" i="165"/>
  <c r="DH18" i="165"/>
  <c r="DH17" i="165"/>
  <c r="DH16" i="165"/>
  <c r="CX45" i="165"/>
  <c r="CX44" i="165"/>
  <c r="CX43" i="165"/>
  <c r="CX42" i="165"/>
  <c r="CX41" i="165"/>
  <c r="CX40" i="165"/>
  <c r="CX39" i="165"/>
  <c r="CX38" i="165"/>
  <c r="CX37" i="165"/>
  <c r="CX36" i="165"/>
  <c r="CX35" i="165"/>
  <c r="CX34" i="165"/>
  <c r="CX33" i="165"/>
  <c r="CX32" i="165"/>
  <c r="CX31" i="165"/>
  <c r="CX30" i="165"/>
  <c r="CX29" i="165"/>
  <c r="CX28" i="165"/>
  <c r="CX27" i="165"/>
  <c r="CX26" i="165"/>
  <c r="CX25" i="165"/>
  <c r="CX24" i="165"/>
  <c r="CX23" i="165"/>
  <c r="CX22" i="165"/>
  <c r="CX21" i="165"/>
  <c r="CX20" i="165"/>
  <c r="CX19" i="165"/>
  <c r="CX18" i="165"/>
  <c r="CX17" i="165"/>
  <c r="CX16" i="165"/>
  <c r="G28" i="147" l="1"/>
  <c r="F28" i="147"/>
  <c r="H28" i="147"/>
  <c r="K29" i="147"/>
  <c r="J29" i="147"/>
  <c r="I29" i="147"/>
  <c r="I30" i="147"/>
  <c r="K30" i="147"/>
  <c r="J30" i="147"/>
  <c r="H30" i="147"/>
  <c r="G30" i="147"/>
  <c r="F30" i="147"/>
  <c r="H29" i="147"/>
  <c r="F29" i="147"/>
  <c r="G29" i="147"/>
  <c r="I28" i="147"/>
  <c r="K28" i="147"/>
  <c r="J28" i="147"/>
  <c r="C23" i="160"/>
  <c r="B23" i="160"/>
  <c r="EZ23" i="160" l="1"/>
  <c r="EY23" i="160"/>
  <c r="R14" i="114"/>
  <c r="CI70" i="84"/>
  <c r="EN104" i="165" l="1"/>
  <c r="EN103" i="165"/>
  <c r="EN102" i="165"/>
  <c r="EN101" i="165"/>
  <c r="EN100" i="165"/>
  <c r="EN99" i="165"/>
  <c r="EN98" i="165"/>
  <c r="EN97" i="165"/>
  <c r="EN95" i="165"/>
  <c r="EN94" i="165"/>
  <c r="EN93" i="165"/>
  <c r="EN92" i="165"/>
  <c r="EN91" i="165"/>
  <c r="EN90" i="165"/>
  <c r="EN89" i="165"/>
  <c r="EN88" i="165"/>
  <c r="EN87" i="165"/>
  <c r="EN86" i="165"/>
  <c r="EN85" i="165"/>
  <c r="EN84" i="165"/>
  <c r="EN83" i="165"/>
  <c r="EN82" i="165"/>
  <c r="EN81" i="165"/>
  <c r="EN80" i="165"/>
  <c r="EN79" i="165"/>
  <c r="EN78" i="165"/>
  <c r="EN77" i="165"/>
  <c r="EN76" i="165"/>
  <c r="EN75" i="165"/>
  <c r="EN96" i="165"/>
  <c r="AA45" i="160" l="1"/>
  <c r="F45" i="160"/>
  <c r="C45" i="160"/>
  <c r="B45" i="160"/>
  <c r="A45" i="160"/>
  <c r="AA44" i="160"/>
  <c r="F44" i="160"/>
  <c r="C44" i="160"/>
  <c r="B44" i="160"/>
  <c r="A44" i="160"/>
  <c r="AA43" i="160"/>
  <c r="F43" i="160"/>
  <c r="C43" i="160"/>
  <c r="B43" i="160"/>
  <c r="A43" i="160"/>
  <c r="AA42" i="160"/>
  <c r="F42" i="160"/>
  <c r="C42" i="160"/>
  <c r="B42" i="160"/>
  <c r="A42" i="160"/>
  <c r="AA41" i="160"/>
  <c r="F41" i="160"/>
  <c r="C41" i="160"/>
  <c r="B41" i="160"/>
  <c r="A41" i="160"/>
  <c r="AA40" i="160"/>
  <c r="F40" i="160"/>
  <c r="C40" i="160"/>
  <c r="B40" i="160"/>
  <c r="A40" i="160"/>
  <c r="AA39" i="160"/>
  <c r="F39" i="160"/>
  <c r="C39" i="160"/>
  <c r="B39" i="160"/>
  <c r="A39" i="160"/>
  <c r="AA38" i="160"/>
  <c r="F38" i="160"/>
  <c r="C38" i="160"/>
  <c r="B38" i="160"/>
  <c r="A38" i="160"/>
  <c r="AA37" i="160"/>
  <c r="F37" i="160"/>
  <c r="C37" i="160"/>
  <c r="B37" i="160"/>
  <c r="A37" i="160"/>
  <c r="AA36" i="160"/>
  <c r="F36" i="160"/>
  <c r="C36" i="160"/>
  <c r="B36" i="160"/>
  <c r="A36" i="160"/>
  <c r="AA35" i="160"/>
  <c r="F35" i="160"/>
  <c r="C35" i="160"/>
  <c r="B35" i="160"/>
  <c r="A35" i="160"/>
  <c r="AA34" i="160"/>
  <c r="F34" i="160"/>
  <c r="C34" i="160"/>
  <c r="B34" i="160"/>
  <c r="A34" i="160"/>
  <c r="AA33" i="160"/>
  <c r="F33" i="160"/>
  <c r="C33" i="160"/>
  <c r="B33" i="160"/>
  <c r="A33" i="160"/>
  <c r="AA32" i="160"/>
  <c r="F32" i="160"/>
  <c r="C32" i="160"/>
  <c r="B32" i="160"/>
  <c r="A32" i="160"/>
  <c r="AA31" i="160"/>
  <c r="F31" i="160"/>
  <c r="C31" i="160"/>
  <c r="B31" i="160"/>
  <c r="A31" i="160"/>
  <c r="AA30" i="160"/>
  <c r="F30" i="160"/>
  <c r="C30" i="160"/>
  <c r="B30" i="160"/>
  <c r="AA29" i="160"/>
  <c r="F29" i="160"/>
  <c r="C29" i="160"/>
  <c r="B29" i="160"/>
  <c r="AA28" i="160"/>
  <c r="F28" i="160"/>
  <c r="C28" i="160"/>
  <c r="B28" i="160"/>
  <c r="AA27" i="160"/>
  <c r="F27" i="160"/>
  <c r="C27" i="160"/>
  <c r="B27" i="160"/>
  <c r="AA26" i="160"/>
  <c r="F26" i="160"/>
  <c r="C26" i="160"/>
  <c r="B26" i="160"/>
  <c r="AA25" i="160"/>
  <c r="F25" i="160"/>
  <c r="C25" i="160"/>
  <c r="B25" i="160"/>
  <c r="AA24" i="160"/>
  <c r="F24" i="160"/>
  <c r="C24" i="160"/>
  <c r="B24" i="160"/>
  <c r="AA23" i="160"/>
  <c r="F23" i="160"/>
  <c r="AA22" i="160"/>
  <c r="F22" i="160"/>
  <c r="C22" i="160"/>
  <c r="B22" i="160"/>
  <c r="AA21" i="160"/>
  <c r="F21" i="160"/>
  <c r="C21" i="160"/>
  <c r="B21" i="160"/>
  <c r="AA20" i="160"/>
  <c r="F20" i="160"/>
  <c r="C20" i="160"/>
  <c r="B20" i="160"/>
  <c r="AA19" i="160"/>
  <c r="F19" i="160"/>
  <c r="C19" i="160"/>
  <c r="B19" i="160"/>
  <c r="AA18" i="160"/>
  <c r="F18" i="160"/>
  <c r="C18" i="160"/>
  <c r="B18" i="160"/>
  <c r="AA17" i="160"/>
  <c r="F17" i="160"/>
  <c r="C17" i="160"/>
  <c r="B17" i="160"/>
  <c r="AA16" i="160"/>
  <c r="F16" i="160"/>
  <c r="C16" i="160"/>
  <c r="B16" i="160"/>
  <c r="AA15" i="160"/>
  <c r="F15" i="160"/>
  <c r="C15" i="160"/>
  <c r="BP15" i="160" s="1"/>
  <c r="B15" i="160"/>
  <c r="A15" i="160"/>
  <c r="AA14" i="160"/>
  <c r="F14" i="160"/>
  <c r="C14" i="160"/>
  <c r="BP14" i="160" s="1"/>
  <c r="B14" i="160"/>
  <c r="A14" i="160"/>
  <c r="C45" i="165"/>
  <c r="B45" i="165"/>
  <c r="A45" i="165"/>
  <c r="GF45" i="165" s="1"/>
  <c r="GF38" i="160" l="1"/>
  <c r="FO38" i="160"/>
  <c r="GF32" i="160"/>
  <c r="FO32" i="160"/>
  <c r="GF14" i="160"/>
  <c r="FO14" i="160"/>
  <c r="FQ35" i="160"/>
  <c r="FQ14" i="160"/>
  <c r="FQ17" i="160"/>
  <c r="FQ44" i="160"/>
  <c r="FQ30" i="160"/>
  <c r="FQ16" i="160"/>
  <c r="FQ25" i="160"/>
  <c r="FQ34" i="160"/>
  <c r="FQ38" i="160"/>
  <c r="FQ45" i="160"/>
  <c r="FQ24" i="160"/>
  <c r="FQ33" i="160"/>
  <c r="FQ21" i="160"/>
  <c r="FQ43" i="160"/>
  <c r="FQ20" i="160"/>
  <c r="FQ32" i="160"/>
  <c r="FQ41" i="160"/>
  <c r="FQ29" i="160"/>
  <c r="FQ15" i="160"/>
  <c r="FQ40" i="160"/>
  <c r="FQ42" i="160"/>
  <c r="FQ37" i="160"/>
  <c r="FQ23" i="160"/>
  <c r="FQ18" i="160"/>
  <c r="FQ19" i="160"/>
  <c r="FQ28" i="160"/>
  <c r="FQ26" i="160"/>
  <c r="FQ39" i="160"/>
  <c r="FQ27" i="160"/>
  <c r="FQ36" i="160"/>
  <c r="FQ22" i="160"/>
  <c r="FQ31" i="160"/>
  <c r="GF35" i="160"/>
  <c r="FO35" i="160"/>
  <c r="GF43" i="160"/>
  <c r="FO43" i="160"/>
  <c r="GF37" i="160"/>
  <c r="FO37" i="160"/>
  <c r="GF45" i="160"/>
  <c r="FO45" i="160"/>
  <c r="GF34" i="160"/>
  <c r="FO34" i="160"/>
  <c r="GF42" i="160"/>
  <c r="FO42" i="160"/>
  <c r="GF31" i="160"/>
  <c r="FO31" i="160"/>
  <c r="GF39" i="160"/>
  <c r="FO39" i="160"/>
  <c r="GE45" i="165"/>
  <c r="GA45" i="165"/>
  <c r="GC45" i="165"/>
  <c r="GD45" i="165"/>
  <c r="GB45" i="165"/>
  <c r="GF15" i="160"/>
  <c r="FO15" i="160"/>
  <c r="GF36" i="160"/>
  <c r="FO36" i="160"/>
  <c r="GF44" i="160"/>
  <c r="FO44" i="160"/>
  <c r="GF40" i="160"/>
  <c r="FO40" i="160"/>
  <c r="GF33" i="160"/>
  <c r="FO33" i="160"/>
  <c r="GF41" i="160"/>
  <c r="FO41" i="160"/>
  <c r="BJ38" i="160"/>
  <c r="BJ14" i="160"/>
  <c r="BJ35" i="160"/>
  <c r="BJ43" i="160"/>
  <c r="BJ32" i="160"/>
  <c r="BJ40" i="160"/>
  <c r="BJ37" i="160"/>
  <c r="BJ34" i="160"/>
  <c r="AX45" i="165"/>
  <c r="BJ15" i="160"/>
  <c r="BJ36" i="160"/>
  <c r="BJ44" i="160"/>
  <c r="BJ45" i="160"/>
  <c r="BJ42" i="160"/>
  <c r="BJ31" i="160"/>
  <c r="BJ39" i="160"/>
  <c r="BJ33" i="160"/>
  <c r="BJ41" i="160"/>
  <c r="AW45" i="165"/>
  <c r="AV45" i="165"/>
  <c r="R99" i="80"/>
  <c r="R98" i="80"/>
  <c r="R97" i="80"/>
  <c r="R96" i="80"/>
  <c r="R95" i="80"/>
  <c r="R94" i="80"/>
  <c r="R93" i="80"/>
  <c r="R92" i="80"/>
  <c r="R91" i="80"/>
  <c r="R90" i="80"/>
  <c r="R89" i="80"/>
  <c r="R88" i="80"/>
  <c r="R87" i="80"/>
  <c r="R86" i="80"/>
  <c r="R85" i="80"/>
  <c r="R84" i="80"/>
  <c r="R83" i="80"/>
  <c r="R82" i="80"/>
  <c r="R81" i="80"/>
  <c r="R80" i="80"/>
  <c r="R79" i="80"/>
  <c r="R78" i="80"/>
  <c r="R77" i="80"/>
  <c r="R76" i="80"/>
  <c r="R75" i="80"/>
  <c r="R74" i="80"/>
  <c r="R73" i="80"/>
  <c r="R46" i="80"/>
  <c r="R45" i="80"/>
  <c r="R44" i="80"/>
  <c r="R43" i="80"/>
  <c r="R42" i="80"/>
  <c r="R41" i="80"/>
  <c r="R40" i="80"/>
  <c r="R39" i="80"/>
  <c r="R38" i="80"/>
  <c r="R37" i="80"/>
  <c r="R36" i="80"/>
  <c r="R35" i="80"/>
  <c r="R34" i="80"/>
  <c r="R33" i="80"/>
  <c r="R32" i="80"/>
  <c r="R31" i="80"/>
  <c r="R30" i="80"/>
  <c r="R29" i="80"/>
  <c r="R28" i="80"/>
  <c r="R27" i="80"/>
  <c r="R26" i="80"/>
  <c r="R25" i="80"/>
  <c r="R24" i="80"/>
  <c r="R23" i="80"/>
  <c r="R22" i="80"/>
  <c r="R21" i="80"/>
  <c r="R20" i="80"/>
  <c r="R19" i="80"/>
  <c r="R18" i="80"/>
  <c r="R17" i="80"/>
  <c r="R16" i="80"/>
  <c r="R15" i="80"/>
  <c r="R14" i="80"/>
  <c r="R13" i="80"/>
  <c r="GD44" i="160" l="1"/>
  <c r="GE44" i="160"/>
  <c r="GA44" i="160"/>
  <c r="GB44" i="160"/>
  <c r="GC44" i="160"/>
  <c r="GE41" i="160"/>
  <c r="GB41" i="160"/>
  <c r="GA41" i="160"/>
  <c r="GC41" i="160"/>
  <c r="GD41" i="160"/>
  <c r="GE34" i="160"/>
  <c r="GD34" i="160"/>
  <c r="GB34" i="160"/>
  <c r="GC34" i="160"/>
  <c r="GA34" i="160"/>
  <c r="GA35" i="160"/>
  <c r="GD35" i="160"/>
  <c r="GC35" i="160"/>
  <c r="GB35" i="160"/>
  <c r="GE35" i="160"/>
  <c r="GB39" i="160"/>
  <c r="GD39" i="160"/>
  <c r="GE39" i="160"/>
  <c r="GA39" i="160"/>
  <c r="GC39" i="160"/>
  <c r="GE45" i="160"/>
  <c r="GB45" i="160"/>
  <c r="GA45" i="160"/>
  <c r="GC45" i="160"/>
  <c r="GD45" i="160"/>
  <c r="GE14" i="160"/>
  <c r="GD14" i="160"/>
  <c r="GB14" i="160"/>
  <c r="GA14" i="160"/>
  <c r="GC14" i="160"/>
  <c r="GD36" i="160"/>
  <c r="GA36" i="160"/>
  <c r="GB36" i="160"/>
  <c r="GC36" i="160"/>
  <c r="GE36" i="160"/>
  <c r="GE33" i="160"/>
  <c r="GB33" i="160"/>
  <c r="GC33" i="160"/>
  <c r="GA33" i="160"/>
  <c r="GD33" i="160"/>
  <c r="GB15" i="160"/>
  <c r="GD15" i="160"/>
  <c r="GC15" i="160"/>
  <c r="GA15" i="160"/>
  <c r="GE15" i="160"/>
  <c r="GB31" i="160"/>
  <c r="GD31" i="160"/>
  <c r="GE31" i="160"/>
  <c r="GA31" i="160"/>
  <c r="GC31" i="160"/>
  <c r="GE37" i="160"/>
  <c r="GB37" i="160"/>
  <c r="GC37" i="160"/>
  <c r="GD37" i="160"/>
  <c r="GA37" i="160"/>
  <c r="GD32" i="160"/>
  <c r="GC32" i="160"/>
  <c r="GE32" i="160"/>
  <c r="GA32" i="160"/>
  <c r="GB32" i="160"/>
  <c r="GD40" i="160"/>
  <c r="GB40" i="160"/>
  <c r="GC40" i="160"/>
  <c r="GA40" i="160"/>
  <c r="GE40" i="160"/>
  <c r="GE42" i="160"/>
  <c r="GD42" i="160"/>
  <c r="GB42" i="160"/>
  <c r="GC42" i="160"/>
  <c r="GA42" i="160"/>
  <c r="GB43" i="160"/>
  <c r="GD43" i="160"/>
  <c r="GE43" i="160"/>
  <c r="GA43" i="160"/>
  <c r="GC43" i="160"/>
  <c r="GE38" i="160"/>
  <c r="GD38" i="160"/>
  <c r="GB38" i="160"/>
  <c r="GC38" i="160"/>
  <c r="GA38" i="160"/>
  <c r="GF57" i="165"/>
  <c r="GE57" i="165" l="1"/>
  <c r="GD57" i="165"/>
  <c r="GC57" i="165"/>
  <c r="GB57" i="165"/>
  <c r="GA57" i="165"/>
  <c r="S1" i="162"/>
  <c r="S42" i="162" l="1"/>
  <c r="S31" i="162"/>
  <c r="S39" i="162"/>
  <c r="S36" i="162"/>
  <c r="S34" i="162"/>
  <c r="S27" i="162"/>
  <c r="S32" i="162"/>
  <c r="S29" i="162"/>
  <c r="S33" i="162"/>
  <c r="S37" i="162"/>
  <c r="S30" i="162"/>
  <c r="S38" i="162"/>
  <c r="S40" i="162"/>
  <c r="S28" i="162"/>
  <c r="S41" i="162"/>
  <c r="S35" i="162"/>
  <c r="AW28" i="147" l="1"/>
  <c r="AW27" i="147"/>
  <c r="AW26" i="147"/>
  <c r="AW25" i="147"/>
  <c r="AW24" i="147"/>
  <c r="AW23" i="147" l="1"/>
  <c r="CI68" i="84" l="1"/>
  <c r="M6" i="165" l="1"/>
  <c r="M6" i="160"/>
  <c r="AW39" i="147" l="1"/>
  <c r="AW33" i="147"/>
  <c r="AW31" i="147"/>
  <c r="AW29" i="147"/>
  <c r="AW37" i="147"/>
  <c r="AW35" i="147"/>
  <c r="AW38" i="147"/>
  <c r="AW36" i="147"/>
  <c r="AW34" i="147"/>
  <c r="AW32" i="147"/>
  <c r="AW30" i="147"/>
  <c r="BG14" i="84" l="1"/>
  <c r="BF14" i="84"/>
  <c r="BC14" i="84"/>
  <c r="BB14" i="84"/>
  <c r="AY14" i="84"/>
  <c r="AX14" i="84"/>
  <c r="AU14" i="84"/>
  <c r="AT14" i="84"/>
  <c r="AO14" i="84"/>
  <c r="AN14" i="84"/>
  <c r="AM14" i="84"/>
  <c r="AL14" i="84"/>
  <c r="AK14" i="84"/>
  <c r="AC14" i="84"/>
  <c r="AB14" i="84"/>
  <c r="EZ14" i="84" l="1"/>
  <c r="FQ14" i="84"/>
  <c r="FO33" i="84"/>
  <c r="FO32" i="84"/>
  <c r="FO34" i="84"/>
  <c r="FO30" i="84"/>
  <c r="FO28" i="84"/>
  <c r="FO31" i="84"/>
  <c r="FO42" i="84"/>
  <c r="FO38" i="84"/>
  <c r="FO36" i="84"/>
  <c r="FO39" i="84"/>
  <c r="FO35" i="84"/>
  <c r="FO41" i="84"/>
  <c r="FO43" i="84"/>
  <c r="FO40" i="84"/>
  <c r="FO37" i="84"/>
  <c r="FO44" i="84"/>
  <c r="P17" i="114"/>
  <c r="P56" i="114" s="1"/>
  <c r="E47" i="163"/>
  <c r="E47" i="162"/>
  <c r="I2" i="169" l="1"/>
  <c r="A5" i="169"/>
  <c r="I3" i="169"/>
  <c r="I1" i="169"/>
  <c r="I4" i="169"/>
  <c r="AG30" i="114"/>
  <c r="AF30" i="114"/>
  <c r="AE30" i="114"/>
  <c r="EZ22" i="160" l="1"/>
  <c r="EY22" i="160"/>
  <c r="L1" i="169" l="1"/>
  <c r="S1" i="114"/>
  <c r="H1" i="145"/>
  <c r="D1" i="169" l="1"/>
  <c r="D4" i="169"/>
  <c r="D2" i="169"/>
  <c r="BQ45" i="160"/>
  <c r="BN45" i="160"/>
  <c r="BO45" i="160" s="1"/>
  <c r="BQ44" i="160"/>
  <c r="BN44" i="160"/>
  <c r="BO44" i="160" s="1"/>
  <c r="BQ43" i="160"/>
  <c r="BN43" i="160"/>
  <c r="BM43" i="160" s="1"/>
  <c r="BQ42" i="160"/>
  <c r="BN42" i="160"/>
  <c r="BO42" i="160" s="1"/>
  <c r="BQ41" i="160"/>
  <c r="BN41" i="160"/>
  <c r="BO41" i="160" s="1"/>
  <c r="BQ40" i="160"/>
  <c r="BN40" i="160"/>
  <c r="BO40" i="160" s="1"/>
  <c r="BQ39" i="160"/>
  <c r="BN39" i="160"/>
  <c r="BO39" i="160" s="1"/>
  <c r="BM39" i="160"/>
  <c r="BQ38" i="160"/>
  <c r="BN38" i="160"/>
  <c r="BO38" i="160" s="1"/>
  <c r="BQ37" i="160"/>
  <c r="BN37" i="160"/>
  <c r="BM37" i="160" s="1"/>
  <c r="BQ36" i="160"/>
  <c r="BO36" i="160"/>
  <c r="BN36" i="160"/>
  <c r="BM36" i="160"/>
  <c r="BQ35" i="160"/>
  <c r="BN35" i="160"/>
  <c r="BO35" i="160" s="1"/>
  <c r="BM35" i="160"/>
  <c r="BQ34" i="160"/>
  <c r="BN34" i="160"/>
  <c r="BM34" i="160" s="1"/>
  <c r="BQ33" i="160"/>
  <c r="BN33" i="160"/>
  <c r="BO33" i="160" s="1"/>
  <c r="BM33" i="160"/>
  <c r="BQ32" i="160"/>
  <c r="BN32" i="160"/>
  <c r="BO32" i="160" s="1"/>
  <c r="BM32" i="160"/>
  <c r="BQ31" i="160"/>
  <c r="BN31" i="160"/>
  <c r="BM31" i="160" s="1"/>
  <c r="BQ30" i="160"/>
  <c r="BN30" i="160"/>
  <c r="BO30" i="160" s="1"/>
  <c r="BQ29" i="160"/>
  <c r="BN29" i="160"/>
  <c r="BO29" i="160" s="1"/>
  <c r="BM29" i="160"/>
  <c r="BQ28" i="160"/>
  <c r="BN28" i="160"/>
  <c r="BO28" i="160" s="1"/>
  <c r="BQ27" i="160"/>
  <c r="BN27" i="160"/>
  <c r="BO27" i="160" s="1"/>
  <c r="BQ26" i="160"/>
  <c r="BN26" i="160"/>
  <c r="BO26" i="160" s="1"/>
  <c r="BQ24" i="160"/>
  <c r="BN24" i="160"/>
  <c r="BO24" i="160" s="1"/>
  <c r="BM24" i="160"/>
  <c r="BQ23" i="160"/>
  <c r="BN23" i="160"/>
  <c r="BO23" i="160" s="1"/>
  <c r="BQ22" i="160"/>
  <c r="BN22" i="160"/>
  <c r="BM22" i="160" s="1"/>
  <c r="BQ21" i="160"/>
  <c r="BN21" i="160"/>
  <c r="BM21" i="160" s="1"/>
  <c r="BQ20" i="160"/>
  <c r="BN20" i="160"/>
  <c r="BO20" i="160" s="1"/>
  <c r="BQ19" i="160"/>
  <c r="BN19" i="160"/>
  <c r="BO19" i="160" s="1"/>
  <c r="BQ18" i="160"/>
  <c r="BN18" i="160"/>
  <c r="BO18" i="160" s="1"/>
  <c r="BQ17" i="160"/>
  <c r="BN17" i="160"/>
  <c r="BO17" i="160" s="1"/>
  <c r="BQ14" i="160"/>
  <c r="BN14" i="160"/>
  <c r="BM14" i="160" s="1"/>
  <c r="FA64" i="160" l="1"/>
  <c r="EZ64" i="160"/>
  <c r="FA69" i="160"/>
  <c r="EZ69" i="160"/>
  <c r="EZ76" i="160"/>
  <c r="FA76" i="160"/>
  <c r="FA73" i="160"/>
  <c r="EZ73" i="160"/>
  <c r="EZ75" i="160"/>
  <c r="FA75" i="160"/>
  <c r="FA72" i="160"/>
  <c r="EZ72" i="160"/>
  <c r="FA79" i="160"/>
  <c r="EZ79" i="160"/>
  <c r="EZ24" i="160"/>
  <c r="EY24" i="160"/>
  <c r="EZ28" i="160"/>
  <c r="EY28" i="160"/>
  <c r="EZ26" i="160"/>
  <c r="EY26" i="160"/>
  <c r="EZ18" i="160"/>
  <c r="EY18" i="160"/>
  <c r="EZ19" i="160"/>
  <c r="EY19" i="160"/>
  <c r="EZ25" i="160"/>
  <c r="EY25" i="160"/>
  <c r="EZ29" i="160"/>
  <c r="EY29" i="160"/>
  <c r="EZ27" i="160"/>
  <c r="EY27" i="160"/>
  <c r="BM18" i="160"/>
  <c r="BR18" i="160" s="1"/>
  <c r="BM19" i="160"/>
  <c r="BR19" i="160" s="1"/>
  <c r="BM23" i="160"/>
  <c r="BR23" i="160" s="1"/>
  <c r="BM26" i="160"/>
  <c r="FA66" i="160" s="1"/>
  <c r="BM28" i="160"/>
  <c r="EZ68" i="160" s="1"/>
  <c r="BM38" i="160"/>
  <c r="BR38" i="160" s="1"/>
  <c r="BM40" i="160"/>
  <c r="BR40" i="160" s="1"/>
  <c r="BM42" i="160"/>
  <c r="BR42" i="160" s="1"/>
  <c r="BM44" i="160"/>
  <c r="BR44" i="160" s="1"/>
  <c r="BO22" i="160"/>
  <c r="BR22" i="160" s="1"/>
  <c r="BO37" i="160"/>
  <c r="BR37" i="160" s="1"/>
  <c r="BO43" i="160"/>
  <c r="BR43" i="160" s="1"/>
  <c r="BR36" i="160"/>
  <c r="BR33" i="160"/>
  <c r="BR39" i="160"/>
  <c r="BO21" i="160"/>
  <c r="BR21" i="160" s="1"/>
  <c r="BR24" i="160"/>
  <c r="BO31" i="160"/>
  <c r="BR31" i="160" s="1"/>
  <c r="BO34" i="160"/>
  <c r="BR34" i="160" s="1"/>
  <c r="BM17" i="160"/>
  <c r="BR17" i="160" s="1"/>
  <c r="BM20" i="160"/>
  <c r="BR20" i="160" s="1"/>
  <c r="BM27" i="160"/>
  <c r="BR27" i="160" s="1"/>
  <c r="BM30" i="160"/>
  <c r="BR30" i="160" s="1"/>
  <c r="BM41" i="160"/>
  <c r="BR41" i="160" s="1"/>
  <c r="BM45" i="160"/>
  <c r="BR45" i="160" s="1"/>
  <c r="BO14" i="160"/>
  <c r="BR14" i="160" s="1"/>
  <c r="BR32" i="160"/>
  <c r="BR29" i="160"/>
  <c r="BR35" i="160"/>
  <c r="FA84" i="160" l="1"/>
  <c r="BR26" i="160"/>
  <c r="EZ67" i="160"/>
  <c r="BR28" i="160"/>
  <c r="EZ85" i="160"/>
  <c r="EZ82" i="160"/>
  <c r="FA68" i="160"/>
  <c r="FA80" i="160"/>
  <c r="EZ60" i="160"/>
  <c r="FA60" i="160"/>
  <c r="FA54" i="160"/>
  <c r="FA67" i="160"/>
  <c r="EZ84" i="160"/>
  <c r="EZ54" i="160"/>
  <c r="EX54" i="160" s="1"/>
  <c r="FA82" i="160"/>
  <c r="EZ63" i="160"/>
  <c r="EZ71" i="160"/>
  <c r="EZ77" i="160"/>
  <c r="FA85" i="160"/>
  <c r="FA62" i="160"/>
  <c r="EZ83" i="160"/>
  <c r="EZ59" i="160"/>
  <c r="EX59" i="160" s="1"/>
  <c r="FA59" i="160"/>
  <c r="EZ80" i="160"/>
  <c r="FA58" i="160"/>
  <c r="EZ81" i="160"/>
  <c r="EZ70" i="160"/>
  <c r="EZ66" i="160"/>
  <c r="FA57" i="160"/>
  <c r="EZ78" i="160"/>
  <c r="FA74" i="160"/>
  <c r="EZ74" i="160"/>
  <c r="FA63" i="160"/>
  <c r="FA71" i="160"/>
  <c r="EZ62" i="160"/>
  <c r="FA83" i="160"/>
  <c r="FA77" i="160"/>
  <c r="EZ58" i="160"/>
  <c r="FA81" i="160"/>
  <c r="FA70" i="160"/>
  <c r="EZ57" i="160"/>
  <c r="FA78" i="160"/>
  <c r="EZ61" i="160"/>
  <c r="FA61" i="160"/>
  <c r="FG1" i="84" l="1"/>
  <c r="FG1" i="160"/>
  <c r="DD1" i="165"/>
  <c r="AE25" i="163" l="1"/>
  <c r="W25" i="163"/>
  <c r="U25" i="163"/>
  <c r="W25" i="162"/>
  <c r="U25" i="162"/>
  <c r="AE25" i="162"/>
  <c r="GE85" i="160" l="1"/>
  <c r="AQ45" i="160" s="1"/>
  <c r="GD85" i="160"/>
  <c r="AP45" i="160" s="1"/>
  <c r="GE84" i="160"/>
  <c r="AQ44" i="160" s="1"/>
  <c r="GD84" i="160"/>
  <c r="AP44" i="160" s="1"/>
  <c r="GE83" i="160"/>
  <c r="AQ43" i="160" s="1"/>
  <c r="GD83" i="160"/>
  <c r="AP43" i="160" s="1"/>
  <c r="GE82" i="160"/>
  <c r="AQ42" i="160" s="1"/>
  <c r="GD82" i="160"/>
  <c r="AP42" i="160" s="1"/>
  <c r="GE81" i="160"/>
  <c r="AQ41" i="160" s="1"/>
  <c r="GD81" i="160"/>
  <c r="AP41" i="160" s="1"/>
  <c r="GE80" i="160"/>
  <c r="AQ40" i="160" s="1"/>
  <c r="GD80" i="160"/>
  <c r="AP40" i="160" s="1"/>
  <c r="GE79" i="160"/>
  <c r="AQ39" i="160" s="1"/>
  <c r="GD79" i="160"/>
  <c r="AP39" i="160" s="1"/>
  <c r="GE78" i="160"/>
  <c r="AQ38" i="160" s="1"/>
  <c r="GD78" i="160"/>
  <c r="AP38" i="160" s="1"/>
  <c r="GE77" i="160"/>
  <c r="AQ37" i="160" s="1"/>
  <c r="GD77" i="160"/>
  <c r="AP37" i="160" s="1"/>
  <c r="GE76" i="160"/>
  <c r="AQ36" i="160" s="1"/>
  <c r="GD76" i="160"/>
  <c r="AP36" i="160" s="1"/>
  <c r="GE75" i="160"/>
  <c r="AQ35" i="160" s="1"/>
  <c r="GD75" i="160"/>
  <c r="AP35" i="160" s="1"/>
  <c r="GE74" i="160"/>
  <c r="AQ34" i="160" s="1"/>
  <c r="GD74" i="160"/>
  <c r="AP34" i="160" s="1"/>
  <c r="GE73" i="160"/>
  <c r="AQ33" i="160" s="1"/>
  <c r="GD73" i="160"/>
  <c r="AP33" i="160" s="1"/>
  <c r="GE72" i="160"/>
  <c r="AQ32" i="160" s="1"/>
  <c r="GD72" i="160"/>
  <c r="AP32" i="160" s="1"/>
  <c r="GE71" i="160"/>
  <c r="AQ31" i="160" s="1"/>
  <c r="GD71" i="160"/>
  <c r="AP31" i="160" s="1"/>
  <c r="GE70" i="160"/>
  <c r="AQ30" i="160" s="1"/>
  <c r="GD70" i="160"/>
  <c r="AP30" i="160" s="1"/>
  <c r="GE69" i="160"/>
  <c r="AQ29" i="160" s="1"/>
  <c r="GD69" i="160"/>
  <c r="AP29" i="160" s="1"/>
  <c r="GE68" i="160"/>
  <c r="AQ28" i="160" s="1"/>
  <c r="GD68" i="160"/>
  <c r="AP28" i="160" s="1"/>
  <c r="GE67" i="160"/>
  <c r="AQ27" i="160" s="1"/>
  <c r="GD67" i="160"/>
  <c r="AP27" i="160" s="1"/>
  <c r="GE66" i="160"/>
  <c r="AQ26" i="160" s="1"/>
  <c r="GD66" i="160"/>
  <c r="AP26" i="160" s="1"/>
  <c r="GE65" i="160"/>
  <c r="AQ25" i="160" s="1"/>
  <c r="GD65" i="160"/>
  <c r="AP25" i="160" s="1"/>
  <c r="GE64" i="160"/>
  <c r="AQ24" i="160" s="1"/>
  <c r="GD64" i="160"/>
  <c r="AP24" i="160" s="1"/>
  <c r="GE63" i="160"/>
  <c r="AQ23" i="160" s="1"/>
  <c r="GD63" i="160"/>
  <c r="AP23" i="160" s="1"/>
  <c r="GE62" i="160"/>
  <c r="AQ22" i="160" s="1"/>
  <c r="GD62" i="160"/>
  <c r="AP22" i="160" s="1"/>
  <c r="GE61" i="160"/>
  <c r="AQ21" i="160" s="1"/>
  <c r="GD61" i="160"/>
  <c r="AP21" i="160" s="1"/>
  <c r="GE60" i="160"/>
  <c r="AQ20" i="160" s="1"/>
  <c r="GD60" i="160"/>
  <c r="AP20" i="160" s="1"/>
  <c r="GE59" i="160"/>
  <c r="AQ19" i="160" s="1"/>
  <c r="GD59" i="160"/>
  <c r="AP19" i="160" s="1"/>
  <c r="GE58" i="160"/>
  <c r="AQ18" i="160" s="1"/>
  <c r="GD58" i="160"/>
  <c r="AP18" i="160" s="1"/>
  <c r="GE57" i="160"/>
  <c r="AQ17" i="160" s="1"/>
  <c r="GD57" i="160"/>
  <c r="AP17" i="160" s="1"/>
  <c r="GE56" i="160"/>
  <c r="AQ16" i="160" s="1"/>
  <c r="GD56" i="160"/>
  <c r="AP16" i="160" s="1"/>
  <c r="GE55" i="160"/>
  <c r="AQ15" i="160" s="1"/>
  <c r="GD55" i="160"/>
  <c r="AP15" i="160" s="1"/>
  <c r="GE54" i="160"/>
  <c r="AQ14" i="160" s="1"/>
  <c r="GD54" i="160"/>
  <c r="AP14" i="160" s="1"/>
  <c r="GE85" i="84"/>
  <c r="AQ45" i="84" s="1"/>
  <c r="GD85" i="84"/>
  <c r="AP45" i="84" s="1"/>
  <c r="GE84" i="84"/>
  <c r="AQ44" i="84" s="1"/>
  <c r="GD84" i="84"/>
  <c r="AP44" i="84" s="1"/>
  <c r="GE83" i="84"/>
  <c r="AQ43" i="84" s="1"/>
  <c r="GD83" i="84"/>
  <c r="AP43" i="84" s="1"/>
  <c r="GE82" i="84"/>
  <c r="AQ42" i="84" s="1"/>
  <c r="GD82" i="84"/>
  <c r="AP42" i="84" s="1"/>
  <c r="GE81" i="84"/>
  <c r="AQ41" i="84" s="1"/>
  <c r="GD81" i="84"/>
  <c r="AP41" i="84" s="1"/>
  <c r="GE80" i="84"/>
  <c r="AQ40" i="84" s="1"/>
  <c r="GD80" i="84"/>
  <c r="AP40" i="84" s="1"/>
  <c r="GE79" i="84"/>
  <c r="AQ39" i="84" s="1"/>
  <c r="GD79" i="84"/>
  <c r="AP39" i="84" s="1"/>
  <c r="GE78" i="84"/>
  <c r="AQ38" i="84" s="1"/>
  <c r="GD78" i="84"/>
  <c r="AP38" i="84" s="1"/>
  <c r="GE77" i="84"/>
  <c r="AQ37" i="84" s="1"/>
  <c r="GD77" i="84"/>
  <c r="AP37" i="84" s="1"/>
  <c r="GE76" i="84"/>
  <c r="AQ36" i="84" s="1"/>
  <c r="GD76" i="84"/>
  <c r="AP36" i="84" s="1"/>
  <c r="GE75" i="84"/>
  <c r="AQ35" i="84" s="1"/>
  <c r="GD75" i="84"/>
  <c r="AP35" i="84" s="1"/>
  <c r="GE74" i="84"/>
  <c r="AQ34" i="84" s="1"/>
  <c r="GD74" i="84"/>
  <c r="AP34" i="84" s="1"/>
  <c r="GE73" i="84"/>
  <c r="AQ33" i="84" s="1"/>
  <c r="GD73" i="84"/>
  <c r="AP33" i="84" s="1"/>
  <c r="GE72" i="84"/>
  <c r="AQ32" i="84" s="1"/>
  <c r="GD72" i="84"/>
  <c r="AP32" i="84" s="1"/>
  <c r="GE71" i="84"/>
  <c r="AQ31" i="84" s="1"/>
  <c r="GD71" i="84"/>
  <c r="AP31" i="84" s="1"/>
  <c r="GE69" i="84"/>
  <c r="AQ29" i="84" s="1"/>
  <c r="GD69" i="84"/>
  <c r="AP29" i="84" s="1"/>
  <c r="GE68" i="84"/>
  <c r="AQ28" i="84" s="1"/>
  <c r="GD68" i="84"/>
  <c r="AP28" i="84" s="1"/>
  <c r="GE67" i="84"/>
  <c r="AQ27" i="84" s="1"/>
  <c r="GD67" i="84"/>
  <c r="AP27" i="84" s="1"/>
  <c r="GE66" i="84"/>
  <c r="AQ26" i="84" s="1"/>
  <c r="GD66" i="84"/>
  <c r="AP26" i="84" s="1"/>
  <c r="GE65" i="84"/>
  <c r="AQ25" i="84" s="1"/>
  <c r="GD65" i="84"/>
  <c r="AP25" i="84" s="1"/>
  <c r="GE64" i="84"/>
  <c r="AQ24" i="84" s="1"/>
  <c r="GD64" i="84"/>
  <c r="AP24" i="84" s="1"/>
  <c r="GE63" i="84"/>
  <c r="AQ23" i="84" s="1"/>
  <c r="GD63" i="84"/>
  <c r="AP23" i="84" s="1"/>
  <c r="GE62" i="84"/>
  <c r="AQ22" i="84" s="1"/>
  <c r="GD62" i="84"/>
  <c r="AP22" i="84" s="1"/>
  <c r="GE61" i="84"/>
  <c r="AQ21" i="84" s="1"/>
  <c r="GD61" i="84"/>
  <c r="AP21" i="84" s="1"/>
  <c r="GE60" i="84"/>
  <c r="AQ20" i="84" s="1"/>
  <c r="GD60" i="84"/>
  <c r="AP20" i="84" s="1"/>
  <c r="GE59" i="84"/>
  <c r="AQ19" i="84" s="1"/>
  <c r="GD59" i="84"/>
  <c r="AP19" i="84" s="1"/>
  <c r="GE58" i="84"/>
  <c r="AQ18" i="84" s="1"/>
  <c r="GD58" i="84"/>
  <c r="AP18" i="84" s="1"/>
  <c r="GE57" i="84"/>
  <c r="AQ17" i="84" s="1"/>
  <c r="GD57" i="84"/>
  <c r="AP17" i="84" s="1"/>
  <c r="GE54" i="84"/>
  <c r="AQ14" i="84" s="1"/>
  <c r="GD54" i="84"/>
  <c r="AP14" i="84" s="1"/>
  <c r="BQ32" i="84" l="1"/>
  <c r="DF45" i="165"/>
  <c r="DM45" i="165"/>
  <c r="CV45" i="165"/>
  <c r="DF44" i="165"/>
  <c r="DM44" i="165"/>
  <c r="CV44" i="165"/>
  <c r="DF43" i="165"/>
  <c r="DM43" i="165"/>
  <c r="CV43" i="165"/>
  <c r="DF42" i="165"/>
  <c r="DM42" i="165"/>
  <c r="CV42" i="165"/>
  <c r="DF41" i="165"/>
  <c r="DM41" i="165"/>
  <c r="CV41" i="165"/>
  <c r="DF40" i="165"/>
  <c r="DM40" i="165"/>
  <c r="CV40" i="165"/>
  <c r="DF39" i="165"/>
  <c r="DM39" i="165"/>
  <c r="CV39" i="165"/>
  <c r="DF38" i="165"/>
  <c r="DM38" i="165"/>
  <c r="CV38" i="165"/>
  <c r="DF37" i="165"/>
  <c r="DM37" i="165"/>
  <c r="CV37" i="165"/>
  <c r="DF36" i="165"/>
  <c r="DM36" i="165"/>
  <c r="CV36" i="165"/>
  <c r="DF35" i="165"/>
  <c r="DM35" i="165"/>
  <c r="CV35" i="165"/>
  <c r="DF34" i="165"/>
  <c r="DM34" i="165"/>
  <c r="CV34" i="165"/>
  <c r="DF33" i="165"/>
  <c r="DM33" i="165"/>
  <c r="CV33" i="165"/>
  <c r="DF32" i="165"/>
  <c r="DM32" i="165"/>
  <c r="CV32" i="165"/>
  <c r="DF31" i="165"/>
  <c r="DM31" i="165"/>
  <c r="CV31" i="165"/>
  <c r="DF30" i="165"/>
  <c r="DM30" i="165"/>
  <c r="CV30" i="165"/>
  <c r="DF29" i="165"/>
  <c r="DM29" i="165"/>
  <c r="CV29" i="165"/>
  <c r="DF28" i="165"/>
  <c r="DM28" i="165"/>
  <c r="CV28" i="165"/>
  <c r="DF27" i="165"/>
  <c r="DM27" i="165"/>
  <c r="CV27" i="165"/>
  <c r="DF26" i="165"/>
  <c r="DM26" i="165"/>
  <c r="CV26" i="165"/>
  <c r="DF25" i="165"/>
  <c r="DM25" i="165"/>
  <c r="CV25" i="165"/>
  <c r="DF24" i="165"/>
  <c r="DM24" i="165"/>
  <c r="CV24" i="165"/>
  <c r="DF23" i="165"/>
  <c r="DM23" i="165"/>
  <c r="CV23" i="165"/>
  <c r="DM22" i="165"/>
  <c r="DF21" i="165"/>
  <c r="DM21" i="165"/>
  <c r="CV21" i="165"/>
  <c r="DF20" i="165"/>
  <c r="GD20" i="165" s="1"/>
  <c r="DM20" i="165"/>
  <c r="CV20" i="165"/>
  <c r="GC20" i="165" s="1"/>
  <c r="DM19" i="165"/>
  <c r="DF18" i="165"/>
  <c r="DM18" i="165"/>
  <c r="CV18" i="165"/>
  <c r="DF17" i="165"/>
  <c r="DM17" i="165"/>
  <c r="CV17" i="165"/>
  <c r="DF16" i="165"/>
  <c r="DM16" i="165"/>
  <c r="CV16" i="165"/>
  <c r="DE45" i="165"/>
  <c r="CU45" i="165"/>
  <c r="DE44" i="165"/>
  <c r="CU44" i="165"/>
  <c r="DE43" i="165"/>
  <c r="CU43" i="165"/>
  <c r="DE42" i="165"/>
  <c r="CU42" i="165"/>
  <c r="DE41" i="165"/>
  <c r="CU41" i="165"/>
  <c r="DE40" i="165"/>
  <c r="CU40" i="165"/>
  <c r="DE39" i="165"/>
  <c r="CU39" i="165"/>
  <c r="DE38" i="165"/>
  <c r="CU38" i="165"/>
  <c r="DE37" i="165"/>
  <c r="CU37" i="165"/>
  <c r="DE36" i="165"/>
  <c r="CU36" i="165"/>
  <c r="DE35" i="165"/>
  <c r="CU35" i="165"/>
  <c r="DE34" i="165"/>
  <c r="CU34" i="165"/>
  <c r="DE33" i="165"/>
  <c r="CU33" i="165"/>
  <c r="DE32" i="165"/>
  <c r="CU32" i="165"/>
  <c r="DE31" i="165"/>
  <c r="CU31" i="165"/>
  <c r="CU30" i="165"/>
  <c r="CU29" i="165"/>
  <c r="DE28" i="165"/>
  <c r="CU28" i="165"/>
  <c r="DE27" i="165"/>
  <c r="CU27" i="165"/>
  <c r="DE26" i="165"/>
  <c r="CU26" i="165"/>
  <c r="DE25" i="165"/>
  <c r="CU25" i="165"/>
  <c r="DE24" i="165"/>
  <c r="CU24" i="165"/>
  <c r="DE23" i="165"/>
  <c r="CU23" i="165"/>
  <c r="DE22" i="165"/>
  <c r="CU22" i="165"/>
  <c r="DE21" i="165"/>
  <c r="CU21" i="165"/>
  <c r="DE19" i="165"/>
  <c r="CU19" i="165"/>
  <c r="DE18" i="165"/>
  <c r="CU18" i="165"/>
  <c r="DE16" i="165"/>
  <c r="CU16" i="165"/>
  <c r="DE17" i="165"/>
  <c r="CU17" i="165"/>
  <c r="FY54" i="160"/>
  <c r="FZ54" i="160" s="1"/>
  <c r="FS54" i="84"/>
  <c r="FU54" i="84"/>
  <c r="CU68" i="84"/>
  <c r="CB68" i="84"/>
  <c r="CV19" i="165"/>
  <c r="AV40" i="147"/>
  <c r="AE36" i="147"/>
  <c r="AE30" i="147"/>
  <c r="AH29" i="147"/>
  <c r="AE28" i="147"/>
  <c r="AG26" i="147"/>
  <c r="AG24" i="147"/>
  <c r="DD45" i="165"/>
  <c r="FD45" i="165" s="1"/>
  <c r="DD44" i="165"/>
  <c r="FD44" i="165" s="1"/>
  <c r="DD43" i="165"/>
  <c r="FD43" i="165" s="1"/>
  <c r="DD42" i="165"/>
  <c r="FD42" i="165" s="1"/>
  <c r="DD41" i="165"/>
  <c r="FD41" i="165" s="1"/>
  <c r="DD40" i="165"/>
  <c r="FD40" i="165" s="1"/>
  <c r="DD39" i="165"/>
  <c r="FD39" i="165" s="1"/>
  <c r="DD38" i="165"/>
  <c r="FD38" i="165" s="1"/>
  <c r="FH38" i="165" s="1"/>
  <c r="DD37" i="165"/>
  <c r="FD37" i="165" s="1"/>
  <c r="DD36" i="165"/>
  <c r="FD36" i="165" s="1"/>
  <c r="DD35" i="165"/>
  <c r="FD35" i="165" s="1"/>
  <c r="DD34" i="165"/>
  <c r="FD34" i="165" s="1"/>
  <c r="DD33" i="165"/>
  <c r="FD33" i="165" s="1"/>
  <c r="DD32" i="165"/>
  <c r="FD32" i="165" s="1"/>
  <c r="DD31" i="165"/>
  <c r="FD31" i="165" s="1"/>
  <c r="DD30" i="165"/>
  <c r="FD30" i="165" s="1"/>
  <c r="DD29" i="165"/>
  <c r="FD29" i="165" s="1"/>
  <c r="DD28" i="165"/>
  <c r="FD28" i="165" s="1"/>
  <c r="DD27" i="165"/>
  <c r="FD27" i="165" s="1"/>
  <c r="DD26" i="165"/>
  <c r="FD26" i="165" s="1"/>
  <c r="DD25" i="165"/>
  <c r="FD25" i="165" s="1"/>
  <c r="DD24" i="165"/>
  <c r="FD24" i="165" s="1"/>
  <c r="DD23" i="165"/>
  <c r="FD23" i="165" s="1"/>
  <c r="DD22" i="165"/>
  <c r="FD22" i="165" s="1"/>
  <c r="FH22" i="165" s="1"/>
  <c r="DD21" i="165"/>
  <c r="FD21" i="165" s="1"/>
  <c r="DD20" i="165"/>
  <c r="FD20" i="165" s="1"/>
  <c r="DD19" i="165"/>
  <c r="FD19" i="165" s="1"/>
  <c r="DD18" i="165"/>
  <c r="FD18" i="165" s="1"/>
  <c r="DD17" i="165"/>
  <c r="FD17" i="165" s="1"/>
  <c r="DD16" i="165"/>
  <c r="FD16" i="165" s="1"/>
  <c r="DN45" i="165"/>
  <c r="FI45" i="165" s="1"/>
  <c r="DN44" i="165"/>
  <c r="FI44" i="165" s="1"/>
  <c r="DN43" i="165"/>
  <c r="FI43" i="165" s="1"/>
  <c r="DN42" i="165"/>
  <c r="FI42" i="165" s="1"/>
  <c r="DN41" i="165"/>
  <c r="FI41" i="165" s="1"/>
  <c r="DN40" i="165"/>
  <c r="FI40" i="165" s="1"/>
  <c r="DN39" i="165"/>
  <c r="FI39" i="165" s="1"/>
  <c r="DN38" i="165"/>
  <c r="FI38" i="165" s="1"/>
  <c r="DN37" i="165"/>
  <c r="FI37" i="165" s="1"/>
  <c r="DN36" i="165"/>
  <c r="FI36" i="165" s="1"/>
  <c r="DN35" i="165"/>
  <c r="FI35" i="165" s="1"/>
  <c r="DN34" i="165"/>
  <c r="FI34" i="165" s="1"/>
  <c r="DN33" i="165"/>
  <c r="FI33" i="165" s="1"/>
  <c r="DN32" i="165"/>
  <c r="FI32" i="165" s="1"/>
  <c r="DN31" i="165"/>
  <c r="FI31" i="165" s="1"/>
  <c r="DN30" i="165"/>
  <c r="FI30" i="165" s="1"/>
  <c r="DN29" i="165"/>
  <c r="FI29" i="165" s="1"/>
  <c r="DN28" i="165"/>
  <c r="FI28" i="165" s="1"/>
  <c r="DN27" i="165"/>
  <c r="FI27" i="165" s="1"/>
  <c r="DN26" i="165"/>
  <c r="FI26" i="165" s="1"/>
  <c r="DN25" i="165"/>
  <c r="FI25" i="165" s="1"/>
  <c r="DN24" i="165"/>
  <c r="FI24" i="165" s="1"/>
  <c r="DN23" i="165"/>
  <c r="FI23" i="165" s="1"/>
  <c r="DN22" i="165"/>
  <c r="FI22" i="165" s="1"/>
  <c r="DN21" i="165"/>
  <c r="FI21" i="165" s="1"/>
  <c r="DN20" i="165"/>
  <c r="FI20" i="165" s="1"/>
  <c r="DN19" i="165"/>
  <c r="FI19" i="165" s="1"/>
  <c r="DN18" i="165"/>
  <c r="FI18" i="165" s="1"/>
  <c r="DN17" i="165"/>
  <c r="FI17" i="165" s="1"/>
  <c r="DN16" i="165"/>
  <c r="FI16" i="165" s="1"/>
  <c r="CT85" i="160"/>
  <c r="EP85" i="160" s="1"/>
  <c r="CT84" i="160"/>
  <c r="EP84" i="160" s="1"/>
  <c r="CT83" i="160"/>
  <c r="EP83" i="160" s="1"/>
  <c r="CT82" i="160"/>
  <c r="EP82" i="160" s="1"/>
  <c r="CT81" i="160"/>
  <c r="EP81" i="160" s="1"/>
  <c r="CT80" i="160"/>
  <c r="EP80" i="160" s="1"/>
  <c r="CT79" i="160"/>
  <c r="CT78" i="160"/>
  <c r="EP78" i="160" s="1"/>
  <c r="CT77" i="160"/>
  <c r="EP77" i="160" s="1"/>
  <c r="CT76" i="160"/>
  <c r="EP76" i="160" s="1"/>
  <c r="CT75" i="160"/>
  <c r="EP75" i="160" s="1"/>
  <c r="CT74" i="160"/>
  <c r="EP74" i="160" s="1"/>
  <c r="CT73" i="160"/>
  <c r="EP73" i="160" s="1"/>
  <c r="CT72" i="160"/>
  <c r="EP72" i="160" s="1"/>
  <c r="CT71" i="160"/>
  <c r="CT70" i="160"/>
  <c r="EP70" i="160" s="1"/>
  <c r="CT69" i="160"/>
  <c r="EP69" i="160" s="1"/>
  <c r="CT68" i="160"/>
  <c r="EP68" i="160" s="1"/>
  <c r="CT67" i="160"/>
  <c r="EP67" i="160" s="1"/>
  <c r="CT66" i="160"/>
  <c r="EP66" i="160" s="1"/>
  <c r="CT65" i="160"/>
  <c r="EP65" i="160" s="1"/>
  <c r="CT64" i="160"/>
  <c r="EP64" i="160" s="1"/>
  <c r="CT63" i="160"/>
  <c r="EP63" i="160" s="1"/>
  <c r="CT62" i="160"/>
  <c r="EP62" i="160" s="1"/>
  <c r="CT61" i="160"/>
  <c r="EP61" i="160" s="1"/>
  <c r="CT60" i="160"/>
  <c r="EP60" i="160" s="1"/>
  <c r="CT59" i="160"/>
  <c r="EP59" i="160" s="1"/>
  <c r="CT58" i="160"/>
  <c r="EP58" i="160" s="1"/>
  <c r="CT57" i="160"/>
  <c r="EP57" i="160" s="1"/>
  <c r="CT56" i="160"/>
  <c r="EP56" i="160" s="1"/>
  <c r="CT55" i="160"/>
  <c r="EP55" i="160" s="1"/>
  <c r="CK85" i="160"/>
  <c r="EK85" i="160" s="1"/>
  <c r="CK84" i="160"/>
  <c r="EK84" i="160" s="1"/>
  <c r="CK83" i="160"/>
  <c r="EK83" i="160" s="1"/>
  <c r="CK82" i="160"/>
  <c r="EK82" i="160" s="1"/>
  <c r="CK81" i="160"/>
  <c r="EK81" i="160" s="1"/>
  <c r="CK80" i="160"/>
  <c r="EK80" i="160" s="1"/>
  <c r="CK79" i="160"/>
  <c r="EK79" i="160" s="1"/>
  <c r="CK78" i="160"/>
  <c r="EK78" i="160" s="1"/>
  <c r="CK77" i="160"/>
  <c r="EK77" i="160" s="1"/>
  <c r="CK76" i="160"/>
  <c r="EK76" i="160" s="1"/>
  <c r="CK75" i="160"/>
  <c r="EK75" i="160" s="1"/>
  <c r="CK74" i="160"/>
  <c r="EK74" i="160" s="1"/>
  <c r="CK73" i="160"/>
  <c r="EK73" i="160" s="1"/>
  <c r="CK72" i="160"/>
  <c r="EK72" i="160" s="1"/>
  <c r="CK71" i="160"/>
  <c r="EK71" i="160" s="1"/>
  <c r="CK70" i="160"/>
  <c r="EK70" i="160" s="1"/>
  <c r="CK69" i="160"/>
  <c r="EK69" i="160" s="1"/>
  <c r="CK68" i="160"/>
  <c r="EK68" i="160" s="1"/>
  <c r="CK67" i="160"/>
  <c r="EK67" i="160" s="1"/>
  <c r="CK66" i="160"/>
  <c r="EK66" i="160" s="1"/>
  <c r="CK65" i="160"/>
  <c r="EK65" i="160" s="1"/>
  <c r="CK64" i="160"/>
  <c r="EK64" i="160" s="1"/>
  <c r="CK63" i="160"/>
  <c r="EK63" i="160" s="1"/>
  <c r="CK62" i="160"/>
  <c r="EK62" i="160" s="1"/>
  <c r="CK61" i="160"/>
  <c r="EK61" i="160" s="1"/>
  <c r="CK60" i="160"/>
  <c r="EK60" i="160" s="1"/>
  <c r="CK59" i="160"/>
  <c r="EK59" i="160" s="1"/>
  <c r="CK58" i="160"/>
  <c r="EK58" i="160" s="1"/>
  <c r="CK57" i="160"/>
  <c r="EK57" i="160" s="1"/>
  <c r="CK56" i="160"/>
  <c r="EK56" i="160" s="1"/>
  <c r="CK55" i="160"/>
  <c r="EK55" i="160" s="1"/>
  <c r="CT54" i="160"/>
  <c r="EP54" i="160" s="1"/>
  <c r="CK54" i="160"/>
  <c r="EK54" i="160" s="1"/>
  <c r="CT85" i="84"/>
  <c r="EP85" i="84" s="1"/>
  <c r="CT84" i="84"/>
  <c r="EP84" i="84" s="1"/>
  <c r="CT83" i="84"/>
  <c r="EP83" i="84" s="1"/>
  <c r="CT82" i="84"/>
  <c r="EP82" i="84" s="1"/>
  <c r="CT81" i="84"/>
  <c r="EP81" i="84" s="1"/>
  <c r="CT80" i="84"/>
  <c r="CT79" i="84"/>
  <c r="CT78" i="84"/>
  <c r="EP78" i="84" s="1"/>
  <c r="CT77" i="84"/>
  <c r="EP77" i="84" s="1"/>
  <c r="CT76" i="84"/>
  <c r="EP76" i="84" s="1"/>
  <c r="CT75" i="84"/>
  <c r="EP75" i="84" s="1"/>
  <c r="CT74" i="84"/>
  <c r="EP74" i="84" s="1"/>
  <c r="CT73" i="84"/>
  <c r="EP73" i="84" s="1"/>
  <c r="CT72" i="84"/>
  <c r="EP72" i="84" s="1"/>
  <c r="CT71" i="84"/>
  <c r="EP71" i="84" s="1"/>
  <c r="CT69" i="84"/>
  <c r="EP69" i="84" s="1"/>
  <c r="CT68" i="84"/>
  <c r="EP68" i="84" s="1"/>
  <c r="EQ68" i="84" s="1"/>
  <c r="ER68" i="84" s="1"/>
  <c r="CK85" i="84"/>
  <c r="EK85" i="84" s="1"/>
  <c r="CK84" i="84"/>
  <c r="EK84" i="84" s="1"/>
  <c r="CK83" i="84"/>
  <c r="EK83" i="84" s="1"/>
  <c r="CK82" i="84"/>
  <c r="EK82" i="84" s="1"/>
  <c r="CK81" i="84"/>
  <c r="EK81" i="84" s="1"/>
  <c r="CK80" i="84"/>
  <c r="EK80" i="84" s="1"/>
  <c r="CK79" i="84"/>
  <c r="EK79" i="84" s="1"/>
  <c r="CK78" i="84"/>
  <c r="EK78" i="84" s="1"/>
  <c r="CK77" i="84"/>
  <c r="EK77" i="84" s="1"/>
  <c r="CK76" i="84"/>
  <c r="EK76" i="84" s="1"/>
  <c r="CK75" i="84"/>
  <c r="EK75" i="84" s="1"/>
  <c r="CK74" i="84"/>
  <c r="EK74" i="84" s="1"/>
  <c r="CK73" i="84"/>
  <c r="EK73" i="84" s="1"/>
  <c r="CK72" i="84"/>
  <c r="EK72" i="84" s="1"/>
  <c r="CK71" i="84"/>
  <c r="EK71" i="84" s="1"/>
  <c r="CK69" i="84"/>
  <c r="EK69" i="84" s="1"/>
  <c r="CK68" i="84"/>
  <c r="EK68" i="84" s="1"/>
  <c r="EL68" i="84" s="1"/>
  <c r="EM68" i="84" s="1"/>
  <c r="CT70" i="84"/>
  <c r="EP70" i="84" s="1"/>
  <c r="CK70" i="84"/>
  <c r="EK70" i="84" s="1"/>
  <c r="CS84" i="160"/>
  <c r="FE84" i="160"/>
  <c r="CJ84" i="160"/>
  <c r="CY84" i="160"/>
  <c r="FD84" i="160"/>
  <c r="CS83" i="160"/>
  <c r="FE83" i="160"/>
  <c r="CJ83" i="160"/>
  <c r="CY83" i="160"/>
  <c r="FD83" i="160"/>
  <c r="CS82" i="160"/>
  <c r="DG82" i="160"/>
  <c r="FE82" i="160"/>
  <c r="CJ82" i="160"/>
  <c r="CY82" i="160"/>
  <c r="FD82" i="160"/>
  <c r="CS81" i="160"/>
  <c r="FE81" i="160"/>
  <c r="CJ81" i="160"/>
  <c r="CY81" i="160"/>
  <c r="FD81" i="160"/>
  <c r="CS80" i="160"/>
  <c r="DG80" i="160"/>
  <c r="FE80" i="160"/>
  <c r="CJ80" i="160"/>
  <c r="CY80" i="160"/>
  <c r="CS79" i="160"/>
  <c r="FE79" i="160"/>
  <c r="CJ79" i="160"/>
  <c r="CY79" i="160"/>
  <c r="FD79" i="160"/>
  <c r="CS78" i="160"/>
  <c r="DG78" i="160"/>
  <c r="FE78" i="160"/>
  <c r="CJ78" i="160"/>
  <c r="CY78" i="160"/>
  <c r="FD78" i="160"/>
  <c r="CS77" i="160"/>
  <c r="FE77" i="160"/>
  <c r="CJ77" i="160"/>
  <c r="DA77" i="160"/>
  <c r="CY77" i="160"/>
  <c r="FD77" i="160"/>
  <c r="CS76" i="160"/>
  <c r="FE76" i="160"/>
  <c r="CJ76" i="160"/>
  <c r="CY76" i="160"/>
  <c r="FD76" i="160"/>
  <c r="CS75" i="160"/>
  <c r="FE75" i="160"/>
  <c r="CJ75" i="160"/>
  <c r="DA75" i="160"/>
  <c r="CY75" i="160"/>
  <c r="FD75" i="160"/>
  <c r="CS74" i="160"/>
  <c r="FE74" i="160"/>
  <c r="CJ74" i="160"/>
  <c r="CY74" i="160"/>
  <c r="FD74" i="160"/>
  <c r="CS73" i="160"/>
  <c r="FE73" i="160"/>
  <c r="CJ73" i="160"/>
  <c r="CY73" i="160"/>
  <c r="FD73" i="160"/>
  <c r="CS72" i="160"/>
  <c r="FE72" i="160"/>
  <c r="CJ72" i="160"/>
  <c r="CY72" i="160"/>
  <c r="CS71" i="160"/>
  <c r="CJ71" i="160"/>
  <c r="CY71" i="160"/>
  <c r="FD71" i="160"/>
  <c r="CS70" i="160"/>
  <c r="DG70" i="160"/>
  <c r="FE70" i="160"/>
  <c r="CJ70" i="160"/>
  <c r="CY70" i="160"/>
  <c r="CS69" i="160"/>
  <c r="CJ69" i="160"/>
  <c r="CY69" i="160"/>
  <c r="FD69" i="160"/>
  <c r="CS68" i="160"/>
  <c r="FE68" i="160"/>
  <c r="CJ68" i="160"/>
  <c r="CY68" i="160"/>
  <c r="FD68" i="160"/>
  <c r="CS67" i="160"/>
  <c r="FE67" i="160"/>
  <c r="CJ67" i="160"/>
  <c r="DA67" i="160"/>
  <c r="CY67" i="160"/>
  <c r="FD67" i="160"/>
  <c r="CS66" i="160"/>
  <c r="FE66" i="160"/>
  <c r="CJ66" i="160"/>
  <c r="CY66" i="160"/>
  <c r="FD66" i="160"/>
  <c r="CS65" i="160"/>
  <c r="FE65" i="160"/>
  <c r="CJ65" i="160"/>
  <c r="CY65" i="160"/>
  <c r="FD65" i="160"/>
  <c r="CS64" i="160"/>
  <c r="FE64" i="160"/>
  <c r="CJ64" i="160"/>
  <c r="CY64" i="160"/>
  <c r="FD64" i="160"/>
  <c r="CS63" i="160"/>
  <c r="FE63" i="160"/>
  <c r="CJ63" i="160"/>
  <c r="CY63" i="160"/>
  <c r="FD63" i="160"/>
  <c r="CS62" i="160"/>
  <c r="CJ62" i="160"/>
  <c r="CY62" i="160"/>
  <c r="CS61" i="160"/>
  <c r="CJ61" i="160"/>
  <c r="CY61" i="160"/>
  <c r="CS60" i="160"/>
  <c r="DG60" i="160" s="1"/>
  <c r="CJ60" i="160"/>
  <c r="CY60" i="160"/>
  <c r="CS59" i="160"/>
  <c r="DG59" i="160"/>
  <c r="CJ59" i="160"/>
  <c r="CY59" i="160"/>
  <c r="FD59" i="160"/>
  <c r="CS58" i="160"/>
  <c r="CJ58" i="160"/>
  <c r="CY58" i="160"/>
  <c r="CS57" i="160"/>
  <c r="FE57" i="160"/>
  <c r="CJ57" i="160"/>
  <c r="CY57" i="160"/>
  <c r="CS56" i="160"/>
  <c r="CJ56" i="160"/>
  <c r="CY56" i="160"/>
  <c r="CS55" i="160"/>
  <c r="FE55" i="160"/>
  <c r="CJ55" i="160"/>
  <c r="CY55" i="160"/>
  <c r="FD55" i="160"/>
  <c r="CS54" i="160"/>
  <c r="CJ54" i="160"/>
  <c r="CY54" i="160"/>
  <c r="FD54" i="160"/>
  <c r="CS85" i="160"/>
  <c r="FE85" i="160"/>
  <c r="CJ85" i="160"/>
  <c r="CY85" i="160"/>
  <c r="FD85" i="160"/>
  <c r="CS85" i="84"/>
  <c r="DG85" i="84"/>
  <c r="CJ85" i="84"/>
  <c r="DA85" i="84"/>
  <c r="CY85" i="84"/>
  <c r="FD85" i="84"/>
  <c r="CS84" i="84"/>
  <c r="DG84" i="84"/>
  <c r="CJ84" i="84"/>
  <c r="DA84" i="84"/>
  <c r="CY84" i="84"/>
  <c r="CS83" i="84"/>
  <c r="DG83" i="84"/>
  <c r="CJ83" i="84"/>
  <c r="DA83" i="84"/>
  <c r="CY83" i="84"/>
  <c r="CS82" i="84"/>
  <c r="DG82" i="84"/>
  <c r="CJ82" i="84"/>
  <c r="CY82" i="84"/>
  <c r="CS81" i="84"/>
  <c r="DG81" i="84"/>
  <c r="CJ81" i="84"/>
  <c r="DA81" i="84"/>
  <c r="CY81" i="84"/>
  <c r="CS80" i="84"/>
  <c r="DG80" i="84"/>
  <c r="CJ80" i="84"/>
  <c r="DA80" i="84"/>
  <c r="CY80" i="84"/>
  <c r="CS79" i="84"/>
  <c r="DG79" i="84"/>
  <c r="CJ79" i="84"/>
  <c r="DA79" i="84"/>
  <c r="CY79" i="84"/>
  <c r="CS78" i="84"/>
  <c r="CJ78" i="84"/>
  <c r="CY78" i="84"/>
  <c r="CS77" i="84"/>
  <c r="CJ77" i="84"/>
  <c r="DA77" i="84"/>
  <c r="CY77" i="84"/>
  <c r="CS76" i="84"/>
  <c r="DG76" i="84"/>
  <c r="FE76" i="84"/>
  <c r="CJ76" i="84"/>
  <c r="DA76" i="84"/>
  <c r="CY76" i="84"/>
  <c r="CS75" i="84"/>
  <c r="DG75" i="84"/>
  <c r="FE75" i="84"/>
  <c r="CJ75" i="84"/>
  <c r="DA75" i="84"/>
  <c r="CY75" i="84"/>
  <c r="FD75" i="84"/>
  <c r="CS74" i="84"/>
  <c r="DG74" i="84"/>
  <c r="FE74" i="84"/>
  <c r="CJ74" i="84"/>
  <c r="DA74" i="84"/>
  <c r="CY74" i="84"/>
  <c r="CS73" i="84"/>
  <c r="CJ73" i="84"/>
  <c r="CY73" i="84"/>
  <c r="CS72" i="84"/>
  <c r="CJ72" i="84"/>
  <c r="CY72" i="84"/>
  <c r="CS71" i="84"/>
  <c r="CJ71" i="84"/>
  <c r="CY71" i="84"/>
  <c r="CS69" i="84"/>
  <c r="DG69" i="84"/>
  <c r="CJ69" i="84"/>
  <c r="DA69" i="84"/>
  <c r="CY69" i="84"/>
  <c r="FD69" i="84"/>
  <c r="CS68" i="84"/>
  <c r="DE68" i="84"/>
  <c r="CJ68" i="84"/>
  <c r="CY68" i="84"/>
  <c r="CS70" i="84"/>
  <c r="DE70" i="84"/>
  <c r="CJ70" i="84"/>
  <c r="CY70" i="84"/>
  <c r="DC45" i="165"/>
  <c r="DS45" i="165"/>
  <c r="DC44" i="165"/>
  <c r="DS44" i="165"/>
  <c r="DC43" i="165"/>
  <c r="DS43" i="165"/>
  <c r="DC42" i="165"/>
  <c r="DS42" i="165"/>
  <c r="DC41" i="165"/>
  <c r="DS41" i="165"/>
  <c r="DC40" i="165"/>
  <c r="DS40" i="165"/>
  <c r="DC39" i="165"/>
  <c r="DS39" i="165"/>
  <c r="DC38" i="165"/>
  <c r="DS38" i="165"/>
  <c r="DC37" i="165"/>
  <c r="DS37" i="165"/>
  <c r="DC36" i="165"/>
  <c r="DS36" i="165"/>
  <c r="DC35" i="165"/>
  <c r="DS35" i="165"/>
  <c r="DC34" i="165"/>
  <c r="DS34" i="165"/>
  <c r="DC33" i="165"/>
  <c r="DS33" i="165"/>
  <c r="DC32" i="165"/>
  <c r="DS32" i="165"/>
  <c r="DC31" i="165"/>
  <c r="DS31" i="165"/>
  <c r="DC30" i="165"/>
  <c r="DS30" i="165"/>
  <c r="DC29" i="165"/>
  <c r="DS29" i="165"/>
  <c r="DC28" i="165"/>
  <c r="DS28" i="165"/>
  <c r="DC27" i="165"/>
  <c r="DS27" i="165"/>
  <c r="DC26" i="165"/>
  <c r="DS26" i="165"/>
  <c r="DC25" i="165"/>
  <c r="DS25" i="165"/>
  <c r="DC24" i="165"/>
  <c r="DS24" i="165"/>
  <c r="DC23" i="165"/>
  <c r="DS23" i="165"/>
  <c r="DC22" i="165"/>
  <c r="DS22" i="165"/>
  <c r="DC21" i="165"/>
  <c r="DS21" i="165"/>
  <c r="DC20" i="165"/>
  <c r="DS20" i="165"/>
  <c r="DC19" i="165"/>
  <c r="DS19" i="165"/>
  <c r="DC18" i="165"/>
  <c r="DS18" i="165"/>
  <c r="DC17" i="165"/>
  <c r="DS17" i="165"/>
  <c r="DC16" i="165"/>
  <c r="DS16" i="165"/>
  <c r="AK41" i="165"/>
  <c r="AL41" i="165" s="1"/>
  <c r="AK32" i="165"/>
  <c r="AL32" i="165" s="1"/>
  <c r="AK17" i="165"/>
  <c r="AL17" i="165" s="1"/>
  <c r="AH48" i="117"/>
  <c r="AG48" i="117"/>
  <c r="AH47" i="117"/>
  <c r="AG47" i="117"/>
  <c r="AH46" i="117"/>
  <c r="AG46" i="117"/>
  <c r="AH45" i="117"/>
  <c r="AG45" i="117"/>
  <c r="AH44" i="117"/>
  <c r="AG44" i="117"/>
  <c r="AH43" i="117"/>
  <c r="AG43" i="117"/>
  <c r="AH42" i="117"/>
  <c r="AG42" i="117"/>
  <c r="AH41" i="117"/>
  <c r="AG41" i="117"/>
  <c r="AH40" i="117"/>
  <c r="AG40" i="117"/>
  <c r="AH39" i="117"/>
  <c r="AG39" i="117"/>
  <c r="AH38" i="117"/>
  <c r="AG38" i="117"/>
  <c r="AH37" i="117"/>
  <c r="AG37" i="117"/>
  <c r="AH36" i="117"/>
  <c r="AG36" i="117"/>
  <c r="AH35" i="117"/>
  <c r="AG35" i="117"/>
  <c r="AH34" i="117"/>
  <c r="AG34" i="117"/>
  <c r="AH33" i="117"/>
  <c r="AG33" i="117"/>
  <c r="AH32" i="117"/>
  <c r="AG32" i="117"/>
  <c r="AH31" i="117"/>
  <c r="AG31" i="117"/>
  <c r="AH30" i="117"/>
  <c r="AG30" i="117"/>
  <c r="AH29" i="117"/>
  <c r="AG29" i="117"/>
  <c r="AH28" i="117"/>
  <c r="AG28" i="117"/>
  <c r="AH27" i="117"/>
  <c r="AG27" i="117"/>
  <c r="AH26" i="117"/>
  <c r="AG26" i="117"/>
  <c r="AH24" i="117"/>
  <c r="AG24" i="117"/>
  <c r="AH23" i="117"/>
  <c r="AG23" i="117"/>
  <c r="AH22" i="117"/>
  <c r="AG22" i="117"/>
  <c r="AH21" i="117"/>
  <c r="AG21" i="117"/>
  <c r="AH20" i="117"/>
  <c r="AG20" i="117"/>
  <c r="AH19" i="117"/>
  <c r="AG19" i="117"/>
  <c r="AH18" i="117"/>
  <c r="AG18" i="117"/>
  <c r="AH17" i="117"/>
  <c r="AG17" i="117"/>
  <c r="AH16" i="117"/>
  <c r="AG16" i="117"/>
  <c r="AH15" i="117"/>
  <c r="AG15" i="117"/>
  <c r="AH14" i="117"/>
  <c r="AG14" i="117"/>
  <c r="AH13" i="117"/>
  <c r="AG13" i="117"/>
  <c r="AH25" i="117"/>
  <c r="AG25" i="117"/>
  <c r="M6" i="84"/>
  <c r="CU70" i="84"/>
  <c r="AN30" i="114"/>
  <c r="AM30" i="114"/>
  <c r="AL30" i="114"/>
  <c r="AJ30" i="114"/>
  <c r="DF19" i="165"/>
  <c r="DE85" i="84"/>
  <c r="DE84" i="84"/>
  <c r="DE83" i="84"/>
  <c r="DE82" i="84"/>
  <c r="DE81" i="84"/>
  <c r="DE80" i="84"/>
  <c r="DE79" i="84"/>
  <c r="DE78" i="84"/>
  <c r="DE77" i="84"/>
  <c r="DE76" i="84"/>
  <c r="DE75" i="84"/>
  <c r="DE74" i="84"/>
  <c r="DE73" i="84"/>
  <c r="DE72" i="84"/>
  <c r="DE71" i="84"/>
  <c r="DE69" i="84"/>
  <c r="DE85" i="160"/>
  <c r="DE84" i="160"/>
  <c r="DE83" i="160"/>
  <c r="DE82" i="160"/>
  <c r="DE81" i="160"/>
  <c r="DE80" i="160"/>
  <c r="DE79" i="160"/>
  <c r="DE78" i="160"/>
  <c r="DE77" i="160"/>
  <c r="DE76" i="160"/>
  <c r="DE75" i="160"/>
  <c r="DE74" i="160"/>
  <c r="DE73" i="160"/>
  <c r="DE72" i="160"/>
  <c r="DE71" i="160"/>
  <c r="DE70" i="160"/>
  <c r="DE69" i="160"/>
  <c r="DE68" i="160"/>
  <c r="DE67" i="160"/>
  <c r="DE66" i="160"/>
  <c r="DE65" i="160"/>
  <c r="DE64" i="160"/>
  <c r="DE63" i="160"/>
  <c r="DE62" i="160"/>
  <c r="DE61" i="160"/>
  <c r="DE60" i="160"/>
  <c r="DE59" i="160"/>
  <c r="DE58" i="160"/>
  <c r="DE57" i="160"/>
  <c r="DE56" i="160"/>
  <c r="DE55" i="160"/>
  <c r="FH43" i="165"/>
  <c r="FH40" i="165"/>
  <c r="FM38" i="165"/>
  <c r="FM36" i="165"/>
  <c r="FM34" i="165"/>
  <c r="FH34" i="165"/>
  <c r="FM31" i="165"/>
  <c r="FM29" i="165"/>
  <c r="FM27" i="165"/>
  <c r="FH27" i="165"/>
  <c r="FM26" i="165"/>
  <c r="FH26" i="165"/>
  <c r="FH24" i="165"/>
  <c r="FH23" i="165"/>
  <c r="FM20" i="165"/>
  <c r="FM19" i="165"/>
  <c r="FH19" i="165"/>
  <c r="FM18" i="165"/>
  <c r="FH18" i="165"/>
  <c r="FH17" i="165"/>
  <c r="FM16" i="165"/>
  <c r="DC6" i="165"/>
  <c r="DB6" i="165"/>
  <c r="DA6" i="165"/>
  <c r="CZ6" i="165"/>
  <c r="CY6" i="165"/>
  <c r="CX6" i="165"/>
  <c r="CW6" i="165"/>
  <c r="CV6" i="165"/>
  <c r="DC5" i="165"/>
  <c r="DB5" i="165"/>
  <c r="DA5" i="165"/>
  <c r="CZ5" i="165"/>
  <c r="CY5" i="165"/>
  <c r="CX5" i="165"/>
  <c r="AM52" i="165" s="1"/>
  <c r="CW5" i="165"/>
  <c r="CV5" i="165"/>
  <c r="DC4" i="165"/>
  <c r="DB4" i="165"/>
  <c r="DA4" i="165"/>
  <c r="AK53" i="165" s="1"/>
  <c r="CZ4" i="165"/>
  <c r="CY4" i="165"/>
  <c r="CX4" i="165"/>
  <c r="AM49" i="165" s="1"/>
  <c r="CW4" i="165"/>
  <c r="CV4" i="165"/>
  <c r="DD2" i="165"/>
  <c r="DB2" i="165"/>
  <c r="CZ2" i="165"/>
  <c r="CX2" i="165"/>
  <c r="CX1" i="165"/>
  <c r="CY1" i="165" s="1"/>
  <c r="DK45" i="165"/>
  <c r="FT45" i="165"/>
  <c r="DG45" i="165"/>
  <c r="DA45" i="165"/>
  <c r="FS45" i="165"/>
  <c r="CW45" i="165"/>
  <c r="DL44" i="165"/>
  <c r="DK44" i="165"/>
  <c r="DG44" i="165"/>
  <c r="DB44" i="165"/>
  <c r="DA44" i="165"/>
  <c r="FS44" i="165"/>
  <c r="CW44" i="165"/>
  <c r="DL43" i="165"/>
  <c r="DK43" i="165"/>
  <c r="DG43" i="165"/>
  <c r="DB43" i="165"/>
  <c r="DA43" i="165"/>
  <c r="CW43" i="165"/>
  <c r="DL42" i="165"/>
  <c r="DK42" i="165"/>
  <c r="DG42" i="165"/>
  <c r="DB42" i="165"/>
  <c r="DA42" i="165"/>
  <c r="CW42" i="165"/>
  <c r="DL41" i="165"/>
  <c r="DK41" i="165"/>
  <c r="FT41" i="165"/>
  <c r="DG41" i="165"/>
  <c r="DB41" i="165"/>
  <c r="DA41" i="165"/>
  <c r="CW41" i="165"/>
  <c r="DL40" i="165"/>
  <c r="DK40" i="165"/>
  <c r="DG40" i="165"/>
  <c r="DB40" i="165"/>
  <c r="DA40" i="165"/>
  <c r="CW40" i="165"/>
  <c r="DL39" i="165"/>
  <c r="DK39" i="165"/>
  <c r="DG39" i="165"/>
  <c r="DB39" i="165"/>
  <c r="DA39" i="165"/>
  <c r="CW39" i="165"/>
  <c r="DL38" i="165"/>
  <c r="DK38" i="165"/>
  <c r="DG38" i="165"/>
  <c r="DB38" i="165"/>
  <c r="DA38" i="165"/>
  <c r="CW38" i="165"/>
  <c r="DL37" i="165"/>
  <c r="DK37" i="165"/>
  <c r="FT37" i="165"/>
  <c r="DG37" i="165"/>
  <c r="DB37" i="165"/>
  <c r="DA37" i="165"/>
  <c r="CW37" i="165"/>
  <c r="DL36" i="165"/>
  <c r="DK36" i="165"/>
  <c r="DG36" i="165"/>
  <c r="DB36" i="165"/>
  <c r="DA36" i="165"/>
  <c r="FS36" i="165"/>
  <c r="CW36" i="165"/>
  <c r="DL35" i="165"/>
  <c r="DK35" i="165"/>
  <c r="FT35" i="165"/>
  <c r="DG35" i="165"/>
  <c r="DB35" i="165"/>
  <c r="DA35" i="165"/>
  <c r="CW35" i="165"/>
  <c r="DL34" i="165"/>
  <c r="DK34" i="165"/>
  <c r="FT34" i="165"/>
  <c r="DG34" i="165"/>
  <c r="DB34" i="165"/>
  <c r="DA34" i="165"/>
  <c r="CW34" i="165"/>
  <c r="DL33" i="165"/>
  <c r="DK33" i="165"/>
  <c r="DG33" i="165"/>
  <c r="DB33" i="165"/>
  <c r="DA33" i="165"/>
  <c r="CW33" i="165"/>
  <c r="DL32" i="165"/>
  <c r="DK32" i="165"/>
  <c r="DG32" i="165"/>
  <c r="DB32" i="165"/>
  <c r="DA32" i="165"/>
  <c r="CW32" i="165"/>
  <c r="DL31" i="165"/>
  <c r="DK31" i="165"/>
  <c r="DG31" i="165"/>
  <c r="DB31" i="165"/>
  <c r="DA31" i="165"/>
  <c r="CW31" i="165"/>
  <c r="DK30" i="165"/>
  <c r="DG30" i="165"/>
  <c r="DA30" i="165"/>
  <c r="CW30" i="165"/>
  <c r="DL29" i="165"/>
  <c r="DK29" i="165"/>
  <c r="EL29" i="165" s="1"/>
  <c r="FT29" i="165"/>
  <c r="DG29" i="165"/>
  <c r="DB29" i="165"/>
  <c r="DA29" i="165"/>
  <c r="FS29" i="165"/>
  <c r="CW29" i="165"/>
  <c r="DL28" i="165"/>
  <c r="DK28" i="165"/>
  <c r="EL28" i="165" s="1"/>
  <c r="DG28" i="165"/>
  <c r="DB28" i="165"/>
  <c r="DA28" i="165"/>
  <c r="CW28" i="165"/>
  <c r="DL27" i="165"/>
  <c r="DK27" i="165"/>
  <c r="EL27" i="165" s="1"/>
  <c r="DG27" i="165"/>
  <c r="DB27" i="165"/>
  <c r="DA27" i="165"/>
  <c r="CW27" i="165"/>
  <c r="DK26" i="165"/>
  <c r="EL26" i="165" s="1"/>
  <c r="DG26" i="165"/>
  <c r="DA26" i="165"/>
  <c r="CW26" i="165"/>
  <c r="DK25" i="165"/>
  <c r="EL25" i="165" s="1"/>
  <c r="FT25" i="165"/>
  <c r="DG25" i="165"/>
  <c r="DA25" i="165"/>
  <c r="CW25" i="165"/>
  <c r="DK24" i="165"/>
  <c r="EL24" i="165" s="1"/>
  <c r="DG24" i="165"/>
  <c r="DB24" i="165"/>
  <c r="DA24" i="165"/>
  <c r="FS24" i="165"/>
  <c r="CW24" i="165"/>
  <c r="DK23" i="165"/>
  <c r="DG23" i="165"/>
  <c r="DA23" i="165"/>
  <c r="CW23" i="165"/>
  <c r="DK22" i="165"/>
  <c r="DG22" i="165"/>
  <c r="DA22" i="165"/>
  <c r="CW22" i="165"/>
  <c r="DL21" i="165"/>
  <c r="DK21" i="165"/>
  <c r="EL21" i="165" s="1"/>
  <c r="DG21" i="165"/>
  <c r="DB21" i="165"/>
  <c r="DA21" i="165"/>
  <c r="FS21" i="165"/>
  <c r="CW21" i="165"/>
  <c r="DK20" i="165"/>
  <c r="DG20" i="165"/>
  <c r="DA20" i="165"/>
  <c r="CW20" i="165"/>
  <c r="DL19" i="165"/>
  <c r="DK19" i="165"/>
  <c r="EL19" i="165" s="1"/>
  <c r="DG19" i="165"/>
  <c r="DB19" i="165"/>
  <c r="DA19" i="165"/>
  <c r="CW19" i="165"/>
  <c r="DK18" i="165"/>
  <c r="DG18" i="165"/>
  <c r="DA18" i="165"/>
  <c r="CW18" i="165"/>
  <c r="DK17" i="165"/>
  <c r="EL17" i="165" s="1"/>
  <c r="FT17" i="165"/>
  <c r="DG17" i="165"/>
  <c r="DA17" i="165"/>
  <c r="FS17" i="165"/>
  <c r="CW17" i="165"/>
  <c r="DK16" i="165"/>
  <c r="EL16" i="165" s="1"/>
  <c r="DG16" i="165"/>
  <c r="DA16" i="165"/>
  <c r="CW16" i="165"/>
  <c r="CC68" i="147"/>
  <c r="CB68" i="147"/>
  <c r="AF24" i="147"/>
  <c r="AG25" i="147"/>
  <c r="AF29" i="147"/>
  <c r="AE32" i="147"/>
  <c r="AG32" i="147"/>
  <c r="AE33" i="147"/>
  <c r="AF33" i="147"/>
  <c r="AG33" i="147"/>
  <c r="AD33" i="147"/>
  <c r="AE34" i="147"/>
  <c r="AG34" i="147"/>
  <c r="AE35" i="147"/>
  <c r="AE37" i="147"/>
  <c r="AF37" i="147"/>
  <c r="AG37" i="147"/>
  <c r="AD37" i="147"/>
  <c r="AE38" i="147"/>
  <c r="AF38" i="147"/>
  <c r="AG38" i="147"/>
  <c r="AE39" i="147"/>
  <c r="AF39" i="147"/>
  <c r="AG39" i="147"/>
  <c r="AD39" i="147"/>
  <c r="AH28" i="147"/>
  <c r="AH33" i="147"/>
  <c r="AH37" i="147"/>
  <c r="AH38" i="147"/>
  <c r="AH39" i="147"/>
  <c r="DO45" i="165"/>
  <c r="CO45" i="165"/>
  <c r="CN45" i="165"/>
  <c r="AE1" i="165"/>
  <c r="AY57" i="165" s="1"/>
  <c r="AH45" i="165"/>
  <c r="AG45" i="165"/>
  <c r="AF45" i="165"/>
  <c r="AE45" i="165"/>
  <c r="AD45" i="165" s="1"/>
  <c r="DO44" i="165"/>
  <c r="CO44" i="165"/>
  <c r="CN44" i="165"/>
  <c r="AH44" i="165"/>
  <c r="AG44" i="165"/>
  <c r="AF44" i="165"/>
  <c r="AE44" i="165"/>
  <c r="AD44" i="165" s="1"/>
  <c r="DO43" i="165"/>
  <c r="CO43" i="165"/>
  <c r="CN43" i="165"/>
  <c r="AH43" i="165"/>
  <c r="AG43" i="165"/>
  <c r="AF43" i="165"/>
  <c r="AE43" i="165"/>
  <c r="DO42" i="165"/>
  <c r="CO42" i="165"/>
  <c r="CN42" i="165"/>
  <c r="AG42" i="165"/>
  <c r="AF42" i="165"/>
  <c r="AE42" i="165"/>
  <c r="AD42" i="165" s="1"/>
  <c r="DO41" i="165"/>
  <c r="CO41" i="165"/>
  <c r="CN41" i="165"/>
  <c r="AH41" i="165"/>
  <c r="AG41" i="165"/>
  <c r="AF41" i="165"/>
  <c r="AE41" i="165"/>
  <c r="AD41" i="165" s="1"/>
  <c r="DO40" i="165"/>
  <c r="CO40" i="165"/>
  <c r="CN40" i="165"/>
  <c r="AH40" i="165"/>
  <c r="AG40" i="165"/>
  <c r="AF40" i="165"/>
  <c r="AE40" i="165"/>
  <c r="DO39" i="165"/>
  <c r="CO39" i="165"/>
  <c r="CN39" i="165"/>
  <c r="AH39" i="165"/>
  <c r="AG39" i="165"/>
  <c r="AF39" i="165"/>
  <c r="AE39" i="165"/>
  <c r="AD39" i="165" s="1"/>
  <c r="DO38" i="165"/>
  <c r="CO38" i="165"/>
  <c r="CN38" i="165"/>
  <c r="AH38" i="165"/>
  <c r="AG38" i="165"/>
  <c r="AF38" i="165"/>
  <c r="AE38" i="165"/>
  <c r="AD38" i="165" s="1"/>
  <c r="DO37" i="165"/>
  <c r="CO37" i="165"/>
  <c r="CN37" i="165"/>
  <c r="AH37" i="165"/>
  <c r="AG37" i="165"/>
  <c r="DO36" i="165"/>
  <c r="CO36" i="165"/>
  <c r="CN36" i="165"/>
  <c r="DO35" i="165"/>
  <c r="CO35" i="165"/>
  <c r="CN35" i="165"/>
  <c r="AH35" i="165"/>
  <c r="AG35" i="165"/>
  <c r="DO34" i="165"/>
  <c r="CO34" i="165"/>
  <c r="CN34" i="165"/>
  <c r="AH34" i="165"/>
  <c r="AG34" i="165"/>
  <c r="AF34" i="165"/>
  <c r="AE34" i="165"/>
  <c r="AD34" i="165" s="1"/>
  <c r="DO33" i="165"/>
  <c r="CO33" i="165"/>
  <c r="CN33" i="165"/>
  <c r="AH33" i="165"/>
  <c r="AG33" i="165"/>
  <c r="AF33" i="165"/>
  <c r="AE33" i="165"/>
  <c r="AD33" i="165" s="1"/>
  <c r="DO32" i="165"/>
  <c r="CO32" i="165"/>
  <c r="CN32" i="165"/>
  <c r="AH32" i="165"/>
  <c r="AG32" i="165"/>
  <c r="AF32" i="165"/>
  <c r="AE32" i="165"/>
  <c r="DO31" i="165"/>
  <c r="CO31" i="165"/>
  <c r="CN31" i="165"/>
  <c r="AH31" i="165"/>
  <c r="AG31" i="165"/>
  <c r="AF31" i="165"/>
  <c r="AE31" i="165"/>
  <c r="DO30" i="165"/>
  <c r="CO30" i="165"/>
  <c r="CN30" i="165"/>
  <c r="DO29" i="165"/>
  <c r="CO29" i="165"/>
  <c r="CN29" i="165"/>
  <c r="AH29" i="165"/>
  <c r="AG29" i="165"/>
  <c r="AF29" i="165"/>
  <c r="AE29" i="165"/>
  <c r="DO28" i="165"/>
  <c r="FJ28" i="165" s="1"/>
  <c r="FK28" i="165" s="1"/>
  <c r="FL28" i="165" s="1"/>
  <c r="Z28" i="165" s="1"/>
  <c r="CO28" i="165"/>
  <c r="CN28" i="165"/>
  <c r="AH28" i="165"/>
  <c r="AG28" i="165"/>
  <c r="AF28" i="165"/>
  <c r="AE28" i="165"/>
  <c r="DO27" i="165"/>
  <c r="CO27" i="165"/>
  <c r="CN27" i="165"/>
  <c r="AH27" i="165"/>
  <c r="AG27" i="165"/>
  <c r="AF27" i="165"/>
  <c r="AE27" i="165"/>
  <c r="DO26" i="165"/>
  <c r="CO26" i="165"/>
  <c r="CN26" i="165"/>
  <c r="AH26" i="165"/>
  <c r="AG26" i="165"/>
  <c r="AF26" i="165"/>
  <c r="AE26" i="165"/>
  <c r="DO25" i="165"/>
  <c r="CO25" i="165"/>
  <c r="CN25" i="165"/>
  <c r="AH25" i="165"/>
  <c r="AG25" i="165"/>
  <c r="AF25" i="165"/>
  <c r="AE25" i="165"/>
  <c r="DO24" i="165"/>
  <c r="FJ24" i="165" s="1"/>
  <c r="FK24" i="165" s="1"/>
  <c r="FL24" i="165" s="1"/>
  <c r="Z24" i="165" s="1"/>
  <c r="CO24" i="165"/>
  <c r="CN24" i="165"/>
  <c r="AH24" i="165"/>
  <c r="AG24" i="165"/>
  <c r="AF24" i="165"/>
  <c r="AE24" i="165"/>
  <c r="DO23" i="165"/>
  <c r="CO23" i="165"/>
  <c r="CN23" i="165"/>
  <c r="AH23" i="165"/>
  <c r="AG23" i="165"/>
  <c r="AF23" i="165"/>
  <c r="AE23" i="165"/>
  <c r="DO22" i="165"/>
  <c r="CO22" i="165"/>
  <c r="CN22" i="165"/>
  <c r="AH22" i="165"/>
  <c r="AG22" i="165"/>
  <c r="AF22" i="165"/>
  <c r="AE22" i="165"/>
  <c r="DO21" i="165"/>
  <c r="CO21" i="165"/>
  <c r="CN21" i="165"/>
  <c r="AH21" i="165"/>
  <c r="AG21" i="165"/>
  <c r="AE21" i="165"/>
  <c r="DO20" i="165"/>
  <c r="CO20" i="165"/>
  <c r="CN20" i="165"/>
  <c r="AH20" i="165"/>
  <c r="AG20" i="165"/>
  <c r="AF20" i="165"/>
  <c r="AE20" i="165"/>
  <c r="DO19" i="165"/>
  <c r="CO19" i="165"/>
  <c r="CN19" i="165"/>
  <c r="DO18" i="165"/>
  <c r="CO18" i="165"/>
  <c r="CN18" i="165"/>
  <c r="AH18" i="165"/>
  <c r="AG18" i="165"/>
  <c r="AF18" i="165"/>
  <c r="AE18" i="165"/>
  <c r="DO17" i="165"/>
  <c r="CO17" i="165"/>
  <c r="CN17" i="165"/>
  <c r="AH17" i="165"/>
  <c r="AG17" i="165"/>
  <c r="AF17" i="165"/>
  <c r="AE17" i="165"/>
  <c r="DO16" i="165"/>
  <c r="CO16" i="165"/>
  <c r="CN16" i="165"/>
  <c r="AH16" i="165"/>
  <c r="AG16" i="165"/>
  <c r="AF16" i="165"/>
  <c r="AE16" i="165"/>
  <c r="AD16" i="165" s="1"/>
  <c r="CO40" i="147"/>
  <c r="CN40" i="147"/>
  <c r="CO39" i="147"/>
  <c r="CN39" i="147"/>
  <c r="CO38" i="147"/>
  <c r="CN38" i="147"/>
  <c r="CO37" i="147"/>
  <c r="CN37" i="147"/>
  <c r="CO36" i="147"/>
  <c r="CN36" i="147"/>
  <c r="CO35" i="147"/>
  <c r="CN35" i="147"/>
  <c r="CO34" i="147"/>
  <c r="CN34" i="147"/>
  <c r="CO33" i="147"/>
  <c r="CN33" i="147"/>
  <c r="CO32" i="147"/>
  <c r="CN32" i="147"/>
  <c r="CO31" i="147"/>
  <c r="CN31" i="147"/>
  <c r="CO30" i="147"/>
  <c r="CN30" i="147"/>
  <c r="CO29" i="147"/>
  <c r="CN29" i="147"/>
  <c r="CO28" i="147"/>
  <c r="CN28" i="147"/>
  <c r="CO27" i="147"/>
  <c r="CN27" i="147"/>
  <c r="CO26" i="147"/>
  <c r="CN26" i="147"/>
  <c r="CO25" i="147"/>
  <c r="CN25" i="147"/>
  <c r="CO24" i="147"/>
  <c r="CN24" i="147"/>
  <c r="CO23" i="147"/>
  <c r="CN23" i="147"/>
  <c r="AA12" i="165"/>
  <c r="AB12" i="165" s="1"/>
  <c r="AD1" i="165"/>
  <c r="P2" i="165" s="1"/>
  <c r="Y6" i="165"/>
  <c r="C9" i="165"/>
  <c r="S9" i="165"/>
  <c r="C10" i="165"/>
  <c r="S10" i="165"/>
  <c r="Z10" i="165"/>
  <c r="AL52" i="165"/>
  <c r="FS54" i="160"/>
  <c r="FR54" i="160" s="1"/>
  <c r="FS55" i="160" s="1"/>
  <c r="FO55" i="160" s="1"/>
  <c r="AF15" i="160" s="1"/>
  <c r="C47" i="163"/>
  <c r="A45" i="84"/>
  <c r="F1" i="164"/>
  <c r="B4" i="164"/>
  <c r="E4" i="164"/>
  <c r="B5" i="164"/>
  <c r="E5" i="164"/>
  <c r="H5" i="164"/>
  <c r="FA2" i="84"/>
  <c r="CU73" i="84"/>
  <c r="CC73" i="84"/>
  <c r="EF73" i="84" s="1"/>
  <c r="CH73" i="84"/>
  <c r="CI73" i="84"/>
  <c r="CE73" i="84"/>
  <c r="CL73" i="84"/>
  <c r="CQ73" i="84"/>
  <c r="CR73" i="84"/>
  <c r="CN73" i="84"/>
  <c r="EB73" i="84"/>
  <c r="CP73" i="84"/>
  <c r="CG73" i="84"/>
  <c r="CU72" i="84"/>
  <c r="CH72" i="84"/>
  <c r="CE72" i="84"/>
  <c r="CQ72" i="84"/>
  <c r="CR72" i="84"/>
  <c r="CN72" i="84"/>
  <c r="BN32" i="84"/>
  <c r="BO32" i="84" s="1"/>
  <c r="CG72" i="84"/>
  <c r="FB72" i="84" s="1"/>
  <c r="CP72" i="84"/>
  <c r="CU71" i="84"/>
  <c r="CC71" i="84"/>
  <c r="EE71" i="84" s="1"/>
  <c r="CH71" i="84"/>
  <c r="CI71" i="84"/>
  <c r="CE71" i="84"/>
  <c r="CL71" i="84"/>
  <c r="CQ71" i="84"/>
  <c r="CR71" i="84"/>
  <c r="CN71" i="84"/>
  <c r="EB71" i="84"/>
  <c r="CP71" i="84"/>
  <c r="CG71" i="84"/>
  <c r="CH70" i="84"/>
  <c r="CE70" i="84"/>
  <c r="CQ70" i="84"/>
  <c r="CR70" i="84"/>
  <c r="CN70" i="84"/>
  <c r="EB70" i="84"/>
  <c r="CP70" i="84"/>
  <c r="CG70" i="84"/>
  <c r="CU69" i="84"/>
  <c r="CC69" i="84"/>
  <c r="CH69" i="84"/>
  <c r="CI69" i="84"/>
  <c r="CE69" i="84"/>
  <c r="FD4" i="84"/>
  <c r="FE4" i="84"/>
  <c r="FA4" i="84"/>
  <c r="CL69" i="84"/>
  <c r="CQ69" i="84"/>
  <c r="CR69" i="84"/>
  <c r="CN69" i="84"/>
  <c r="EB69" i="84"/>
  <c r="CP69" i="84"/>
  <c r="CG69" i="84"/>
  <c r="BN29" i="84"/>
  <c r="BM29" i="84" s="1"/>
  <c r="CC68" i="84"/>
  <c r="CH68" i="84"/>
  <c r="CE68" i="84"/>
  <c r="CL68" i="84"/>
  <c r="CQ68" i="84"/>
  <c r="CN68" i="84"/>
  <c r="CP68" i="84"/>
  <c r="CG68" i="84"/>
  <c r="BG20" i="84"/>
  <c r="BF20" i="84"/>
  <c r="GI60" i="84"/>
  <c r="CB72" i="84"/>
  <c r="CB73" i="84"/>
  <c r="CB69" i="84"/>
  <c r="CB70" i="84"/>
  <c r="CB71" i="84"/>
  <c r="CB74" i="84"/>
  <c r="CB75" i="84"/>
  <c r="CB76" i="84"/>
  <c r="CB77" i="84"/>
  <c r="CB78" i="84"/>
  <c r="CB79" i="84"/>
  <c r="CB80" i="84"/>
  <c r="CB81" i="84"/>
  <c r="CB82" i="84"/>
  <c r="CB83" i="84"/>
  <c r="CB84" i="84"/>
  <c r="CB85" i="84"/>
  <c r="GH60" i="84"/>
  <c r="GG60" i="84"/>
  <c r="GF60" i="84"/>
  <c r="AO20" i="84"/>
  <c r="AN20" i="84"/>
  <c r="AM20" i="84"/>
  <c r="AL20" i="84"/>
  <c r="AK20" i="84"/>
  <c r="FM54" i="84"/>
  <c r="AC20" i="84"/>
  <c r="BG19" i="84"/>
  <c r="BF19" i="84"/>
  <c r="GF59" i="84"/>
  <c r="AO19" i="84"/>
  <c r="AN19" i="84"/>
  <c r="AM19" i="84"/>
  <c r="AL19" i="84"/>
  <c r="AK19" i="84"/>
  <c r="AC19" i="84"/>
  <c r="BG18" i="84"/>
  <c r="BF18" i="84"/>
  <c r="FH58" i="84"/>
  <c r="AO18" i="84"/>
  <c r="AN18" i="84"/>
  <c r="AM18" i="84"/>
  <c r="AL18" i="84"/>
  <c r="AK18" i="84"/>
  <c r="AC18" i="84"/>
  <c r="BG17" i="84"/>
  <c r="BF17" i="84"/>
  <c r="GF57" i="84"/>
  <c r="AO17" i="84"/>
  <c r="AN17" i="84"/>
  <c r="AM17" i="84"/>
  <c r="AL17" i="84"/>
  <c r="AK17" i="84"/>
  <c r="AC17" i="84"/>
  <c r="BG16" i="84"/>
  <c r="BF16" i="84"/>
  <c r="FH56" i="84"/>
  <c r="GF56" i="84"/>
  <c r="AO16" i="84"/>
  <c r="AN16" i="84"/>
  <c r="AM16" i="84"/>
  <c r="AL16" i="84"/>
  <c r="AK16" i="84"/>
  <c r="AC16" i="84"/>
  <c r="AB16" i="84"/>
  <c r="BG15" i="84"/>
  <c r="BF15" i="84"/>
  <c r="GF55" i="84"/>
  <c r="AO15" i="84"/>
  <c r="AN15" i="84"/>
  <c r="AM15" i="84"/>
  <c r="AL15" i="84"/>
  <c r="AK15" i="84"/>
  <c r="FK54" i="84"/>
  <c r="FK55" i="84" s="1"/>
  <c r="FJ55" i="84" s="1"/>
  <c r="AC15" i="84"/>
  <c r="AB15" i="84"/>
  <c r="FQ15" i="84" s="1"/>
  <c r="BX14" i="84"/>
  <c r="DE54" i="160"/>
  <c r="HP87" i="84"/>
  <c r="GH87" i="84"/>
  <c r="CL64" i="160"/>
  <c r="EI64" i="160" s="1"/>
  <c r="CQ64" i="160"/>
  <c r="CR64" i="160"/>
  <c r="M6" i="147"/>
  <c r="CP84" i="160"/>
  <c r="CG84" i="160"/>
  <c r="CP83" i="160"/>
  <c r="CG83" i="160"/>
  <c r="FB83" i="160" s="1"/>
  <c r="CP82" i="160"/>
  <c r="CG82" i="160"/>
  <c r="CP81" i="160"/>
  <c r="CG81" i="160"/>
  <c r="CP80" i="160"/>
  <c r="CG80" i="160"/>
  <c r="CP79" i="160"/>
  <c r="CG79" i="160"/>
  <c r="FB79" i="160" s="1"/>
  <c r="CP78" i="160"/>
  <c r="CG78" i="160"/>
  <c r="CP77" i="160"/>
  <c r="CG77" i="160"/>
  <c r="CP76" i="160"/>
  <c r="CG76" i="160"/>
  <c r="CP75" i="160"/>
  <c r="CG75" i="160"/>
  <c r="CP74" i="160"/>
  <c r="CG74" i="160"/>
  <c r="DZ74" i="160" s="1"/>
  <c r="CP73" i="160"/>
  <c r="CG73" i="160"/>
  <c r="CP72" i="160"/>
  <c r="CG72" i="160"/>
  <c r="CP71" i="160"/>
  <c r="CG71" i="160"/>
  <c r="CP70" i="160"/>
  <c r="CG70" i="160"/>
  <c r="DZ70" i="160" s="1"/>
  <c r="CP69" i="160"/>
  <c r="CG69" i="160"/>
  <c r="CP68" i="160"/>
  <c r="CG68" i="160"/>
  <c r="CP67" i="160"/>
  <c r="CG67" i="160"/>
  <c r="DZ67" i="160" s="1"/>
  <c r="CP66" i="160"/>
  <c r="CG66" i="160"/>
  <c r="CP65" i="160"/>
  <c r="CG65" i="160"/>
  <c r="DZ65" i="160" s="1"/>
  <c r="CP64" i="160"/>
  <c r="CG64" i="160"/>
  <c r="CP63" i="160"/>
  <c r="CG63" i="160"/>
  <c r="FB63" i="160" s="1"/>
  <c r="CP62" i="160"/>
  <c r="CG62" i="160"/>
  <c r="FB62" i="160" s="1"/>
  <c r="CP61" i="160"/>
  <c r="CG61" i="160"/>
  <c r="CP60" i="160"/>
  <c r="CG60" i="160"/>
  <c r="CP59" i="160"/>
  <c r="CG59" i="160"/>
  <c r="CP58" i="160"/>
  <c r="CG58" i="160"/>
  <c r="CP57" i="160"/>
  <c r="FC57" i="160" s="1"/>
  <c r="CG57" i="160"/>
  <c r="CP56" i="160"/>
  <c r="CG56" i="160"/>
  <c r="CP55" i="160"/>
  <c r="CG55" i="160"/>
  <c r="CP54" i="160"/>
  <c r="CG54" i="160"/>
  <c r="FB54" i="160" s="1"/>
  <c r="CP85" i="160"/>
  <c r="CG85" i="160"/>
  <c r="CP85" i="84"/>
  <c r="CG85" i="84"/>
  <c r="CP84" i="84"/>
  <c r="CG84" i="84"/>
  <c r="DZ84" i="84" s="1"/>
  <c r="CP83" i="84"/>
  <c r="CG83" i="84"/>
  <c r="CP82" i="84"/>
  <c r="CG82" i="84"/>
  <c r="CP81" i="84"/>
  <c r="CG81" i="84"/>
  <c r="CP80" i="84"/>
  <c r="CG80" i="84"/>
  <c r="CP79" i="84"/>
  <c r="CG79" i="84"/>
  <c r="CP78" i="84"/>
  <c r="CG78" i="84"/>
  <c r="DZ78" i="84" s="1"/>
  <c r="CP77" i="84"/>
  <c r="CG77" i="84"/>
  <c r="CP76" i="84"/>
  <c r="CG76" i="84"/>
  <c r="CP75" i="84"/>
  <c r="CG75" i="84"/>
  <c r="FB75" i="84" s="1"/>
  <c r="CP74" i="84"/>
  <c r="CG74" i="84"/>
  <c r="DZ74" i="84" s="1"/>
  <c r="R1" i="163"/>
  <c r="O6" i="163"/>
  <c r="I8" i="163"/>
  <c r="C9" i="163"/>
  <c r="J9" i="163"/>
  <c r="C10" i="163"/>
  <c r="J10" i="163"/>
  <c r="O10" i="163"/>
  <c r="R1" i="162"/>
  <c r="O6" i="162"/>
  <c r="I8" i="162"/>
  <c r="C9" i="162"/>
  <c r="J9" i="162"/>
  <c r="C10" i="162"/>
  <c r="J10" i="162"/>
  <c r="O10" i="162"/>
  <c r="C47" i="162"/>
  <c r="AD1" i="147"/>
  <c r="P2" i="147" s="1"/>
  <c r="Y6" i="147"/>
  <c r="C9" i="147"/>
  <c r="S9" i="147"/>
  <c r="C10" i="147"/>
  <c r="S10" i="147"/>
  <c r="Z10" i="147"/>
  <c r="AA12" i="147"/>
  <c r="AB12" i="147" s="1"/>
  <c r="HB18" i="147"/>
  <c r="HC18" i="147" s="1"/>
  <c r="HD18" i="147" s="1"/>
  <c r="HE18" i="147" s="1"/>
  <c r="HF18" i="147" s="1"/>
  <c r="HG18" i="147" s="1"/>
  <c r="HH18" i="147" s="1"/>
  <c r="HI18" i="147" s="1"/>
  <c r="HJ18" i="147" s="1"/>
  <c r="HK18" i="147" s="1"/>
  <c r="HL18" i="147" s="1"/>
  <c r="HM18" i="147" s="1"/>
  <c r="HN18" i="147" s="1"/>
  <c r="HO18" i="147" s="1"/>
  <c r="HP18" i="147" s="1"/>
  <c r="HQ18" i="147" s="1"/>
  <c r="HR18" i="147" s="1"/>
  <c r="HS18" i="147" s="1"/>
  <c r="HT18" i="147" s="1"/>
  <c r="HU18" i="147" s="1"/>
  <c r="HV18" i="147" s="1"/>
  <c r="HW18" i="147" s="1"/>
  <c r="HX18" i="147" s="1"/>
  <c r="HY18" i="147" s="1"/>
  <c r="HZ18" i="147" s="1"/>
  <c r="IA18" i="147" s="1"/>
  <c r="IB18" i="147" s="1"/>
  <c r="IC18" i="147" s="1"/>
  <c r="ID18" i="147" s="1"/>
  <c r="IE18" i="147" s="1"/>
  <c r="IF18" i="147" s="1"/>
  <c r="BJ1" i="160"/>
  <c r="Q4" i="160" s="1"/>
  <c r="AU4" i="160" s="1"/>
  <c r="FA1" i="160"/>
  <c r="FB1" i="160" s="1"/>
  <c r="FA2" i="160"/>
  <c r="FC2" i="160"/>
  <c r="FE2" i="160"/>
  <c r="FG2" i="160"/>
  <c r="EZ4" i="160"/>
  <c r="FA4" i="160"/>
  <c r="FB4" i="160"/>
  <c r="FC4" i="160"/>
  <c r="FD4" i="160"/>
  <c r="FE4" i="160"/>
  <c r="FF4" i="160"/>
  <c r="X6" i="160"/>
  <c r="BB6" i="160" s="1"/>
  <c r="C9" i="160"/>
  <c r="AE9" i="160" s="1"/>
  <c r="T9" i="160"/>
  <c r="AX9" i="160" s="1"/>
  <c r="C10" i="160"/>
  <c r="AE10" i="160" s="1"/>
  <c r="T10" i="160"/>
  <c r="AX10" i="160" s="1"/>
  <c r="Z10" i="160"/>
  <c r="BE10" i="160" s="1"/>
  <c r="CC54" i="160"/>
  <c r="EF54" i="160" s="1"/>
  <c r="CH54" i="160"/>
  <c r="CI54" i="160"/>
  <c r="CL54" i="160"/>
  <c r="EH54" i="160" s="1"/>
  <c r="CQ54" i="160"/>
  <c r="CR54" i="160"/>
  <c r="EB54" i="160"/>
  <c r="CU54" i="160"/>
  <c r="FO54" i="160"/>
  <c r="AF14" i="160" s="1"/>
  <c r="FP54" i="160"/>
  <c r="FN54" i="160"/>
  <c r="FW54" i="160"/>
  <c r="FV54" i="160" s="1"/>
  <c r="FQ54" i="160"/>
  <c r="FX54" i="160"/>
  <c r="FK54" i="160"/>
  <c r="FK55" i="160" s="1"/>
  <c r="FJ55" i="160" s="1"/>
  <c r="CB54" i="160"/>
  <c r="CB55" i="160"/>
  <c r="CB56" i="160"/>
  <c r="CB57" i="160"/>
  <c r="CB58" i="160"/>
  <c r="CB59" i="160"/>
  <c r="CB60" i="160"/>
  <c r="CB61" i="160"/>
  <c r="CB62" i="160"/>
  <c r="CB63" i="160"/>
  <c r="CB64" i="160"/>
  <c r="CB65" i="160"/>
  <c r="CB66" i="160"/>
  <c r="CB67" i="160"/>
  <c r="CB68" i="160"/>
  <c r="CB69" i="160"/>
  <c r="CB70" i="160"/>
  <c r="CB71" i="160"/>
  <c r="CB72" i="160"/>
  <c r="CB73" i="160"/>
  <c r="CB74" i="160"/>
  <c r="CB75" i="160"/>
  <c r="CB76" i="160"/>
  <c r="CB77" i="160"/>
  <c r="CB78" i="160"/>
  <c r="CB79" i="160"/>
  <c r="CB80" i="160"/>
  <c r="CB81" i="160"/>
  <c r="CB82" i="160"/>
  <c r="CB83" i="160"/>
  <c r="CB84" i="160"/>
  <c r="CB85" i="160"/>
  <c r="GF54" i="160"/>
  <c r="GG54" i="160"/>
  <c r="GH54" i="160"/>
  <c r="GI54" i="160"/>
  <c r="FM54" i="160"/>
  <c r="FU54" i="160"/>
  <c r="FT54" i="160"/>
  <c r="GA54" i="160"/>
  <c r="GB54" i="160"/>
  <c r="CC55" i="160"/>
  <c r="EF55" i="160" s="1"/>
  <c r="CH55" i="160"/>
  <c r="CI55" i="160"/>
  <c r="CL55" i="160"/>
  <c r="EI55" i="160" s="1"/>
  <c r="CQ55" i="160"/>
  <c r="CR55" i="160"/>
  <c r="EB55" i="160"/>
  <c r="CU55" i="160"/>
  <c r="GF55" i="160"/>
  <c r="GG55" i="160"/>
  <c r="GH55" i="160"/>
  <c r="GI55" i="160"/>
  <c r="FM55" i="160"/>
  <c r="CU56" i="160"/>
  <c r="CC56" i="160"/>
  <c r="EF56" i="160" s="1"/>
  <c r="CH56" i="160"/>
  <c r="CI56" i="160"/>
  <c r="CL56" i="160"/>
  <c r="CQ56" i="160"/>
  <c r="CR56" i="160"/>
  <c r="EB56" i="160"/>
  <c r="GF56" i="160"/>
  <c r="GG56" i="160"/>
  <c r="GH56" i="160"/>
  <c r="GI56" i="160"/>
  <c r="FM56" i="160"/>
  <c r="CC57" i="160"/>
  <c r="EF57" i="160" s="1"/>
  <c r="CH57" i="160"/>
  <c r="CI57" i="160"/>
  <c r="CL57" i="160"/>
  <c r="CQ57" i="160"/>
  <c r="CR57" i="160"/>
  <c r="EB57" i="160"/>
  <c r="CU57" i="160"/>
  <c r="GF57" i="160"/>
  <c r="GG57" i="160"/>
  <c r="GH57" i="160"/>
  <c r="GI57" i="160"/>
  <c r="FM57" i="160"/>
  <c r="CC58" i="160"/>
  <c r="CH58" i="160"/>
  <c r="CI58" i="160"/>
  <c r="CL58" i="160"/>
  <c r="EH58" i="160" s="1"/>
  <c r="CQ58" i="160"/>
  <c r="CR58" i="160"/>
  <c r="EB58" i="160"/>
  <c r="CU58" i="160"/>
  <c r="GF58" i="160"/>
  <c r="GG58" i="160"/>
  <c r="GH58" i="160"/>
  <c r="GI58" i="160"/>
  <c r="FM58" i="160"/>
  <c r="CC59" i="160"/>
  <c r="CH59" i="160"/>
  <c r="CI59" i="160"/>
  <c r="CL59" i="160"/>
  <c r="CQ59" i="160"/>
  <c r="CR59" i="160"/>
  <c r="EB59" i="160"/>
  <c r="CU59" i="160"/>
  <c r="GF59" i="160"/>
  <c r="GG59" i="160"/>
  <c r="GH59" i="160"/>
  <c r="GI59" i="160"/>
  <c r="FM59" i="160"/>
  <c r="CC60" i="160"/>
  <c r="CH60" i="160"/>
  <c r="CI60" i="160"/>
  <c r="CL60" i="160"/>
  <c r="EI60" i="160" s="1"/>
  <c r="CQ60" i="160"/>
  <c r="CR60" i="160"/>
  <c r="EB60" i="160"/>
  <c r="CU60" i="160"/>
  <c r="GF60" i="160"/>
  <c r="GG60" i="160"/>
  <c r="GH60" i="160"/>
  <c r="GI60" i="160"/>
  <c r="FM60" i="160"/>
  <c r="CC61" i="160"/>
  <c r="CH61" i="160"/>
  <c r="CI61" i="160"/>
  <c r="CL61" i="160"/>
  <c r="EH61" i="160" s="1"/>
  <c r="CQ61" i="160"/>
  <c r="CR61" i="160"/>
  <c r="EB61" i="160"/>
  <c r="CU61" i="160"/>
  <c r="GF61" i="160"/>
  <c r="GG61" i="160"/>
  <c r="GH61" i="160"/>
  <c r="GI61" i="160"/>
  <c r="FM61" i="160"/>
  <c r="CC62" i="160"/>
  <c r="EF62" i="160" s="1"/>
  <c r="CH62" i="160"/>
  <c r="CI62" i="160"/>
  <c r="CL62" i="160"/>
  <c r="CQ62" i="160"/>
  <c r="CR62" i="160"/>
  <c r="EB62" i="160"/>
  <c r="CU62" i="160"/>
  <c r="GF62" i="160"/>
  <c r="GG62" i="160"/>
  <c r="GH62" i="160"/>
  <c r="GI62" i="160"/>
  <c r="FM62" i="160"/>
  <c r="CC63" i="160"/>
  <c r="EF63" i="160" s="1"/>
  <c r="CH63" i="160"/>
  <c r="CI63" i="160"/>
  <c r="CL63" i="160"/>
  <c r="EI63" i="160" s="1"/>
  <c r="CQ63" i="160"/>
  <c r="CR63" i="160"/>
  <c r="EB63" i="160"/>
  <c r="CU63" i="160"/>
  <c r="GF63" i="160"/>
  <c r="GG63" i="160"/>
  <c r="GH63" i="160"/>
  <c r="GI63" i="160"/>
  <c r="FM63" i="160"/>
  <c r="CC64" i="160"/>
  <c r="CH64" i="160"/>
  <c r="CI64" i="160"/>
  <c r="EB64" i="160"/>
  <c r="CU64" i="160"/>
  <c r="GF64" i="160"/>
  <c r="GH64" i="160"/>
  <c r="GI64" i="160"/>
  <c r="FM64" i="160"/>
  <c r="CC65" i="160"/>
  <c r="CH65" i="160"/>
  <c r="CI65" i="160"/>
  <c r="CL65" i="160"/>
  <c r="EH65" i="160" s="1"/>
  <c r="CQ65" i="160"/>
  <c r="CR65" i="160"/>
  <c r="EB65" i="160"/>
  <c r="CU65" i="160"/>
  <c r="GF65" i="160"/>
  <c r="GG65" i="160"/>
  <c r="GH65" i="160"/>
  <c r="GI65" i="160"/>
  <c r="FM65" i="160"/>
  <c r="CC66" i="160"/>
  <c r="CH66" i="160"/>
  <c r="CI66" i="160"/>
  <c r="CL66" i="160"/>
  <c r="CQ66" i="160"/>
  <c r="CR66" i="160"/>
  <c r="EB66" i="160"/>
  <c r="CU66" i="160"/>
  <c r="GF66" i="160"/>
  <c r="GG66" i="160"/>
  <c r="GH66" i="160"/>
  <c r="GI66" i="160"/>
  <c r="FM66" i="160"/>
  <c r="CC67" i="160"/>
  <c r="CH67" i="160"/>
  <c r="CI67" i="160"/>
  <c r="CL67" i="160"/>
  <c r="EI67" i="160" s="1"/>
  <c r="CQ67" i="160"/>
  <c r="CR67" i="160"/>
  <c r="EB67" i="160"/>
  <c r="CU67" i="160"/>
  <c r="GF67" i="160"/>
  <c r="GG67" i="160"/>
  <c r="GH67" i="160"/>
  <c r="GI67" i="160"/>
  <c r="FM67" i="160"/>
  <c r="CC68" i="160"/>
  <c r="CH68" i="160"/>
  <c r="CI68" i="160"/>
  <c r="CL68" i="160"/>
  <c r="EI68" i="160" s="1"/>
  <c r="CQ68" i="160"/>
  <c r="CR68" i="160"/>
  <c r="EB68" i="160"/>
  <c r="CU68" i="160"/>
  <c r="GF68" i="160"/>
  <c r="GG68" i="160"/>
  <c r="GH68" i="160"/>
  <c r="GI68" i="160"/>
  <c r="FM68" i="160"/>
  <c r="CC69" i="160"/>
  <c r="CH69" i="160"/>
  <c r="CI69" i="160"/>
  <c r="CL69" i="160"/>
  <c r="EH69" i="160" s="1"/>
  <c r="CQ69" i="160"/>
  <c r="CR69" i="160"/>
  <c r="EB69" i="160"/>
  <c r="CU69" i="160"/>
  <c r="GF69" i="160"/>
  <c r="GG69" i="160"/>
  <c r="GH69" i="160"/>
  <c r="GI69" i="160"/>
  <c r="FM69" i="160"/>
  <c r="CC70" i="160"/>
  <c r="CH70" i="160"/>
  <c r="CI70" i="160"/>
  <c r="CL70" i="160"/>
  <c r="CQ70" i="160"/>
  <c r="CR70" i="160"/>
  <c r="EB70" i="160"/>
  <c r="CU70" i="160"/>
  <c r="GF70" i="160"/>
  <c r="GG70" i="160"/>
  <c r="GH70" i="160"/>
  <c r="GI70" i="160"/>
  <c r="FM70" i="160"/>
  <c r="CC71" i="160"/>
  <c r="EF71" i="160" s="1"/>
  <c r="CH71" i="160"/>
  <c r="CI71" i="160"/>
  <c r="CL71" i="160"/>
  <c r="EH71" i="160" s="1"/>
  <c r="CQ71" i="160"/>
  <c r="CR71" i="160"/>
  <c r="EB71" i="160"/>
  <c r="CU71" i="160"/>
  <c r="EP71" i="160"/>
  <c r="GF71" i="160"/>
  <c r="GG71" i="160"/>
  <c r="GH71" i="160"/>
  <c r="GI71" i="160"/>
  <c r="FM71" i="160"/>
  <c r="CC72" i="160"/>
  <c r="CH72" i="160"/>
  <c r="CI72" i="160"/>
  <c r="CL72" i="160"/>
  <c r="CQ72" i="160"/>
  <c r="CR72" i="160"/>
  <c r="EB72" i="160"/>
  <c r="CU72" i="160"/>
  <c r="GF72" i="160"/>
  <c r="GG72" i="160"/>
  <c r="GH72" i="160"/>
  <c r="GI72" i="160"/>
  <c r="FM72" i="160"/>
  <c r="CC73" i="160"/>
  <c r="EF73" i="160" s="1"/>
  <c r="CH73" i="160"/>
  <c r="CI73" i="160"/>
  <c r="CL73" i="160"/>
  <c r="CQ73" i="160"/>
  <c r="CR73" i="160"/>
  <c r="EB73" i="160"/>
  <c r="CU73" i="160"/>
  <c r="GF73" i="160"/>
  <c r="GG73" i="160"/>
  <c r="GH73" i="160"/>
  <c r="GI73" i="160"/>
  <c r="FM73" i="160"/>
  <c r="CC74" i="160"/>
  <c r="CH74" i="160"/>
  <c r="CI74" i="160"/>
  <c r="CL74" i="160"/>
  <c r="CQ74" i="160"/>
  <c r="CR74" i="160"/>
  <c r="EB74" i="160"/>
  <c r="CU74" i="160"/>
  <c r="GF74" i="160"/>
  <c r="GG74" i="160"/>
  <c r="GH74" i="160"/>
  <c r="GI74" i="160"/>
  <c r="FM74" i="160"/>
  <c r="CC75" i="160"/>
  <c r="CH75" i="160"/>
  <c r="CI75" i="160"/>
  <c r="CL75" i="160"/>
  <c r="CQ75" i="160"/>
  <c r="CR75" i="160"/>
  <c r="EB75" i="160"/>
  <c r="CU75" i="160"/>
  <c r="GF75" i="160"/>
  <c r="GG75" i="160"/>
  <c r="GH75" i="160"/>
  <c r="GI75" i="160"/>
  <c r="FM75" i="160"/>
  <c r="CC76" i="160"/>
  <c r="CH76" i="160"/>
  <c r="CI76" i="160"/>
  <c r="CL76" i="160"/>
  <c r="EI76" i="160" s="1"/>
  <c r="CQ76" i="160"/>
  <c r="CR76" i="160"/>
  <c r="EB76" i="160"/>
  <c r="CU76" i="160"/>
  <c r="GF76" i="160"/>
  <c r="GG76" i="160"/>
  <c r="GH76" i="160"/>
  <c r="GI76" i="160"/>
  <c r="FM76" i="160"/>
  <c r="CC77" i="160"/>
  <c r="EF77" i="160" s="1"/>
  <c r="CH77" i="160"/>
  <c r="CI77" i="160"/>
  <c r="CL77" i="160"/>
  <c r="CQ77" i="160"/>
  <c r="CR77" i="160"/>
  <c r="EB77" i="160"/>
  <c r="CU77" i="160"/>
  <c r="GF77" i="160"/>
  <c r="GG77" i="160"/>
  <c r="GH77" i="160"/>
  <c r="GI77" i="160"/>
  <c r="FM77" i="160"/>
  <c r="CC78" i="160"/>
  <c r="CH78" i="160"/>
  <c r="CI78" i="160"/>
  <c r="CL78" i="160"/>
  <c r="EI78" i="160" s="1"/>
  <c r="CQ78" i="160"/>
  <c r="CR78" i="160"/>
  <c r="EB78" i="160"/>
  <c r="CU78" i="160"/>
  <c r="GF78" i="160"/>
  <c r="GG78" i="160"/>
  <c r="GH78" i="160"/>
  <c r="GI78" i="160"/>
  <c r="FM78" i="160"/>
  <c r="CC79" i="160"/>
  <c r="EE79" i="160" s="1"/>
  <c r="CH79" i="160"/>
  <c r="CI79" i="160"/>
  <c r="CL79" i="160"/>
  <c r="EH79" i="160" s="1"/>
  <c r="CQ79" i="160"/>
  <c r="CR79" i="160"/>
  <c r="EB79" i="160"/>
  <c r="CU79" i="160"/>
  <c r="EP79" i="160"/>
  <c r="GF79" i="160"/>
  <c r="GG79" i="160"/>
  <c r="GH79" i="160"/>
  <c r="GI79" i="160"/>
  <c r="FM79" i="160"/>
  <c r="CC80" i="160"/>
  <c r="CH80" i="160"/>
  <c r="CI80" i="160"/>
  <c r="CL80" i="160"/>
  <c r="EH80" i="160" s="1"/>
  <c r="CQ80" i="160"/>
  <c r="CR80" i="160"/>
  <c r="EB80" i="160"/>
  <c r="CU80" i="160"/>
  <c r="GF80" i="160"/>
  <c r="GG80" i="160"/>
  <c r="GH80" i="160"/>
  <c r="GI80" i="160"/>
  <c r="FM80" i="160"/>
  <c r="CC81" i="160"/>
  <c r="CH81" i="160"/>
  <c r="CI81" i="160"/>
  <c r="CL81" i="160"/>
  <c r="CQ81" i="160"/>
  <c r="CR81" i="160"/>
  <c r="EB81" i="160"/>
  <c r="CU81" i="160"/>
  <c r="GF81" i="160"/>
  <c r="GG81" i="160"/>
  <c r="GH81" i="160"/>
  <c r="GI81" i="160"/>
  <c r="FM81" i="160"/>
  <c r="CC82" i="160"/>
  <c r="CH82" i="160"/>
  <c r="CI82" i="160"/>
  <c r="CL82" i="160"/>
  <c r="CQ82" i="160"/>
  <c r="CR82" i="160"/>
  <c r="EB82" i="160"/>
  <c r="CU82" i="160"/>
  <c r="GF82" i="160"/>
  <c r="GG82" i="160"/>
  <c r="GH82" i="160"/>
  <c r="GI82" i="160"/>
  <c r="FM82" i="160"/>
  <c r="CC83" i="160"/>
  <c r="EE83" i="160" s="1"/>
  <c r="CH83" i="160"/>
  <c r="CI83" i="160"/>
  <c r="CL83" i="160"/>
  <c r="EI83" i="160" s="1"/>
  <c r="CQ83" i="160"/>
  <c r="CR83" i="160"/>
  <c r="EB83" i="160"/>
  <c r="CU83" i="160"/>
  <c r="GF83" i="160"/>
  <c r="GG83" i="160"/>
  <c r="GH83" i="160"/>
  <c r="GI83" i="160"/>
  <c r="FM83" i="160"/>
  <c r="CC84" i="160"/>
  <c r="CH84" i="160"/>
  <c r="CI84" i="160"/>
  <c r="CL84" i="160"/>
  <c r="EH84" i="160" s="1"/>
  <c r="CQ84" i="160"/>
  <c r="CR84" i="160"/>
  <c r="EB84" i="160"/>
  <c r="CU84" i="160"/>
  <c r="GF84" i="160"/>
  <c r="GG84" i="160"/>
  <c r="GH84" i="160"/>
  <c r="GI84" i="160"/>
  <c r="FM84" i="160"/>
  <c r="CC85" i="160"/>
  <c r="EE85" i="160" s="1"/>
  <c r="CH85" i="160"/>
  <c r="CI85" i="160"/>
  <c r="CL85" i="160"/>
  <c r="EH85" i="160" s="1"/>
  <c r="CQ85" i="160"/>
  <c r="CR85" i="160"/>
  <c r="EB85" i="160"/>
  <c r="CU85" i="160"/>
  <c r="GF85" i="160"/>
  <c r="GG85" i="160"/>
  <c r="GH85" i="160"/>
  <c r="GI85" i="160"/>
  <c r="FM85" i="160"/>
  <c r="GR48" i="160"/>
  <c r="GS48" i="160"/>
  <c r="GT48" i="160"/>
  <c r="GU48" i="160"/>
  <c r="GV48" i="160"/>
  <c r="GW48" i="160"/>
  <c r="GX48" i="160"/>
  <c r="GY48" i="160"/>
  <c r="GZ48" i="160"/>
  <c r="HA48" i="160"/>
  <c r="HB48" i="160"/>
  <c r="HC48" i="160"/>
  <c r="HD48" i="160"/>
  <c r="HE48" i="160"/>
  <c r="HF48" i="160"/>
  <c r="HG48" i="160"/>
  <c r="HH48" i="160"/>
  <c r="HI48" i="160"/>
  <c r="HJ48" i="160"/>
  <c r="HK48" i="160"/>
  <c r="HL48" i="160"/>
  <c r="HM48" i="160"/>
  <c r="HN48" i="160"/>
  <c r="HO48" i="160"/>
  <c r="IU48" i="160"/>
  <c r="HP48" i="160" s="1"/>
  <c r="HQ48" i="160" s="1"/>
  <c r="ED54" i="160"/>
  <c r="ED55" i="160"/>
  <c r="ED56" i="160"/>
  <c r="ED57" i="160"/>
  <c r="ED58" i="160"/>
  <c r="ED59" i="160"/>
  <c r="ED60" i="160"/>
  <c r="ED61" i="160"/>
  <c r="ED62" i="160"/>
  <c r="ED63" i="160"/>
  <c r="ED64" i="160"/>
  <c r="ED65" i="160"/>
  <c r="ED66" i="160"/>
  <c r="ED67" i="160"/>
  <c r="ED68" i="160"/>
  <c r="ED69" i="160"/>
  <c r="ED70" i="160"/>
  <c r="ED71" i="160"/>
  <c r="ED72" i="160"/>
  <c r="ED73" i="160"/>
  <c r="ED74" i="160"/>
  <c r="ED75" i="160"/>
  <c r="ED76" i="160"/>
  <c r="ED77" i="160"/>
  <c r="ED78" i="160"/>
  <c r="ED79" i="160"/>
  <c r="ED80" i="160"/>
  <c r="ED81" i="160"/>
  <c r="ED82" i="160"/>
  <c r="ED83" i="160"/>
  <c r="ED84" i="160"/>
  <c r="ED85" i="160"/>
  <c r="BJ1" i="84"/>
  <c r="Q4" i="84" s="1"/>
  <c r="AU4" i="84" s="1"/>
  <c r="FA1" i="84"/>
  <c r="FB1" i="84" s="1"/>
  <c r="FC2" i="84"/>
  <c r="FE2" i="84"/>
  <c r="FG2" i="84"/>
  <c r="EZ4" i="84"/>
  <c r="FB4" i="84"/>
  <c r="FC4" i="84"/>
  <c r="CI72" i="84" s="1"/>
  <c r="FF4" i="84"/>
  <c r="X6" i="84"/>
  <c r="BB6" i="84" s="1"/>
  <c r="C9" i="84"/>
  <c r="AE9" i="84" s="1"/>
  <c r="T9" i="84"/>
  <c r="AX9" i="84" s="1"/>
  <c r="C10" i="84"/>
  <c r="AE10" i="84" s="1"/>
  <c r="T10" i="84"/>
  <c r="AX10" i="84" s="1"/>
  <c r="Z10" i="84"/>
  <c r="BE10" i="84" s="1"/>
  <c r="FM59" i="84"/>
  <c r="FM55" i="84"/>
  <c r="FM56" i="84"/>
  <c r="FM57" i="84"/>
  <c r="FM58" i="84"/>
  <c r="FM60" i="84"/>
  <c r="AC21" i="84"/>
  <c r="AK21" i="84"/>
  <c r="AL21" i="84"/>
  <c r="AM21" i="84"/>
  <c r="AN21" i="84"/>
  <c r="AO21" i="84"/>
  <c r="GF61" i="84"/>
  <c r="GG61" i="84"/>
  <c r="GH61" i="84"/>
  <c r="GI61" i="84"/>
  <c r="BF21" i="84"/>
  <c r="BG21" i="84"/>
  <c r="FM61" i="84"/>
  <c r="HB21" i="84"/>
  <c r="HC21" i="84" s="1"/>
  <c r="HD21" i="84" s="1"/>
  <c r="HE21" i="84" s="1"/>
  <c r="HF21" i="84" s="1"/>
  <c r="HG21" i="84" s="1"/>
  <c r="HH21" i="84" s="1"/>
  <c r="HI21" i="84" s="1"/>
  <c r="HJ21" i="84" s="1"/>
  <c r="HK21" i="84" s="1"/>
  <c r="HL21" i="84" s="1"/>
  <c r="HM21" i="84" s="1"/>
  <c r="HN21" i="84" s="1"/>
  <c r="HO21" i="84" s="1"/>
  <c r="HP21" i="84" s="1"/>
  <c r="AC22" i="84"/>
  <c r="AK22" i="84"/>
  <c r="AL22" i="84"/>
  <c r="AM22" i="84"/>
  <c r="AN22" i="84"/>
  <c r="AO22" i="84"/>
  <c r="GF62" i="84"/>
  <c r="GG62" i="84"/>
  <c r="GH62" i="84"/>
  <c r="GI62" i="84"/>
  <c r="BF22" i="84"/>
  <c r="BG22" i="84"/>
  <c r="FM62" i="84"/>
  <c r="AC23" i="84"/>
  <c r="AK23" i="84"/>
  <c r="AL23" i="84"/>
  <c r="AM23" i="84"/>
  <c r="AN23" i="84"/>
  <c r="AO23" i="84"/>
  <c r="GF63" i="84"/>
  <c r="GG63" i="84"/>
  <c r="GH63" i="84"/>
  <c r="GI63" i="84"/>
  <c r="BF23" i="84"/>
  <c r="BG23" i="84"/>
  <c r="FM63" i="84"/>
  <c r="B45" i="84"/>
  <c r="AB24" i="84"/>
  <c r="FQ24" i="84" s="1"/>
  <c r="AC24" i="84"/>
  <c r="AK24" i="84"/>
  <c r="AL24" i="84"/>
  <c r="AM24" i="84"/>
  <c r="AN24" i="84"/>
  <c r="AO24" i="84"/>
  <c r="GF64" i="84"/>
  <c r="GG64" i="84"/>
  <c r="GH64" i="84"/>
  <c r="GI64" i="84"/>
  <c r="BF24" i="84"/>
  <c r="BG24" i="84"/>
  <c r="FM64" i="84"/>
  <c r="AB25" i="84"/>
  <c r="FQ25" i="84" s="1"/>
  <c r="AC25" i="84"/>
  <c r="AK25" i="84"/>
  <c r="AL25" i="84"/>
  <c r="AM25" i="84"/>
  <c r="AN25" i="84"/>
  <c r="AO25" i="84"/>
  <c r="GF65" i="84"/>
  <c r="GG65" i="84"/>
  <c r="GH65" i="84"/>
  <c r="GI65" i="84"/>
  <c r="BF25" i="84"/>
  <c r="BG25" i="84"/>
  <c r="FM65" i="84"/>
  <c r="AB26" i="84"/>
  <c r="FQ26" i="84" s="1"/>
  <c r="AC26" i="84"/>
  <c r="AK26" i="84"/>
  <c r="AL26" i="84"/>
  <c r="AM26" i="84"/>
  <c r="AN26" i="84"/>
  <c r="AO26" i="84"/>
  <c r="GF66" i="84"/>
  <c r="GG66" i="84"/>
  <c r="GH66" i="84"/>
  <c r="GI66" i="84"/>
  <c r="BF26" i="84"/>
  <c r="BG26" i="84"/>
  <c r="FM66" i="84"/>
  <c r="AB27" i="84"/>
  <c r="FQ27" i="84" s="1"/>
  <c r="AC27" i="84"/>
  <c r="AK27" i="84"/>
  <c r="AL27" i="84"/>
  <c r="AM27" i="84"/>
  <c r="AN27" i="84"/>
  <c r="AO27" i="84"/>
  <c r="GF67" i="84"/>
  <c r="GG67" i="84"/>
  <c r="GH67" i="84"/>
  <c r="GI67" i="84"/>
  <c r="BF27" i="84"/>
  <c r="BG27" i="84"/>
  <c r="FM67" i="84"/>
  <c r="AB28" i="84"/>
  <c r="FQ28" i="84" s="1"/>
  <c r="AC28" i="84"/>
  <c r="AK28" i="84"/>
  <c r="AL28" i="84"/>
  <c r="AM28" i="84"/>
  <c r="AN28" i="84"/>
  <c r="AO28" i="84"/>
  <c r="GF68" i="84"/>
  <c r="GG68" i="84"/>
  <c r="GH68" i="84"/>
  <c r="GI68" i="84"/>
  <c r="BF28" i="84"/>
  <c r="BG28" i="84"/>
  <c r="FM68" i="84"/>
  <c r="AB29" i="84"/>
  <c r="FQ29" i="84" s="1"/>
  <c r="AC29" i="84"/>
  <c r="AK29" i="84"/>
  <c r="AL29" i="84"/>
  <c r="AM29" i="84"/>
  <c r="AN29" i="84"/>
  <c r="AO29" i="84"/>
  <c r="GF69" i="84"/>
  <c r="GG69" i="84"/>
  <c r="GH69" i="84"/>
  <c r="GI69" i="84"/>
  <c r="BF29" i="84"/>
  <c r="BG29" i="84"/>
  <c r="FM69" i="84"/>
  <c r="AB30" i="84"/>
  <c r="FQ30" i="84" s="1"/>
  <c r="AC30" i="84"/>
  <c r="AK30" i="84"/>
  <c r="AL30" i="84"/>
  <c r="AM30" i="84"/>
  <c r="AN30" i="84"/>
  <c r="AO30" i="84"/>
  <c r="GF70" i="84"/>
  <c r="GG70" i="84"/>
  <c r="GH70" i="84"/>
  <c r="GI70" i="84"/>
  <c r="BF30" i="84"/>
  <c r="BG30" i="84"/>
  <c r="FM70" i="84"/>
  <c r="AB31" i="84"/>
  <c r="FQ31" i="84" s="1"/>
  <c r="AC31" i="84"/>
  <c r="AK31" i="84"/>
  <c r="AL31" i="84"/>
  <c r="AM31" i="84"/>
  <c r="AN31" i="84"/>
  <c r="AO31" i="84"/>
  <c r="GF71" i="84"/>
  <c r="GG71" i="84"/>
  <c r="GH71" i="84"/>
  <c r="GI71" i="84"/>
  <c r="BF31" i="84"/>
  <c r="BG31" i="84"/>
  <c r="BN31" i="84"/>
  <c r="BO31" i="84" s="1"/>
  <c r="FM71" i="84"/>
  <c r="AB32" i="84"/>
  <c r="FQ32" i="84" s="1"/>
  <c r="AC32" i="84"/>
  <c r="AK32" i="84"/>
  <c r="AL32" i="84"/>
  <c r="AM32" i="84"/>
  <c r="AN32" i="84"/>
  <c r="AO32" i="84"/>
  <c r="GF72" i="84"/>
  <c r="GG72" i="84"/>
  <c r="GH72" i="84"/>
  <c r="GI72" i="84"/>
  <c r="BF32" i="84"/>
  <c r="BG32" i="84"/>
  <c r="FM72" i="84"/>
  <c r="AB33" i="84"/>
  <c r="FQ33" i="84" s="1"/>
  <c r="AC33" i="84"/>
  <c r="AK33" i="84"/>
  <c r="AL33" i="84"/>
  <c r="AM33" i="84"/>
  <c r="AN33" i="84"/>
  <c r="AO33" i="84"/>
  <c r="GF73" i="84"/>
  <c r="GG73" i="84"/>
  <c r="GH73" i="84"/>
  <c r="GI73" i="84"/>
  <c r="BF33" i="84"/>
  <c r="BG33" i="84"/>
  <c r="FM73" i="84"/>
  <c r="CE74" i="84"/>
  <c r="CN74" i="84"/>
  <c r="CC74" i="84"/>
  <c r="EE74" i="84" s="1"/>
  <c r="EG74" i="84" s="1"/>
  <c r="CH74" i="84"/>
  <c r="CI74" i="84"/>
  <c r="CL74" i="84"/>
  <c r="CQ74" i="84"/>
  <c r="CR74" i="84"/>
  <c r="EB74" i="84"/>
  <c r="CU74" i="84"/>
  <c r="AB34" i="84"/>
  <c r="FQ34" i="84" s="1"/>
  <c r="AC34" i="84"/>
  <c r="AK34" i="84"/>
  <c r="AL34" i="84"/>
  <c r="AM34" i="84"/>
  <c r="AN34" i="84"/>
  <c r="AO34" i="84"/>
  <c r="GF74" i="84"/>
  <c r="GG74" i="84"/>
  <c r="GH74" i="84"/>
  <c r="GI74" i="84"/>
  <c r="BF34" i="84"/>
  <c r="BG34" i="84"/>
  <c r="BN34" i="84"/>
  <c r="ET34" i="84"/>
  <c r="EU34" i="84"/>
  <c r="FM74" i="84"/>
  <c r="CE75" i="84"/>
  <c r="CN75" i="84"/>
  <c r="CC75" i="84"/>
  <c r="EE75" i="84" s="1"/>
  <c r="EG75" i="84" s="1"/>
  <c r="CH75" i="84"/>
  <c r="CI75" i="84"/>
  <c r="CL75" i="84"/>
  <c r="CQ75" i="84"/>
  <c r="CR75" i="84"/>
  <c r="EB75" i="84"/>
  <c r="CU75" i="84"/>
  <c r="AB35" i="84"/>
  <c r="FQ35" i="84" s="1"/>
  <c r="AC35" i="84"/>
  <c r="AK35" i="84"/>
  <c r="AL35" i="84"/>
  <c r="AM35" i="84"/>
  <c r="AN35" i="84"/>
  <c r="AO35" i="84"/>
  <c r="GF75" i="84"/>
  <c r="GG75" i="84"/>
  <c r="GH75" i="84"/>
  <c r="GI75" i="84"/>
  <c r="BF35" i="84"/>
  <c r="BG35" i="84"/>
  <c r="ET35" i="84"/>
  <c r="EU35" i="84"/>
  <c r="FM75" i="84"/>
  <c r="CE76" i="84"/>
  <c r="CN76" i="84"/>
  <c r="CC76" i="84"/>
  <c r="CH76" i="84"/>
  <c r="CI76" i="84"/>
  <c r="CL76" i="84"/>
  <c r="EH76" i="84" s="1"/>
  <c r="EJ76" i="84" s="1"/>
  <c r="CQ76" i="84"/>
  <c r="CR76" i="84"/>
  <c r="EB76" i="84"/>
  <c r="CU76" i="84"/>
  <c r="AB36" i="84"/>
  <c r="FQ36" i="84" s="1"/>
  <c r="AC36" i="84"/>
  <c r="AK36" i="84"/>
  <c r="AL36" i="84"/>
  <c r="AM36" i="84"/>
  <c r="AN36" i="84"/>
  <c r="AO36" i="84"/>
  <c r="GF76" i="84"/>
  <c r="GG76" i="84"/>
  <c r="GH76" i="84"/>
  <c r="GI76" i="84"/>
  <c r="BF36" i="84"/>
  <c r="BG36" i="84"/>
  <c r="ET36" i="84"/>
  <c r="EU36" i="84"/>
  <c r="FM76" i="84"/>
  <c r="CE77" i="84"/>
  <c r="CN77" i="84"/>
  <c r="CC77" i="84"/>
  <c r="CH77" i="84"/>
  <c r="CI77" i="84"/>
  <c r="CL77" i="84"/>
  <c r="CQ77" i="84"/>
  <c r="CR77" i="84"/>
  <c r="EB77" i="84"/>
  <c r="CU77" i="84"/>
  <c r="AB37" i="84"/>
  <c r="FQ37" i="84" s="1"/>
  <c r="AC37" i="84"/>
  <c r="AK37" i="84"/>
  <c r="AL37" i="84"/>
  <c r="AM37" i="84"/>
  <c r="AN37" i="84"/>
  <c r="AO37" i="84"/>
  <c r="GF77" i="84"/>
  <c r="GG77" i="84"/>
  <c r="GH77" i="84"/>
  <c r="GI77" i="84"/>
  <c r="BF37" i="84"/>
  <c r="BG37" i="84"/>
  <c r="ET37" i="84"/>
  <c r="EU37" i="84"/>
  <c r="FM77" i="84"/>
  <c r="BM38" i="84"/>
  <c r="CE78" i="84"/>
  <c r="CN78" i="84"/>
  <c r="CC78" i="84"/>
  <c r="CH78" i="84"/>
  <c r="CI78" i="84"/>
  <c r="CL78" i="84"/>
  <c r="CQ78" i="84"/>
  <c r="CR78" i="84"/>
  <c r="EB78" i="84"/>
  <c r="CU78" i="84"/>
  <c r="AB38" i="84"/>
  <c r="FQ38" i="84" s="1"/>
  <c r="AC38" i="84"/>
  <c r="AK38" i="84"/>
  <c r="AL38" i="84"/>
  <c r="AM38" i="84"/>
  <c r="AN38" i="84"/>
  <c r="AO38" i="84"/>
  <c r="GF78" i="84"/>
  <c r="GG78" i="84"/>
  <c r="GH78" i="84"/>
  <c r="GI78" i="84"/>
  <c r="BF38" i="84"/>
  <c r="BG38" i="84"/>
  <c r="ET38" i="84"/>
  <c r="EU38" i="84"/>
  <c r="FM78" i="84"/>
  <c r="BN39" i="84"/>
  <c r="CE79" i="84"/>
  <c r="CN79" i="84"/>
  <c r="CC79" i="84"/>
  <c r="EF79" i="84" s="1"/>
  <c r="CH79" i="84"/>
  <c r="CI79" i="84"/>
  <c r="CL79" i="84"/>
  <c r="EI79" i="84" s="1"/>
  <c r="CQ79" i="84"/>
  <c r="CR79" i="84"/>
  <c r="EB79" i="84"/>
  <c r="CU79" i="84"/>
  <c r="EP79" i="84"/>
  <c r="AB39" i="84"/>
  <c r="FQ39" i="84" s="1"/>
  <c r="AC39" i="84"/>
  <c r="AK39" i="84"/>
  <c r="AL39" i="84"/>
  <c r="AM39" i="84"/>
  <c r="AN39" i="84"/>
  <c r="AO39" i="84"/>
  <c r="GF79" i="84"/>
  <c r="GG79" i="84"/>
  <c r="GH79" i="84"/>
  <c r="GI79" i="84"/>
  <c r="BF39" i="84"/>
  <c r="BG39" i="84"/>
  <c r="ET39" i="84"/>
  <c r="EU39" i="84"/>
  <c r="FM79" i="84"/>
  <c r="CE80" i="84"/>
  <c r="CN80" i="84"/>
  <c r="CC80" i="84"/>
  <c r="CH80" i="84"/>
  <c r="CI80" i="84"/>
  <c r="CL80" i="84"/>
  <c r="EH80" i="84" s="1"/>
  <c r="EJ80" i="84" s="1"/>
  <c r="CQ80" i="84"/>
  <c r="CR80" i="84"/>
  <c r="EB80" i="84"/>
  <c r="CU80" i="84"/>
  <c r="EP80" i="84"/>
  <c r="AB40" i="84"/>
  <c r="FQ40" i="84" s="1"/>
  <c r="AC40" i="84"/>
  <c r="AK40" i="84"/>
  <c r="AL40" i="84"/>
  <c r="AM40" i="84"/>
  <c r="AN40" i="84"/>
  <c r="AO40" i="84"/>
  <c r="GF80" i="84"/>
  <c r="GG80" i="84"/>
  <c r="GH80" i="84"/>
  <c r="GI80" i="84"/>
  <c r="BF40" i="84"/>
  <c r="BG40" i="84"/>
  <c r="ET40" i="84"/>
  <c r="EU40" i="84"/>
  <c r="FM80" i="84"/>
  <c r="CE81" i="84"/>
  <c r="CN81" i="84"/>
  <c r="CC81" i="84"/>
  <c r="EF81" i="84" s="1"/>
  <c r="CH81" i="84"/>
  <c r="CI81" i="84"/>
  <c r="CL81" i="84"/>
  <c r="CQ81" i="84"/>
  <c r="CR81" i="84"/>
  <c r="EB81" i="84"/>
  <c r="CU81" i="84"/>
  <c r="AB41" i="84"/>
  <c r="FQ41" i="84" s="1"/>
  <c r="AC41" i="84"/>
  <c r="AK41" i="84"/>
  <c r="AL41" i="84"/>
  <c r="AM41" i="84"/>
  <c r="AN41" i="84"/>
  <c r="AO41" i="84"/>
  <c r="GF81" i="84"/>
  <c r="GG81" i="84"/>
  <c r="GH81" i="84"/>
  <c r="GI81" i="84"/>
  <c r="BF41" i="84"/>
  <c r="BG41" i="84"/>
  <c r="ET41" i="84"/>
  <c r="EU41" i="84"/>
  <c r="FM81" i="84"/>
  <c r="CE82" i="84"/>
  <c r="CN82" i="84"/>
  <c r="CC82" i="84"/>
  <c r="CH82" i="84"/>
  <c r="CI82" i="84"/>
  <c r="CL82" i="84"/>
  <c r="CQ82" i="84"/>
  <c r="CR82" i="84"/>
  <c r="EB82" i="84"/>
  <c r="CU82" i="84"/>
  <c r="AB42" i="84"/>
  <c r="FQ42" i="84" s="1"/>
  <c r="AC42" i="84"/>
  <c r="AK42" i="84"/>
  <c r="AL42" i="84"/>
  <c r="AM42" i="84"/>
  <c r="AN42" i="84"/>
  <c r="AO42" i="84"/>
  <c r="GF82" i="84"/>
  <c r="GG82" i="84"/>
  <c r="GH82" i="84"/>
  <c r="GI82" i="84"/>
  <c r="BF42" i="84"/>
  <c r="BG42" i="84"/>
  <c r="ET42" i="84"/>
  <c r="EU42" i="84"/>
  <c r="FM82" i="84"/>
  <c r="CE83" i="84"/>
  <c r="CN83" i="84"/>
  <c r="CC83" i="84"/>
  <c r="CH83" i="84"/>
  <c r="CI83" i="84"/>
  <c r="CL83" i="84"/>
  <c r="EH83" i="84" s="1"/>
  <c r="EJ83" i="84" s="1"/>
  <c r="CQ83" i="84"/>
  <c r="CR83" i="84"/>
  <c r="EB83" i="84"/>
  <c r="CU83" i="84"/>
  <c r="AB43" i="84"/>
  <c r="FQ43" i="84" s="1"/>
  <c r="AC43" i="84"/>
  <c r="AK43" i="84"/>
  <c r="AL43" i="84"/>
  <c r="AM43" i="84"/>
  <c r="AN43" i="84"/>
  <c r="AO43" i="84"/>
  <c r="GF83" i="84"/>
  <c r="GG83" i="84"/>
  <c r="GH83" i="84"/>
  <c r="GI83" i="84"/>
  <c r="BF43" i="84"/>
  <c r="BG43" i="84"/>
  <c r="ET43" i="84"/>
  <c r="EU43" i="84"/>
  <c r="FM83" i="84"/>
  <c r="CE84" i="84"/>
  <c r="CN84" i="84"/>
  <c r="CC84" i="84"/>
  <c r="CH84" i="84"/>
  <c r="CI84" i="84"/>
  <c r="CL84" i="84"/>
  <c r="EH84" i="84" s="1"/>
  <c r="EJ84" i="84" s="1"/>
  <c r="CQ84" i="84"/>
  <c r="CR84" i="84"/>
  <c r="EB84" i="84"/>
  <c r="CU84" i="84"/>
  <c r="AB44" i="84"/>
  <c r="FQ44" i="84" s="1"/>
  <c r="AC44" i="84"/>
  <c r="AK44" i="84"/>
  <c r="AL44" i="84"/>
  <c r="AM44" i="84"/>
  <c r="AN44" i="84"/>
  <c r="AO44" i="84"/>
  <c r="GF84" i="84"/>
  <c r="GG84" i="84"/>
  <c r="GH84" i="84"/>
  <c r="GI84" i="84"/>
  <c r="BF44" i="84"/>
  <c r="BG44" i="84"/>
  <c r="BN44" i="84"/>
  <c r="BO44" i="84"/>
  <c r="ET44" i="84"/>
  <c r="EU44" i="84"/>
  <c r="FM84" i="84"/>
  <c r="C45" i="84"/>
  <c r="BN45" i="84" s="1"/>
  <c r="F45" i="84"/>
  <c r="CE85" i="84"/>
  <c r="CN85" i="84"/>
  <c r="CC85" i="84"/>
  <c r="EE85" i="84" s="1"/>
  <c r="EG85" i="84" s="1"/>
  <c r="CH85" i="84"/>
  <c r="CI85" i="84"/>
  <c r="CL85" i="84"/>
  <c r="CQ85" i="84"/>
  <c r="CR85" i="84"/>
  <c r="EB85" i="84"/>
  <c r="CU85" i="84"/>
  <c r="AA45" i="84"/>
  <c r="AB45" i="84"/>
  <c r="FQ45" i="84" s="1"/>
  <c r="AC45" i="84"/>
  <c r="AK45" i="84"/>
  <c r="AL45" i="84"/>
  <c r="AM45" i="84"/>
  <c r="AN45" i="84"/>
  <c r="AO45" i="84"/>
  <c r="GF85" i="84"/>
  <c r="GG85" i="84"/>
  <c r="GH85" i="84"/>
  <c r="GI85" i="84"/>
  <c r="BF45" i="84"/>
  <c r="BG45" i="84"/>
  <c r="ET45" i="84"/>
  <c r="EU45" i="84"/>
  <c r="FM85" i="84"/>
  <c r="GR48" i="84"/>
  <c r="GS48" i="84"/>
  <c r="GT48" i="84"/>
  <c r="GU48" i="84"/>
  <c r="GV48" i="84"/>
  <c r="GW48" i="84"/>
  <c r="GX48" i="84"/>
  <c r="GZ48" i="84"/>
  <c r="HA48" i="84"/>
  <c r="HB48" i="84"/>
  <c r="HC48" i="84"/>
  <c r="HD48" i="84"/>
  <c r="HE48" i="84"/>
  <c r="HF48" i="84"/>
  <c r="HG48" i="84"/>
  <c r="HH48" i="84"/>
  <c r="HI48" i="84"/>
  <c r="HJ48" i="84"/>
  <c r="HK48" i="84"/>
  <c r="HL48" i="84"/>
  <c r="HM48" i="84"/>
  <c r="HN48" i="84"/>
  <c r="HO48" i="84"/>
  <c r="HP48" i="84"/>
  <c r="EB68" i="84"/>
  <c r="ED68" i="84"/>
  <c r="ED69" i="84"/>
  <c r="ED70" i="84"/>
  <c r="ED71" i="84"/>
  <c r="ED73" i="84"/>
  <c r="ED74" i="84"/>
  <c r="ED75" i="84"/>
  <c r="ED76" i="84"/>
  <c r="ED77" i="84"/>
  <c r="ED78" i="84"/>
  <c r="ED79" i="84"/>
  <c r="ED80" i="84"/>
  <c r="ED81" i="84"/>
  <c r="ED82" i="84"/>
  <c r="ED83" i="84"/>
  <c r="ED84" i="84"/>
  <c r="ED85" i="84"/>
  <c r="S1" i="145"/>
  <c r="H2" i="145"/>
  <c r="H4" i="145"/>
  <c r="L6" i="145"/>
  <c r="B9" i="145"/>
  <c r="J9" i="145"/>
  <c r="B10" i="145"/>
  <c r="J10" i="145"/>
  <c r="N10" i="145"/>
  <c r="P14" i="145"/>
  <c r="AG14" i="145"/>
  <c r="P15" i="145"/>
  <c r="AG15" i="145"/>
  <c r="P16" i="145"/>
  <c r="AG16" i="145"/>
  <c r="P17" i="145"/>
  <c r="AG17" i="145"/>
  <c r="P18" i="145"/>
  <c r="AG18" i="145"/>
  <c r="P19" i="145"/>
  <c r="AG19" i="145"/>
  <c r="P20" i="145"/>
  <c r="AG20" i="145"/>
  <c r="P21" i="145"/>
  <c r="AG21" i="145"/>
  <c r="P22" i="145"/>
  <c r="AG22" i="145"/>
  <c r="P23" i="145"/>
  <c r="AG23" i="145"/>
  <c r="P24" i="145"/>
  <c r="AG24" i="145"/>
  <c r="P25" i="145"/>
  <c r="AG25" i="145"/>
  <c r="P26" i="145"/>
  <c r="AG26" i="145"/>
  <c r="P27" i="145"/>
  <c r="AG27" i="145"/>
  <c r="P28" i="145"/>
  <c r="AG28" i="145"/>
  <c r="P29" i="145"/>
  <c r="AG29" i="145"/>
  <c r="P30" i="145"/>
  <c r="AG30" i="145"/>
  <c r="P31" i="145"/>
  <c r="AG31" i="145"/>
  <c r="P32" i="145"/>
  <c r="AG32" i="145"/>
  <c r="P33" i="145"/>
  <c r="AG33" i="145"/>
  <c r="P34" i="145"/>
  <c r="AG34" i="145"/>
  <c r="P35" i="145"/>
  <c r="AG35" i="145"/>
  <c r="P36" i="145"/>
  <c r="AG36" i="145"/>
  <c r="P37" i="145"/>
  <c r="AG37" i="145"/>
  <c r="P38" i="145"/>
  <c r="AG38" i="145"/>
  <c r="P39" i="145"/>
  <c r="AG39" i="145"/>
  <c r="P40" i="145"/>
  <c r="AG40" i="145"/>
  <c r="P41" i="145"/>
  <c r="AG41" i="145"/>
  <c r="P42" i="145"/>
  <c r="AG42" i="145"/>
  <c r="P43" i="145"/>
  <c r="AG43" i="145"/>
  <c r="P44" i="145"/>
  <c r="AG44" i="145"/>
  <c r="P45" i="145"/>
  <c r="AG45" i="145"/>
  <c r="P46" i="145"/>
  <c r="AG46" i="145"/>
  <c r="P47" i="145"/>
  <c r="AG47" i="145"/>
  <c r="P48" i="145"/>
  <c r="AG48" i="145"/>
  <c r="P49" i="145"/>
  <c r="AG49" i="145"/>
  <c r="B50" i="145"/>
  <c r="C50" i="145"/>
  <c r="D50" i="145"/>
  <c r="E50" i="145"/>
  <c r="F50" i="145"/>
  <c r="G50" i="145"/>
  <c r="H50" i="145"/>
  <c r="I50" i="145"/>
  <c r="J50" i="145"/>
  <c r="K50" i="145"/>
  <c r="L50" i="145"/>
  <c r="M50" i="145"/>
  <c r="N50" i="145"/>
  <c r="O50" i="145"/>
  <c r="AG50" i="145"/>
  <c r="P1" i="117"/>
  <c r="H4" i="117" s="1"/>
  <c r="L6" i="117"/>
  <c r="B9" i="117"/>
  <c r="L9" i="117"/>
  <c r="B10" i="117"/>
  <c r="L10" i="117"/>
  <c r="N10" i="117"/>
  <c r="P13" i="117"/>
  <c r="R13" i="117"/>
  <c r="S13" i="117"/>
  <c r="T13" i="117"/>
  <c r="U13" i="117"/>
  <c r="V13" i="117"/>
  <c r="W13" i="117"/>
  <c r="X13" i="117"/>
  <c r="Y13" i="117"/>
  <c r="P14" i="117"/>
  <c r="R14" i="117"/>
  <c r="Z14" i="117" s="1"/>
  <c r="S14" i="117"/>
  <c r="T14" i="117"/>
  <c r="U14" i="117"/>
  <c r="V14" i="117"/>
  <c r="W14" i="117"/>
  <c r="X14" i="117"/>
  <c r="Y14" i="117"/>
  <c r="P15" i="117"/>
  <c r="R15" i="117"/>
  <c r="Z15" i="117" s="1"/>
  <c r="S15" i="117"/>
  <c r="T15" i="117"/>
  <c r="U15" i="117"/>
  <c r="V15" i="117"/>
  <c r="W15" i="117"/>
  <c r="X15" i="117"/>
  <c r="Y15" i="117"/>
  <c r="P16" i="117"/>
  <c r="R16" i="117"/>
  <c r="Z16" i="117" s="1"/>
  <c r="S16" i="117"/>
  <c r="T16" i="117"/>
  <c r="U16" i="117"/>
  <c r="V16" i="117"/>
  <c r="W16" i="117"/>
  <c r="X16" i="117"/>
  <c r="Y16" i="117"/>
  <c r="P17" i="117"/>
  <c r="R17" i="117"/>
  <c r="S17" i="117"/>
  <c r="T17" i="117"/>
  <c r="U17" i="117"/>
  <c r="V17" i="117"/>
  <c r="W17" i="117"/>
  <c r="X17" i="117"/>
  <c r="Y17" i="117"/>
  <c r="P18" i="117"/>
  <c r="R18" i="117"/>
  <c r="Z18" i="117" s="1"/>
  <c r="S18" i="117"/>
  <c r="T18" i="117"/>
  <c r="U18" i="117"/>
  <c r="V18" i="117"/>
  <c r="W18" i="117"/>
  <c r="X18" i="117"/>
  <c r="Y18" i="117"/>
  <c r="P19" i="117"/>
  <c r="R19" i="117"/>
  <c r="Z19" i="117" s="1"/>
  <c r="S19" i="117"/>
  <c r="T19" i="117"/>
  <c r="U19" i="117"/>
  <c r="V19" i="117"/>
  <c r="W19" i="117"/>
  <c r="X19" i="117"/>
  <c r="Y19" i="117"/>
  <c r="P20" i="117"/>
  <c r="R20" i="117"/>
  <c r="S20" i="117"/>
  <c r="T20" i="117"/>
  <c r="U20" i="117"/>
  <c r="V20" i="117"/>
  <c r="W20" i="117"/>
  <c r="X20" i="117"/>
  <c r="Y20" i="117"/>
  <c r="P21" i="117"/>
  <c r="R21" i="117"/>
  <c r="Z21" i="117" s="1"/>
  <c r="S21" i="117"/>
  <c r="T21" i="117"/>
  <c r="U21" i="117"/>
  <c r="V21" i="117"/>
  <c r="W21" i="117"/>
  <c r="X21" i="117"/>
  <c r="Y21" i="117"/>
  <c r="P22" i="117"/>
  <c r="R22" i="117"/>
  <c r="S22" i="117"/>
  <c r="T22" i="117"/>
  <c r="U22" i="117"/>
  <c r="V22" i="117"/>
  <c r="W22" i="117"/>
  <c r="X22" i="117"/>
  <c r="Y22" i="117"/>
  <c r="P23" i="117"/>
  <c r="R23" i="117"/>
  <c r="Z23" i="117" s="1"/>
  <c r="S23" i="117"/>
  <c r="T23" i="117"/>
  <c r="U23" i="117"/>
  <c r="V23" i="117"/>
  <c r="W23" i="117"/>
  <c r="X23" i="117"/>
  <c r="Y23" i="117"/>
  <c r="P24" i="117"/>
  <c r="R24" i="117"/>
  <c r="Z24" i="117" s="1"/>
  <c r="S24" i="117"/>
  <c r="T24" i="117"/>
  <c r="U24" i="117"/>
  <c r="V24" i="117"/>
  <c r="W24" i="117"/>
  <c r="X24" i="117"/>
  <c r="Y24" i="117"/>
  <c r="P25" i="117"/>
  <c r="R25" i="117"/>
  <c r="Z25" i="117" s="1"/>
  <c r="S25" i="117"/>
  <c r="T25" i="117"/>
  <c r="U25" i="117"/>
  <c r="V25" i="117"/>
  <c r="W25" i="117"/>
  <c r="X25" i="117"/>
  <c r="Y25" i="117"/>
  <c r="P26" i="117"/>
  <c r="R26" i="117"/>
  <c r="Z26" i="117" s="1"/>
  <c r="S26" i="117"/>
  <c r="T26" i="117"/>
  <c r="U26" i="117"/>
  <c r="V26" i="117"/>
  <c r="W26" i="117"/>
  <c r="X26" i="117"/>
  <c r="Y26" i="117"/>
  <c r="P27" i="117"/>
  <c r="R27" i="117"/>
  <c r="Z27" i="117" s="1"/>
  <c r="S27" i="117"/>
  <c r="T27" i="117"/>
  <c r="U27" i="117"/>
  <c r="V27" i="117"/>
  <c r="W27" i="117"/>
  <c r="X27" i="117"/>
  <c r="Y27" i="117"/>
  <c r="P28" i="117"/>
  <c r="R28" i="117"/>
  <c r="Z28" i="117" s="1"/>
  <c r="S28" i="117"/>
  <c r="T28" i="117"/>
  <c r="U28" i="117"/>
  <c r="V28" i="117"/>
  <c r="W28" i="117"/>
  <c r="X28" i="117"/>
  <c r="Y28" i="117"/>
  <c r="P29" i="117"/>
  <c r="R29" i="117"/>
  <c r="Z29" i="117" s="1"/>
  <c r="S29" i="117"/>
  <c r="T29" i="117"/>
  <c r="U29" i="117"/>
  <c r="V29" i="117"/>
  <c r="W29" i="117"/>
  <c r="X29" i="117"/>
  <c r="Y29" i="117"/>
  <c r="P30" i="117"/>
  <c r="R30" i="117"/>
  <c r="Z30" i="117" s="1"/>
  <c r="S30" i="117"/>
  <c r="T30" i="117"/>
  <c r="U30" i="117"/>
  <c r="V30" i="117"/>
  <c r="W30" i="117"/>
  <c r="X30" i="117"/>
  <c r="Y30" i="117"/>
  <c r="P31" i="117"/>
  <c r="R31" i="117"/>
  <c r="Z31" i="117" s="1"/>
  <c r="S31" i="117"/>
  <c r="T31" i="117"/>
  <c r="U31" i="117"/>
  <c r="V31" i="117"/>
  <c r="W31" i="117"/>
  <c r="X31" i="117"/>
  <c r="Y31" i="117"/>
  <c r="P32" i="117"/>
  <c r="R32" i="117"/>
  <c r="Z32" i="117" s="1"/>
  <c r="S32" i="117"/>
  <c r="T32" i="117"/>
  <c r="U32" i="117"/>
  <c r="V32" i="117"/>
  <c r="W32" i="117"/>
  <c r="X32" i="117"/>
  <c r="Y32" i="117"/>
  <c r="P33" i="117"/>
  <c r="R33" i="117"/>
  <c r="S33" i="117"/>
  <c r="T33" i="117"/>
  <c r="U33" i="117"/>
  <c r="V33" i="117"/>
  <c r="W33" i="117"/>
  <c r="X33" i="117"/>
  <c r="Y33" i="117"/>
  <c r="P34" i="117"/>
  <c r="R34" i="117"/>
  <c r="Z34" i="117" s="1"/>
  <c r="S34" i="117"/>
  <c r="T34" i="117"/>
  <c r="U34" i="117"/>
  <c r="V34" i="117"/>
  <c r="W34" i="117"/>
  <c r="X34" i="117"/>
  <c r="Y34" i="117"/>
  <c r="P35" i="117"/>
  <c r="R35" i="117"/>
  <c r="Z35" i="117" s="1"/>
  <c r="S35" i="117"/>
  <c r="T35" i="117"/>
  <c r="U35" i="117"/>
  <c r="V35" i="117"/>
  <c r="W35" i="117"/>
  <c r="X35" i="117"/>
  <c r="Y35" i="117"/>
  <c r="P36" i="117"/>
  <c r="R36" i="117"/>
  <c r="S36" i="117"/>
  <c r="T36" i="117"/>
  <c r="U36" i="117"/>
  <c r="V36" i="117"/>
  <c r="W36" i="117"/>
  <c r="X36" i="117"/>
  <c r="Y36" i="117"/>
  <c r="P37" i="117"/>
  <c r="R37" i="117"/>
  <c r="Z37" i="117" s="1"/>
  <c r="S37" i="117"/>
  <c r="T37" i="117"/>
  <c r="U37" i="117"/>
  <c r="V37" i="117"/>
  <c r="W37" i="117"/>
  <c r="X37" i="117"/>
  <c r="Y37" i="117"/>
  <c r="P38" i="117"/>
  <c r="R38" i="117"/>
  <c r="S38" i="117"/>
  <c r="T38" i="117"/>
  <c r="U38" i="117"/>
  <c r="V38" i="117"/>
  <c r="W38" i="117"/>
  <c r="X38" i="117"/>
  <c r="Y38" i="117"/>
  <c r="P39" i="117"/>
  <c r="R39" i="117"/>
  <c r="Z39" i="117" s="1"/>
  <c r="S39" i="117"/>
  <c r="T39" i="117"/>
  <c r="U39" i="117"/>
  <c r="V39" i="117"/>
  <c r="W39" i="117"/>
  <c r="X39" i="117"/>
  <c r="Y39" i="117"/>
  <c r="P40" i="117"/>
  <c r="R40" i="117"/>
  <c r="Z40" i="117" s="1"/>
  <c r="S40" i="117"/>
  <c r="T40" i="117"/>
  <c r="U40" i="117"/>
  <c r="V40" i="117"/>
  <c r="W40" i="117"/>
  <c r="X40" i="117"/>
  <c r="Y40" i="117"/>
  <c r="P41" i="117"/>
  <c r="R41" i="117"/>
  <c r="Z41" i="117" s="1"/>
  <c r="S41" i="117"/>
  <c r="T41" i="117"/>
  <c r="U41" i="117"/>
  <c r="V41" i="117"/>
  <c r="W41" i="117"/>
  <c r="X41" i="117"/>
  <c r="Y41" i="117"/>
  <c r="P42" i="117"/>
  <c r="R42" i="117"/>
  <c r="Z42" i="117" s="1"/>
  <c r="S42" i="117"/>
  <c r="T42" i="117"/>
  <c r="U42" i="117"/>
  <c r="V42" i="117"/>
  <c r="W42" i="117"/>
  <c r="X42" i="117"/>
  <c r="Y42" i="117"/>
  <c r="P43" i="117"/>
  <c r="R43" i="117"/>
  <c r="Z43" i="117" s="1"/>
  <c r="S43" i="117"/>
  <c r="T43" i="117"/>
  <c r="U43" i="117"/>
  <c r="V43" i="117"/>
  <c r="W43" i="117"/>
  <c r="X43" i="117"/>
  <c r="Y43" i="117"/>
  <c r="P44" i="117"/>
  <c r="R44" i="117"/>
  <c r="Z44" i="117" s="1"/>
  <c r="S44" i="117"/>
  <c r="T44" i="117"/>
  <c r="U44" i="117"/>
  <c r="V44" i="117"/>
  <c r="W44" i="117"/>
  <c r="X44" i="117"/>
  <c r="Y44" i="117"/>
  <c r="P45" i="117"/>
  <c r="R45" i="117"/>
  <c r="S45" i="117"/>
  <c r="T45" i="117"/>
  <c r="U45" i="117"/>
  <c r="V45" i="117"/>
  <c r="W45" i="117"/>
  <c r="X45" i="117"/>
  <c r="Y45" i="117"/>
  <c r="P46" i="117"/>
  <c r="R46" i="117"/>
  <c r="Z46" i="117" s="1"/>
  <c r="S46" i="117"/>
  <c r="T46" i="117"/>
  <c r="U46" i="117"/>
  <c r="V46" i="117"/>
  <c r="W46" i="117"/>
  <c r="X46" i="117"/>
  <c r="Y46" i="117"/>
  <c r="P47" i="117"/>
  <c r="R47" i="117"/>
  <c r="Z47" i="117" s="1"/>
  <c r="S47" i="117"/>
  <c r="T47" i="117"/>
  <c r="U47" i="117"/>
  <c r="V47" i="117"/>
  <c r="W47" i="117"/>
  <c r="X47" i="117"/>
  <c r="Y47" i="117"/>
  <c r="P48" i="117"/>
  <c r="R48" i="117"/>
  <c r="Z48" i="117" s="1"/>
  <c r="S48" i="117"/>
  <c r="T48" i="117"/>
  <c r="U48" i="117"/>
  <c r="V48" i="117"/>
  <c r="W48" i="117"/>
  <c r="X48" i="117"/>
  <c r="Y48" i="117"/>
  <c r="L1" i="80"/>
  <c r="D4" i="80" s="1"/>
  <c r="M1" i="80"/>
  <c r="N52" i="80" s="1"/>
  <c r="H6" i="80"/>
  <c r="B9" i="80"/>
  <c r="G9" i="80"/>
  <c r="B10" i="80"/>
  <c r="G10" i="80"/>
  <c r="J10" i="80"/>
  <c r="I1" i="114"/>
  <c r="N6" i="114"/>
  <c r="B9" i="114"/>
  <c r="K9" i="114"/>
  <c r="B10" i="114"/>
  <c r="K10" i="114"/>
  <c r="R15" i="114"/>
  <c r="R16" i="114"/>
  <c r="R17" i="114"/>
  <c r="R18" i="114"/>
  <c r="R19" i="114"/>
  <c r="R20" i="114"/>
  <c r="R21" i="114"/>
  <c r="R22" i="114"/>
  <c r="R23" i="114"/>
  <c r="R24" i="114"/>
  <c r="R25" i="114"/>
  <c r="R26" i="114"/>
  <c r="R27" i="114"/>
  <c r="R28" i="114"/>
  <c r="R29" i="114"/>
  <c r="R30" i="114"/>
  <c r="S30" i="114"/>
  <c r="T30" i="114"/>
  <c r="U30" i="114"/>
  <c r="V30" i="114"/>
  <c r="W30" i="114"/>
  <c r="X30" i="114"/>
  <c r="Y30" i="114"/>
  <c r="Z30" i="114"/>
  <c r="AA30" i="114"/>
  <c r="AB30" i="114"/>
  <c r="AC30" i="114"/>
  <c r="AD30" i="114"/>
  <c r="AH30" i="114"/>
  <c r="AI30" i="114"/>
  <c r="AK30" i="114"/>
  <c r="R31" i="114"/>
  <c r="R32" i="114"/>
  <c r="R33" i="114"/>
  <c r="R34" i="114"/>
  <c r="R35" i="114"/>
  <c r="R36" i="114"/>
  <c r="R37" i="114"/>
  <c r="R38" i="114"/>
  <c r="R39" i="114"/>
  <c r="R40" i="114"/>
  <c r="R41" i="114"/>
  <c r="R42" i="114"/>
  <c r="R43" i="114"/>
  <c r="R44" i="114"/>
  <c r="R45" i="114"/>
  <c r="R46" i="114"/>
  <c r="R47" i="114"/>
  <c r="R48" i="114"/>
  <c r="R49" i="114"/>
  <c r="R50" i="114"/>
  <c r="R51" i="114"/>
  <c r="R52" i="114"/>
  <c r="R53" i="114"/>
  <c r="R54" i="114"/>
  <c r="R55" i="114"/>
  <c r="F1" i="2"/>
  <c r="B4" i="2"/>
  <c r="E4" i="2"/>
  <c r="B5" i="2"/>
  <c r="E5" i="2"/>
  <c r="H5" i="2"/>
  <c r="DE23" i="147" l="1"/>
  <c r="CU25" i="147"/>
  <c r="BQ25" i="147" s="1"/>
  <c r="GF45" i="84"/>
  <c r="FO45" i="84"/>
  <c r="BQ17" i="165"/>
  <c r="CL17" i="165" s="1"/>
  <c r="BQ21" i="165"/>
  <c r="CL21" i="165" s="1"/>
  <c r="BQ25" i="165"/>
  <c r="CL25" i="165" s="1"/>
  <c r="BQ29" i="165"/>
  <c r="CL29" i="165" s="1"/>
  <c r="BQ34" i="165"/>
  <c r="CL34" i="165" s="1"/>
  <c r="BQ38" i="165"/>
  <c r="CL38" i="165" s="1"/>
  <c r="BQ42" i="165"/>
  <c r="CL42" i="165" s="1"/>
  <c r="CC17" i="165"/>
  <c r="CM17" i="165" s="1"/>
  <c r="CC21" i="165"/>
  <c r="CM21" i="165" s="1"/>
  <c r="CC25" i="165"/>
  <c r="CM25" i="165" s="1"/>
  <c r="BQ30" i="165"/>
  <c r="CL30" i="165" s="1"/>
  <c r="CC34" i="165"/>
  <c r="CM34" i="165" s="1"/>
  <c r="CC38" i="165"/>
  <c r="CM38" i="165" s="1"/>
  <c r="CC42" i="165"/>
  <c r="CM42" i="165" s="1"/>
  <c r="BQ16" i="165"/>
  <c r="CL16" i="165" s="1"/>
  <c r="BQ22" i="165"/>
  <c r="CL22" i="165" s="1"/>
  <c r="BQ26" i="165"/>
  <c r="CL26" i="165" s="1"/>
  <c r="BQ31" i="165"/>
  <c r="CL31" i="165" s="1"/>
  <c r="BQ35" i="165"/>
  <c r="CL35" i="165" s="1"/>
  <c r="BQ39" i="165"/>
  <c r="CL39" i="165" s="1"/>
  <c r="BQ43" i="165"/>
  <c r="CL43" i="165" s="1"/>
  <c r="CC16" i="165"/>
  <c r="CM16" i="165" s="1"/>
  <c r="CC22" i="165"/>
  <c r="CM22" i="165" s="1"/>
  <c r="CC26" i="165"/>
  <c r="CM26" i="165" s="1"/>
  <c r="CC31" i="165"/>
  <c r="CM31" i="165" s="1"/>
  <c r="CC35" i="165"/>
  <c r="CM35" i="165" s="1"/>
  <c r="CC39" i="165"/>
  <c r="CM39" i="165" s="1"/>
  <c r="CC43" i="165"/>
  <c r="CM43" i="165" s="1"/>
  <c r="BQ18" i="165"/>
  <c r="CL18" i="165" s="1"/>
  <c r="BQ23" i="165"/>
  <c r="CL23" i="165" s="1"/>
  <c r="BQ27" i="165"/>
  <c r="CL27" i="165" s="1"/>
  <c r="BQ32" i="165"/>
  <c r="CL32" i="165" s="1"/>
  <c r="BQ36" i="165"/>
  <c r="CL36" i="165" s="1"/>
  <c r="BQ40" i="165"/>
  <c r="CL40" i="165" s="1"/>
  <c r="BQ44" i="165"/>
  <c r="CL44" i="165" s="1"/>
  <c r="CC18" i="165"/>
  <c r="CM18" i="165" s="1"/>
  <c r="CC23" i="165"/>
  <c r="CM23" i="165" s="1"/>
  <c r="CC27" i="165"/>
  <c r="CM27" i="165" s="1"/>
  <c r="CC32" i="165"/>
  <c r="CM32" i="165" s="1"/>
  <c r="CC36" i="165"/>
  <c r="CM36" i="165" s="1"/>
  <c r="CC40" i="165"/>
  <c r="CM40" i="165" s="1"/>
  <c r="CC44" i="165"/>
  <c r="CM44" i="165" s="1"/>
  <c r="BQ19" i="165"/>
  <c r="CL19" i="165" s="1"/>
  <c r="BQ24" i="165"/>
  <c r="CL24" i="165" s="1"/>
  <c r="BQ28" i="165"/>
  <c r="CL28" i="165" s="1"/>
  <c r="BQ33" i="165"/>
  <c r="CL33" i="165" s="1"/>
  <c r="BQ37" i="165"/>
  <c r="CL37" i="165" s="1"/>
  <c r="BQ41" i="165"/>
  <c r="CL41" i="165" s="1"/>
  <c r="BQ45" i="165"/>
  <c r="CL45" i="165" s="1"/>
  <c r="CC19" i="165"/>
  <c r="CM19" i="165" s="1"/>
  <c r="CC24" i="165"/>
  <c r="CM24" i="165" s="1"/>
  <c r="CC28" i="165"/>
  <c r="CM28" i="165" s="1"/>
  <c r="CC33" i="165"/>
  <c r="CM33" i="165" s="1"/>
  <c r="CC37" i="165"/>
  <c r="CM37" i="165" s="1"/>
  <c r="CC41" i="165"/>
  <c r="CM41" i="165" s="1"/>
  <c r="CC45" i="165"/>
  <c r="CM45" i="165" s="1"/>
  <c r="BO21" i="165"/>
  <c r="BO34" i="165"/>
  <c r="DZ22" i="165"/>
  <c r="FQ25" i="147"/>
  <c r="CA23" i="147"/>
  <c r="CC23" i="147"/>
  <c r="CM23" i="147" s="1"/>
  <c r="CA17" i="165"/>
  <c r="CA21" i="165"/>
  <c r="CA25" i="165"/>
  <c r="BO30" i="165"/>
  <c r="CA34" i="165"/>
  <c r="CA38" i="165"/>
  <c r="CA42" i="165"/>
  <c r="BO17" i="165"/>
  <c r="BO29" i="165"/>
  <c r="BO42" i="165"/>
  <c r="BO16" i="165"/>
  <c r="BO22" i="165"/>
  <c r="BO26" i="165"/>
  <c r="BO31" i="165"/>
  <c r="BO35" i="165"/>
  <c r="BO39" i="165"/>
  <c r="BO43" i="165"/>
  <c r="BO25" i="165"/>
  <c r="BO38" i="165"/>
  <c r="CA16" i="165"/>
  <c r="CA22" i="165"/>
  <c r="CA26" i="165"/>
  <c r="CA31" i="165"/>
  <c r="CA35" i="165"/>
  <c r="CA39" i="165"/>
  <c r="CA43" i="165"/>
  <c r="BO18" i="165"/>
  <c r="BO23" i="165"/>
  <c r="BO27" i="165"/>
  <c r="BO32" i="165"/>
  <c r="BO36" i="165"/>
  <c r="BO40" i="165"/>
  <c r="BO44" i="165"/>
  <c r="CA18" i="165"/>
  <c r="FR23" i="165"/>
  <c r="CA23" i="165"/>
  <c r="CA27" i="165"/>
  <c r="CA32" i="165"/>
  <c r="CA36" i="165"/>
  <c r="CA40" i="165"/>
  <c r="CA44" i="165"/>
  <c r="BO19" i="165"/>
  <c r="BO24" i="165"/>
  <c r="BO28" i="165"/>
  <c r="BO33" i="165"/>
  <c r="BO37" i="165"/>
  <c r="BO41" i="165"/>
  <c r="BO45" i="165"/>
  <c r="CA19" i="165"/>
  <c r="CA24" i="165"/>
  <c r="CA28" i="165"/>
  <c r="CA33" i="165"/>
  <c r="CA37" i="165"/>
  <c r="CA41" i="165"/>
  <c r="CA45" i="165"/>
  <c r="AS34" i="84"/>
  <c r="AR34" i="84"/>
  <c r="FF74" i="84" s="1"/>
  <c r="BE26" i="84"/>
  <c r="BD26" i="84"/>
  <c r="FI66" i="84" s="1"/>
  <c r="AS39" i="160"/>
  <c r="AR39" i="160"/>
  <c r="FF79" i="160" s="1"/>
  <c r="BA34" i="160"/>
  <c r="AZ34" i="160"/>
  <c r="FH74" i="160" s="1"/>
  <c r="AW31" i="160"/>
  <c r="AV31" i="160"/>
  <c r="FG71" i="160" s="1"/>
  <c r="AW28" i="160"/>
  <c r="AV28" i="160"/>
  <c r="FG68" i="160" s="1"/>
  <c r="BE22" i="160"/>
  <c r="BD22" i="160"/>
  <c r="FI62" i="160" s="1"/>
  <c r="AS21" i="160"/>
  <c r="AR21" i="160"/>
  <c r="FF61" i="160" s="1"/>
  <c r="BA19" i="160"/>
  <c r="AZ19" i="160"/>
  <c r="FH59" i="160" s="1"/>
  <c r="AW16" i="160"/>
  <c r="AV16" i="160"/>
  <c r="FG56" i="160" s="1"/>
  <c r="AS16" i="84"/>
  <c r="AR16" i="84"/>
  <c r="BA20" i="84"/>
  <c r="AZ20" i="84"/>
  <c r="AS43" i="84"/>
  <c r="AR43" i="84"/>
  <c r="FF83" i="84" s="1"/>
  <c r="BA42" i="84"/>
  <c r="AZ42" i="84"/>
  <c r="FH82" i="84" s="1"/>
  <c r="AW39" i="84"/>
  <c r="AV39" i="84"/>
  <c r="FG79" i="84" s="1"/>
  <c r="AS37" i="84"/>
  <c r="AR37" i="84"/>
  <c r="FF77" i="84" s="1"/>
  <c r="BA36" i="84"/>
  <c r="AZ36" i="84"/>
  <c r="FH76" i="84" s="1"/>
  <c r="AZ30" i="84"/>
  <c r="FH70" i="84" s="1"/>
  <c r="BA30" i="84"/>
  <c r="AS29" i="84"/>
  <c r="AR29" i="84"/>
  <c r="FF69" i="84" s="1"/>
  <c r="BA26" i="84"/>
  <c r="AZ26" i="84"/>
  <c r="FH66" i="84" s="1"/>
  <c r="AS25" i="84"/>
  <c r="AR25" i="84"/>
  <c r="FF65" i="84" s="1"/>
  <c r="AZ22" i="84"/>
  <c r="FH62" i="84" s="1"/>
  <c r="BA22" i="84"/>
  <c r="AS21" i="84"/>
  <c r="AR21" i="84"/>
  <c r="FF61" i="84" s="1"/>
  <c r="AW45" i="160"/>
  <c r="AV45" i="160"/>
  <c r="FG85" i="160" s="1"/>
  <c r="BD43" i="160"/>
  <c r="FI83" i="160" s="1"/>
  <c r="BE43" i="160"/>
  <c r="AS42" i="160"/>
  <c r="AR42" i="160"/>
  <c r="FF82" i="160" s="1"/>
  <c r="BA40" i="160"/>
  <c r="AZ40" i="160"/>
  <c r="FH80" i="160" s="1"/>
  <c r="BA37" i="160"/>
  <c r="AZ37" i="160"/>
  <c r="FH77" i="160" s="1"/>
  <c r="AW34" i="160"/>
  <c r="AV34" i="160"/>
  <c r="FG74" i="160" s="1"/>
  <c r="BE32" i="160"/>
  <c r="BD32" i="160"/>
  <c r="FI72" i="160" s="1"/>
  <c r="AS31" i="160"/>
  <c r="AR31" i="160"/>
  <c r="FF71" i="160" s="1"/>
  <c r="BE29" i="160"/>
  <c r="BD29" i="160"/>
  <c r="FI69" i="160" s="1"/>
  <c r="AS28" i="160"/>
  <c r="AR28" i="160"/>
  <c r="FF68" i="160" s="1"/>
  <c r="BA26" i="160"/>
  <c r="AZ26" i="160"/>
  <c r="FH66" i="160" s="1"/>
  <c r="BA22" i="160"/>
  <c r="AZ22" i="160"/>
  <c r="FH62" i="160" s="1"/>
  <c r="AW19" i="160"/>
  <c r="AV19" i="160"/>
  <c r="FG59" i="160" s="1"/>
  <c r="BE17" i="160"/>
  <c r="BD17" i="160"/>
  <c r="FI57" i="160" s="1"/>
  <c r="AS16" i="160"/>
  <c r="AR16" i="160"/>
  <c r="AW42" i="84"/>
  <c r="AV42" i="84"/>
  <c r="FG82" i="84" s="1"/>
  <c r="BE41" i="84"/>
  <c r="BD41" i="84"/>
  <c r="FI81" i="84" s="1"/>
  <c r="AS39" i="84"/>
  <c r="AR39" i="84"/>
  <c r="FF79" i="84" s="1"/>
  <c r="AV36" i="84"/>
  <c r="FG76" i="84" s="1"/>
  <c r="AW36" i="84"/>
  <c r="BE35" i="84"/>
  <c r="BD35" i="84"/>
  <c r="FI75" i="84" s="1"/>
  <c r="BE31" i="84"/>
  <c r="BD31" i="84"/>
  <c r="FI71" i="84" s="1"/>
  <c r="AW30" i="84"/>
  <c r="AV30" i="84"/>
  <c r="FG70" i="84" s="1"/>
  <c r="BE27" i="84"/>
  <c r="BD27" i="84"/>
  <c r="FI67" i="84" s="1"/>
  <c r="AW26" i="84"/>
  <c r="AV26" i="84"/>
  <c r="FG66" i="84" s="1"/>
  <c r="AW22" i="84"/>
  <c r="AV22" i="84"/>
  <c r="FG62" i="84" s="1"/>
  <c r="AR45" i="160"/>
  <c r="FF85" i="160" s="1"/>
  <c r="AS45" i="160"/>
  <c r="BA43" i="160"/>
  <c r="AZ43" i="160"/>
  <c r="FH83" i="160" s="1"/>
  <c r="AW40" i="160"/>
  <c r="AV40" i="160"/>
  <c r="FG80" i="160" s="1"/>
  <c r="AW37" i="160"/>
  <c r="AV37" i="160"/>
  <c r="FG77" i="160" s="1"/>
  <c r="BE35" i="160"/>
  <c r="BD35" i="160"/>
  <c r="FI75" i="160" s="1"/>
  <c r="AS34" i="160"/>
  <c r="AR34" i="160"/>
  <c r="FF74" i="160" s="1"/>
  <c r="BA32" i="160"/>
  <c r="AZ32" i="160"/>
  <c r="FH72" i="160" s="1"/>
  <c r="BA29" i="160"/>
  <c r="AZ29" i="160"/>
  <c r="FH69" i="160" s="1"/>
  <c r="AW26" i="160"/>
  <c r="AV26" i="160"/>
  <c r="FG66" i="160" s="1"/>
  <c r="BE24" i="160"/>
  <c r="BD24" i="160"/>
  <c r="FI64" i="160" s="1"/>
  <c r="AW22" i="160"/>
  <c r="AV22" i="160"/>
  <c r="FG62" i="160" s="1"/>
  <c r="BD20" i="160"/>
  <c r="FI60" i="160" s="1"/>
  <c r="BE20" i="160"/>
  <c r="AS19" i="160"/>
  <c r="AR19" i="160"/>
  <c r="FF59" i="160" s="1"/>
  <c r="BA17" i="160"/>
  <c r="AZ17" i="160"/>
  <c r="FH57" i="160" s="1"/>
  <c r="AS17" i="84"/>
  <c r="AR17" i="84"/>
  <c r="FF57" i="84" s="1"/>
  <c r="BD20" i="84"/>
  <c r="FI60" i="84" s="1"/>
  <c r="BE20" i="84"/>
  <c r="AW37" i="84"/>
  <c r="AV37" i="84"/>
  <c r="FG77" i="84" s="1"/>
  <c r="AW21" i="84"/>
  <c r="AV21" i="84"/>
  <c r="FG61" i="84" s="1"/>
  <c r="AS36" i="160"/>
  <c r="AR36" i="160"/>
  <c r="FF76" i="160" s="1"/>
  <c r="AS42" i="84"/>
  <c r="AR42" i="84"/>
  <c r="FF82" i="84" s="1"/>
  <c r="BA41" i="84"/>
  <c r="AZ41" i="84"/>
  <c r="FH81" i="84" s="1"/>
  <c r="BE38" i="84"/>
  <c r="BD38" i="84"/>
  <c r="FI78" i="84" s="1"/>
  <c r="AS36" i="84"/>
  <c r="AR36" i="84"/>
  <c r="FF76" i="84" s="1"/>
  <c r="BA35" i="84"/>
  <c r="AZ35" i="84"/>
  <c r="FH75" i="84" s="1"/>
  <c r="BE32" i="84"/>
  <c r="BD32" i="84"/>
  <c r="FI72" i="84" s="1"/>
  <c r="BA31" i="84"/>
  <c r="AZ31" i="84"/>
  <c r="FH71" i="84" s="1"/>
  <c r="AR30" i="84"/>
  <c r="FF70" i="84" s="1"/>
  <c r="AS30" i="84"/>
  <c r="BA27" i="84"/>
  <c r="AZ27" i="84"/>
  <c r="FH67" i="84" s="1"/>
  <c r="AS26" i="84"/>
  <c r="AR26" i="84"/>
  <c r="FF66" i="84" s="1"/>
  <c r="BE23" i="84"/>
  <c r="BD23" i="84"/>
  <c r="FI63" i="84" s="1"/>
  <c r="AR22" i="84"/>
  <c r="FF62" i="84" s="1"/>
  <c r="AS22" i="84"/>
  <c r="AV43" i="160"/>
  <c r="FG83" i="160" s="1"/>
  <c r="AW43" i="160"/>
  <c r="BE41" i="160"/>
  <c r="BD41" i="160"/>
  <c r="FI81" i="160" s="1"/>
  <c r="AS40" i="160"/>
  <c r="AR40" i="160"/>
  <c r="FF80" i="160" s="1"/>
  <c r="BE38" i="160"/>
  <c r="BD38" i="160"/>
  <c r="FI78" i="160" s="1"/>
  <c r="AR37" i="160"/>
  <c r="FF77" i="160" s="1"/>
  <c r="AS37" i="160"/>
  <c r="BA35" i="160"/>
  <c r="AZ35" i="160"/>
  <c r="FH75" i="160" s="1"/>
  <c r="AW32" i="160"/>
  <c r="AV32" i="160"/>
  <c r="FG72" i="160" s="1"/>
  <c r="AW29" i="160"/>
  <c r="AV29" i="160"/>
  <c r="FG69" i="160" s="1"/>
  <c r="BE27" i="160"/>
  <c r="BD27" i="160"/>
  <c r="FI67" i="160" s="1"/>
  <c r="AS26" i="160"/>
  <c r="AR26" i="160"/>
  <c r="FF66" i="160" s="1"/>
  <c r="BA24" i="160"/>
  <c r="AZ24" i="160"/>
  <c r="FH64" i="160" s="1"/>
  <c r="BE23" i="160"/>
  <c r="BD23" i="160"/>
  <c r="FI63" i="160" s="1"/>
  <c r="AS22" i="160"/>
  <c r="AR22" i="160"/>
  <c r="FF62" i="160" s="1"/>
  <c r="BA20" i="160"/>
  <c r="AZ20" i="160"/>
  <c r="FH60" i="160" s="1"/>
  <c r="AW17" i="160"/>
  <c r="AV17" i="160"/>
  <c r="FG57" i="160" s="1"/>
  <c r="BE15" i="160"/>
  <c r="BD15" i="160"/>
  <c r="FI55" i="160" s="1"/>
  <c r="BE42" i="84"/>
  <c r="BD42" i="84"/>
  <c r="FI82" i="84" s="1"/>
  <c r="BE30" i="84"/>
  <c r="BD30" i="84"/>
  <c r="FI70" i="84" s="1"/>
  <c r="AW42" i="160"/>
  <c r="AV42" i="160"/>
  <c r="FG82" i="160" s="1"/>
  <c r="BE26" i="160"/>
  <c r="BD26" i="160"/>
  <c r="FI66" i="160" s="1"/>
  <c r="BD44" i="84"/>
  <c r="FI84" i="84" s="1"/>
  <c r="BE44" i="84"/>
  <c r="AW41" i="84"/>
  <c r="AV41" i="84"/>
  <c r="FG81" i="84" s="1"/>
  <c r="BE40" i="84"/>
  <c r="BD40" i="84"/>
  <c r="FI80" i="84" s="1"/>
  <c r="AZ38" i="84"/>
  <c r="FH78" i="84" s="1"/>
  <c r="BA38" i="84"/>
  <c r="AW35" i="84"/>
  <c r="AV35" i="84"/>
  <c r="FG75" i="84" s="1"/>
  <c r="BA32" i="84"/>
  <c r="AZ32" i="84"/>
  <c r="FH72" i="84" s="1"/>
  <c r="AW31" i="84"/>
  <c r="AV31" i="84"/>
  <c r="FG71" i="84" s="1"/>
  <c r="BD28" i="84"/>
  <c r="FI68" i="84" s="1"/>
  <c r="BE28" i="84"/>
  <c r="AW27" i="84"/>
  <c r="AV27" i="84"/>
  <c r="FG67" i="84" s="1"/>
  <c r="BE24" i="84"/>
  <c r="BD24" i="84"/>
  <c r="FI64" i="84" s="1"/>
  <c r="BA23" i="84"/>
  <c r="AZ23" i="84"/>
  <c r="FH63" i="84" s="1"/>
  <c r="BE44" i="160"/>
  <c r="BD44" i="160"/>
  <c r="FI84" i="160" s="1"/>
  <c r="AS43" i="160"/>
  <c r="AR43" i="160"/>
  <c r="FF83" i="160" s="1"/>
  <c r="AZ41" i="160"/>
  <c r="FH81" i="160" s="1"/>
  <c r="BA41" i="160"/>
  <c r="BA38" i="160"/>
  <c r="AZ38" i="160"/>
  <c r="FH78" i="160" s="1"/>
  <c r="AW35" i="160"/>
  <c r="AV35" i="160"/>
  <c r="FG75" i="160" s="1"/>
  <c r="BE33" i="160"/>
  <c r="BD33" i="160"/>
  <c r="FI73" i="160" s="1"/>
  <c r="AS32" i="160"/>
  <c r="AR32" i="160"/>
  <c r="FF72" i="160" s="1"/>
  <c r="BE30" i="160"/>
  <c r="BD30" i="160"/>
  <c r="FI70" i="160" s="1"/>
  <c r="AS29" i="160"/>
  <c r="AR29" i="160"/>
  <c r="FF69" i="160" s="1"/>
  <c r="BA27" i="160"/>
  <c r="AZ27" i="160"/>
  <c r="FH67" i="160" s="1"/>
  <c r="AS24" i="160"/>
  <c r="AR24" i="160"/>
  <c r="FF64" i="160" s="1"/>
  <c r="BA23" i="160"/>
  <c r="AZ23" i="160"/>
  <c r="FH63" i="160" s="1"/>
  <c r="AV20" i="160"/>
  <c r="FG60" i="160" s="1"/>
  <c r="AW20" i="160"/>
  <c r="BE18" i="160"/>
  <c r="BD18" i="160"/>
  <c r="FI58" i="160" s="1"/>
  <c r="AS17" i="160"/>
  <c r="AR17" i="160"/>
  <c r="FF57" i="160" s="1"/>
  <c r="BA15" i="160"/>
  <c r="AZ15" i="160"/>
  <c r="FH55" i="160" s="1"/>
  <c r="BE14" i="160"/>
  <c r="BD14" i="160"/>
  <c r="AS19" i="84"/>
  <c r="AR19" i="84"/>
  <c r="FF59" i="84" s="1"/>
  <c r="AS45" i="84"/>
  <c r="AR45" i="84"/>
  <c r="FF85" i="84" s="1"/>
  <c r="BD36" i="84"/>
  <c r="FI76" i="84" s="1"/>
  <c r="BE36" i="84"/>
  <c r="AS33" i="84"/>
  <c r="AR33" i="84"/>
  <c r="FF73" i="84" s="1"/>
  <c r="AW25" i="84"/>
  <c r="AV25" i="84"/>
  <c r="FG65" i="84" s="1"/>
  <c r="BE37" i="160"/>
  <c r="BD37" i="160"/>
  <c r="FI77" i="160" s="1"/>
  <c r="BE45" i="84"/>
  <c r="BD45" i="84"/>
  <c r="FI85" i="84" s="1"/>
  <c r="BA44" i="84"/>
  <c r="AZ44" i="84"/>
  <c r="FH84" i="84" s="1"/>
  <c r="AS41" i="84"/>
  <c r="AR41" i="84"/>
  <c r="FF81" i="84" s="1"/>
  <c r="BA40" i="84"/>
  <c r="AZ40" i="84"/>
  <c r="FH80" i="84" s="1"/>
  <c r="AW38" i="84"/>
  <c r="AV38" i="84"/>
  <c r="FG78" i="84" s="1"/>
  <c r="AS35" i="84"/>
  <c r="AR35" i="84"/>
  <c r="FF75" i="84" s="1"/>
  <c r="BE34" i="84"/>
  <c r="BD34" i="84"/>
  <c r="FI74" i="84" s="1"/>
  <c r="BE33" i="84"/>
  <c r="BD33" i="84"/>
  <c r="FI73" i="84" s="1"/>
  <c r="AW32" i="84"/>
  <c r="AV32" i="84"/>
  <c r="FG72" i="84" s="1"/>
  <c r="AS31" i="84"/>
  <c r="AR31" i="84"/>
  <c r="FF71" i="84" s="1"/>
  <c r="BA28" i="84"/>
  <c r="AZ28" i="84"/>
  <c r="FH68" i="84" s="1"/>
  <c r="AS27" i="84"/>
  <c r="AR27" i="84"/>
  <c r="FF67" i="84" s="1"/>
  <c r="BA24" i="84"/>
  <c r="AZ24" i="84"/>
  <c r="FH64" i="84" s="1"/>
  <c r="AW23" i="84"/>
  <c r="AV23" i="84"/>
  <c r="FG63" i="84" s="1"/>
  <c r="BA44" i="160"/>
  <c r="AZ44" i="160"/>
  <c r="FH84" i="160" s="1"/>
  <c r="AW41" i="160"/>
  <c r="AV41" i="160"/>
  <c r="FG81" i="160" s="1"/>
  <c r="BD39" i="160"/>
  <c r="FI79" i="160" s="1"/>
  <c r="BE39" i="160"/>
  <c r="AW38" i="160"/>
  <c r="AV38" i="160"/>
  <c r="FG78" i="160" s="1"/>
  <c r="BE36" i="160"/>
  <c r="BD36" i="160"/>
  <c r="FI76" i="160" s="1"/>
  <c r="AS35" i="160"/>
  <c r="AR35" i="160"/>
  <c r="FF75" i="160" s="1"/>
  <c r="BA33" i="160"/>
  <c r="AZ33" i="160"/>
  <c r="FH73" i="160" s="1"/>
  <c r="BA30" i="160"/>
  <c r="AZ30" i="160"/>
  <c r="FH70" i="160" s="1"/>
  <c r="AW27" i="160"/>
  <c r="AV27" i="160"/>
  <c r="FG67" i="160" s="1"/>
  <c r="BE25" i="160"/>
  <c r="BD25" i="160"/>
  <c r="FI65" i="160" s="1"/>
  <c r="AW23" i="160"/>
  <c r="AV23" i="160"/>
  <c r="FG63" i="160" s="1"/>
  <c r="BE21" i="160"/>
  <c r="BD21" i="160"/>
  <c r="FI61" i="160" s="1"/>
  <c r="AS20" i="160"/>
  <c r="AR20" i="160"/>
  <c r="FF60" i="160" s="1"/>
  <c r="BA18" i="160"/>
  <c r="AZ18" i="160"/>
  <c r="FH58" i="160" s="1"/>
  <c r="AW15" i="160"/>
  <c r="AV15" i="160"/>
  <c r="FG55" i="160" s="1"/>
  <c r="AZ14" i="160"/>
  <c r="BA14" i="160"/>
  <c r="BA39" i="84"/>
  <c r="AZ39" i="84"/>
  <c r="FH79" i="84" s="1"/>
  <c r="AW29" i="84"/>
  <c r="AV29" i="84"/>
  <c r="FG69" i="84" s="1"/>
  <c r="BA45" i="160"/>
  <c r="AZ45" i="160"/>
  <c r="FH85" i="160" s="1"/>
  <c r="BA45" i="84"/>
  <c r="AZ45" i="84"/>
  <c r="FH85" i="84" s="1"/>
  <c r="AV44" i="84"/>
  <c r="FG84" i="84" s="1"/>
  <c r="AW44" i="84"/>
  <c r="BE43" i="84"/>
  <c r="BD43" i="84"/>
  <c r="FI83" i="84" s="1"/>
  <c r="AW40" i="84"/>
  <c r="AV40" i="84"/>
  <c r="FG80" i="84" s="1"/>
  <c r="AR38" i="84"/>
  <c r="FF78" i="84" s="1"/>
  <c r="AS38" i="84"/>
  <c r="BE37" i="84"/>
  <c r="BD37" i="84"/>
  <c r="FI77" i="84" s="1"/>
  <c r="BA34" i="84"/>
  <c r="AZ34" i="84"/>
  <c r="FH74" i="84" s="1"/>
  <c r="BA33" i="84"/>
  <c r="AZ33" i="84"/>
  <c r="FH73" i="84" s="1"/>
  <c r="AS32" i="84"/>
  <c r="AR32" i="84"/>
  <c r="FF72" i="84" s="1"/>
  <c r="BE29" i="84"/>
  <c r="BD29" i="84"/>
  <c r="FI69" i="84" s="1"/>
  <c r="AW28" i="84"/>
  <c r="AV28" i="84"/>
  <c r="FG68" i="84" s="1"/>
  <c r="BE25" i="84"/>
  <c r="BD25" i="84"/>
  <c r="FI65" i="84" s="1"/>
  <c r="AW24" i="84"/>
  <c r="AV24" i="84"/>
  <c r="FG64" i="84" s="1"/>
  <c r="AS23" i="84"/>
  <c r="AR23" i="84"/>
  <c r="BE21" i="84"/>
  <c r="BD21" i="84"/>
  <c r="FI61" i="84" s="1"/>
  <c r="AW44" i="160"/>
  <c r="AV44" i="160"/>
  <c r="FG84" i="160" s="1"/>
  <c r="BE42" i="160"/>
  <c r="BD42" i="160"/>
  <c r="FI82" i="160" s="1"/>
  <c r="AR41" i="160"/>
  <c r="FF81" i="160" s="1"/>
  <c r="AS41" i="160"/>
  <c r="BA39" i="160"/>
  <c r="AZ39" i="160"/>
  <c r="FH79" i="160" s="1"/>
  <c r="AS38" i="160"/>
  <c r="AR38" i="160"/>
  <c r="FF78" i="160" s="1"/>
  <c r="BA36" i="160"/>
  <c r="AZ36" i="160"/>
  <c r="FH76" i="160" s="1"/>
  <c r="AW33" i="160"/>
  <c r="AV33" i="160"/>
  <c r="FG73" i="160" s="1"/>
  <c r="BE31" i="160"/>
  <c r="BD31" i="160"/>
  <c r="FI71" i="160" s="1"/>
  <c r="AW30" i="160"/>
  <c r="AV30" i="160"/>
  <c r="FG70" i="160" s="1"/>
  <c r="BE28" i="160"/>
  <c r="BD28" i="160"/>
  <c r="FI68" i="160" s="1"/>
  <c r="AS27" i="160"/>
  <c r="AR27" i="160"/>
  <c r="FF67" i="160" s="1"/>
  <c r="BA25" i="160"/>
  <c r="AZ25" i="160"/>
  <c r="FH65" i="160" s="1"/>
  <c r="AS23" i="160"/>
  <c r="AR23" i="160"/>
  <c r="FF63" i="160" s="1"/>
  <c r="BA21" i="160"/>
  <c r="AZ21" i="160"/>
  <c r="FH61" i="160" s="1"/>
  <c r="AW18" i="160"/>
  <c r="AV18" i="160"/>
  <c r="FG58" i="160" s="1"/>
  <c r="BE16" i="160"/>
  <c r="BD16" i="160"/>
  <c r="FI56" i="160" s="1"/>
  <c r="AS15" i="160"/>
  <c r="AR15" i="160"/>
  <c r="FF55" i="160" s="1"/>
  <c r="AW14" i="160"/>
  <c r="AV14" i="160"/>
  <c r="FG54" i="160" s="1"/>
  <c r="AS15" i="84"/>
  <c r="AR15" i="84"/>
  <c r="FF55" i="84" s="1"/>
  <c r="AS20" i="84"/>
  <c r="AR20" i="84"/>
  <c r="AW43" i="84"/>
  <c r="AV43" i="84"/>
  <c r="FG83" i="84" s="1"/>
  <c r="BE22" i="84"/>
  <c r="BD22" i="84"/>
  <c r="FI62" i="84" s="1"/>
  <c r="BE40" i="160"/>
  <c r="BD40" i="160"/>
  <c r="FI80" i="160" s="1"/>
  <c r="AS25" i="160"/>
  <c r="AR25" i="160"/>
  <c r="FF65" i="160" s="1"/>
  <c r="AW45" i="84"/>
  <c r="AV45" i="84"/>
  <c r="FG85" i="84" s="1"/>
  <c r="AS44" i="84"/>
  <c r="AR44" i="84"/>
  <c r="FF84" i="84" s="1"/>
  <c r="BA43" i="84"/>
  <c r="AZ43" i="84"/>
  <c r="FH83" i="84" s="1"/>
  <c r="AS40" i="84"/>
  <c r="AR40" i="84"/>
  <c r="FF80" i="84" s="1"/>
  <c r="BE39" i="84"/>
  <c r="BD39" i="84"/>
  <c r="FI79" i="84" s="1"/>
  <c r="BA37" i="84"/>
  <c r="AZ37" i="84"/>
  <c r="FH77" i="84" s="1"/>
  <c r="AW34" i="84"/>
  <c r="AV34" i="84"/>
  <c r="FG74" i="84" s="1"/>
  <c r="AW33" i="84"/>
  <c r="AV33" i="84"/>
  <c r="FG73" i="84" s="1"/>
  <c r="BA29" i="84"/>
  <c r="AZ29" i="84"/>
  <c r="FH69" i="84" s="1"/>
  <c r="AS28" i="84"/>
  <c r="AR28" i="84"/>
  <c r="FF68" i="84" s="1"/>
  <c r="BA25" i="84"/>
  <c r="AZ25" i="84"/>
  <c r="FH65" i="84" s="1"/>
  <c r="AS24" i="84"/>
  <c r="AR24" i="84"/>
  <c r="FF64" i="84" s="1"/>
  <c r="BA21" i="84"/>
  <c r="AZ21" i="84"/>
  <c r="FH61" i="84" s="1"/>
  <c r="BE45" i="160"/>
  <c r="BD45" i="160"/>
  <c r="FI85" i="160" s="1"/>
  <c r="AS44" i="160"/>
  <c r="AR44" i="160"/>
  <c r="FF84" i="160" s="1"/>
  <c r="BA42" i="160"/>
  <c r="AZ42" i="160"/>
  <c r="FH82" i="160" s="1"/>
  <c r="AV39" i="160"/>
  <c r="FG79" i="160" s="1"/>
  <c r="AW39" i="160"/>
  <c r="AW36" i="160"/>
  <c r="AV36" i="160"/>
  <c r="FG76" i="160" s="1"/>
  <c r="BE34" i="160"/>
  <c r="BD34" i="160"/>
  <c r="FI74" i="160" s="1"/>
  <c r="AS33" i="160"/>
  <c r="AR33" i="160"/>
  <c r="FF73" i="160" s="1"/>
  <c r="BA31" i="160"/>
  <c r="AZ31" i="160"/>
  <c r="FH71" i="160" s="1"/>
  <c r="AS30" i="160"/>
  <c r="AR30" i="160"/>
  <c r="FF70" i="160" s="1"/>
  <c r="BA28" i="160"/>
  <c r="AZ28" i="160"/>
  <c r="FH68" i="160" s="1"/>
  <c r="AW25" i="160"/>
  <c r="AV25" i="160"/>
  <c r="FG65" i="160" s="1"/>
  <c r="AW21" i="160"/>
  <c r="AV21" i="160"/>
  <c r="FG61" i="160" s="1"/>
  <c r="BE19" i="160"/>
  <c r="BD19" i="160"/>
  <c r="FI59" i="160" s="1"/>
  <c r="AS18" i="160"/>
  <c r="AR18" i="160"/>
  <c r="BA16" i="160"/>
  <c r="AZ16" i="160"/>
  <c r="FH56" i="160" s="1"/>
  <c r="AR14" i="160"/>
  <c r="FF54" i="160" s="1"/>
  <c r="AS14" i="160"/>
  <c r="AV20" i="84"/>
  <c r="AW20" i="84"/>
  <c r="FQ16" i="84"/>
  <c r="FO29" i="84"/>
  <c r="DZ25" i="165"/>
  <c r="DZ33" i="165"/>
  <c r="DZ41" i="165"/>
  <c r="DZ19" i="165"/>
  <c r="DZ28" i="165"/>
  <c r="DZ16" i="165"/>
  <c r="DZ36" i="165"/>
  <c r="DZ44" i="165"/>
  <c r="DZ24" i="165"/>
  <c r="EM28" i="165"/>
  <c r="EN28" i="165"/>
  <c r="FQ21" i="165"/>
  <c r="DX36" i="165"/>
  <c r="DW36" i="165"/>
  <c r="EM25" i="165"/>
  <c r="EN25" i="165"/>
  <c r="FR17" i="165"/>
  <c r="DW23" i="165"/>
  <c r="FO23" i="165" s="1"/>
  <c r="GC23" i="165"/>
  <c r="EN27" i="165"/>
  <c r="EM27" i="165"/>
  <c r="DX19" i="165"/>
  <c r="DW19" i="165"/>
  <c r="FO19" i="165" s="1"/>
  <c r="FQ16" i="165"/>
  <c r="CY22" i="165"/>
  <c r="FQ26" i="165"/>
  <c r="FQ31" i="165"/>
  <c r="FQ35" i="165"/>
  <c r="FQ39" i="165"/>
  <c r="FQ43" i="165"/>
  <c r="ED16" i="165"/>
  <c r="EC16" i="165"/>
  <c r="FP16" i="165" s="1"/>
  <c r="EB16" i="165"/>
  <c r="EA16" i="165"/>
  <c r="DZ23" i="165"/>
  <c r="DX26" i="165"/>
  <c r="DW26" i="165"/>
  <c r="FO26" i="165" s="1"/>
  <c r="ED28" i="165"/>
  <c r="EC28" i="165"/>
  <c r="EB28" i="165"/>
  <c r="EA28" i="165"/>
  <c r="DZ31" i="165"/>
  <c r="DX34" i="165"/>
  <c r="DW34" i="165"/>
  <c r="FO34" i="165" s="1"/>
  <c r="EC36" i="165"/>
  <c r="FP36" i="165" s="1"/>
  <c r="EB36" i="165"/>
  <c r="EA36" i="165"/>
  <c r="ED36" i="165"/>
  <c r="DZ39" i="165"/>
  <c r="DX42" i="165"/>
  <c r="DW42" i="165"/>
  <c r="ED44" i="165"/>
  <c r="EC44" i="165"/>
  <c r="EB44" i="165"/>
  <c r="EA44" i="165"/>
  <c r="FQ25" i="165"/>
  <c r="DW44" i="165"/>
  <c r="DX44" i="165"/>
  <c r="EN16" i="165"/>
  <c r="EM16" i="165"/>
  <c r="DI23" i="147"/>
  <c r="FR23" i="147"/>
  <c r="DZ23" i="147"/>
  <c r="FR21" i="165"/>
  <c r="FQ30" i="165"/>
  <c r="FR38" i="165"/>
  <c r="ED25" i="165"/>
  <c r="EC25" i="165"/>
  <c r="EB25" i="165"/>
  <c r="EA25" i="165"/>
  <c r="ED41" i="165"/>
  <c r="EC41" i="165"/>
  <c r="EB41" i="165"/>
  <c r="EA41" i="165"/>
  <c r="FR16" i="165"/>
  <c r="FR26" i="165"/>
  <c r="FR31" i="165"/>
  <c r="FR35" i="165"/>
  <c r="FR39" i="165"/>
  <c r="FR43" i="165"/>
  <c r="DX17" i="165"/>
  <c r="DW17" i="165"/>
  <c r="FO17" i="165" s="1"/>
  <c r="EC23" i="165"/>
  <c r="EA23" i="165"/>
  <c r="GD23" i="165"/>
  <c r="DZ26" i="165"/>
  <c r="DX29" i="165"/>
  <c r="DW29" i="165"/>
  <c r="EC31" i="165"/>
  <c r="FP31" i="165" s="1"/>
  <c r="EB31" i="165"/>
  <c r="EA31" i="165"/>
  <c r="ED31" i="165"/>
  <c r="DZ34" i="165"/>
  <c r="DX37" i="165"/>
  <c r="DW37" i="165"/>
  <c r="EA39" i="165"/>
  <c r="ED39" i="165"/>
  <c r="EC39" i="165"/>
  <c r="EB39" i="165"/>
  <c r="DZ42" i="165"/>
  <c r="DW45" i="165"/>
  <c r="DX45" i="165"/>
  <c r="EN19" i="165"/>
  <c r="EM19" i="165"/>
  <c r="EN29" i="165"/>
  <c r="EM29" i="165"/>
  <c r="EC19" i="165"/>
  <c r="FP19" i="165" s="1"/>
  <c r="EB19" i="165"/>
  <c r="EA19" i="165"/>
  <c r="ED19" i="165"/>
  <c r="FQ34" i="165"/>
  <c r="FR25" i="165"/>
  <c r="FR34" i="165"/>
  <c r="FR42" i="165"/>
  <c r="DX31" i="165"/>
  <c r="DW31" i="165"/>
  <c r="ED33" i="165"/>
  <c r="EC33" i="165"/>
  <c r="EB33" i="165"/>
  <c r="EA33" i="165"/>
  <c r="DX39" i="165"/>
  <c r="DW39" i="165"/>
  <c r="EN24" i="165"/>
  <c r="EM24" i="165"/>
  <c r="FQ18" i="165"/>
  <c r="CY23" i="165"/>
  <c r="FQ23" i="165"/>
  <c r="FQ27" i="165"/>
  <c r="FQ32" i="165"/>
  <c r="FQ36" i="165"/>
  <c r="FQ40" i="165"/>
  <c r="FQ44" i="165"/>
  <c r="DZ17" i="165"/>
  <c r="DW24" i="165"/>
  <c r="FO24" i="165" s="1"/>
  <c r="DX24" i="165"/>
  <c r="GC24" i="165"/>
  <c r="EB26" i="165"/>
  <c r="EA26" i="165"/>
  <c r="ED26" i="165"/>
  <c r="EC26" i="165"/>
  <c r="FP26" i="165" s="1"/>
  <c r="DX32" i="165"/>
  <c r="DW32" i="165"/>
  <c r="ED34" i="165"/>
  <c r="EC34" i="165"/>
  <c r="FP34" i="165" s="1"/>
  <c r="EB34" i="165"/>
  <c r="EA34" i="165"/>
  <c r="DZ37" i="165"/>
  <c r="DX40" i="165"/>
  <c r="DW40" i="165"/>
  <c r="FO40" i="165" s="1"/>
  <c r="ED42" i="165"/>
  <c r="EC42" i="165"/>
  <c r="EB42" i="165"/>
  <c r="EA42" i="165"/>
  <c r="DZ45" i="165"/>
  <c r="ED30" i="165"/>
  <c r="EC30" i="165"/>
  <c r="EB30" i="165"/>
  <c r="EA30" i="165"/>
  <c r="EN21" i="165"/>
  <c r="EM21" i="165"/>
  <c r="EN26" i="165"/>
  <c r="EM26" i="165"/>
  <c r="FR18" i="165"/>
  <c r="FR27" i="165"/>
  <c r="FR32" i="165"/>
  <c r="FR36" i="165"/>
  <c r="FR40" i="165"/>
  <c r="FR44" i="165"/>
  <c r="ED17" i="165"/>
  <c r="EC17" i="165"/>
  <c r="EB17" i="165"/>
  <c r="EA17" i="165"/>
  <c r="DX21" i="165"/>
  <c r="DW21" i="165"/>
  <c r="DX27" i="165"/>
  <c r="DW27" i="165"/>
  <c r="FO27" i="165" s="1"/>
  <c r="ED29" i="165"/>
  <c r="EC29" i="165"/>
  <c r="FP29" i="165" s="1"/>
  <c r="EB29" i="165"/>
  <c r="EA29" i="165"/>
  <c r="DZ32" i="165"/>
  <c r="DW35" i="165"/>
  <c r="DX35" i="165"/>
  <c r="EB37" i="165"/>
  <c r="EA37" i="165"/>
  <c r="ED37" i="165"/>
  <c r="EC37" i="165"/>
  <c r="DZ40" i="165"/>
  <c r="DX43" i="165"/>
  <c r="DW43" i="165"/>
  <c r="FO43" i="165" s="1"/>
  <c r="ED45" i="165"/>
  <c r="EC45" i="165"/>
  <c r="EB45" i="165"/>
  <c r="EA45" i="165"/>
  <c r="FQ19" i="165"/>
  <c r="FQ24" i="165"/>
  <c r="FQ28" i="165"/>
  <c r="FQ33" i="165"/>
  <c r="FQ37" i="165"/>
  <c r="FQ41" i="165"/>
  <c r="FQ45" i="165"/>
  <c r="GC18" i="165"/>
  <c r="DX18" i="165"/>
  <c r="DW18" i="165"/>
  <c r="FO18" i="165" s="1"/>
  <c r="DZ21" i="165"/>
  <c r="ED24" i="165"/>
  <c r="EC24" i="165"/>
  <c r="EB24" i="165"/>
  <c r="EA24" i="165"/>
  <c r="GD24" i="165"/>
  <c r="DZ27" i="165"/>
  <c r="DX30" i="165"/>
  <c r="DW30" i="165"/>
  <c r="EA32" i="165"/>
  <c r="ED32" i="165"/>
  <c r="EC32" i="165"/>
  <c r="EB32" i="165"/>
  <c r="DZ35" i="165"/>
  <c r="DX38" i="165"/>
  <c r="DW38" i="165"/>
  <c r="FO38" i="165" s="1"/>
  <c r="ED40" i="165"/>
  <c r="EC40" i="165"/>
  <c r="EB40" i="165"/>
  <c r="EA40" i="165"/>
  <c r="DZ43" i="165"/>
  <c r="FQ17" i="165"/>
  <c r="FQ29" i="165"/>
  <c r="FQ38" i="165"/>
  <c r="FQ42" i="165"/>
  <c r="DX16" i="165"/>
  <c r="DW16" i="165"/>
  <c r="GD18" i="165"/>
  <c r="ED18" i="165"/>
  <c r="EC18" i="165"/>
  <c r="FP18" i="165" s="1"/>
  <c r="EB18" i="165"/>
  <c r="EA18" i="165"/>
  <c r="DX28" i="165"/>
  <c r="DW28" i="165"/>
  <c r="EA38" i="165"/>
  <c r="ED38" i="165"/>
  <c r="EC38" i="165"/>
  <c r="FP38" i="165" s="1"/>
  <c r="EB38" i="165"/>
  <c r="EM17" i="165"/>
  <c r="EN17" i="165"/>
  <c r="FR19" i="165"/>
  <c r="FR24" i="165"/>
  <c r="FR28" i="165"/>
  <c r="FR33" i="165"/>
  <c r="FR37" i="165"/>
  <c r="FR41" i="165"/>
  <c r="FR45" i="165"/>
  <c r="DZ18" i="165"/>
  <c r="ED21" i="165"/>
  <c r="EC21" i="165"/>
  <c r="EB21" i="165"/>
  <c r="EA21" i="165"/>
  <c r="DX25" i="165"/>
  <c r="DW25" i="165"/>
  <c r="EA27" i="165"/>
  <c r="ED27" i="165"/>
  <c r="EC27" i="165"/>
  <c r="FP27" i="165" s="1"/>
  <c r="EB27" i="165"/>
  <c r="DX33" i="165"/>
  <c r="DW33" i="165"/>
  <c r="ED35" i="165"/>
  <c r="EC35" i="165"/>
  <c r="EB35" i="165"/>
  <c r="EA35" i="165"/>
  <c r="DZ38" i="165"/>
  <c r="DX41" i="165"/>
  <c r="DW41" i="165"/>
  <c r="ED43" i="165"/>
  <c r="EC43" i="165"/>
  <c r="EB43" i="165"/>
  <c r="EA43" i="165"/>
  <c r="DI22" i="165"/>
  <c r="DI23" i="165"/>
  <c r="DU25" i="147"/>
  <c r="CY25" i="147"/>
  <c r="FB25" i="165"/>
  <c r="FA22" i="165"/>
  <c r="FB26" i="165"/>
  <c r="FB27" i="165"/>
  <c r="FB19" i="165"/>
  <c r="FB24" i="165"/>
  <c r="FA23" i="147"/>
  <c r="FB23" i="147"/>
  <c r="FC23" i="147" s="1"/>
  <c r="EL23" i="147" s="1"/>
  <c r="AD14" i="160"/>
  <c r="AE14" i="160"/>
  <c r="AG14" i="160"/>
  <c r="AH14" i="160"/>
  <c r="AJ14" i="160"/>
  <c r="AI14" i="160"/>
  <c r="EY25" i="147"/>
  <c r="DT25" i="147"/>
  <c r="EX25" i="147"/>
  <c r="AD40" i="165"/>
  <c r="AD25" i="165"/>
  <c r="CL70" i="84"/>
  <c r="EI70" i="84" s="1"/>
  <c r="HQ21" i="84"/>
  <c r="HR21" i="84" s="1"/>
  <c r="EX44" i="165"/>
  <c r="EY43" i="165"/>
  <c r="EY39" i="165"/>
  <c r="EY37" i="165"/>
  <c r="EX35" i="165"/>
  <c r="EY34" i="165"/>
  <c r="EX32" i="165"/>
  <c r="EY30" i="165"/>
  <c r="FB41" i="165"/>
  <c r="FA40" i="165"/>
  <c r="FB34" i="165"/>
  <c r="EY29" i="165"/>
  <c r="EX27" i="165"/>
  <c r="EY22" i="165"/>
  <c r="EY21" i="165"/>
  <c r="EX19" i="165"/>
  <c r="AD20" i="165"/>
  <c r="AD28" i="165"/>
  <c r="AD27" i="165"/>
  <c r="AD32" i="165"/>
  <c r="AD26" i="165"/>
  <c r="AD31" i="165"/>
  <c r="AD43" i="165"/>
  <c r="AD24" i="165"/>
  <c r="AD23" i="165"/>
  <c r="FE22" i="165"/>
  <c r="FF22" i="165" s="1"/>
  <c r="FG22" i="165" s="1"/>
  <c r="Y22" i="165" s="1"/>
  <c r="AD29" i="165"/>
  <c r="AD22" i="165"/>
  <c r="AD17" i="165"/>
  <c r="CU26" i="147"/>
  <c r="DE30" i="165"/>
  <c r="CC30" i="165" s="1"/>
  <c r="CM30" i="165" s="1"/>
  <c r="DE24" i="147"/>
  <c r="EA24" i="147" s="1"/>
  <c r="CU24" i="147"/>
  <c r="BQ24" i="147" s="1"/>
  <c r="CU20" i="165"/>
  <c r="DE20" i="165"/>
  <c r="EQ81" i="84"/>
  <c r="ER81" i="84" s="1"/>
  <c r="ES81" i="84" s="1"/>
  <c r="Y41" i="84" s="1"/>
  <c r="FE38" i="165"/>
  <c r="FF38" i="165" s="1"/>
  <c r="FG38" i="165" s="1"/>
  <c r="Y38" i="165" s="1"/>
  <c r="AX40" i="147"/>
  <c r="BJ45" i="84"/>
  <c r="FE24" i="165"/>
  <c r="FF24" i="165" s="1"/>
  <c r="FG24" i="165" s="1"/>
  <c r="Y24" i="165" s="1"/>
  <c r="GE24" i="165" s="1"/>
  <c r="EQ70" i="84"/>
  <c r="ER70" i="84" s="1"/>
  <c r="ES70" i="84" s="1"/>
  <c r="Y30" i="84" s="1"/>
  <c r="AD18" i="165"/>
  <c r="EZ40" i="84"/>
  <c r="EY40" i="84"/>
  <c r="EZ45" i="84"/>
  <c r="EY45" i="84"/>
  <c r="EZ28" i="84"/>
  <c r="EY28" i="84"/>
  <c r="EZ38" i="84"/>
  <c r="EY38" i="84"/>
  <c r="BM45" i="84"/>
  <c r="EZ35" i="84"/>
  <c r="EY35" i="84"/>
  <c r="EZ29" i="84"/>
  <c r="EY29" i="84"/>
  <c r="FJ36" i="165"/>
  <c r="FK36" i="165" s="1"/>
  <c r="FL36" i="165" s="1"/>
  <c r="Z36" i="165" s="1"/>
  <c r="EL70" i="84"/>
  <c r="EM70" i="84" s="1"/>
  <c r="EN70" i="84" s="1"/>
  <c r="X30" i="84" s="1"/>
  <c r="EZ26" i="84"/>
  <c r="EY26" i="84"/>
  <c r="EZ44" i="84"/>
  <c r="EY44" i="84"/>
  <c r="EZ42" i="84"/>
  <c r="EY42" i="84"/>
  <c r="EZ41" i="84"/>
  <c r="EY41" i="84"/>
  <c r="EZ34" i="84"/>
  <c r="EY34" i="84"/>
  <c r="EZ39" i="84"/>
  <c r="EY39" i="84"/>
  <c r="FJ31" i="165"/>
  <c r="FK31" i="165" s="1"/>
  <c r="FL31" i="165" s="1"/>
  <c r="Z31" i="165" s="1"/>
  <c r="FE17" i="165"/>
  <c r="FF17" i="165" s="1"/>
  <c r="FG17" i="165" s="1"/>
  <c r="Y17" i="165" s="1"/>
  <c r="FE33" i="165"/>
  <c r="FF33" i="165" s="1"/>
  <c r="FG33" i="165" s="1"/>
  <c r="Y33" i="165" s="1"/>
  <c r="EZ43" i="84"/>
  <c r="EY43" i="84"/>
  <c r="EQ75" i="84"/>
  <c r="ER75" i="84" s="1"/>
  <c r="ES75" i="84" s="1"/>
  <c r="Y35" i="84" s="1"/>
  <c r="FJ18" i="165"/>
  <c r="FK18" i="165" s="1"/>
  <c r="FL18" i="165" s="1"/>
  <c r="Z18" i="165" s="1"/>
  <c r="EZ32" i="84"/>
  <c r="EY32" i="84"/>
  <c r="EZ30" i="84"/>
  <c r="EY30" i="84"/>
  <c r="BO45" i="84"/>
  <c r="EZ37" i="84"/>
  <c r="EY37" i="84"/>
  <c r="EZ36" i="84"/>
  <c r="EY36" i="84"/>
  <c r="EZ33" i="84"/>
  <c r="EY33" i="84"/>
  <c r="EX14" i="84"/>
  <c r="FB14" i="84"/>
  <c r="FJ44" i="165"/>
  <c r="FK44" i="165" s="1"/>
  <c r="FL44" i="165" s="1"/>
  <c r="Z44" i="165" s="1"/>
  <c r="EL81" i="84"/>
  <c r="EM81" i="84" s="1"/>
  <c r="EN81" i="84" s="1"/>
  <c r="X41" i="84" s="1"/>
  <c r="FJ40" i="165"/>
  <c r="FK40" i="165" s="1"/>
  <c r="FL40" i="165" s="1"/>
  <c r="Z40" i="165" s="1"/>
  <c r="EZ25" i="84"/>
  <c r="EY25" i="84"/>
  <c r="EZ23" i="84"/>
  <c r="EY23" i="84"/>
  <c r="EZ24" i="84"/>
  <c r="EY24" i="84"/>
  <c r="DE29" i="165"/>
  <c r="CC29" i="165" s="1"/>
  <c r="CM29" i="165" s="1"/>
  <c r="AJ41" i="165"/>
  <c r="AJ32" i="165"/>
  <c r="P38" i="84"/>
  <c r="O38" i="84"/>
  <c r="P34" i="84"/>
  <c r="O34" i="84"/>
  <c r="P44" i="84"/>
  <c r="O44" i="84"/>
  <c r="EZ17" i="84"/>
  <c r="EY17" i="84"/>
  <c r="EZ22" i="84"/>
  <c r="EY22" i="84"/>
  <c r="EZ15" i="84"/>
  <c r="EY15" i="84"/>
  <c r="EX24" i="165"/>
  <c r="DG58" i="160"/>
  <c r="DF22" i="165"/>
  <c r="FR22" i="165" s="1"/>
  <c r="CV22" i="165"/>
  <c r="FQ22" i="165" s="1"/>
  <c r="FJ22" i="165"/>
  <c r="FK22" i="165" s="1"/>
  <c r="FL22" i="165" s="1"/>
  <c r="Z22" i="165" s="1"/>
  <c r="FJ38" i="165"/>
  <c r="FK38" i="165" s="1"/>
  <c r="FL38" i="165" s="1"/>
  <c r="Z38" i="165" s="1"/>
  <c r="FJ19" i="165"/>
  <c r="FK19" i="165" s="1"/>
  <c r="FL19" i="165" s="1"/>
  <c r="Z19" i="165" s="1"/>
  <c r="FJ43" i="165"/>
  <c r="FK43" i="165" s="1"/>
  <c r="FL43" i="165" s="1"/>
  <c r="Z43" i="165" s="1"/>
  <c r="FE45" i="165"/>
  <c r="FF45" i="165" s="1"/>
  <c r="FG45" i="165" s="1"/>
  <c r="Y45" i="165" s="1"/>
  <c r="FJ32" i="165"/>
  <c r="FK32" i="165" s="1"/>
  <c r="FL32" i="165" s="1"/>
  <c r="Z32" i="165" s="1"/>
  <c r="EO80" i="84"/>
  <c r="FD80" i="84"/>
  <c r="EO81" i="84"/>
  <c r="FD81" i="84"/>
  <c r="ET71" i="160"/>
  <c r="FE71" i="160"/>
  <c r="EO79" i="84"/>
  <c r="FD79" i="84"/>
  <c r="CX84" i="84"/>
  <c r="N44" i="84" s="1"/>
  <c r="FE84" i="84"/>
  <c r="ET85" i="84"/>
  <c r="FE85" i="84"/>
  <c r="EO57" i="160"/>
  <c r="FD57" i="160"/>
  <c r="EO78" i="84"/>
  <c r="FD78" i="84"/>
  <c r="CX83" i="84"/>
  <c r="N43" i="84" s="1"/>
  <c r="FE83" i="84"/>
  <c r="ET69" i="160"/>
  <c r="FE69" i="160"/>
  <c r="ET59" i="160"/>
  <c r="EO80" i="160"/>
  <c r="FD80" i="160"/>
  <c r="CX81" i="84"/>
  <c r="N41" i="84" s="1"/>
  <c r="FE81" i="84"/>
  <c r="ET79" i="84"/>
  <c r="FE79" i="84"/>
  <c r="EO84" i="84"/>
  <c r="FD84" i="84"/>
  <c r="EO70" i="160"/>
  <c r="FD70" i="160"/>
  <c r="CX82" i="84"/>
  <c r="N42" i="84" s="1"/>
  <c r="FE82" i="84"/>
  <c r="CX80" i="84"/>
  <c r="N40" i="84" s="1"/>
  <c r="FE80" i="84"/>
  <c r="CW74" i="84"/>
  <c r="M34" i="84" s="1"/>
  <c r="FD74" i="84"/>
  <c r="CX78" i="84"/>
  <c r="N38" i="84" s="1"/>
  <c r="FE78" i="84"/>
  <c r="EO83" i="84"/>
  <c r="FD83" i="84"/>
  <c r="ET56" i="160"/>
  <c r="CW77" i="84"/>
  <c r="M37" i="84" s="1"/>
  <c r="FD77" i="84"/>
  <c r="EO72" i="160"/>
  <c r="FD72" i="160"/>
  <c r="CW76" i="84"/>
  <c r="M36" i="84" s="1"/>
  <c r="FD76" i="84"/>
  <c r="ET77" i="84"/>
  <c r="FE77" i="84"/>
  <c r="EO82" i="84"/>
  <c r="FD82" i="84"/>
  <c r="ET54" i="160"/>
  <c r="FE54" i="160"/>
  <c r="ET69" i="84"/>
  <c r="FE69" i="84"/>
  <c r="EO58" i="160"/>
  <c r="DU26" i="165"/>
  <c r="FN26" i="165"/>
  <c r="DP26" i="165" s="1"/>
  <c r="FN20" i="165"/>
  <c r="FN28" i="165"/>
  <c r="FN36" i="165"/>
  <c r="FN44" i="165"/>
  <c r="DU17" i="165"/>
  <c r="FN17" i="165"/>
  <c r="FN23" i="165"/>
  <c r="ED23" i="165" s="1"/>
  <c r="DU31" i="165"/>
  <c r="FN31" i="165"/>
  <c r="FN39" i="165"/>
  <c r="FN21" i="165"/>
  <c r="DU24" i="165"/>
  <c r="FN24" i="165"/>
  <c r="DU32" i="165"/>
  <c r="FN32" i="165"/>
  <c r="DU16" i="165"/>
  <c r="FN16" i="165"/>
  <c r="FN27" i="165"/>
  <c r="DU35" i="165"/>
  <c r="FN35" i="165"/>
  <c r="DU43" i="165"/>
  <c r="FN43" i="165"/>
  <c r="FN34" i="165"/>
  <c r="DU29" i="165"/>
  <c r="FN29" i="165"/>
  <c r="DP29" i="165" s="1"/>
  <c r="DU37" i="165"/>
  <c r="FN37" i="165"/>
  <c r="FN45" i="165"/>
  <c r="DU40" i="165"/>
  <c r="FN40" i="165"/>
  <c r="FN30" i="165"/>
  <c r="DU38" i="165"/>
  <c r="FN38" i="165"/>
  <c r="DU42" i="165"/>
  <c r="FN42" i="165"/>
  <c r="DU18" i="165"/>
  <c r="FN18" i="165"/>
  <c r="DP18" i="165" s="1"/>
  <c r="DU19" i="165"/>
  <c r="FN19" i="165"/>
  <c r="FN25" i="165"/>
  <c r="DU33" i="165"/>
  <c r="FN33" i="165"/>
  <c r="DU41" i="165"/>
  <c r="FN41" i="165"/>
  <c r="AE40" i="147"/>
  <c r="AW40" i="147"/>
  <c r="P34" i="160"/>
  <c r="O34" i="160"/>
  <c r="P27" i="160"/>
  <c r="O27" i="160"/>
  <c r="P30" i="160"/>
  <c r="O30" i="160"/>
  <c r="O25" i="160"/>
  <c r="P25" i="160"/>
  <c r="FJ25" i="165"/>
  <c r="FK25" i="165" s="1"/>
  <c r="FL25" i="165" s="1"/>
  <c r="Z25" i="165" s="1"/>
  <c r="AN17" i="165"/>
  <c r="AJ17" i="165"/>
  <c r="FJ34" i="165"/>
  <c r="FK34" i="165" s="1"/>
  <c r="FL34" i="165" s="1"/>
  <c r="Z34" i="165" s="1"/>
  <c r="FJ26" i="165"/>
  <c r="FK26" i="165" s="1"/>
  <c r="FL26" i="165" s="1"/>
  <c r="Z26" i="165" s="1"/>
  <c r="EQ60" i="160"/>
  <c r="ER60" i="160" s="1"/>
  <c r="ES60" i="160" s="1"/>
  <c r="Y20" i="160" s="1"/>
  <c r="EQ70" i="160"/>
  <c r="ER70" i="160" s="1"/>
  <c r="ES70" i="160" s="1"/>
  <c r="Y30" i="160" s="1"/>
  <c r="DG85" i="160"/>
  <c r="EO75" i="160"/>
  <c r="ET79" i="160"/>
  <c r="DG81" i="160"/>
  <c r="EJ54" i="160"/>
  <c r="DS54" i="160" s="1"/>
  <c r="EO56" i="160"/>
  <c r="ET60" i="160"/>
  <c r="ET70" i="160"/>
  <c r="DG71" i="160"/>
  <c r="DA76" i="160"/>
  <c r="ET78" i="160"/>
  <c r="DG79" i="160"/>
  <c r="EO84" i="160"/>
  <c r="CX55" i="160"/>
  <c r="N15" i="160" s="1"/>
  <c r="EO60" i="160"/>
  <c r="DA62" i="160"/>
  <c r="FD62" i="160" s="1"/>
  <c r="ET66" i="160"/>
  <c r="DA80" i="160"/>
  <c r="DA81" i="160"/>
  <c r="DA82" i="160"/>
  <c r="EO81" i="160"/>
  <c r="DA64" i="160"/>
  <c r="DG76" i="160"/>
  <c r="EJ69" i="160"/>
  <c r="DS69" i="160" s="1"/>
  <c r="EO59" i="160"/>
  <c r="DA61" i="160"/>
  <c r="FD61" i="160" s="1"/>
  <c r="ET64" i="160"/>
  <c r="ET73" i="160"/>
  <c r="DG74" i="160"/>
  <c r="DA79" i="160"/>
  <c r="ET77" i="160"/>
  <c r="DA84" i="160"/>
  <c r="DA54" i="160"/>
  <c r="DA73" i="160"/>
  <c r="EJ79" i="160"/>
  <c r="DS79" i="160" s="1"/>
  <c r="DG54" i="160"/>
  <c r="DA60" i="160"/>
  <c r="DG63" i="160"/>
  <c r="EO68" i="160"/>
  <c r="ET72" i="160"/>
  <c r="DA78" i="160"/>
  <c r="EQ83" i="160"/>
  <c r="ER83" i="160" s="1"/>
  <c r="ES83" i="160" s="1"/>
  <c r="Y43" i="160" s="1"/>
  <c r="EL60" i="160"/>
  <c r="EM60" i="160" s="1"/>
  <c r="EN60" i="160" s="1"/>
  <c r="X20" i="160" s="1"/>
  <c r="CC70" i="84"/>
  <c r="EL57" i="160"/>
  <c r="EM57" i="160" s="1"/>
  <c r="EN57" i="160" s="1"/>
  <c r="X17" i="160" s="1"/>
  <c r="EL76" i="160"/>
  <c r="EM76" i="160" s="1"/>
  <c r="EN76" i="160" s="1"/>
  <c r="X36" i="160" s="1"/>
  <c r="AD38" i="147"/>
  <c r="FK56" i="160"/>
  <c r="FK56" i="84"/>
  <c r="FJ56" i="84" s="1"/>
  <c r="ET70" i="84"/>
  <c r="DA71" i="84"/>
  <c r="DG71" i="84"/>
  <c r="BQ16" i="160"/>
  <c r="BN16" i="160"/>
  <c r="BO16" i="160" s="1"/>
  <c r="EQ55" i="160"/>
  <c r="ER55" i="160" s="1"/>
  <c r="ES55" i="160" s="1"/>
  <c r="Y15" i="160" s="1"/>
  <c r="EL55" i="160"/>
  <c r="EM55" i="160" s="1"/>
  <c r="EN55" i="160" s="1"/>
  <c r="X15" i="160" s="1"/>
  <c r="DU25" i="165"/>
  <c r="DG55" i="160"/>
  <c r="BM32" i="84"/>
  <c r="BR32" i="84" s="1"/>
  <c r="BQ15" i="160"/>
  <c r="BN15" i="160"/>
  <c r="BO15" i="160" s="1"/>
  <c r="AO17" i="165"/>
  <c r="AK33" i="165"/>
  <c r="AL33" i="165" s="1"/>
  <c r="AK38" i="165"/>
  <c r="AL38" i="165" s="1"/>
  <c r="AK24" i="165"/>
  <c r="AL24" i="165" s="1"/>
  <c r="ET72" i="84"/>
  <c r="DU30" i="165"/>
  <c r="AG28" i="147"/>
  <c r="DG65" i="160"/>
  <c r="BQ25" i="160"/>
  <c r="BN25" i="160"/>
  <c r="BO25" i="160" s="1"/>
  <c r="FH54" i="84"/>
  <c r="FI54" i="84"/>
  <c r="EU81" i="160"/>
  <c r="AM54" i="165"/>
  <c r="AK49" i="165"/>
  <c r="AN53" i="165"/>
  <c r="AM53" i="165"/>
  <c r="EU69" i="160"/>
  <c r="AK52" i="165"/>
  <c r="EU76" i="160"/>
  <c r="CR68" i="84"/>
  <c r="AL49" i="165"/>
  <c r="EU55" i="160"/>
  <c r="CV55" i="160" s="1"/>
  <c r="EU64" i="160"/>
  <c r="EU78" i="160"/>
  <c r="AK54" i="165"/>
  <c r="FO54" i="84"/>
  <c r="AF14" i="84" s="1"/>
  <c r="ET68" i="84"/>
  <c r="BN28" i="84"/>
  <c r="BM28" i="84" s="1"/>
  <c r="FC68" i="84" s="1"/>
  <c r="EA68" i="84" s="1"/>
  <c r="BN43" i="84"/>
  <c r="BQ43" i="84"/>
  <c r="BN41" i="84"/>
  <c r="BQ41" i="84"/>
  <c r="BQ34" i="84"/>
  <c r="BN37" i="84"/>
  <c r="BQ37" i="84"/>
  <c r="BN33" i="84"/>
  <c r="BM33" i="84" s="1"/>
  <c r="BQ33" i="84"/>
  <c r="BO38" i="84"/>
  <c r="BM39" i="84"/>
  <c r="BQ39" i="84"/>
  <c r="BM44" i="84"/>
  <c r="BQ44" i="84"/>
  <c r="BM42" i="84"/>
  <c r="BQ42" i="84"/>
  <c r="BQ45" i="84"/>
  <c r="BQ28" i="84"/>
  <c r="EL80" i="84"/>
  <c r="EM80" i="84" s="1"/>
  <c r="EN80" i="84" s="1"/>
  <c r="X40" i="84" s="1"/>
  <c r="BQ35" i="84"/>
  <c r="BQ40" i="84"/>
  <c r="BQ38" i="84"/>
  <c r="BO36" i="84"/>
  <c r="BQ36" i="84"/>
  <c r="HW48" i="84"/>
  <c r="Q1" i="84"/>
  <c r="AU1" i="84" s="1"/>
  <c r="Q2" i="160"/>
  <c r="AU2" i="160" s="1"/>
  <c r="AN49" i="165"/>
  <c r="EB72" i="84"/>
  <c r="ED72" i="84"/>
  <c r="AL54" i="165"/>
  <c r="P4" i="165"/>
  <c r="Q1" i="160"/>
  <c r="AU1" i="160" s="1"/>
  <c r="EN68" i="84"/>
  <c r="X28" i="84" s="1"/>
  <c r="EU77" i="84"/>
  <c r="AL53" i="165"/>
  <c r="EU84" i="84"/>
  <c r="CL72" i="84"/>
  <c r="DG72" i="84" s="1"/>
  <c r="CC72" i="84"/>
  <c r="EE72" i="84" s="1"/>
  <c r="EG72" i="84" s="1"/>
  <c r="DL72" i="84" s="1"/>
  <c r="DT17" i="165"/>
  <c r="DT19" i="165"/>
  <c r="DT27" i="165"/>
  <c r="DT35" i="165"/>
  <c r="DT43" i="165"/>
  <c r="DT32" i="165"/>
  <c r="DT40" i="165"/>
  <c r="DT24" i="165"/>
  <c r="AE24" i="147"/>
  <c r="AD24" i="147" s="1"/>
  <c r="AH24" i="147"/>
  <c r="AF34" i="147"/>
  <c r="AD34" i="147" s="1"/>
  <c r="AH35" i="147"/>
  <c r="AH34" i="147"/>
  <c r="AG35" i="147"/>
  <c r="AG23" i="147"/>
  <c r="AH23" i="147"/>
  <c r="AF23" i="147"/>
  <c r="AE23" i="147"/>
  <c r="AF35" i="147"/>
  <c r="AD35" i="147" s="1"/>
  <c r="AG36" i="147"/>
  <c r="AK37" i="147"/>
  <c r="AL37" i="147" s="1"/>
  <c r="AG40" i="147"/>
  <c r="AD40" i="147" s="1"/>
  <c r="AF36" i="147"/>
  <c r="AD36" i="147" s="1"/>
  <c r="AG31" i="147"/>
  <c r="AK39" i="147"/>
  <c r="AL39" i="147" s="1"/>
  <c r="AH36" i="147"/>
  <c r="AK28" i="147"/>
  <c r="AL28" i="147" s="1"/>
  <c r="DT22" i="165"/>
  <c r="DT30" i="165"/>
  <c r="DT38" i="165"/>
  <c r="DF73" i="84"/>
  <c r="DF57" i="160"/>
  <c r="DF73" i="160"/>
  <c r="CZ69" i="84"/>
  <c r="DF74" i="160"/>
  <c r="DF59" i="160"/>
  <c r="ET57" i="160"/>
  <c r="CZ71" i="84"/>
  <c r="DF74" i="84"/>
  <c r="DF75" i="84"/>
  <c r="DF76" i="84"/>
  <c r="DF77" i="84"/>
  <c r="DF78" i="84"/>
  <c r="CZ54" i="160"/>
  <c r="DG57" i="160"/>
  <c r="DF61" i="160"/>
  <c r="CZ71" i="160"/>
  <c r="DF75" i="160"/>
  <c r="CZ80" i="160"/>
  <c r="CZ81" i="160"/>
  <c r="CZ82" i="160"/>
  <c r="CZ83" i="160"/>
  <c r="CZ84" i="160"/>
  <c r="CZ85" i="160"/>
  <c r="DF58" i="160"/>
  <c r="DF60" i="160"/>
  <c r="DI60" i="160" s="1"/>
  <c r="CZ79" i="160"/>
  <c r="CZ85" i="84"/>
  <c r="DF56" i="160"/>
  <c r="CZ82" i="84"/>
  <c r="CZ84" i="84"/>
  <c r="CZ69" i="160"/>
  <c r="DF71" i="84"/>
  <c r="CZ80" i="84"/>
  <c r="CZ63" i="160"/>
  <c r="CZ65" i="160"/>
  <c r="CZ67" i="160"/>
  <c r="DF71" i="160"/>
  <c r="CZ77" i="160"/>
  <c r="DF81" i="160"/>
  <c r="DF83" i="160"/>
  <c r="DA70" i="160"/>
  <c r="CZ83" i="84"/>
  <c r="DG83" i="160"/>
  <c r="DF82" i="160"/>
  <c r="DF69" i="84"/>
  <c r="DD78" i="84"/>
  <c r="DA78" i="84"/>
  <c r="CZ79" i="84"/>
  <c r="DF85" i="160"/>
  <c r="CZ62" i="160"/>
  <c r="DG69" i="160"/>
  <c r="DF70" i="160"/>
  <c r="CZ76" i="160"/>
  <c r="DF79" i="160"/>
  <c r="DA68" i="84"/>
  <c r="DG73" i="160"/>
  <c r="EV82" i="84"/>
  <c r="DA82" i="84"/>
  <c r="CZ68" i="84"/>
  <c r="DF55" i="160"/>
  <c r="DA65" i="160"/>
  <c r="DF72" i="160"/>
  <c r="DG84" i="160"/>
  <c r="CZ81" i="84"/>
  <c r="DF54" i="160"/>
  <c r="DG68" i="84"/>
  <c r="DF68" i="84"/>
  <c r="CZ74" i="84"/>
  <c r="CZ75" i="84"/>
  <c r="CZ76" i="84"/>
  <c r="CZ77" i="84"/>
  <c r="CZ78" i="84"/>
  <c r="DF82" i="84"/>
  <c r="DF83" i="84"/>
  <c r="DF84" i="84"/>
  <c r="DF85" i="84"/>
  <c r="DA57" i="160"/>
  <c r="DA59" i="160"/>
  <c r="CZ61" i="160"/>
  <c r="DG64" i="160"/>
  <c r="DG66" i="160"/>
  <c r="DG67" i="160"/>
  <c r="DG68" i="160"/>
  <c r="DF69" i="160"/>
  <c r="DA74" i="160"/>
  <c r="CZ75" i="160"/>
  <c r="DG77" i="160"/>
  <c r="DF78" i="160"/>
  <c r="CZ70" i="160"/>
  <c r="DA63" i="160"/>
  <c r="DA66" i="160"/>
  <c r="CZ78" i="160"/>
  <c r="CZ64" i="160"/>
  <c r="CZ68" i="160"/>
  <c r="DF80" i="160"/>
  <c r="DF84" i="160"/>
  <c r="CZ73" i="84"/>
  <c r="DF80" i="84"/>
  <c r="DF81" i="84"/>
  <c r="DA55" i="160"/>
  <c r="DA56" i="160"/>
  <c r="DB56" i="160" s="1"/>
  <c r="CZ57" i="160"/>
  <c r="CZ58" i="160"/>
  <c r="CZ59" i="160"/>
  <c r="CZ60" i="160"/>
  <c r="DG62" i="160"/>
  <c r="FE62" i="160" s="1"/>
  <c r="DF63" i="160"/>
  <c r="DF64" i="160"/>
  <c r="DF65" i="160"/>
  <c r="DF66" i="160"/>
  <c r="DF67" i="160"/>
  <c r="DF68" i="160"/>
  <c r="DA72" i="160"/>
  <c r="CZ73" i="160"/>
  <c r="CZ74" i="160"/>
  <c r="DF77" i="160"/>
  <c r="DA85" i="160"/>
  <c r="DG56" i="160"/>
  <c r="DH56" i="160" s="1"/>
  <c r="DA69" i="160"/>
  <c r="DG72" i="160"/>
  <c r="DA68" i="160"/>
  <c r="CZ66" i="160"/>
  <c r="EW77" i="84"/>
  <c r="DG77" i="84"/>
  <c r="DJ78" i="84"/>
  <c r="DG78" i="84"/>
  <c r="DF79" i="84"/>
  <c r="CZ55" i="160"/>
  <c r="CZ56" i="160"/>
  <c r="DG61" i="160"/>
  <c r="DF62" i="160"/>
  <c r="DA71" i="160"/>
  <c r="CZ72" i="160"/>
  <c r="DG75" i="160"/>
  <c r="DF76" i="160"/>
  <c r="DA83" i="160"/>
  <c r="DT31" i="165"/>
  <c r="DT39" i="165"/>
  <c r="DT23" i="165"/>
  <c r="DT18" i="165"/>
  <c r="DT26" i="165"/>
  <c r="DT34" i="165"/>
  <c r="DT42" i="165"/>
  <c r="DT16" i="165"/>
  <c r="DT25" i="165"/>
  <c r="DT33" i="165"/>
  <c r="DT41" i="165"/>
  <c r="DU28" i="165"/>
  <c r="DU34" i="165"/>
  <c r="DU36" i="165"/>
  <c r="DU44" i="165"/>
  <c r="DT44" i="165"/>
  <c r="DT21" i="165"/>
  <c r="DT29" i="165"/>
  <c r="DT37" i="165"/>
  <c r="DT45" i="165"/>
  <c r="DU21" i="165"/>
  <c r="DU23" i="165"/>
  <c r="DU27" i="165"/>
  <c r="DU39" i="165"/>
  <c r="DU45" i="165"/>
  <c r="DT28" i="165"/>
  <c r="DT36" i="165"/>
  <c r="EA81" i="84"/>
  <c r="FC81" i="84"/>
  <c r="EA68" i="160"/>
  <c r="FC68" i="160"/>
  <c r="EA60" i="160"/>
  <c r="FC60" i="160"/>
  <c r="EA84" i="160"/>
  <c r="FC84" i="160"/>
  <c r="EA75" i="84"/>
  <c r="FC75" i="84"/>
  <c r="EA83" i="84"/>
  <c r="FC83" i="84"/>
  <c r="EA54" i="160"/>
  <c r="FC54" i="160"/>
  <c r="EA62" i="160"/>
  <c r="FC62" i="160"/>
  <c r="EA70" i="160"/>
  <c r="FC70" i="160"/>
  <c r="EA78" i="160"/>
  <c r="FC78" i="160"/>
  <c r="EA69" i="84"/>
  <c r="FC69" i="84"/>
  <c r="FC72" i="84"/>
  <c r="EA72" i="84" s="1"/>
  <c r="FC71" i="84"/>
  <c r="EA71" i="84" s="1"/>
  <c r="EA77" i="84"/>
  <c r="FC77" i="84"/>
  <c r="EA72" i="160"/>
  <c r="FC72" i="160"/>
  <c r="EA80" i="160"/>
  <c r="FC80" i="160"/>
  <c r="EA79" i="84"/>
  <c r="FC79" i="84"/>
  <c r="EA58" i="160"/>
  <c r="FC58" i="160"/>
  <c r="EA66" i="160"/>
  <c r="FC66" i="160"/>
  <c r="EA74" i="160"/>
  <c r="FC74" i="160"/>
  <c r="EA82" i="160"/>
  <c r="FC82" i="160"/>
  <c r="EA76" i="84"/>
  <c r="FC76" i="84"/>
  <c r="EA80" i="84"/>
  <c r="FC80" i="84"/>
  <c r="EA84" i="84"/>
  <c r="FC84" i="84"/>
  <c r="EA55" i="160"/>
  <c r="FC55" i="160"/>
  <c r="EA59" i="160"/>
  <c r="FC59" i="160"/>
  <c r="EA63" i="160"/>
  <c r="FC63" i="160"/>
  <c r="EA67" i="160"/>
  <c r="FC67" i="160"/>
  <c r="EA71" i="160"/>
  <c r="FC71" i="160"/>
  <c r="EA75" i="160"/>
  <c r="FC75" i="160"/>
  <c r="EA79" i="160"/>
  <c r="FC79" i="160"/>
  <c r="EA83" i="160"/>
  <c r="FC83" i="160"/>
  <c r="EA85" i="84"/>
  <c r="Q45" i="84" s="1"/>
  <c r="FC85" i="84"/>
  <c r="EA64" i="160"/>
  <c r="FC64" i="160"/>
  <c r="EA76" i="160"/>
  <c r="FC76" i="160"/>
  <c r="EA73" i="84"/>
  <c r="FC73" i="84"/>
  <c r="EA74" i="84"/>
  <c r="FC74" i="84"/>
  <c r="EA78" i="84"/>
  <c r="FC78" i="84"/>
  <c r="EA82" i="84"/>
  <c r="FC82" i="84"/>
  <c r="EA85" i="160"/>
  <c r="FC85" i="160"/>
  <c r="FC61" i="160"/>
  <c r="EA61" i="160" s="1"/>
  <c r="EA65" i="160"/>
  <c r="FC65" i="160"/>
  <c r="EA69" i="160"/>
  <c r="FC69" i="160"/>
  <c r="EA73" i="160"/>
  <c r="FC73" i="160"/>
  <c r="EA77" i="160"/>
  <c r="FC77" i="160"/>
  <c r="EA81" i="160"/>
  <c r="FC81" i="160"/>
  <c r="EA57" i="160"/>
  <c r="BQ30" i="84"/>
  <c r="DP32" i="165"/>
  <c r="A5" i="165"/>
  <c r="AA4" i="147"/>
  <c r="P1" i="163"/>
  <c r="BD3" i="160"/>
  <c r="N2" i="145"/>
  <c r="AH25" i="147"/>
  <c r="AF25" i="147"/>
  <c r="AE25" i="147"/>
  <c r="AK25" i="147"/>
  <c r="AL25" i="147" s="1"/>
  <c r="AG29" i="147"/>
  <c r="AE29" i="147"/>
  <c r="AH31" i="147"/>
  <c r="AE31" i="147"/>
  <c r="AF28" i="147"/>
  <c r="AF31" i="147"/>
  <c r="EL67" i="160"/>
  <c r="EM67" i="160" s="1"/>
  <c r="EN67" i="160" s="1"/>
  <c r="X27" i="160" s="1"/>
  <c r="HX48" i="84"/>
  <c r="GE55" i="84"/>
  <c r="AQ15" i="84" s="1"/>
  <c r="GD56" i="84"/>
  <c r="AP16" i="84" s="1"/>
  <c r="GD55" i="84"/>
  <c r="AP15" i="84" s="1"/>
  <c r="GE56" i="84"/>
  <c r="AQ16" i="84" s="1"/>
  <c r="BO29" i="84"/>
  <c r="BQ29" i="84"/>
  <c r="AG19" i="165"/>
  <c r="AH19" i="165"/>
  <c r="AE19" i="165"/>
  <c r="AF19" i="165"/>
  <c r="BM31" i="84"/>
  <c r="BQ31" i="84"/>
  <c r="EQ75" i="160"/>
  <c r="ER75" i="160" s="1"/>
  <c r="ES75" i="160" s="1"/>
  <c r="Y35" i="160" s="1"/>
  <c r="EL63" i="160"/>
  <c r="EM63" i="160" s="1"/>
  <c r="EN63" i="160" s="1"/>
  <c r="X23" i="160" s="1"/>
  <c r="EL54" i="160"/>
  <c r="EM54" i="160" s="1"/>
  <c r="EN54" i="160" s="1"/>
  <c r="X14" i="160" s="1"/>
  <c r="IQ48" i="160"/>
  <c r="EL80" i="160"/>
  <c r="EM80" i="160" s="1"/>
  <c r="EN80" i="160" s="1"/>
  <c r="X40" i="160" s="1"/>
  <c r="EL56" i="160"/>
  <c r="EM56" i="160" s="1"/>
  <c r="EN56" i="160" s="1"/>
  <c r="X16" i="160" s="1"/>
  <c r="CX70" i="160"/>
  <c r="N30" i="160" s="1"/>
  <c r="ET85" i="160"/>
  <c r="EL69" i="84"/>
  <c r="EM69" i="84" s="1"/>
  <c r="EN69" i="84" s="1"/>
  <c r="X29" i="84" s="1"/>
  <c r="EL85" i="84"/>
  <c r="EM85" i="84" s="1"/>
  <c r="EN85" i="84" s="1"/>
  <c r="X45" i="84" s="1"/>
  <c r="EI70" i="160"/>
  <c r="FT27" i="165"/>
  <c r="FT31" i="165"/>
  <c r="ET84" i="84"/>
  <c r="FB71" i="84"/>
  <c r="DZ71" i="84" s="1"/>
  <c r="FT39" i="165"/>
  <c r="DJ82" i="84"/>
  <c r="EI79" i="160"/>
  <c r="AF26" i="147"/>
  <c r="AE26" i="147"/>
  <c r="AH26" i="147"/>
  <c r="CX69" i="84"/>
  <c r="N29" i="84" s="1"/>
  <c r="FT19" i="165"/>
  <c r="FT43" i="165"/>
  <c r="CV73" i="160"/>
  <c r="FB70" i="160"/>
  <c r="FB67" i="160"/>
  <c r="DD82" i="84"/>
  <c r="EI54" i="160"/>
  <c r="CX68" i="84"/>
  <c r="N28" i="84" s="1"/>
  <c r="EI80" i="84"/>
  <c r="CW82" i="84"/>
  <c r="M42" i="84" s="1"/>
  <c r="CW79" i="84"/>
  <c r="M39" i="84" s="1"/>
  <c r="DZ54" i="160"/>
  <c r="EX30" i="165"/>
  <c r="EX37" i="165"/>
  <c r="CX70" i="84"/>
  <c r="N30" i="84" s="1"/>
  <c r="EO61" i="160"/>
  <c r="FB61" i="160"/>
  <c r="DZ61" i="160" s="1"/>
  <c r="CX60" i="160"/>
  <c r="N20" i="160" s="1"/>
  <c r="CX79" i="160"/>
  <c r="N39" i="160" s="1"/>
  <c r="FS37" i="165"/>
  <c r="FB74" i="160"/>
  <c r="EI81" i="84"/>
  <c r="FB78" i="84"/>
  <c r="EI71" i="160"/>
  <c r="EJ71" i="160" s="1"/>
  <c r="DS71" i="160" s="1"/>
  <c r="EI83" i="84"/>
  <c r="EQ45" i="84"/>
  <c r="EI69" i="160"/>
  <c r="CX59" i="160"/>
  <c r="N19" i="160" s="1"/>
  <c r="FS33" i="165"/>
  <c r="FM21" i="165"/>
  <c r="FB22" i="165"/>
  <c r="EF74" i="84"/>
  <c r="FB65" i="160"/>
  <c r="FB57" i="160"/>
  <c r="DZ57" i="160" s="1"/>
  <c r="CW80" i="160"/>
  <c r="M40" i="160" s="1"/>
  <c r="EI76" i="84"/>
  <c r="CW78" i="84"/>
  <c r="M38" i="84" s="1"/>
  <c r="EX29" i="165"/>
  <c r="FB74" i="84"/>
  <c r="CX85" i="84"/>
  <c r="N45" i="84" s="1"/>
  <c r="DL75" i="84"/>
  <c r="DJ81" i="84"/>
  <c r="EY27" i="165"/>
  <c r="EZ27" i="165" s="1"/>
  <c r="EE27" i="165" s="1"/>
  <c r="EH63" i="160"/>
  <c r="EJ63" i="160" s="1"/>
  <c r="DS63" i="160" s="1"/>
  <c r="DZ77" i="84"/>
  <c r="FB77" i="84"/>
  <c r="DZ81" i="84"/>
  <c r="FB81" i="84"/>
  <c r="DZ85" i="84"/>
  <c r="FB85" i="84"/>
  <c r="DZ79" i="160"/>
  <c r="FS32" i="165"/>
  <c r="FS40" i="165"/>
  <c r="EO70" i="84"/>
  <c r="CW70" i="84"/>
  <c r="M30" i="84" s="1"/>
  <c r="EO72" i="84"/>
  <c r="DD75" i="84"/>
  <c r="EH66" i="160"/>
  <c r="EH68" i="84"/>
  <c r="EJ68" i="84" s="1"/>
  <c r="DS68" i="84" s="1"/>
  <c r="EI68" i="84"/>
  <c r="FT42" i="165"/>
  <c r="EO66" i="160"/>
  <c r="EO67" i="160"/>
  <c r="EI66" i="160"/>
  <c r="FH59" i="84"/>
  <c r="EH71" i="84"/>
  <c r="EI71" i="84"/>
  <c r="EO82" i="160"/>
  <c r="EO83" i="160"/>
  <c r="EI72" i="160"/>
  <c r="EH75" i="160"/>
  <c r="EI75" i="160"/>
  <c r="DZ79" i="84"/>
  <c r="FB79" i="84"/>
  <c r="EO78" i="160"/>
  <c r="EI84" i="160"/>
  <c r="EJ84" i="160" s="1"/>
  <c r="DS84" i="160" s="1"/>
  <c r="EE68" i="84"/>
  <c r="EG68" i="84" s="1"/>
  <c r="DL68" i="84" s="1"/>
  <c r="EF68" i="84"/>
  <c r="DD83" i="84"/>
  <c r="EO85" i="84"/>
  <c r="CW85" i="84"/>
  <c r="M45" i="84" s="1"/>
  <c r="CV71" i="160"/>
  <c r="FA23" i="165"/>
  <c r="FB23" i="165"/>
  <c r="DP36" i="165"/>
  <c r="EF69" i="160"/>
  <c r="DZ76" i="84"/>
  <c r="DZ80" i="84"/>
  <c r="FB80" i="84"/>
  <c r="DZ78" i="160"/>
  <c r="FB78" i="160"/>
  <c r="DZ82" i="160"/>
  <c r="FB82" i="160"/>
  <c r="FM28" i="165"/>
  <c r="FM40" i="165"/>
  <c r="FM44" i="165"/>
  <c r="EV80" i="84"/>
  <c r="DD80" i="84"/>
  <c r="ET68" i="160"/>
  <c r="EY17" i="165"/>
  <c r="EZ17" i="165" s="1"/>
  <c r="EE17" i="165" s="1"/>
  <c r="EX17" i="165"/>
  <c r="FB84" i="84"/>
  <c r="FB76" i="84"/>
  <c r="DZ72" i="84"/>
  <c r="FH29" i="165"/>
  <c r="FH37" i="165"/>
  <c r="EO73" i="84"/>
  <c r="CX79" i="84"/>
  <c r="N39" i="84" s="1"/>
  <c r="CW83" i="84"/>
  <c r="M43" i="84" s="1"/>
  <c r="EQ42" i="84"/>
  <c r="CW57" i="160"/>
  <c r="M17" i="160" s="1"/>
  <c r="CW81" i="84"/>
  <c r="M41" i="84" s="1"/>
  <c r="CW80" i="84"/>
  <c r="M40" i="84" s="1"/>
  <c r="DP44" i="165"/>
  <c r="FA27" i="165"/>
  <c r="FA41" i="165"/>
  <c r="EY44" i="165"/>
  <c r="EZ44" i="165" s="1"/>
  <c r="EE44" i="165" s="1"/>
  <c r="FH20" i="165"/>
  <c r="FH31" i="165"/>
  <c r="FH39" i="165"/>
  <c r="EO75" i="84"/>
  <c r="CW75" i="84"/>
  <c r="M35" i="84" s="1"/>
  <c r="EO76" i="84"/>
  <c r="EO77" i="84"/>
  <c r="ET62" i="160"/>
  <c r="ET63" i="160"/>
  <c r="EO74" i="160"/>
  <c r="CW74" i="160"/>
  <c r="M34" i="160" s="1"/>
  <c r="EO76" i="160"/>
  <c r="CW76" i="160"/>
  <c r="M36" i="160" s="1"/>
  <c r="EO77" i="160"/>
  <c r="CW77" i="160"/>
  <c r="M37" i="160" s="1"/>
  <c r="FB33" i="165"/>
  <c r="DL85" i="84"/>
  <c r="EF79" i="160"/>
  <c r="EG79" i="160" s="1"/>
  <c r="DL79" i="160" s="1"/>
  <c r="EE70" i="160"/>
  <c r="EF70" i="160"/>
  <c r="EO71" i="84"/>
  <c r="ET67" i="160"/>
  <c r="EX34" i="165"/>
  <c r="EE76" i="160"/>
  <c r="EF76" i="160"/>
  <c r="EO55" i="160"/>
  <c r="EE80" i="160"/>
  <c r="EE72" i="160"/>
  <c r="DZ81" i="160"/>
  <c r="FS28" i="165"/>
  <c r="FM17" i="165"/>
  <c r="FH25" i="165"/>
  <c r="CV66" i="160"/>
  <c r="CV81" i="84"/>
  <c r="DD81" i="84"/>
  <c r="EO85" i="160"/>
  <c r="EO54" i="160"/>
  <c r="EO62" i="160"/>
  <c r="ET82" i="160"/>
  <c r="ET83" i="160"/>
  <c r="CX83" i="160"/>
  <c r="N43" i="160" s="1"/>
  <c r="CW84" i="84"/>
  <c r="M44" i="84" s="1"/>
  <c r="EE65" i="160"/>
  <c r="CW60" i="160"/>
  <c r="M20" i="160" s="1"/>
  <c r="DZ58" i="160"/>
  <c r="FB58" i="160"/>
  <c r="DZ62" i="160"/>
  <c r="DZ66" i="160"/>
  <c r="FB66" i="160"/>
  <c r="FT18" i="165"/>
  <c r="FT26" i="165"/>
  <c r="FT38" i="165"/>
  <c r="EO63" i="160"/>
  <c r="EO64" i="160"/>
  <c r="CW64" i="160"/>
  <c r="M24" i="160" s="1"/>
  <c r="FB17" i="165"/>
  <c r="EY19" i="165"/>
  <c r="DP24" i="165"/>
  <c r="DP37" i="165"/>
  <c r="EE61" i="160"/>
  <c r="EF61" i="160"/>
  <c r="EE73" i="84"/>
  <c r="EG73" i="84" s="1"/>
  <c r="DL73" i="84" s="1"/>
  <c r="ET81" i="84"/>
  <c r="ET76" i="160"/>
  <c r="DZ55" i="160"/>
  <c r="FB55" i="160"/>
  <c r="DP34" i="165"/>
  <c r="ET71" i="84"/>
  <c r="DJ77" i="84"/>
  <c r="DJ80" i="84"/>
  <c r="ET82" i="84"/>
  <c r="ET83" i="84"/>
  <c r="ET55" i="160"/>
  <c r="EO79" i="160"/>
  <c r="DP30" i="165"/>
  <c r="DZ69" i="160"/>
  <c r="FB69" i="160"/>
  <c r="FT33" i="165"/>
  <c r="FM24" i="165"/>
  <c r="EO68" i="84"/>
  <c r="CW68" i="84"/>
  <c r="M28" i="84" s="1"/>
  <c r="EF75" i="84"/>
  <c r="FB81" i="160"/>
  <c r="ET73" i="84"/>
  <c r="CX73" i="84"/>
  <c r="N33" i="84" s="1"/>
  <c r="FB39" i="165"/>
  <c r="EF72" i="160"/>
  <c r="EE84" i="160"/>
  <c r="EF84" i="160"/>
  <c r="EE75" i="160"/>
  <c r="EF75" i="160"/>
  <c r="FS20" i="165"/>
  <c r="FM42" i="165"/>
  <c r="FA19" i="165"/>
  <c r="EX22" i="165"/>
  <c r="EE55" i="160"/>
  <c r="EG55" i="160" s="1"/>
  <c r="DL55" i="160" s="1"/>
  <c r="EY24" i="165"/>
  <c r="EZ24" i="165" s="1"/>
  <c r="EE24" i="165" s="1"/>
  <c r="CV80" i="84"/>
  <c r="ET74" i="84"/>
  <c r="CX74" i="84"/>
  <c r="N34" i="84" s="1"/>
  <c r="ET75" i="84"/>
  <c r="CX75" i="84"/>
  <c r="N35" i="84" s="1"/>
  <c r="FE60" i="160"/>
  <c r="CV67" i="160"/>
  <c r="EO69" i="160"/>
  <c r="CW69" i="160"/>
  <c r="M29" i="160" s="1"/>
  <c r="DP31" i="165"/>
  <c r="EE84" i="84"/>
  <c r="EG84" i="84" s="1"/>
  <c r="DL84" i="84" s="1"/>
  <c r="EF84" i="84"/>
  <c r="EH75" i="84"/>
  <c r="EJ75" i="84" s="1"/>
  <c r="DS75" i="84" s="1"/>
  <c r="EE76" i="84"/>
  <c r="EG76" i="84" s="1"/>
  <c r="DL76" i="84" s="1"/>
  <c r="EF76" i="84"/>
  <c r="EE60" i="160"/>
  <c r="DZ82" i="84"/>
  <c r="FB82" i="84"/>
  <c r="DZ85" i="160"/>
  <c r="FB85" i="160"/>
  <c r="EE80" i="84"/>
  <c r="EG80" i="84" s="1"/>
  <c r="DL80" i="84" s="1"/>
  <c r="EH74" i="160"/>
  <c r="EI74" i="160"/>
  <c r="EH59" i="160"/>
  <c r="EI59" i="160"/>
  <c r="FM22" i="165"/>
  <c r="EI80" i="160"/>
  <c r="EJ80" i="160" s="1"/>
  <c r="DS80" i="160" s="1"/>
  <c r="EF80" i="84"/>
  <c r="DZ75" i="84"/>
  <c r="DZ64" i="160"/>
  <c r="FB64" i="160"/>
  <c r="EH64" i="160"/>
  <c r="EJ64" i="160" s="1"/>
  <c r="DS64" i="160" s="1"/>
  <c r="EE69" i="84"/>
  <c r="EG69" i="84" s="1"/>
  <c r="DL69" i="84" s="1"/>
  <c r="EF69" i="84"/>
  <c r="FM33" i="165"/>
  <c r="FH30" i="165"/>
  <c r="EH74" i="84"/>
  <c r="EJ74" i="84" s="1"/>
  <c r="DS74" i="84" s="1"/>
  <c r="EI74" i="84"/>
  <c r="ET61" i="160"/>
  <c r="ET74" i="160"/>
  <c r="CX74" i="160"/>
  <c r="N34" i="160" s="1"/>
  <c r="CV79" i="160"/>
  <c r="ET80" i="160"/>
  <c r="CX80" i="160"/>
  <c r="N40" i="160" s="1"/>
  <c r="EE66" i="160"/>
  <c r="EH56" i="160"/>
  <c r="EJ56" i="160" s="1"/>
  <c r="DS56" i="160" s="1"/>
  <c r="DJ74" i="84"/>
  <c r="EW74" i="84"/>
  <c r="ET78" i="84"/>
  <c r="CV63" i="160"/>
  <c r="ET65" i="160"/>
  <c r="EO73" i="160"/>
  <c r="FB35" i="165"/>
  <c r="FC35" i="165" s="1"/>
  <c r="EL35" i="165" s="1"/>
  <c r="FA35" i="165"/>
  <c r="EI84" i="84"/>
  <c r="EF71" i="84"/>
  <c r="EG71" i="84" s="1"/>
  <c r="DL71" i="84" s="1"/>
  <c r="EH79" i="84"/>
  <c r="EJ79" i="84" s="1"/>
  <c r="DS79" i="84" s="1"/>
  <c r="EQ35" i="84"/>
  <c r="EQ34" i="84"/>
  <c r="EF68" i="160"/>
  <c r="EI56" i="160"/>
  <c r="EE63" i="160"/>
  <c r="EG63" i="160" s="1"/>
  <c r="DL63" i="160" s="1"/>
  <c r="EE59" i="160"/>
  <c r="FB80" i="160"/>
  <c r="DZ80" i="160"/>
  <c r="FS16" i="165"/>
  <c r="FH16" i="165"/>
  <c r="DP17" i="165"/>
  <c r="DP19" i="165"/>
  <c r="DP28" i="165"/>
  <c r="FH45" i="165"/>
  <c r="FB45" i="165"/>
  <c r="FM35" i="165"/>
  <c r="FM45" i="165"/>
  <c r="CW69" i="84"/>
  <c r="M29" i="84" s="1"/>
  <c r="EO69" i="84"/>
  <c r="EX28" i="165"/>
  <c r="EY28" i="165"/>
  <c r="EZ28" i="165" s="1"/>
  <c r="EE28" i="165" s="1"/>
  <c r="FH35" i="165"/>
  <c r="EY16" i="165"/>
  <c r="EX39" i="165"/>
  <c r="DP39" i="165"/>
  <c r="DP41" i="165"/>
  <c r="CX77" i="84"/>
  <c r="N37" i="84" s="1"/>
  <c r="EF59" i="160"/>
  <c r="EE78" i="160"/>
  <c r="FT21" i="165"/>
  <c r="DJ85" i="84"/>
  <c r="ET58" i="160"/>
  <c r="CV82" i="160"/>
  <c r="DP38" i="165"/>
  <c r="DP40" i="165"/>
  <c r="DP42" i="165"/>
  <c r="FM30" i="165"/>
  <c r="EV78" i="84"/>
  <c r="CV78" i="84"/>
  <c r="DD79" i="84"/>
  <c r="FA17" i="165"/>
  <c r="EX18" i="165"/>
  <c r="EY18" i="165"/>
  <c r="EZ18" i="165" s="1"/>
  <c r="EE18" i="165" s="1"/>
  <c r="FA34" i="165"/>
  <c r="DP25" i="165"/>
  <c r="FM39" i="165"/>
  <c r="CV70" i="160"/>
  <c r="CV83" i="160"/>
  <c r="EY42" i="165"/>
  <c r="EZ42" i="165" s="1"/>
  <c r="EE42" i="165" s="1"/>
  <c r="EX42" i="165"/>
  <c r="DP33" i="165"/>
  <c r="DP35" i="165"/>
  <c r="FH33" i="165"/>
  <c r="FB18" i="165"/>
  <c r="EW80" i="84"/>
  <c r="FM43" i="165"/>
  <c r="A5" i="84"/>
  <c r="BO33" i="84"/>
  <c r="AA27" i="117"/>
  <c r="FH57" i="84"/>
  <c r="FI56" i="84"/>
  <c r="FI55" i="84"/>
  <c r="FI57" i="84"/>
  <c r="EU82" i="84"/>
  <c r="EU80" i="84"/>
  <c r="EQ80" i="84"/>
  <c r="ER80" i="84" s="1"/>
  <c r="ES80" i="84" s="1"/>
  <c r="Y40" i="84" s="1"/>
  <c r="EE81" i="160"/>
  <c r="EG81" i="160" s="1"/>
  <c r="DL81" i="160" s="1"/>
  <c r="EL81" i="160"/>
  <c r="EM81" i="160" s="1"/>
  <c r="EN81" i="160" s="1"/>
  <c r="X41" i="160" s="1"/>
  <c r="EQ78" i="160"/>
  <c r="ER78" i="160" s="1"/>
  <c r="ES78" i="160" s="1"/>
  <c r="Y38" i="160" s="1"/>
  <c r="EU73" i="160"/>
  <c r="EQ73" i="160"/>
  <c r="ER73" i="160" s="1"/>
  <c r="ES73" i="160" s="1"/>
  <c r="Y33" i="160" s="1"/>
  <c r="J1" i="162"/>
  <c r="J4" i="162"/>
  <c r="FH55" i="84"/>
  <c r="DZ73" i="84"/>
  <c r="FB73" i="84"/>
  <c r="EW75" i="84"/>
  <c r="DJ75" i="84"/>
  <c r="CV76" i="84"/>
  <c r="CV54" i="160"/>
  <c r="EO65" i="160"/>
  <c r="CV77" i="160"/>
  <c r="CV78" i="160"/>
  <c r="EI75" i="84"/>
  <c r="EE81" i="84"/>
  <c r="EG81" i="84" s="1"/>
  <c r="DL81" i="84" s="1"/>
  <c r="EQ38" i="84"/>
  <c r="EQ78" i="84"/>
  <c r="ER78" i="84" s="1"/>
  <c r="ES78" i="84" s="1"/>
  <c r="Y38" i="84" s="1"/>
  <c r="EQ36" i="84"/>
  <c r="EF81" i="160"/>
  <c r="EF66" i="160"/>
  <c r="EF60" i="160"/>
  <c r="EF74" i="160"/>
  <c r="EE74" i="160"/>
  <c r="EQ57" i="160"/>
  <c r="ER57" i="160" s="1"/>
  <c r="ES57" i="160" s="1"/>
  <c r="Y17" i="160" s="1"/>
  <c r="EH55" i="160"/>
  <c r="EJ55" i="160" s="1"/>
  <c r="DS55" i="160" s="1"/>
  <c r="DZ83" i="160"/>
  <c r="ES68" i="84"/>
  <c r="Y28" i="84" s="1"/>
  <c r="FH21" i="165"/>
  <c r="FM23" i="165"/>
  <c r="FM37" i="165"/>
  <c r="EO74" i="84"/>
  <c r="DP43" i="165"/>
  <c r="EL77" i="84"/>
  <c r="EM77" i="84" s="1"/>
  <c r="EN77" i="84" s="1"/>
  <c r="X37" i="84" s="1"/>
  <c r="DZ77" i="160"/>
  <c r="FB77" i="160"/>
  <c r="FI59" i="84"/>
  <c r="B48" i="84"/>
  <c r="X24" i="84" s="1"/>
  <c r="S1" i="163"/>
  <c r="BK1" i="84"/>
  <c r="BK1" i="160"/>
  <c r="Q1" i="117"/>
  <c r="AH30" i="165"/>
  <c r="AF30" i="165"/>
  <c r="AE30" i="165"/>
  <c r="AG30" i="165"/>
  <c r="BM36" i="84"/>
  <c r="FS18" i="165"/>
  <c r="EI73" i="84"/>
  <c r="BO37" i="84"/>
  <c r="BN36" i="84"/>
  <c r="BO34" i="84"/>
  <c r="BM34" i="84"/>
  <c r="Q2" i="84"/>
  <c r="AU2" i="84" s="1"/>
  <c r="EI85" i="160"/>
  <c r="EJ85" i="160" s="1"/>
  <c r="DS85" i="160" s="1"/>
  <c r="II48" i="160"/>
  <c r="EQ81" i="160"/>
  <c r="ER81" i="160" s="1"/>
  <c r="ES81" i="160" s="1"/>
  <c r="Y41" i="160" s="1"/>
  <c r="EE77" i="160"/>
  <c r="EG77" i="160" s="1"/>
  <c r="DL77" i="160" s="1"/>
  <c r="EQ76" i="160"/>
  <c r="ER76" i="160" s="1"/>
  <c r="ES76" i="160" s="1"/>
  <c r="Y36" i="160" s="1"/>
  <c r="EH70" i="160"/>
  <c r="EJ70" i="160" s="1"/>
  <c r="DS70" i="160" s="1"/>
  <c r="EI65" i="160"/>
  <c r="EJ65" i="160" s="1"/>
  <c r="DS65" i="160" s="1"/>
  <c r="CW54" i="160"/>
  <c r="M14" i="160" s="1"/>
  <c r="FI58" i="84"/>
  <c r="AE1" i="147"/>
  <c r="EH69" i="84"/>
  <c r="EJ69" i="84" s="1"/>
  <c r="DS69" i="84" s="1"/>
  <c r="EI69" i="84"/>
  <c r="AY16" i="165"/>
  <c r="AY17" i="165" s="1"/>
  <c r="AY18" i="165" s="1"/>
  <c r="AY19" i="165" s="1"/>
  <c r="AY20" i="165" s="1"/>
  <c r="AY21" i="165" s="1"/>
  <c r="AY22" i="165" s="1"/>
  <c r="AY23" i="165" s="1"/>
  <c r="AY24" i="165" s="1"/>
  <c r="AY25" i="165" s="1"/>
  <c r="AY26" i="165" s="1"/>
  <c r="AY27" i="165" s="1"/>
  <c r="AY28" i="165" s="1"/>
  <c r="AY29" i="165" s="1"/>
  <c r="AY30" i="165" s="1"/>
  <c r="AY31" i="165" s="1"/>
  <c r="AY32" i="165" s="1"/>
  <c r="AY33" i="165" s="1"/>
  <c r="AY34" i="165" s="1"/>
  <c r="AY35" i="165" s="1"/>
  <c r="AY36" i="165" s="1"/>
  <c r="AY37" i="165" s="1"/>
  <c r="AY38" i="165" s="1"/>
  <c r="AY39" i="165" s="1"/>
  <c r="AY40" i="165" s="1"/>
  <c r="AY41" i="165" s="1"/>
  <c r="AY42" i="165" s="1"/>
  <c r="AY43" i="165" s="1"/>
  <c r="AY44" i="165" s="1"/>
  <c r="AY45" i="165" s="1"/>
  <c r="FH32" i="165"/>
  <c r="AK36" i="165"/>
  <c r="AL36" i="165" s="1"/>
  <c r="AE36" i="165"/>
  <c r="AG36" i="165"/>
  <c r="AH36" i="165"/>
  <c r="AF36" i="165"/>
  <c r="EE77" i="84"/>
  <c r="EG77" i="84" s="1"/>
  <c r="DL77" i="84" s="1"/>
  <c r="EF77" i="84"/>
  <c r="DZ73" i="160"/>
  <c r="FB73" i="160"/>
  <c r="EQ44" i="84"/>
  <c r="EQ82" i="84"/>
  <c r="ER82" i="84" s="1"/>
  <c r="ES82" i="84" s="1"/>
  <c r="Y42" i="84" s="1"/>
  <c r="EH77" i="84"/>
  <c r="EJ77" i="84" s="1"/>
  <c r="DS77" i="84" s="1"/>
  <c r="EF83" i="160"/>
  <c r="EG83" i="160" s="1"/>
  <c r="DL83" i="160" s="1"/>
  <c r="EF80" i="160"/>
  <c r="EH83" i="160"/>
  <c r="EJ83" i="160" s="1"/>
  <c r="DS83" i="160" s="1"/>
  <c r="EH78" i="160"/>
  <c r="EJ78" i="160" s="1"/>
  <c r="DS78" i="160" s="1"/>
  <c r="EU77" i="160"/>
  <c r="EL77" i="160"/>
  <c r="EM77" i="160" s="1"/>
  <c r="EN77" i="160" s="1"/>
  <c r="X37" i="160" s="1"/>
  <c r="EH72" i="160"/>
  <c r="EJ72" i="160" s="1"/>
  <c r="DS72" i="160" s="1"/>
  <c r="J2" i="162"/>
  <c r="DZ83" i="84"/>
  <c r="FB83" i="84"/>
  <c r="EL71" i="84"/>
  <c r="EM71" i="84" s="1"/>
  <c r="EN71" i="84" s="1"/>
  <c r="X31" i="84" s="1"/>
  <c r="EQ71" i="84"/>
  <c r="ER71" i="84" s="1"/>
  <c r="ES71" i="84" s="1"/>
  <c r="Y31" i="84" s="1"/>
  <c r="AE27" i="147"/>
  <c r="AF27" i="147"/>
  <c r="AG27" i="147"/>
  <c r="AH27" i="147"/>
  <c r="AH30" i="147"/>
  <c r="AF30" i="147"/>
  <c r="AG30" i="147"/>
  <c r="EF83" i="84"/>
  <c r="EE83" i="84"/>
  <c r="EG83" i="84" s="1"/>
  <c r="DL83" i="84" s="1"/>
  <c r="FM32" i="165"/>
  <c r="DS80" i="84"/>
  <c r="EU79" i="160"/>
  <c r="EQ79" i="160"/>
  <c r="ER79" i="160" s="1"/>
  <c r="ES79" i="160" s="1"/>
  <c r="Y39" i="160" s="1"/>
  <c r="BM43" i="84"/>
  <c r="EE82" i="84"/>
  <c r="EG82" i="84" s="1"/>
  <c r="DL82" i="84" s="1"/>
  <c r="EF82" i="84"/>
  <c r="EU79" i="84"/>
  <c r="EQ79" i="84"/>
  <c r="ER79" i="84" s="1"/>
  <c r="ES79" i="84" s="1"/>
  <c r="Y39" i="84" s="1"/>
  <c r="HU48" i="160"/>
  <c r="HV48" i="160"/>
  <c r="HY48" i="160"/>
  <c r="IO48" i="160"/>
  <c r="EL73" i="160"/>
  <c r="EM73" i="160" s="1"/>
  <c r="EN73" i="160" s="1"/>
  <c r="X33" i="160" s="1"/>
  <c r="EE62" i="160"/>
  <c r="EG62" i="160" s="1"/>
  <c r="DL62" i="160" s="1"/>
  <c r="EH73" i="84"/>
  <c r="EJ73" i="84" s="1"/>
  <c r="DS73" i="84" s="1"/>
  <c r="FJ41" i="165"/>
  <c r="FK41" i="165" s="1"/>
  <c r="FL41" i="165" s="1"/>
  <c r="Z41" i="165" s="1"/>
  <c r="FE41" i="165"/>
  <c r="FF41" i="165" s="1"/>
  <c r="FG41" i="165" s="1"/>
  <c r="Y41" i="165" s="1"/>
  <c r="ET76" i="84"/>
  <c r="CX76" i="84"/>
  <c r="N36" i="84" s="1"/>
  <c r="ET75" i="160"/>
  <c r="CX75" i="160"/>
  <c r="N35" i="160" s="1"/>
  <c r="CV80" i="160"/>
  <c r="ET81" i="160"/>
  <c r="ET84" i="160"/>
  <c r="CX84" i="160"/>
  <c r="N44" i="160" s="1"/>
  <c r="EQ54" i="160"/>
  <c r="ER54" i="160" s="1"/>
  <c r="ES54" i="160" s="1"/>
  <c r="Y14" i="160" s="1"/>
  <c r="EQ40" i="84"/>
  <c r="EU70" i="160"/>
  <c r="EQ64" i="160"/>
  <c r="ER64" i="160" s="1"/>
  <c r="ES64" i="160" s="1"/>
  <c r="Y24" i="160" s="1"/>
  <c r="ET80" i="84"/>
  <c r="EQ67" i="160"/>
  <c r="ER67" i="160" s="1"/>
  <c r="ES67" i="160" s="1"/>
  <c r="Y27" i="160" s="1"/>
  <c r="EF65" i="160"/>
  <c r="DZ69" i="84"/>
  <c r="P1" i="165"/>
  <c r="FE21" i="165"/>
  <c r="FF21" i="165" s="1"/>
  <c r="FG21" i="165" s="1"/>
  <c r="Y21" i="165" s="1"/>
  <c r="FJ27" i="165"/>
  <c r="FK27" i="165" s="1"/>
  <c r="FL27" i="165" s="1"/>
  <c r="Z27" i="165" s="1"/>
  <c r="FE27" i="165"/>
  <c r="FF27" i="165" s="1"/>
  <c r="FG27" i="165" s="1"/>
  <c r="Y27" i="165" s="1"/>
  <c r="EX31" i="165"/>
  <c r="EY31" i="165"/>
  <c r="DP20" i="165"/>
  <c r="EU81" i="84"/>
  <c r="EQ37" i="84"/>
  <c r="EI61" i="160"/>
  <c r="EJ61" i="160" s="1"/>
  <c r="DS61" i="160" s="1"/>
  <c r="EQ59" i="160"/>
  <c r="ER59" i="160" s="1"/>
  <c r="ES59" i="160" s="1"/>
  <c r="Y19" i="160" s="1"/>
  <c r="AN52" i="165"/>
  <c r="AN54" i="165"/>
  <c r="FD60" i="160"/>
  <c r="CV60" i="160"/>
  <c r="FB16" i="165"/>
  <c r="FA16" i="165"/>
  <c r="FG56" i="84"/>
  <c r="EV85" i="84"/>
  <c r="CV85" i="84"/>
  <c r="DD85" i="84"/>
  <c r="FJ30" i="165"/>
  <c r="FK30" i="165" s="1"/>
  <c r="FL30" i="165" s="1"/>
  <c r="Z30" i="165" s="1"/>
  <c r="FE39" i="165"/>
  <c r="FF39" i="165" s="1"/>
  <c r="FG39" i="165" s="1"/>
  <c r="Y39" i="165" s="1"/>
  <c r="FJ45" i="165"/>
  <c r="FK45" i="165" s="1"/>
  <c r="FL45" i="165" s="1"/>
  <c r="Z45" i="165" s="1"/>
  <c r="AK16" i="165"/>
  <c r="AL16" i="165" s="1"/>
  <c r="CV77" i="84"/>
  <c r="EV77" i="84"/>
  <c r="DD77" i="84"/>
  <c r="AH40" i="147"/>
  <c r="AF40" i="147"/>
  <c r="FE28" i="165"/>
  <c r="FF28" i="165" s="1"/>
  <c r="FG28" i="165" s="1"/>
  <c r="Y28" i="165" s="1"/>
  <c r="FH41" i="165"/>
  <c r="EW83" i="84"/>
  <c r="CV83" i="84"/>
  <c r="DJ83" i="84"/>
  <c r="CV64" i="160"/>
  <c r="FS41" i="165"/>
  <c r="FM41" i="165"/>
  <c r="CV72" i="160"/>
  <c r="AH32" i="147"/>
  <c r="AF32" i="147"/>
  <c r="AD32" i="147" s="1"/>
  <c r="FM25" i="165"/>
  <c r="FH28" i="165"/>
  <c r="AM17" i="165"/>
  <c r="CV69" i="84"/>
  <c r="EW79" i="84"/>
  <c r="DJ79" i="84"/>
  <c r="EW63" i="160"/>
  <c r="EU23" i="160" s="1"/>
  <c r="EX36" i="165"/>
  <c r="EY36" i="165"/>
  <c r="EZ36" i="165" s="1"/>
  <c r="EE36" i="165" s="1"/>
  <c r="FA44" i="165"/>
  <c r="FB44" i="165"/>
  <c r="EW78" i="84"/>
  <c r="EW82" i="84"/>
  <c r="EX26" i="165"/>
  <c r="EY26" i="165"/>
  <c r="EZ26" i="165" s="1"/>
  <c r="EE26" i="165" s="1"/>
  <c r="DP21" i="165"/>
  <c r="FE31" i="165"/>
  <c r="FF31" i="165" s="1"/>
  <c r="FG31" i="165" s="1"/>
  <c r="Y31" i="165" s="1"/>
  <c r="FE40" i="165"/>
  <c r="FF40" i="165" s="1"/>
  <c r="FG40" i="165" s="1"/>
  <c r="Y40" i="165" s="1"/>
  <c r="AK29" i="165"/>
  <c r="AL29" i="165" s="1"/>
  <c r="AK44" i="165"/>
  <c r="AL44" i="165" s="1"/>
  <c r="CV82" i="84"/>
  <c r="FA32" i="165"/>
  <c r="FB32" i="165"/>
  <c r="FB42" i="165"/>
  <c r="FA42" i="165"/>
  <c r="CV79" i="84"/>
  <c r="EV79" i="84"/>
  <c r="EW85" i="84"/>
  <c r="CV57" i="160"/>
  <c r="EV68" i="160"/>
  <c r="ET28" i="160" s="1"/>
  <c r="CV74" i="160"/>
  <c r="DP27" i="165"/>
  <c r="AK22" i="165"/>
  <c r="AL22" i="165" s="1"/>
  <c r="EV75" i="84"/>
  <c r="CV75" i="84"/>
  <c r="EV83" i="84"/>
  <c r="CV61" i="160"/>
  <c r="CV76" i="160"/>
  <c r="AK39" i="165"/>
  <c r="AL39" i="165" s="1"/>
  <c r="EV81" i="84"/>
  <c r="EW81" i="84"/>
  <c r="EV54" i="160"/>
  <c r="ET14" i="160" s="1"/>
  <c r="EQ14" i="160" s="1"/>
  <c r="EY33" i="165"/>
  <c r="EZ33" i="165" s="1"/>
  <c r="EE33" i="165" s="1"/>
  <c r="EX33" i="165"/>
  <c r="FB38" i="165"/>
  <c r="FC38" i="165" s="1"/>
  <c r="EL38" i="165" s="1"/>
  <c r="FA38" i="165"/>
  <c r="AK19" i="165"/>
  <c r="AL19" i="165" s="1"/>
  <c r="AK28" i="165"/>
  <c r="AL28" i="165" s="1"/>
  <c r="EW67" i="160"/>
  <c r="EU27" i="160" s="1"/>
  <c r="EV73" i="160"/>
  <c r="ET33" i="160" s="1"/>
  <c r="FE30" i="165"/>
  <c r="FF30" i="165" s="1"/>
  <c r="FG30" i="165" s="1"/>
  <c r="Y30" i="165" s="1"/>
  <c r="AK23" i="147"/>
  <c r="AL23" i="147" s="1"/>
  <c r="EX21" i="165"/>
  <c r="FA26" i="165"/>
  <c r="FA31" i="165"/>
  <c r="FB31" i="165"/>
  <c r="FC31" i="165" s="1"/>
  <c r="EL31" i="165" s="1"/>
  <c r="FA39" i="165"/>
  <c r="AK45" i="165"/>
  <c r="FB37" i="165"/>
  <c r="FC37" i="165" s="1"/>
  <c r="EL37" i="165" s="1"/>
  <c r="FA37" i="165"/>
  <c r="EW64" i="160"/>
  <c r="EU24" i="160" s="1"/>
  <c r="AK36" i="147"/>
  <c r="AL36" i="147" s="1"/>
  <c r="EY38" i="165"/>
  <c r="EZ38" i="165" s="1"/>
  <c r="EE38" i="165" s="1"/>
  <c r="EX38" i="165"/>
  <c r="FB21" i="165"/>
  <c r="FA21" i="165"/>
  <c r="EY25" i="165"/>
  <c r="EZ25" i="165" s="1"/>
  <c r="EE25" i="165" s="1"/>
  <c r="EX25" i="165"/>
  <c r="FA36" i="165"/>
  <c r="FB36" i="165"/>
  <c r="FC36" i="165" s="1"/>
  <c r="EL36" i="165" s="1"/>
  <c r="EX40" i="165"/>
  <c r="EY40" i="165"/>
  <c r="EZ40" i="165" s="1"/>
  <c r="EE40" i="165" s="1"/>
  <c r="FB43" i="165"/>
  <c r="FA43" i="165"/>
  <c r="FA18" i="165"/>
  <c r="EX20" i="165"/>
  <c r="FA25" i="165"/>
  <c r="FE25" i="165"/>
  <c r="FF25" i="165" s="1"/>
  <c r="FG25" i="165" s="1"/>
  <c r="Y25" i="165" s="1"/>
  <c r="EY41" i="165"/>
  <c r="EX41" i="165"/>
  <c r="EY32" i="165"/>
  <c r="EZ32" i="165" s="1"/>
  <c r="EE32" i="165" s="1"/>
  <c r="FA33" i="165"/>
  <c r="M2" i="117"/>
  <c r="AA41" i="117"/>
  <c r="AA43" i="117"/>
  <c r="AB5" i="160"/>
  <c r="A5" i="163"/>
  <c r="A5" i="160"/>
  <c r="A5" i="117"/>
  <c r="A5" i="80"/>
  <c r="A5" i="145"/>
  <c r="AB5" i="84"/>
  <c r="Z3" i="160"/>
  <c r="A5" i="162"/>
  <c r="A5" i="114"/>
  <c r="A5" i="147"/>
  <c r="P3" i="162"/>
  <c r="AA2" i="165"/>
  <c r="P2" i="163"/>
  <c r="P2" i="162"/>
  <c r="AB32" i="117"/>
  <c r="Z2" i="84"/>
  <c r="BD2" i="160"/>
  <c r="I2" i="80"/>
  <c r="AA39" i="117"/>
  <c r="AA32" i="117"/>
  <c r="AA44" i="117"/>
  <c r="AA36" i="117"/>
  <c r="AA40" i="117"/>
  <c r="AA13" i="117"/>
  <c r="FU55" i="160"/>
  <c r="FT55" i="160" s="1"/>
  <c r="AA24" i="117"/>
  <c r="BD2" i="84"/>
  <c r="Z2" i="160"/>
  <c r="AA2" i="147"/>
  <c r="Z13" i="117"/>
  <c r="AA37" i="117"/>
  <c r="AA17" i="117"/>
  <c r="N2" i="114"/>
  <c r="AA25" i="117"/>
  <c r="AB48" i="117"/>
  <c r="AA16" i="117"/>
  <c r="M3" i="117"/>
  <c r="BD1" i="84"/>
  <c r="AA38" i="117"/>
  <c r="AA29" i="117"/>
  <c r="AA20" i="117"/>
  <c r="AA28" i="117"/>
  <c r="AA47" i="117"/>
  <c r="AB31" i="117"/>
  <c r="Z17" i="117"/>
  <c r="AB46" i="117"/>
  <c r="AA1" i="147"/>
  <c r="AA46" i="117"/>
  <c r="AA33" i="117"/>
  <c r="AB29" i="117"/>
  <c r="AF26" i="117"/>
  <c r="AA22" i="117"/>
  <c r="AA19" i="117"/>
  <c r="AB16" i="117"/>
  <c r="M4" i="117"/>
  <c r="N1" i="145"/>
  <c r="AA4" i="165"/>
  <c r="AA45" i="117"/>
  <c r="AF23" i="117"/>
  <c r="AA21" i="117"/>
  <c r="AA48" i="117"/>
  <c r="AF39" i="117"/>
  <c r="AB37" i="117"/>
  <c r="AF32" i="117"/>
  <c r="Z20" i="117"/>
  <c r="AA15" i="117"/>
  <c r="AF47" i="117"/>
  <c r="AB20" i="117"/>
  <c r="AB17" i="117"/>
  <c r="AB13" i="117"/>
  <c r="AA3" i="147"/>
  <c r="AF48" i="117"/>
  <c r="AB44" i="117"/>
  <c r="AB40" i="117"/>
  <c r="AF31" i="117"/>
  <c r="AB24" i="117"/>
  <c r="P3" i="163"/>
  <c r="Z38" i="117"/>
  <c r="AA31" i="117"/>
  <c r="Z22" i="117"/>
  <c r="N1" i="114"/>
  <c r="I1" i="80"/>
  <c r="AB47" i="117"/>
  <c r="AB28" i="117"/>
  <c r="AB21" i="117"/>
  <c r="AF20" i="117"/>
  <c r="AB19" i="117"/>
  <c r="AF17" i="117"/>
  <c r="AF16" i="117"/>
  <c r="BD1" i="160"/>
  <c r="P4" i="162"/>
  <c r="AB41" i="117"/>
  <c r="AF36" i="117"/>
  <c r="AA35" i="117"/>
  <c r="AB35" i="117"/>
  <c r="AF33" i="117"/>
  <c r="AB30" i="117"/>
  <c r="AB25" i="117"/>
  <c r="AB14" i="117"/>
  <c r="AA14" i="117"/>
  <c r="AA3" i="165"/>
  <c r="Z45" i="117"/>
  <c r="Z36" i="117"/>
  <c r="I4" i="80"/>
  <c r="N4" i="114"/>
  <c r="AF28" i="117"/>
  <c r="AB27" i="117"/>
  <c r="N4" i="145"/>
  <c r="Z4" i="84"/>
  <c r="Z4" i="160"/>
  <c r="AA1" i="165"/>
  <c r="Z33" i="117"/>
  <c r="AA26" i="117"/>
  <c r="AF30" i="117"/>
  <c r="AF46" i="117"/>
  <c r="AB23" i="117"/>
  <c r="N3" i="114"/>
  <c r="I3" i="80"/>
  <c r="AB45" i="117"/>
  <c r="AF44" i="117"/>
  <c r="AB43" i="117"/>
  <c r="AF41" i="117"/>
  <c r="AF40" i="117"/>
  <c r="AB38" i="117"/>
  <c r="AB36" i="117"/>
  <c r="AB33" i="117"/>
  <c r="AF25" i="117"/>
  <c r="AF24" i="117"/>
  <c r="AB22" i="117"/>
  <c r="AF15" i="117"/>
  <c r="BD3" i="84"/>
  <c r="AA30" i="117"/>
  <c r="BD4" i="84"/>
  <c r="BD4" i="160"/>
  <c r="P4" i="163"/>
  <c r="AB39" i="117"/>
  <c r="AA23" i="117"/>
  <c r="M1" i="117"/>
  <c r="AF38" i="117"/>
  <c r="AF22" i="117"/>
  <c r="AB15" i="117"/>
  <c r="N3" i="145"/>
  <c r="Z3" i="84"/>
  <c r="P1" i="162"/>
  <c r="AC42" i="117"/>
  <c r="AD42" i="117"/>
  <c r="AE42" i="117"/>
  <c r="AC18" i="117"/>
  <c r="AD18" i="117"/>
  <c r="AE18" i="117"/>
  <c r="BO40" i="84"/>
  <c r="BN40" i="84"/>
  <c r="AC45" i="117"/>
  <c r="AD45" i="117"/>
  <c r="AE45" i="117"/>
  <c r="AF43" i="117"/>
  <c r="AC37" i="117"/>
  <c r="AD37" i="117"/>
  <c r="AE37" i="117"/>
  <c r="AF35" i="117"/>
  <c r="AC29" i="117"/>
  <c r="AD29" i="117"/>
  <c r="AE29" i="117"/>
  <c r="AF27" i="117"/>
  <c r="AC21" i="117"/>
  <c r="AD21" i="117"/>
  <c r="AE21" i="117"/>
  <c r="AF19" i="117"/>
  <c r="AC13" i="117"/>
  <c r="AD13" i="117"/>
  <c r="AE13" i="117"/>
  <c r="DS76" i="84"/>
  <c r="DL74" i="84"/>
  <c r="EH81" i="160"/>
  <c r="EJ81" i="160" s="1"/>
  <c r="DS81" i="160" s="1"/>
  <c r="EI81" i="160"/>
  <c r="FG57" i="84"/>
  <c r="AC48" i="117"/>
  <c r="AD48" i="117"/>
  <c r="AE48" i="117"/>
  <c r="AC40" i="117"/>
  <c r="AD40" i="117"/>
  <c r="AE40" i="117"/>
  <c r="AC32" i="117"/>
  <c r="AD32" i="117"/>
  <c r="AE32" i="117"/>
  <c r="AC24" i="117"/>
  <c r="AD24" i="117"/>
  <c r="AE24" i="117"/>
  <c r="AC16" i="117"/>
  <c r="AD16" i="117"/>
  <c r="AE16" i="117"/>
  <c r="AF14" i="117"/>
  <c r="H1" i="117"/>
  <c r="IC48" i="84"/>
  <c r="HY48" i="84"/>
  <c r="HZ48" i="84"/>
  <c r="IA48" i="84"/>
  <c r="HV48" i="84"/>
  <c r="EQ41" i="84"/>
  <c r="BM40" i="84"/>
  <c r="EU83" i="160"/>
  <c r="EL83" i="160"/>
  <c r="EM83" i="160" s="1"/>
  <c r="EN83" i="160" s="1"/>
  <c r="X43" i="160" s="1"/>
  <c r="EU71" i="160"/>
  <c r="EL71" i="160"/>
  <c r="EM71" i="160" s="1"/>
  <c r="EN71" i="160" s="1"/>
  <c r="X31" i="160" s="1"/>
  <c r="EQ71" i="160"/>
  <c r="ER71" i="160" s="1"/>
  <c r="ES71" i="160" s="1"/>
  <c r="Y31" i="160" s="1"/>
  <c r="DZ59" i="160"/>
  <c r="FB59" i="160"/>
  <c r="DZ68" i="160"/>
  <c r="FB68" i="160"/>
  <c r="AC34" i="117"/>
  <c r="AD34" i="117"/>
  <c r="AE34" i="117"/>
  <c r="EU83" i="84"/>
  <c r="EQ83" i="84"/>
  <c r="ER83" i="84" s="1"/>
  <c r="ES83" i="84" s="1"/>
  <c r="Y43" i="84" s="1"/>
  <c r="EL83" i="84"/>
  <c r="EM83" i="84" s="1"/>
  <c r="EN83" i="84" s="1"/>
  <c r="X43" i="84" s="1"/>
  <c r="BM37" i="84"/>
  <c r="AC43" i="117"/>
  <c r="AD43" i="117"/>
  <c r="AE43" i="117"/>
  <c r="EH73" i="160"/>
  <c r="EI73" i="160"/>
  <c r="FA28" i="165"/>
  <c r="FB28" i="165"/>
  <c r="AC46" i="117"/>
  <c r="AD46" i="117"/>
  <c r="AE46" i="117"/>
  <c r="AC30" i="117"/>
  <c r="AD30" i="117"/>
  <c r="AE30" i="117"/>
  <c r="EH85" i="84"/>
  <c r="EJ85" i="84" s="1"/>
  <c r="DS85" i="84" s="1"/>
  <c r="EI82" i="84"/>
  <c r="EH82" i="84"/>
  <c r="EJ82" i="84" s="1"/>
  <c r="DS82" i="84" s="1"/>
  <c r="EU76" i="84"/>
  <c r="EQ76" i="84"/>
  <c r="ER76" i="84" s="1"/>
  <c r="ES76" i="84" s="1"/>
  <c r="Y36" i="84" s="1"/>
  <c r="EU74" i="160"/>
  <c r="EQ74" i="160"/>
  <c r="ER74" i="160" s="1"/>
  <c r="ES74" i="160" s="1"/>
  <c r="Y34" i="160" s="1"/>
  <c r="EL74" i="160"/>
  <c r="EM74" i="160" s="1"/>
  <c r="EN74" i="160" s="1"/>
  <c r="X34" i="160" s="1"/>
  <c r="AC33" i="117"/>
  <c r="AD33" i="117"/>
  <c r="AE33" i="117"/>
  <c r="DS84" i="84"/>
  <c r="EL76" i="84"/>
  <c r="EM76" i="84" s="1"/>
  <c r="EN76" i="84" s="1"/>
  <c r="X36" i="84" s="1"/>
  <c r="EI77" i="160"/>
  <c r="EH77" i="160"/>
  <c r="EU72" i="160"/>
  <c r="EQ72" i="160"/>
  <c r="ER72" i="160" s="1"/>
  <c r="ES72" i="160" s="1"/>
  <c r="Y32" i="160" s="1"/>
  <c r="EU66" i="160"/>
  <c r="EQ66" i="160"/>
  <c r="ER66" i="160" s="1"/>
  <c r="ES66" i="160" s="1"/>
  <c r="Y26" i="160" s="1"/>
  <c r="EL66" i="160"/>
  <c r="EM66" i="160" s="1"/>
  <c r="EN66" i="160" s="1"/>
  <c r="X26" i="160" s="1"/>
  <c r="GC54" i="160"/>
  <c r="GC55" i="160" s="1"/>
  <c r="GC56" i="160" s="1"/>
  <c r="GC57" i="160" s="1"/>
  <c r="FL54" i="160"/>
  <c r="FL55" i="160" s="1"/>
  <c r="J2" i="163"/>
  <c r="J1" i="163"/>
  <c r="J4" i="163"/>
  <c r="FB60" i="160"/>
  <c r="DZ60" i="160" s="1"/>
  <c r="AA42" i="117"/>
  <c r="AA18" i="117"/>
  <c r="AC27" i="117"/>
  <c r="AD27" i="117"/>
  <c r="AE27" i="117"/>
  <c r="AC22" i="117"/>
  <c r="AD22" i="117"/>
  <c r="AE22" i="117"/>
  <c r="AC14" i="117"/>
  <c r="AD14" i="117"/>
  <c r="AE14" i="117"/>
  <c r="FB72" i="160"/>
  <c r="DZ72" i="160"/>
  <c r="DZ75" i="160"/>
  <c r="FB75" i="160"/>
  <c r="AC41" i="117"/>
  <c r="AD41" i="117"/>
  <c r="AE41" i="117"/>
  <c r="AC25" i="117"/>
  <c r="AD25" i="117"/>
  <c r="AE25" i="117"/>
  <c r="AC17" i="117"/>
  <c r="AD17" i="117"/>
  <c r="AE17" i="117"/>
  <c r="AC44" i="117"/>
  <c r="AD44" i="117"/>
  <c r="AE44" i="117"/>
  <c r="AF42" i="117"/>
  <c r="AC36" i="117"/>
  <c r="AD36" i="117"/>
  <c r="AE36" i="117"/>
  <c r="AF34" i="117"/>
  <c r="AC28" i="117"/>
  <c r="AD28" i="117"/>
  <c r="AE28" i="117"/>
  <c r="AC20" i="117"/>
  <c r="AD20" i="117"/>
  <c r="AE20" i="117"/>
  <c r="AF18" i="117"/>
  <c r="ID48" i="84"/>
  <c r="EQ43" i="84"/>
  <c r="DS83" i="84"/>
  <c r="EE79" i="84"/>
  <c r="EG79" i="84" s="1"/>
  <c r="DL79" i="84" s="1"/>
  <c r="EU75" i="84"/>
  <c r="EL75" i="84"/>
  <c r="EM75" i="84" s="1"/>
  <c r="EN75" i="84" s="1"/>
  <c r="X35" i="84" s="1"/>
  <c r="EF85" i="160"/>
  <c r="EG85" i="160" s="1"/>
  <c r="DL85" i="160" s="1"/>
  <c r="EI82" i="160"/>
  <c r="EH82" i="160"/>
  <c r="AA34" i="117"/>
  <c r="AC26" i="117"/>
  <c r="AD26" i="117"/>
  <c r="AE26" i="117"/>
  <c r="AC35" i="117"/>
  <c r="AD35" i="117"/>
  <c r="AE35" i="117"/>
  <c r="AC19" i="117"/>
  <c r="AD19" i="117"/>
  <c r="AE19" i="117"/>
  <c r="BN42" i="84"/>
  <c r="BO42" i="84"/>
  <c r="BM41" i="84"/>
  <c r="BO41" i="84"/>
  <c r="EF78" i="84"/>
  <c r="EE78" i="84"/>
  <c r="EG78" i="84" s="1"/>
  <c r="DL78" i="84" s="1"/>
  <c r="AC38" i="117"/>
  <c r="AD38" i="117"/>
  <c r="AE38" i="117"/>
  <c r="I2" i="114"/>
  <c r="I4" i="114"/>
  <c r="D2" i="80"/>
  <c r="D1" i="80"/>
  <c r="AC47" i="117"/>
  <c r="AD47" i="117"/>
  <c r="AE47" i="117"/>
  <c r="AF45" i="117"/>
  <c r="AB42" i="117"/>
  <c r="AC39" i="117"/>
  <c r="AD39" i="117"/>
  <c r="AE39" i="117"/>
  <c r="AF37" i="117"/>
  <c r="AB34" i="117"/>
  <c r="AC31" i="117"/>
  <c r="AD31" i="117"/>
  <c r="AE31" i="117"/>
  <c r="AF29" i="117"/>
  <c r="AB26" i="117"/>
  <c r="AC23" i="117"/>
  <c r="AD23" i="117"/>
  <c r="AE23" i="117"/>
  <c r="AF21" i="117"/>
  <c r="AB18" i="117"/>
  <c r="AC15" i="117"/>
  <c r="AD15" i="117"/>
  <c r="AE15" i="117"/>
  <c r="AF13" i="117"/>
  <c r="H2" i="117"/>
  <c r="EI85" i="84"/>
  <c r="IB48" i="84"/>
  <c r="EI78" i="84"/>
  <c r="EH78" i="84"/>
  <c r="EJ78" i="84" s="1"/>
  <c r="DS78" i="84" s="1"/>
  <c r="EL72" i="160"/>
  <c r="EM72" i="160" s="1"/>
  <c r="EN72" i="160" s="1"/>
  <c r="X32" i="160" s="1"/>
  <c r="EE67" i="160"/>
  <c r="EG67" i="160" s="1"/>
  <c r="DL67" i="160" s="1"/>
  <c r="EF67" i="160"/>
  <c r="BN30" i="84"/>
  <c r="BM30" i="84" s="1"/>
  <c r="FC70" i="84" s="1"/>
  <c r="EA70" i="84" s="1"/>
  <c r="EU73" i="84"/>
  <c r="EL73" i="84"/>
  <c r="EM73" i="84" s="1"/>
  <c r="EN73" i="84" s="1"/>
  <c r="X33" i="84" s="1"/>
  <c r="EQ73" i="84"/>
  <c r="ER73" i="84" s="1"/>
  <c r="ES73" i="84" s="1"/>
  <c r="Y33" i="84" s="1"/>
  <c r="EO71" i="160"/>
  <c r="CW71" i="160"/>
  <c r="M31" i="160" s="1"/>
  <c r="CV75" i="160"/>
  <c r="EF85" i="84"/>
  <c r="EQ84" i="84"/>
  <c r="ER84" i="84" s="1"/>
  <c r="ES84" i="84" s="1"/>
  <c r="Y44" i="84" s="1"/>
  <c r="EL79" i="84"/>
  <c r="EM79" i="84" s="1"/>
  <c r="EN79" i="84" s="1"/>
  <c r="X39" i="84" s="1"/>
  <c r="EU74" i="84"/>
  <c r="EL74" i="84"/>
  <c r="EM74" i="84" s="1"/>
  <c r="EN74" i="84" s="1"/>
  <c r="X34" i="84" s="1"/>
  <c r="EQ74" i="84"/>
  <c r="ER74" i="84" s="1"/>
  <c r="ES74" i="84" s="1"/>
  <c r="Y34" i="84" s="1"/>
  <c r="IM48" i="160"/>
  <c r="EH57" i="160"/>
  <c r="EI57" i="160"/>
  <c r="FS19" i="165"/>
  <c r="FS27" i="165"/>
  <c r="FS31" i="165"/>
  <c r="FS35" i="165"/>
  <c r="FS39" i="165"/>
  <c r="FS43" i="165"/>
  <c r="HX48" i="160"/>
  <c r="IF48" i="160"/>
  <c r="IN48" i="160"/>
  <c r="HR48" i="160"/>
  <c r="IA48" i="160"/>
  <c r="IJ48" i="160"/>
  <c r="IS48" i="160"/>
  <c r="HS48" i="160"/>
  <c r="IB48" i="160"/>
  <c r="IK48" i="160"/>
  <c r="IT48" i="160"/>
  <c r="HT48" i="160"/>
  <c r="IC48" i="160"/>
  <c r="IL48" i="160"/>
  <c r="HW48" i="160"/>
  <c r="IG48" i="160"/>
  <c r="IP48" i="160"/>
  <c r="EX43" i="165"/>
  <c r="EL84" i="84"/>
  <c r="EM84" i="84" s="1"/>
  <c r="EN84" i="84" s="1"/>
  <c r="X44" i="84" s="1"/>
  <c r="IE48" i="160"/>
  <c r="EU68" i="160"/>
  <c r="EL68" i="160"/>
  <c r="EM68" i="160" s="1"/>
  <c r="EN68" i="160" s="1"/>
  <c r="X28" i="160" s="1"/>
  <c r="EQ68" i="160"/>
  <c r="ER68" i="160" s="1"/>
  <c r="ES68" i="160" s="1"/>
  <c r="Y28" i="160" s="1"/>
  <c r="EE56" i="160"/>
  <c r="EG56" i="160" s="1"/>
  <c r="DL56" i="160" s="1"/>
  <c r="FE20" i="165"/>
  <c r="FF20" i="165" s="1"/>
  <c r="FG20" i="165" s="1"/>
  <c r="Y20" i="165" s="1"/>
  <c r="FJ20" i="165"/>
  <c r="FK20" i="165" s="1"/>
  <c r="FL20" i="165" s="1"/>
  <c r="Z20" i="165" s="1"/>
  <c r="EX23" i="165"/>
  <c r="EY23" i="165"/>
  <c r="EI77" i="84"/>
  <c r="BO43" i="84"/>
  <c r="EL82" i="84"/>
  <c r="EM82" i="84" s="1"/>
  <c r="EN82" i="84" s="1"/>
  <c r="X42" i="84" s="1"/>
  <c r="EH81" i="84"/>
  <c r="EJ81" i="84" s="1"/>
  <c r="DS81" i="84" s="1"/>
  <c r="EU78" i="84"/>
  <c r="EL78" i="84"/>
  <c r="EM78" i="84" s="1"/>
  <c r="EN78" i="84" s="1"/>
  <c r="X38" i="84" s="1"/>
  <c r="BN38" i="84"/>
  <c r="BN35" i="84"/>
  <c r="BO35" i="84" s="1"/>
  <c r="BM35" i="84"/>
  <c r="ID48" i="160"/>
  <c r="EU84" i="160"/>
  <c r="EL84" i="160"/>
  <c r="EM84" i="160" s="1"/>
  <c r="EN84" i="160" s="1"/>
  <c r="X44" i="160" s="1"/>
  <c r="EQ84" i="160"/>
  <c r="ER84" i="160" s="1"/>
  <c r="ES84" i="160" s="1"/>
  <c r="Y44" i="160" s="1"/>
  <c r="EF82" i="160"/>
  <c r="EE82" i="160"/>
  <c r="EU80" i="160"/>
  <c r="EQ80" i="160"/>
  <c r="ER80" i="160" s="1"/>
  <c r="ES80" i="160" s="1"/>
  <c r="Y40" i="160" s="1"/>
  <c r="EL79" i="160"/>
  <c r="EM79" i="160" s="1"/>
  <c r="EN79" i="160" s="1"/>
  <c r="X39" i="160" s="1"/>
  <c r="EE73" i="160"/>
  <c r="EG73" i="160" s="1"/>
  <c r="DL73" i="160" s="1"/>
  <c r="EH62" i="160"/>
  <c r="EJ62" i="160" s="1"/>
  <c r="DS62" i="160" s="1"/>
  <c r="EI62" i="160"/>
  <c r="EU58" i="160"/>
  <c r="EQ58" i="160"/>
  <c r="ER58" i="160" s="1"/>
  <c r="ES58" i="160" s="1"/>
  <c r="Y18" i="160" s="1"/>
  <c r="EL58" i="160"/>
  <c r="EM58" i="160" s="1"/>
  <c r="EN58" i="160" s="1"/>
  <c r="X18" i="160" s="1"/>
  <c r="EQ39" i="84"/>
  <c r="IH48" i="160"/>
  <c r="EH68" i="160"/>
  <c r="EJ68" i="160" s="1"/>
  <c r="DS68" i="160" s="1"/>
  <c r="EE64" i="160"/>
  <c r="EG64" i="160" s="1"/>
  <c r="DL64" i="160" s="1"/>
  <c r="EF64" i="160"/>
  <c r="EI58" i="160"/>
  <c r="EJ58" i="160" s="1"/>
  <c r="DS58" i="160" s="1"/>
  <c r="EU85" i="84"/>
  <c r="EQ85" i="84"/>
  <c r="ER85" i="84" s="1"/>
  <c r="ES85" i="84" s="1"/>
  <c r="Y45" i="84" s="1"/>
  <c r="BO39" i="84"/>
  <c r="IR48" i="160"/>
  <c r="HZ48" i="160"/>
  <c r="EU65" i="160"/>
  <c r="CV65" i="160" s="1"/>
  <c r="EQ65" i="160"/>
  <c r="ER65" i="160" s="1"/>
  <c r="ES65" i="160" s="1"/>
  <c r="Y25" i="160" s="1"/>
  <c r="EL65" i="160"/>
  <c r="EM65" i="160" s="1"/>
  <c r="EN65" i="160" s="1"/>
  <c r="X25" i="160" s="1"/>
  <c r="EU62" i="160"/>
  <c r="CV62" i="160" s="1"/>
  <c r="EL62" i="160"/>
  <c r="EM62" i="160" s="1"/>
  <c r="EN62" i="160" s="1"/>
  <c r="X22" i="160" s="1"/>
  <c r="EQ62" i="160"/>
  <c r="ER62" i="160" s="1"/>
  <c r="ES62" i="160" s="1"/>
  <c r="Y22" i="160" s="1"/>
  <c r="EE58" i="160"/>
  <c r="EF58" i="160"/>
  <c r="DZ71" i="160"/>
  <c r="FB71" i="160"/>
  <c r="EQ77" i="84"/>
  <c r="ER77" i="84" s="1"/>
  <c r="ES77" i="84" s="1"/>
  <c r="Y37" i="84" s="1"/>
  <c r="EU68" i="84"/>
  <c r="CV68" i="84" s="1"/>
  <c r="EU70" i="84"/>
  <c r="EF78" i="160"/>
  <c r="EU82" i="160"/>
  <c r="EQ82" i="160"/>
  <c r="ER82" i="160" s="1"/>
  <c r="ES82" i="160" s="1"/>
  <c r="Y42" i="160" s="1"/>
  <c r="EL82" i="160"/>
  <c r="EM82" i="160" s="1"/>
  <c r="EN82" i="160" s="1"/>
  <c r="X42" i="160" s="1"/>
  <c r="EH67" i="160"/>
  <c r="EJ67" i="160" s="1"/>
  <c r="DS67" i="160" s="1"/>
  <c r="DZ63" i="160"/>
  <c r="EU85" i="160"/>
  <c r="EQ85" i="160"/>
  <c r="ER85" i="160" s="1"/>
  <c r="ES85" i="160" s="1"/>
  <c r="Y45" i="160" s="1"/>
  <c r="EL85" i="160"/>
  <c r="EM85" i="160" s="1"/>
  <c r="EN85" i="160" s="1"/>
  <c r="X45" i="160" s="1"/>
  <c r="EH76" i="160"/>
  <c r="EJ76" i="160" s="1"/>
  <c r="DS76" i="160" s="1"/>
  <c r="EU75" i="160"/>
  <c r="EL75" i="160"/>
  <c r="EM75" i="160" s="1"/>
  <c r="EN75" i="160" s="1"/>
  <c r="X35" i="160" s="1"/>
  <c r="EE57" i="160"/>
  <c r="EG57" i="160" s="1"/>
  <c r="DL57" i="160" s="1"/>
  <c r="DZ84" i="160"/>
  <c r="FB84" i="160"/>
  <c r="EE71" i="160"/>
  <c r="EG71" i="160" s="1"/>
  <c r="DL71" i="160" s="1"/>
  <c r="EE68" i="160"/>
  <c r="EG68" i="160" s="1"/>
  <c r="DL68" i="160" s="1"/>
  <c r="EU61" i="160"/>
  <c r="EQ61" i="160"/>
  <c r="ER61" i="160" s="1"/>
  <c r="ES61" i="160" s="1"/>
  <c r="Y21" i="160" s="1"/>
  <c r="EL61" i="160"/>
  <c r="EM61" i="160" s="1"/>
  <c r="EN61" i="160" s="1"/>
  <c r="X21" i="160" s="1"/>
  <c r="GC54" i="84"/>
  <c r="DZ76" i="160"/>
  <c r="FB76" i="160"/>
  <c r="EU72" i="84"/>
  <c r="CV72" i="84" s="1"/>
  <c r="EL72" i="84"/>
  <c r="EM72" i="84" s="1"/>
  <c r="EQ72" i="84"/>
  <c r="ER72" i="84" s="1"/>
  <c r="ES72" i="84" s="1"/>
  <c r="Y32" i="84" s="1"/>
  <c r="EL78" i="160"/>
  <c r="EM78" i="160" s="1"/>
  <c r="EN78" i="160" s="1"/>
  <c r="X38" i="160" s="1"/>
  <c r="EQ77" i="160"/>
  <c r="ER77" i="160" s="1"/>
  <c r="ES77" i="160" s="1"/>
  <c r="Y37" i="160" s="1"/>
  <c r="EL70" i="160"/>
  <c r="EM70" i="160" s="1"/>
  <c r="EN70" i="160" s="1"/>
  <c r="X30" i="160" s="1"/>
  <c r="EQ69" i="160"/>
  <c r="ER69" i="160" s="1"/>
  <c r="ES69" i="160" s="1"/>
  <c r="Y29" i="160" s="1"/>
  <c r="EL64" i="160"/>
  <c r="EM64" i="160" s="1"/>
  <c r="EN64" i="160" s="1"/>
  <c r="X24" i="160" s="1"/>
  <c r="EU56" i="160"/>
  <c r="CV56" i="160" s="1"/>
  <c r="EQ56" i="160"/>
  <c r="ER56" i="160" s="1"/>
  <c r="ES56" i="160" s="1"/>
  <c r="Y16" i="160" s="1"/>
  <c r="FE37" i="165"/>
  <c r="FF37" i="165" s="1"/>
  <c r="FG37" i="165" s="1"/>
  <c r="Y37" i="165" s="1"/>
  <c r="FJ37" i="165"/>
  <c r="FK37" i="165" s="1"/>
  <c r="FL37" i="165" s="1"/>
  <c r="Z37" i="165" s="1"/>
  <c r="FT16" i="165"/>
  <c r="FT20" i="165"/>
  <c r="FT24" i="165"/>
  <c r="FT28" i="165"/>
  <c r="FT32" i="165"/>
  <c r="FT36" i="165"/>
  <c r="FT40" i="165"/>
  <c r="FT44" i="165"/>
  <c r="CB69" i="147"/>
  <c r="CC69" i="147"/>
  <c r="EE69" i="160"/>
  <c r="EG69" i="160" s="1"/>
  <c r="DL69" i="160" s="1"/>
  <c r="EE54" i="160"/>
  <c r="EG54" i="160" s="1"/>
  <c r="DL54" i="160" s="1"/>
  <c r="FG55" i="84"/>
  <c r="EU69" i="84"/>
  <c r="EQ69" i="84"/>
  <c r="ER69" i="84" s="1"/>
  <c r="ES69" i="84" s="1"/>
  <c r="Y29" i="84" s="1"/>
  <c r="EU63" i="160"/>
  <c r="EQ63" i="160"/>
  <c r="ER63" i="160" s="1"/>
  <c r="ES63" i="160" s="1"/>
  <c r="Y23" i="160" s="1"/>
  <c r="EU59" i="160"/>
  <c r="EL59" i="160"/>
  <c r="EM59" i="160" s="1"/>
  <c r="EN59" i="160" s="1"/>
  <c r="X19" i="160" s="1"/>
  <c r="P4" i="147"/>
  <c r="P1" i="147"/>
  <c r="EL69" i="160"/>
  <c r="EM69" i="160" s="1"/>
  <c r="EN69" i="160" s="1"/>
  <c r="X29" i="160" s="1"/>
  <c r="EH60" i="160"/>
  <c r="EJ60" i="160" s="1"/>
  <c r="DS60" i="160" s="1"/>
  <c r="FR55" i="160"/>
  <c r="FS56" i="160" s="1"/>
  <c r="FQ55" i="160"/>
  <c r="FY55" i="160" s="1"/>
  <c r="FZ55" i="160" s="1"/>
  <c r="FP55" i="160"/>
  <c r="GA55" i="160" s="1"/>
  <c r="FN55" i="160"/>
  <c r="FW55" i="160" s="1"/>
  <c r="FV55" i="160" s="1"/>
  <c r="DP16" i="165"/>
  <c r="FJ16" i="165"/>
  <c r="FK16" i="165" s="1"/>
  <c r="FL16" i="165" s="1"/>
  <c r="Z16" i="165" s="1"/>
  <c r="FE16" i="165"/>
  <c r="FF16" i="165" s="1"/>
  <c r="FG16" i="165" s="1"/>
  <c r="Y16" i="165" s="1"/>
  <c r="EU67" i="160"/>
  <c r="EU57" i="160"/>
  <c r="FB69" i="84"/>
  <c r="DD84" i="84"/>
  <c r="EV84" i="84"/>
  <c r="CV84" i="84"/>
  <c r="EU60" i="160"/>
  <c r="B48" i="160"/>
  <c r="FE19" i="165"/>
  <c r="FF19" i="165" s="1"/>
  <c r="FG19" i="165" s="1"/>
  <c r="Y19" i="165" s="1"/>
  <c r="FE23" i="165"/>
  <c r="FF23" i="165" s="1"/>
  <c r="FG23" i="165" s="1"/>
  <c r="Y23" i="165" s="1"/>
  <c r="FJ23" i="165"/>
  <c r="FK23" i="165" s="1"/>
  <c r="FL23" i="165" s="1"/>
  <c r="Z23" i="165" s="1"/>
  <c r="FJ29" i="165"/>
  <c r="FK29" i="165" s="1"/>
  <c r="FL29" i="165" s="1"/>
  <c r="Z29" i="165" s="1"/>
  <c r="FE29" i="165"/>
  <c r="FF29" i="165" s="1"/>
  <c r="FG29" i="165" s="1"/>
  <c r="Y29" i="165" s="1"/>
  <c r="EU54" i="160"/>
  <c r="EU71" i="84"/>
  <c r="CV71" i="84" s="1"/>
  <c r="FJ17" i="165"/>
  <c r="FK17" i="165" s="1"/>
  <c r="FL17" i="165" s="1"/>
  <c r="Z17" i="165" s="1"/>
  <c r="FE18" i="165"/>
  <c r="FF18" i="165" s="1"/>
  <c r="FG18" i="165" s="1"/>
  <c r="Y18" i="165" s="1"/>
  <c r="FE35" i="165"/>
  <c r="FF35" i="165" s="1"/>
  <c r="FG35" i="165" s="1"/>
  <c r="Y35" i="165" s="1"/>
  <c r="FJ35" i="165"/>
  <c r="FK35" i="165" s="1"/>
  <c r="FL35" i="165" s="1"/>
  <c r="Z35" i="165" s="1"/>
  <c r="FE42" i="165"/>
  <c r="FF42" i="165" s="1"/>
  <c r="FG42" i="165" s="1"/>
  <c r="Y42" i="165" s="1"/>
  <c r="FJ42" i="165"/>
  <c r="FK42" i="165" s="1"/>
  <c r="FL42" i="165" s="1"/>
  <c r="Z42" i="165" s="1"/>
  <c r="FE32" i="165"/>
  <c r="FF32" i="165" s="1"/>
  <c r="FG32" i="165" s="1"/>
  <c r="Y32" i="165" s="1"/>
  <c r="FE36" i="165"/>
  <c r="FF36" i="165" s="1"/>
  <c r="FG36" i="165" s="1"/>
  <c r="Y36" i="165" s="1"/>
  <c r="FE44" i="165"/>
  <c r="FF44" i="165" s="1"/>
  <c r="FG44" i="165" s="1"/>
  <c r="Y44" i="165" s="1"/>
  <c r="AE35" i="165"/>
  <c r="AD35" i="165" s="1"/>
  <c r="AF35" i="165"/>
  <c r="FS26" i="165"/>
  <c r="FS34" i="165"/>
  <c r="FS38" i="165"/>
  <c r="FS42" i="165"/>
  <c r="FJ21" i="165"/>
  <c r="FK21" i="165" s="1"/>
  <c r="FL21" i="165" s="1"/>
  <c r="Z21" i="165" s="1"/>
  <c r="AN41" i="165"/>
  <c r="AO41" i="165"/>
  <c r="AM41" i="165"/>
  <c r="EW76" i="84"/>
  <c r="DJ76" i="84"/>
  <c r="EW59" i="160"/>
  <c r="EU19" i="160" s="1"/>
  <c r="CV59" i="160"/>
  <c r="FE59" i="160"/>
  <c r="CV84" i="160"/>
  <c r="FE26" i="165"/>
  <c r="FF26" i="165" s="1"/>
  <c r="FG26" i="165" s="1"/>
  <c r="Y26" i="165" s="1"/>
  <c r="AK21" i="165"/>
  <c r="AL21" i="165" s="1"/>
  <c r="AF21" i="165"/>
  <c r="AD21" i="165" s="1"/>
  <c r="AK37" i="165"/>
  <c r="AL37" i="165" s="1"/>
  <c r="AE37" i="165"/>
  <c r="AF37" i="165"/>
  <c r="CV81" i="160"/>
  <c r="FJ33" i="165"/>
  <c r="FK33" i="165" s="1"/>
  <c r="FL33" i="165" s="1"/>
  <c r="Z33" i="165" s="1"/>
  <c r="FE34" i="165"/>
  <c r="FF34" i="165" s="1"/>
  <c r="FG34" i="165" s="1"/>
  <c r="Y34" i="165" s="1"/>
  <c r="FE43" i="165"/>
  <c r="FF43" i="165" s="1"/>
  <c r="FG43" i="165" s="1"/>
  <c r="Y43" i="165" s="1"/>
  <c r="FH36" i="165"/>
  <c r="FH42" i="165"/>
  <c r="FH44" i="165"/>
  <c r="AO32" i="165"/>
  <c r="AM32" i="165"/>
  <c r="AN32" i="165"/>
  <c r="AH42" i="165"/>
  <c r="EV74" i="84"/>
  <c r="CV74" i="84"/>
  <c r="DD74" i="84"/>
  <c r="EW84" i="84"/>
  <c r="DJ84" i="84"/>
  <c r="CV69" i="160"/>
  <c r="AK20" i="165"/>
  <c r="AL20" i="165" s="1"/>
  <c r="AK23" i="165"/>
  <c r="AL23" i="165" s="1"/>
  <c r="DP45" i="165"/>
  <c r="AK26" i="165"/>
  <c r="AL26" i="165" s="1"/>
  <c r="CV85" i="160"/>
  <c r="EV85" i="160"/>
  <c r="ET45" i="160" s="1"/>
  <c r="EV76" i="84"/>
  <c r="DD76" i="84"/>
  <c r="CV68" i="160"/>
  <c r="FJ39" i="165"/>
  <c r="FK39" i="165" s="1"/>
  <c r="FL39" i="165" s="1"/>
  <c r="Z39" i="165" s="1"/>
  <c r="Y25" i="147"/>
  <c r="Z25" i="147"/>
  <c r="FA24" i="165"/>
  <c r="AK33" i="147"/>
  <c r="AL33" i="147" s="1"/>
  <c r="EV59" i="160"/>
  <c r="ET19" i="160" s="1"/>
  <c r="AK35" i="147"/>
  <c r="AL35" i="147" s="1"/>
  <c r="AK31" i="147"/>
  <c r="AL31" i="147" s="1"/>
  <c r="AK34" i="147"/>
  <c r="AL34" i="147" s="1"/>
  <c r="EX16" i="165"/>
  <c r="EY35" i="165"/>
  <c r="EZ35" i="165" s="1"/>
  <c r="EE35" i="165" s="1"/>
  <c r="FB40" i="165"/>
  <c r="FC40" i="165" s="1"/>
  <c r="EL40" i="165" s="1"/>
  <c r="EY45" i="165"/>
  <c r="EZ45" i="165" s="1"/>
  <c r="EE45" i="165" s="1"/>
  <c r="EX45" i="165"/>
  <c r="FA45" i="165"/>
  <c r="BO25" i="147" l="1"/>
  <c r="GK54" i="160"/>
  <c r="GE45" i="84"/>
  <c r="GB45" i="84"/>
  <c r="GD45" i="84"/>
  <c r="GA45" i="84"/>
  <c r="GC45" i="84"/>
  <c r="DH71" i="84"/>
  <c r="FE71" i="84" s="1"/>
  <c r="DB71" i="84"/>
  <c r="FD71" i="84" s="1"/>
  <c r="DF70" i="84"/>
  <c r="EA20" i="165"/>
  <c r="CC20" i="165"/>
  <c r="CM20" i="165" s="1"/>
  <c r="EY20" i="165"/>
  <c r="EZ20" i="165" s="1"/>
  <c r="EE20" i="165" s="1"/>
  <c r="EF20" i="165" s="1"/>
  <c r="BQ20" i="165"/>
  <c r="CL20" i="165" s="1"/>
  <c r="DU20" i="165"/>
  <c r="FO33" i="165"/>
  <c r="GE20" i="165"/>
  <c r="FP21" i="165"/>
  <c r="FO16" i="165"/>
  <c r="FO39" i="165"/>
  <c r="FO44" i="165"/>
  <c r="FO28" i="165"/>
  <c r="FP32" i="165"/>
  <c r="FO30" i="165"/>
  <c r="FO31" i="165"/>
  <c r="FO35" i="165"/>
  <c r="FO21" i="165"/>
  <c r="FO45" i="165"/>
  <c r="FP24" i="165"/>
  <c r="FP23" i="165"/>
  <c r="FP35" i="165"/>
  <c r="FO25" i="165"/>
  <c r="FP40" i="165"/>
  <c r="FP37" i="165"/>
  <c r="FP42" i="165"/>
  <c r="FP39" i="165"/>
  <c r="FP28" i="165"/>
  <c r="FP43" i="165"/>
  <c r="FP17" i="165"/>
  <c r="FO32" i="165"/>
  <c r="FP30" i="165"/>
  <c r="FP33" i="165"/>
  <c r="FO29" i="165"/>
  <c r="FP25" i="165"/>
  <c r="FP44" i="165"/>
  <c r="FO36" i="165"/>
  <c r="FP41" i="165"/>
  <c r="FO41" i="165"/>
  <c r="FP45" i="165"/>
  <c r="FO37" i="165"/>
  <c r="FO42" i="165"/>
  <c r="CA30" i="165"/>
  <c r="BO26" i="147"/>
  <c r="BQ26" i="147"/>
  <c r="CL26" i="147" s="1"/>
  <c r="CA24" i="147"/>
  <c r="CC24" i="147"/>
  <c r="DZ29" i="165"/>
  <c r="CA29" i="165"/>
  <c r="FA20" i="165"/>
  <c r="CA20" i="165"/>
  <c r="BO20" i="165"/>
  <c r="BO24" i="147"/>
  <c r="DP23" i="165"/>
  <c r="D23" i="165" s="1"/>
  <c r="E23" i="165" s="1"/>
  <c r="GE23" i="165"/>
  <c r="GL23" i="165" s="1"/>
  <c r="DX23" i="165"/>
  <c r="EG36" i="165"/>
  <c r="EF36" i="165"/>
  <c r="EN40" i="165"/>
  <c r="EM40" i="165"/>
  <c r="EG40" i="165"/>
  <c r="EF40" i="165"/>
  <c r="EM31" i="165"/>
  <c r="EN31" i="165"/>
  <c r="FR30" i="165"/>
  <c r="EG38" i="165"/>
  <c r="EF38" i="165"/>
  <c r="EG26" i="165"/>
  <c r="EF26" i="165"/>
  <c r="EG42" i="165"/>
  <c r="EF42" i="165"/>
  <c r="CY26" i="147"/>
  <c r="FQ26" i="147"/>
  <c r="EG18" i="165"/>
  <c r="EF18" i="165"/>
  <c r="FR24" i="147"/>
  <c r="DZ24" i="147"/>
  <c r="EF35" i="165"/>
  <c r="EG35" i="165"/>
  <c r="EM36" i="165"/>
  <c r="EN36" i="165"/>
  <c r="EN35" i="165"/>
  <c r="EM35" i="165"/>
  <c r="EB23" i="165"/>
  <c r="EF45" i="165"/>
  <c r="EG45" i="165"/>
  <c r="EN38" i="165"/>
  <c r="EM38" i="165"/>
  <c r="EG44" i="165"/>
  <c r="EF44" i="165"/>
  <c r="EF27" i="165"/>
  <c r="EG27" i="165"/>
  <c r="FR29" i="165"/>
  <c r="FR20" i="165"/>
  <c r="EG32" i="165"/>
  <c r="EF32" i="165"/>
  <c r="EF25" i="165"/>
  <c r="EG25" i="165"/>
  <c r="EN37" i="165"/>
  <c r="EM37" i="165"/>
  <c r="EF33" i="165"/>
  <c r="EG33" i="165"/>
  <c r="EF17" i="165"/>
  <c r="EG17" i="165"/>
  <c r="FQ20" i="165"/>
  <c r="EN23" i="147"/>
  <c r="EM23" i="147"/>
  <c r="DZ20" i="165"/>
  <c r="EG28" i="165"/>
  <c r="EF28" i="165"/>
  <c r="EG24" i="165"/>
  <c r="EF24" i="165"/>
  <c r="FQ24" i="147"/>
  <c r="DZ30" i="165"/>
  <c r="EA22" i="165"/>
  <c r="EB22" i="165" s="1"/>
  <c r="GD22" i="165"/>
  <c r="GC22" i="165"/>
  <c r="GE22" i="165"/>
  <c r="GE25" i="147"/>
  <c r="FC18" i="165"/>
  <c r="EL18" i="165" s="1"/>
  <c r="FB29" i="165"/>
  <c r="DT20" i="165"/>
  <c r="FB20" i="165"/>
  <c r="FC20" i="165" s="1"/>
  <c r="EL20" i="165" s="1"/>
  <c r="DC56" i="160"/>
  <c r="ER16" i="160" s="1"/>
  <c r="DI56" i="160"/>
  <c r="ES16" i="160" s="1"/>
  <c r="DH68" i="84"/>
  <c r="DI68" i="84" s="1"/>
  <c r="EW68" i="84" s="1"/>
  <c r="EU28" i="84" s="1"/>
  <c r="DB68" i="84"/>
  <c r="FD68" i="84" s="1"/>
  <c r="DC68" i="84"/>
  <c r="EV68" i="84" s="1"/>
  <c r="ET28" i="84" s="1"/>
  <c r="BZ87" i="84"/>
  <c r="BK87" i="84"/>
  <c r="AJ15" i="160"/>
  <c r="AI15" i="160"/>
  <c r="AE15" i="160"/>
  <c r="AD15" i="160"/>
  <c r="GL31" i="84"/>
  <c r="EH70" i="84"/>
  <c r="EJ70" i="84" s="1"/>
  <c r="DS70" i="84" s="1"/>
  <c r="DU70" i="84" s="1"/>
  <c r="AD36" i="165"/>
  <c r="HS21" i="84"/>
  <c r="HT21" i="84" s="1"/>
  <c r="HU21" i="84" s="1"/>
  <c r="HV21" i="84" s="1"/>
  <c r="HW21" i="84" s="1"/>
  <c r="HX21" i="84" s="1"/>
  <c r="HY21" i="84" s="1"/>
  <c r="HZ21" i="84" s="1"/>
  <c r="IA21" i="84" s="1"/>
  <c r="IB21" i="84" s="1"/>
  <c r="IC21" i="84" s="1"/>
  <c r="ID21" i="84" s="1"/>
  <c r="IF9" i="84" s="1"/>
  <c r="IG9" i="84" s="1"/>
  <c r="IH9" i="84" s="1"/>
  <c r="II9" i="84" s="1"/>
  <c r="IJ9" i="84" s="1"/>
  <c r="IK9" i="84" s="1"/>
  <c r="IL9" i="84" s="1"/>
  <c r="IM9" i="84" s="1"/>
  <c r="IN9" i="84" s="1"/>
  <c r="IO9" i="84" s="1"/>
  <c r="IP9" i="84" s="1"/>
  <c r="IQ9" i="84" s="1"/>
  <c r="IR9" i="84" s="1"/>
  <c r="IS9" i="84" s="1"/>
  <c r="IT9" i="84" s="1"/>
  <c r="IU9" i="84" s="1"/>
  <c r="IV9" i="84" s="1"/>
  <c r="IW9" i="84" s="1"/>
  <c r="IX9" i="84" s="1"/>
  <c r="IY9" i="84" s="1"/>
  <c r="IZ9" i="84" s="1"/>
  <c r="JA9" i="84" s="1"/>
  <c r="JB9" i="84" s="1"/>
  <c r="JC9" i="84" s="1"/>
  <c r="JD9" i="84" s="1"/>
  <c r="JE9" i="84" s="1"/>
  <c r="JF9" i="84" s="1"/>
  <c r="JG9" i="84" s="1"/>
  <c r="JH9" i="84" s="1"/>
  <c r="DH72" i="84"/>
  <c r="FE72" i="84" s="1"/>
  <c r="EZ43" i="165"/>
  <c r="EE43" i="165" s="1"/>
  <c r="EZ41" i="165"/>
  <c r="EE41" i="165" s="1"/>
  <c r="EZ39" i="165"/>
  <c r="EE39" i="165" s="1"/>
  <c r="EZ37" i="165"/>
  <c r="EE37" i="165" s="1"/>
  <c r="EZ34" i="165"/>
  <c r="EE34" i="165" s="1"/>
  <c r="EZ31" i="165"/>
  <c r="EE31" i="165" s="1"/>
  <c r="EZ30" i="165"/>
  <c r="EE30" i="165" s="1"/>
  <c r="FC45" i="165"/>
  <c r="EL45" i="165" s="1"/>
  <c r="FC44" i="165"/>
  <c r="EL44" i="165" s="1"/>
  <c r="FC43" i="165"/>
  <c r="EL43" i="165" s="1"/>
  <c r="FC42" i="165"/>
  <c r="EL42" i="165" s="1"/>
  <c r="FC41" i="165"/>
  <c r="EL41" i="165" s="1"/>
  <c r="FC39" i="165"/>
  <c r="EL39" i="165" s="1"/>
  <c r="FC34" i="165"/>
  <c r="EL34" i="165" s="1"/>
  <c r="FC33" i="165"/>
  <c r="EL33" i="165" s="1"/>
  <c r="FC32" i="165"/>
  <c r="EL32" i="165" s="1"/>
  <c r="EZ29" i="165"/>
  <c r="EE29" i="165" s="1"/>
  <c r="EZ21" i="165"/>
  <c r="EE21" i="165" s="1"/>
  <c r="EZ19" i="165"/>
  <c r="EE19" i="165" s="1"/>
  <c r="EZ16" i="165"/>
  <c r="EE16" i="165" s="1"/>
  <c r="FB30" i="165"/>
  <c r="FC30" i="165" s="1"/>
  <c r="EL30" i="165" s="1"/>
  <c r="AD37" i="165"/>
  <c r="FV16" i="165"/>
  <c r="DV16" i="165"/>
  <c r="AU17" i="165"/>
  <c r="FV17" i="165" s="1"/>
  <c r="AU32" i="165"/>
  <c r="EJ91" i="165" s="1"/>
  <c r="AU41" i="165"/>
  <c r="EJ100" i="165" s="1"/>
  <c r="AJ45" i="165"/>
  <c r="AL45" i="165"/>
  <c r="DT26" i="147"/>
  <c r="EX24" i="147"/>
  <c r="DU26" i="147"/>
  <c r="EX26" i="147"/>
  <c r="EY26" i="147"/>
  <c r="FA30" i="165"/>
  <c r="EY24" i="147"/>
  <c r="DT24" i="147"/>
  <c r="DU24" i="147"/>
  <c r="FA24" i="147"/>
  <c r="FB24" i="147"/>
  <c r="BZ14" i="84"/>
  <c r="BZ14" i="160"/>
  <c r="DV17" i="165"/>
  <c r="FU17" i="165" s="1"/>
  <c r="DB17" i="165"/>
  <c r="DL17" i="165"/>
  <c r="FA79" i="84"/>
  <c r="EZ79" i="84"/>
  <c r="FA83" i="84"/>
  <c r="EZ83" i="84"/>
  <c r="FA73" i="84"/>
  <c r="EZ73" i="84"/>
  <c r="EZ78" i="84"/>
  <c r="FA78" i="84"/>
  <c r="FA82" i="84"/>
  <c r="EZ82" i="84"/>
  <c r="FA80" i="84"/>
  <c r="EZ80" i="84"/>
  <c r="EZ77" i="84"/>
  <c r="FA77" i="84"/>
  <c r="FA69" i="84"/>
  <c r="EZ69" i="84"/>
  <c r="EX69" i="84" s="1"/>
  <c r="FA76" i="84"/>
  <c r="EZ76" i="84"/>
  <c r="FA75" i="84"/>
  <c r="EZ75" i="84"/>
  <c r="EX75" i="84" s="1"/>
  <c r="FA81" i="84"/>
  <c r="EZ81" i="84"/>
  <c r="BR44" i="84"/>
  <c r="FA85" i="84"/>
  <c r="EZ85" i="84"/>
  <c r="BR45" i="84"/>
  <c r="FA84" i="84"/>
  <c r="EZ84" i="84"/>
  <c r="EZ74" i="84"/>
  <c r="FA74" i="84"/>
  <c r="FA29" i="165"/>
  <c r="AD29" i="147"/>
  <c r="GL29" i="147"/>
  <c r="S42" i="163"/>
  <c r="S34" i="163"/>
  <c r="S26" i="163"/>
  <c r="S18" i="163"/>
  <c r="S32" i="163"/>
  <c r="S16" i="163"/>
  <c r="S31" i="163"/>
  <c r="S38" i="163"/>
  <c r="S14" i="163"/>
  <c r="S21" i="163"/>
  <c r="S41" i="163"/>
  <c r="S33" i="163"/>
  <c r="S25" i="163"/>
  <c r="S17" i="163"/>
  <c r="S24" i="163"/>
  <c r="S39" i="163"/>
  <c r="S23" i="163"/>
  <c r="S15" i="163"/>
  <c r="S22" i="163"/>
  <c r="S29" i="163"/>
  <c r="S28" i="163"/>
  <c r="S40" i="163"/>
  <c r="S36" i="163"/>
  <c r="S35" i="163"/>
  <c r="S27" i="163"/>
  <c r="S19" i="163"/>
  <c r="S30" i="163"/>
  <c r="S37" i="163"/>
  <c r="S20" i="163"/>
  <c r="EZ72" i="84"/>
  <c r="FA72" i="84"/>
  <c r="FF58" i="160"/>
  <c r="DC60" i="160"/>
  <c r="FF63" i="84"/>
  <c r="DI71" i="84"/>
  <c r="O31" i="84"/>
  <c r="P31" i="84" s="1"/>
  <c r="EZ71" i="84"/>
  <c r="FA71" i="84"/>
  <c r="FD14" i="160"/>
  <c r="FC14" i="160"/>
  <c r="FE14" i="160"/>
  <c r="J43" i="84"/>
  <c r="K43" i="84"/>
  <c r="L43" i="84"/>
  <c r="BU43" i="84" s="1"/>
  <c r="E38" i="84"/>
  <c r="D38" i="84"/>
  <c r="GK38" i="84" s="1"/>
  <c r="I35" i="84"/>
  <c r="BS35" i="84" s="1"/>
  <c r="H35" i="84"/>
  <c r="G35" i="84"/>
  <c r="D35" i="165"/>
  <c r="G40" i="84"/>
  <c r="H40" i="84"/>
  <c r="I40" i="84"/>
  <c r="BS40" i="84" s="1"/>
  <c r="I38" i="84"/>
  <c r="BS38" i="84" s="1"/>
  <c r="H38" i="84"/>
  <c r="G38" i="84"/>
  <c r="D31" i="84"/>
  <c r="E31" i="84" s="1"/>
  <c r="D32" i="84"/>
  <c r="E32" i="84" s="1"/>
  <c r="E35" i="84"/>
  <c r="D35" i="84"/>
  <c r="GK35" i="84" s="1"/>
  <c r="D20" i="165"/>
  <c r="E20" i="165" s="1"/>
  <c r="D36" i="84"/>
  <c r="GK36" i="84" s="1"/>
  <c r="E36" i="84"/>
  <c r="G39" i="84"/>
  <c r="I39" i="84"/>
  <c r="BS39" i="84" s="1"/>
  <c r="H39" i="84"/>
  <c r="D38" i="165"/>
  <c r="E38" i="165" s="1"/>
  <c r="D39" i="165"/>
  <c r="E39" i="165" s="1"/>
  <c r="D19" i="165"/>
  <c r="E19" i="165" s="1"/>
  <c r="D30" i="165"/>
  <c r="E30" i="165" s="1"/>
  <c r="J35" i="84"/>
  <c r="K35" i="84"/>
  <c r="L35" i="84"/>
  <c r="BU35" i="84" s="1"/>
  <c r="K36" i="84"/>
  <c r="J36" i="84"/>
  <c r="L36" i="84"/>
  <c r="BU36" i="84" s="1"/>
  <c r="K44" i="84"/>
  <c r="J44" i="84"/>
  <c r="L44" i="84"/>
  <c r="BU44" i="84" s="1"/>
  <c r="D37" i="165"/>
  <c r="D32" i="165"/>
  <c r="D44" i="84"/>
  <c r="GK44" i="84" s="1"/>
  <c r="E44" i="84"/>
  <c r="I37" i="84"/>
  <c r="BS37" i="84" s="1"/>
  <c r="H37" i="84"/>
  <c r="G37" i="84"/>
  <c r="D29" i="165"/>
  <c r="E29" i="165" s="1"/>
  <c r="D31" i="165"/>
  <c r="E31" i="165" s="1"/>
  <c r="D24" i="165"/>
  <c r="D41" i="84"/>
  <c r="GK41" i="84" s="1"/>
  <c r="E41" i="84"/>
  <c r="D36" i="165"/>
  <c r="E36" i="165" s="1"/>
  <c r="I43" i="84"/>
  <c r="BS43" i="84" s="1"/>
  <c r="H43" i="84"/>
  <c r="G43" i="84"/>
  <c r="E28" i="84"/>
  <c r="D28" i="84"/>
  <c r="D43" i="84"/>
  <c r="GK43" i="84" s="1"/>
  <c r="E43" i="84"/>
  <c r="D27" i="165"/>
  <c r="E27" i="165" s="1"/>
  <c r="L41" i="84"/>
  <c r="BU41" i="84" s="1"/>
  <c r="K41" i="84"/>
  <c r="J41" i="84"/>
  <c r="I34" i="84"/>
  <c r="BS34" i="84" s="1"/>
  <c r="H34" i="84"/>
  <c r="G34" i="84"/>
  <c r="D16" i="165"/>
  <c r="E16" i="165" s="1"/>
  <c r="D21" i="165"/>
  <c r="E21" i="165" s="1"/>
  <c r="D43" i="165"/>
  <c r="E43" i="165" s="1"/>
  <c r="D42" i="165"/>
  <c r="E42" i="165" s="1"/>
  <c r="D41" i="165"/>
  <c r="E41" i="165" s="1"/>
  <c r="J34" i="84"/>
  <c r="K34" i="84"/>
  <c r="L34" i="84"/>
  <c r="BU34" i="84" s="1"/>
  <c r="L40" i="84"/>
  <c r="BU40" i="84" s="1"/>
  <c r="K40" i="84"/>
  <c r="J40" i="84"/>
  <c r="D44" i="165"/>
  <c r="D17" i="165"/>
  <c r="E17" i="165" s="1"/>
  <c r="D34" i="165"/>
  <c r="L38" i="84"/>
  <c r="BU38" i="84" s="1"/>
  <c r="K38" i="84"/>
  <c r="J38" i="84"/>
  <c r="D29" i="84"/>
  <c r="E29" i="84"/>
  <c r="E39" i="84"/>
  <c r="D39" i="84"/>
  <c r="GK39" i="84" s="1"/>
  <c r="D33" i="165"/>
  <c r="E33" i="165" s="1"/>
  <c r="H41" i="84"/>
  <c r="G41" i="84"/>
  <c r="I41" i="84"/>
  <c r="BS41" i="84" s="1"/>
  <c r="D26" i="165"/>
  <c r="E26" i="165" s="1"/>
  <c r="I36" i="84"/>
  <c r="BS36" i="84" s="1"/>
  <c r="G36" i="84"/>
  <c r="H36" i="84"/>
  <c r="I42" i="84"/>
  <c r="BS42" i="84" s="1"/>
  <c r="H42" i="84"/>
  <c r="G42" i="84"/>
  <c r="E34" i="84"/>
  <c r="D34" i="84"/>
  <c r="GK34" i="84" s="1"/>
  <c r="I44" i="84"/>
  <c r="BS44" i="84" s="1"/>
  <c r="H44" i="84"/>
  <c r="G44" i="84"/>
  <c r="E42" i="84"/>
  <c r="D42" i="84"/>
  <c r="GK42" i="84" s="1"/>
  <c r="L39" i="84"/>
  <c r="BU39" i="84" s="1"/>
  <c r="K39" i="84"/>
  <c r="J39" i="84"/>
  <c r="D37" i="84"/>
  <c r="GK37" i="84" s="1"/>
  <c r="E37" i="84"/>
  <c r="D25" i="165"/>
  <c r="E25" i="165" s="1"/>
  <c r="D40" i="165"/>
  <c r="D28" i="165"/>
  <c r="E40" i="84"/>
  <c r="D40" i="84"/>
  <c r="GK40" i="84" s="1"/>
  <c r="L37" i="84"/>
  <c r="BU37" i="84" s="1"/>
  <c r="K37" i="84"/>
  <c r="J37" i="84"/>
  <c r="J42" i="84"/>
  <c r="L42" i="84"/>
  <c r="BU42" i="84" s="1"/>
  <c r="K42" i="84"/>
  <c r="D18" i="165"/>
  <c r="E18" i="165" s="1"/>
  <c r="AJ21" i="165"/>
  <c r="AJ23" i="165"/>
  <c r="AJ37" i="165"/>
  <c r="AJ36" i="165"/>
  <c r="AJ20" i="165"/>
  <c r="AJ29" i="165"/>
  <c r="AJ28" i="165"/>
  <c r="AJ38" i="165"/>
  <c r="AJ44" i="165"/>
  <c r="AJ16" i="165"/>
  <c r="AJ24" i="165"/>
  <c r="AN33" i="165"/>
  <c r="AJ26" i="165"/>
  <c r="AJ31" i="147"/>
  <c r="AJ39" i="147"/>
  <c r="AJ33" i="147"/>
  <c r="AJ34" i="147"/>
  <c r="AJ35" i="147"/>
  <c r="AJ25" i="147"/>
  <c r="AJ37" i="147"/>
  <c r="AJ23" i="147"/>
  <c r="P43" i="84"/>
  <c r="O43" i="84"/>
  <c r="O40" i="84"/>
  <c r="P40" i="84"/>
  <c r="P37" i="84"/>
  <c r="O37" i="84"/>
  <c r="Q28" i="84"/>
  <c r="R28" i="84" s="1"/>
  <c r="P29" i="84"/>
  <c r="O29" i="84"/>
  <c r="O36" i="84"/>
  <c r="P36" i="84"/>
  <c r="R38" i="84"/>
  <c r="Q38" i="84"/>
  <c r="R36" i="84"/>
  <c r="Q36" i="84"/>
  <c r="Q43" i="84"/>
  <c r="R43" i="84"/>
  <c r="Q41" i="84"/>
  <c r="R41" i="84"/>
  <c r="O39" i="84"/>
  <c r="P39" i="84"/>
  <c r="Q33" i="84"/>
  <c r="R33" i="84"/>
  <c r="R44" i="84"/>
  <c r="Q44" i="84"/>
  <c r="R32" i="84"/>
  <c r="Q32" i="84"/>
  <c r="R37" i="84"/>
  <c r="Q37" i="84"/>
  <c r="R34" i="84"/>
  <c r="Q34" i="84"/>
  <c r="P35" i="84"/>
  <c r="O35" i="84"/>
  <c r="P41" i="84"/>
  <c r="O41" i="84"/>
  <c r="Q30" i="84"/>
  <c r="R30" i="84" s="1"/>
  <c r="P32" i="84"/>
  <c r="O32" i="84"/>
  <c r="R39" i="84"/>
  <c r="Q39" i="84"/>
  <c r="Q35" i="84"/>
  <c r="R35" i="84"/>
  <c r="P42" i="84"/>
  <c r="O42" i="84"/>
  <c r="Q31" i="84"/>
  <c r="R31" i="84" s="1"/>
  <c r="P33" i="84"/>
  <c r="O33" i="84"/>
  <c r="Q42" i="84"/>
  <c r="R42" i="84"/>
  <c r="R40" i="84"/>
  <c r="Q40" i="84"/>
  <c r="R29" i="84"/>
  <c r="Q29" i="84"/>
  <c r="EJ71" i="84"/>
  <c r="DS71" i="84" s="1"/>
  <c r="DU71" i="84" s="1"/>
  <c r="DW71" i="84" s="1"/>
  <c r="FD56" i="160"/>
  <c r="FE56" i="160"/>
  <c r="AD19" i="165"/>
  <c r="FB68" i="84"/>
  <c r="DZ68" i="84" s="1"/>
  <c r="CX58" i="160"/>
  <c r="N18" i="160" s="1"/>
  <c r="EV62" i="160"/>
  <c r="ET22" i="160" s="1"/>
  <c r="FB70" i="84"/>
  <c r="DZ70" i="84" s="1"/>
  <c r="DJ61" i="160"/>
  <c r="FE61" i="160"/>
  <c r="O21" i="160"/>
  <c r="P21" i="160" s="1"/>
  <c r="DB26" i="165"/>
  <c r="DL26" i="165"/>
  <c r="FI54" i="160"/>
  <c r="FH54" i="160"/>
  <c r="FG60" i="84"/>
  <c r="FF56" i="160"/>
  <c r="FF60" i="84"/>
  <c r="DJ59" i="160"/>
  <c r="L19" i="160" s="1"/>
  <c r="BU19" i="160" s="1"/>
  <c r="CZ70" i="84"/>
  <c r="DU22" i="165"/>
  <c r="GC58" i="160"/>
  <c r="GC59" i="160" s="1"/>
  <c r="GC60" i="160" s="1"/>
  <c r="GC61" i="160" s="1"/>
  <c r="GC62" i="160" s="1"/>
  <c r="GC63" i="160" s="1"/>
  <c r="GC64" i="160" s="1"/>
  <c r="GC65" i="160" s="1"/>
  <c r="GC66" i="160" s="1"/>
  <c r="GC67" i="160" s="1"/>
  <c r="GC68" i="160" s="1"/>
  <c r="GC69" i="160" s="1"/>
  <c r="GC70" i="160" s="1"/>
  <c r="GC71" i="160" s="1"/>
  <c r="GC72" i="160" s="1"/>
  <c r="GC73" i="160" s="1"/>
  <c r="GC74" i="160" s="1"/>
  <c r="GC75" i="160" s="1"/>
  <c r="GC76" i="160" s="1"/>
  <c r="GC77" i="160" s="1"/>
  <c r="GC78" i="160" s="1"/>
  <c r="GC79" i="160" s="1"/>
  <c r="GC80" i="160" s="1"/>
  <c r="GC81" i="160" s="1"/>
  <c r="GC82" i="160" s="1"/>
  <c r="GC83" i="160" s="1"/>
  <c r="GC84" i="160" s="1"/>
  <c r="GC85" i="160" s="1"/>
  <c r="DA58" i="160"/>
  <c r="FD58" i="160" s="1"/>
  <c r="CV73" i="84"/>
  <c r="DA73" i="84"/>
  <c r="FD73" i="84" s="1"/>
  <c r="DG73" i="84"/>
  <c r="FE73" i="84" s="1"/>
  <c r="CW73" i="84"/>
  <c r="M33" i="84" s="1"/>
  <c r="FN22" i="165"/>
  <c r="CV58" i="160"/>
  <c r="D18" i="160" s="1"/>
  <c r="E18" i="160" s="1"/>
  <c r="AK40" i="147"/>
  <c r="AD28" i="147"/>
  <c r="FE58" i="160"/>
  <c r="EW58" i="160"/>
  <c r="EU18" i="160" s="1"/>
  <c r="EQ19" i="160"/>
  <c r="DB45" i="165"/>
  <c r="DL45" i="165"/>
  <c r="DL16" i="165"/>
  <c r="DB16" i="165"/>
  <c r="FH60" i="84"/>
  <c r="FF56" i="84"/>
  <c r="AO28" i="147"/>
  <c r="AJ28" i="147"/>
  <c r="AJ36" i="147"/>
  <c r="EF70" i="84"/>
  <c r="D45" i="165"/>
  <c r="E45" i="165" s="1"/>
  <c r="EE70" i="84"/>
  <c r="EG70" i="84" s="1"/>
  <c r="DL70" i="84" s="1"/>
  <c r="DN70" i="84" s="1"/>
  <c r="E44" i="160"/>
  <c r="D44" i="160"/>
  <c r="GK44" i="160" s="1"/>
  <c r="D22" i="160"/>
  <c r="E22" i="160" s="1"/>
  <c r="E23" i="160"/>
  <c r="D23" i="160"/>
  <c r="GK23" i="160" s="1"/>
  <c r="E21" i="160"/>
  <c r="D21" i="160"/>
  <c r="GK21" i="160" s="1"/>
  <c r="D32" i="160"/>
  <c r="GK32" i="160" s="1"/>
  <c r="E32" i="160"/>
  <c r="E20" i="160"/>
  <c r="D20" i="160"/>
  <c r="D16" i="160"/>
  <c r="E42" i="160"/>
  <c r="D42" i="160"/>
  <c r="GK42" i="160" s="1"/>
  <c r="D43" i="160"/>
  <c r="GK43" i="160" s="1"/>
  <c r="E43" i="160"/>
  <c r="E28" i="160"/>
  <c r="D28" i="160"/>
  <c r="GK28" i="160" s="1"/>
  <c r="D24" i="160"/>
  <c r="GK24" i="160" s="1"/>
  <c r="E24" i="160"/>
  <c r="D27" i="160"/>
  <c r="GK27" i="160" s="1"/>
  <c r="E27" i="160"/>
  <c r="E31" i="160"/>
  <c r="D31" i="160"/>
  <c r="GK31" i="160" s="1"/>
  <c r="E45" i="160"/>
  <c r="D45" i="160"/>
  <c r="GK45" i="160" s="1"/>
  <c r="D14" i="160"/>
  <c r="GK14" i="160" s="1"/>
  <c r="E14" i="160"/>
  <c r="E41" i="160"/>
  <c r="D41" i="160"/>
  <c r="GK41" i="160" s="1"/>
  <c r="D19" i="160"/>
  <c r="GK19" i="160" s="1"/>
  <c r="E19" i="160"/>
  <c r="D30" i="160"/>
  <c r="GK30" i="160" s="1"/>
  <c r="E30" i="160"/>
  <c r="E39" i="160"/>
  <c r="D39" i="160"/>
  <c r="GK39" i="160" s="1"/>
  <c r="D35" i="160"/>
  <c r="GK35" i="160" s="1"/>
  <c r="E35" i="160"/>
  <c r="E17" i="160"/>
  <c r="D17" i="160"/>
  <c r="E33" i="160"/>
  <c r="D33" i="160"/>
  <c r="GK33" i="160" s="1"/>
  <c r="E25" i="160"/>
  <c r="D25" i="160"/>
  <c r="E29" i="160"/>
  <c r="D29" i="160"/>
  <c r="GK29" i="160" s="1"/>
  <c r="E15" i="160"/>
  <c r="D15" i="160"/>
  <c r="D34" i="160"/>
  <c r="GK34" i="160" s="1"/>
  <c r="E34" i="160"/>
  <c r="D40" i="160"/>
  <c r="GK40" i="160" s="1"/>
  <c r="E40" i="160"/>
  <c r="D38" i="160"/>
  <c r="GK38" i="160" s="1"/>
  <c r="E38" i="160"/>
  <c r="E26" i="160"/>
  <c r="D26" i="160"/>
  <c r="GK26" i="160" s="1"/>
  <c r="E36" i="160"/>
  <c r="D36" i="160"/>
  <c r="GK36" i="160" s="1"/>
  <c r="E37" i="160"/>
  <c r="D37" i="160"/>
  <c r="GK37" i="160" s="1"/>
  <c r="Q14" i="160"/>
  <c r="R14" i="160"/>
  <c r="P37" i="160"/>
  <c r="O37" i="160"/>
  <c r="R41" i="160"/>
  <c r="Q41" i="160"/>
  <c r="R18" i="160"/>
  <c r="Q18" i="160"/>
  <c r="P36" i="160"/>
  <c r="O36" i="160"/>
  <c r="O26" i="160"/>
  <c r="P26" i="160"/>
  <c r="P32" i="160"/>
  <c r="O32" i="160"/>
  <c r="P20" i="160"/>
  <c r="O20" i="160"/>
  <c r="R31" i="160"/>
  <c r="Q31" i="160"/>
  <c r="P40" i="160"/>
  <c r="O40" i="160"/>
  <c r="R30" i="160"/>
  <c r="Q30" i="160"/>
  <c r="R28" i="160"/>
  <c r="Q28" i="160"/>
  <c r="P31" i="160"/>
  <c r="O31" i="160"/>
  <c r="P43" i="160"/>
  <c r="O43" i="160"/>
  <c r="P23" i="160"/>
  <c r="O23" i="160"/>
  <c r="Q35" i="160"/>
  <c r="R35" i="160"/>
  <c r="R38" i="160"/>
  <c r="Q38" i="160"/>
  <c r="P22" i="160"/>
  <c r="O22" i="160"/>
  <c r="R15" i="160"/>
  <c r="Q15" i="160"/>
  <c r="P24" i="160"/>
  <c r="O24" i="160"/>
  <c r="O18" i="160"/>
  <c r="P18" i="160"/>
  <c r="P38" i="160"/>
  <c r="O38" i="160"/>
  <c r="O17" i="160"/>
  <c r="P17" i="160"/>
  <c r="R33" i="160"/>
  <c r="Q33" i="160"/>
  <c r="R45" i="160"/>
  <c r="Q45" i="160"/>
  <c r="Q43" i="160"/>
  <c r="R43" i="160"/>
  <c r="Q27" i="160"/>
  <c r="R27" i="160"/>
  <c r="R34" i="160"/>
  <c r="Q34" i="160"/>
  <c r="R40" i="160"/>
  <c r="Q40" i="160"/>
  <c r="P28" i="160"/>
  <c r="O28" i="160"/>
  <c r="R20" i="160"/>
  <c r="Q20" i="160"/>
  <c r="P39" i="160"/>
  <c r="O39" i="160"/>
  <c r="R24" i="160"/>
  <c r="Q24" i="160"/>
  <c r="P19" i="160"/>
  <c r="O19" i="160"/>
  <c r="P45" i="160"/>
  <c r="O45" i="160"/>
  <c r="P42" i="160"/>
  <c r="O42" i="160"/>
  <c r="R37" i="160"/>
  <c r="Q37" i="160"/>
  <c r="R42" i="160"/>
  <c r="Q42" i="160"/>
  <c r="P44" i="160"/>
  <c r="O44" i="160"/>
  <c r="O41" i="160"/>
  <c r="P41" i="160"/>
  <c r="R22" i="160"/>
  <c r="Q22" i="160"/>
  <c r="R44" i="160"/>
  <c r="Q44" i="160"/>
  <c r="R25" i="160"/>
  <c r="Q25" i="160"/>
  <c r="Q19" i="160"/>
  <c r="R19" i="160"/>
  <c r="P35" i="160"/>
  <c r="O35" i="160"/>
  <c r="P15" i="160"/>
  <c r="O15" i="160"/>
  <c r="P14" i="160"/>
  <c r="O14" i="160"/>
  <c r="P29" i="160"/>
  <c r="O29" i="160"/>
  <c r="Q21" i="160"/>
  <c r="R21" i="160" s="1"/>
  <c r="O33" i="160"/>
  <c r="P33" i="160"/>
  <c r="R17" i="160"/>
  <c r="Q17" i="160"/>
  <c r="R29" i="160"/>
  <c r="Q29" i="160"/>
  <c r="R36" i="160"/>
  <c r="Q36" i="160"/>
  <c r="R39" i="160"/>
  <c r="Q39" i="160"/>
  <c r="R23" i="160"/>
  <c r="Q23" i="160"/>
  <c r="R26" i="160"/>
  <c r="Q26" i="160"/>
  <c r="R32" i="160"/>
  <c r="Q32" i="160"/>
  <c r="AO38" i="165"/>
  <c r="AN38" i="165"/>
  <c r="AM38" i="165"/>
  <c r="AJ33" i="165"/>
  <c r="AM33" i="165"/>
  <c r="AN19" i="165"/>
  <c r="AJ19" i="165"/>
  <c r="AJ22" i="165"/>
  <c r="AO22" i="165"/>
  <c r="AM39" i="165"/>
  <c r="AJ39" i="165"/>
  <c r="AO33" i="165"/>
  <c r="EW80" i="160"/>
  <c r="EU40" i="160" s="1"/>
  <c r="DJ80" i="160"/>
  <c r="EV75" i="160"/>
  <c r="ET35" i="160" s="1"/>
  <c r="DD75" i="160"/>
  <c r="EV82" i="160"/>
  <c r="ET42" i="160" s="1"/>
  <c r="DD82" i="160"/>
  <c r="EV64" i="160"/>
  <c r="ET24" i="160" s="1"/>
  <c r="EQ24" i="160" s="1"/>
  <c r="DD64" i="160"/>
  <c r="EW79" i="160"/>
  <c r="EU39" i="160" s="1"/>
  <c r="DJ79" i="160"/>
  <c r="EV77" i="160"/>
  <c r="ET37" i="160" s="1"/>
  <c r="DD77" i="160"/>
  <c r="EV81" i="160"/>
  <c r="ET41" i="160" s="1"/>
  <c r="DD81" i="160"/>
  <c r="EW85" i="160"/>
  <c r="EU45" i="160" s="1"/>
  <c r="EQ45" i="160" s="1"/>
  <c r="DJ85" i="160"/>
  <c r="EW77" i="160"/>
  <c r="EU37" i="160" s="1"/>
  <c r="DJ77" i="160"/>
  <c r="EW54" i="160"/>
  <c r="DJ54" i="160"/>
  <c r="EW82" i="160"/>
  <c r="EU42" i="160" s="1"/>
  <c r="DJ82" i="160"/>
  <c r="EW74" i="160"/>
  <c r="EU34" i="160" s="1"/>
  <c r="DJ74" i="160"/>
  <c r="EW81" i="160"/>
  <c r="EU41" i="160" s="1"/>
  <c r="DJ81" i="160"/>
  <c r="EV70" i="160"/>
  <c r="ET30" i="160" s="1"/>
  <c r="DD70" i="160"/>
  <c r="EV63" i="160"/>
  <c r="ET23" i="160" s="1"/>
  <c r="EQ23" i="160" s="1"/>
  <c r="DD63" i="160"/>
  <c r="EV80" i="160"/>
  <c r="ET40" i="160" s="1"/>
  <c r="DD80" i="160"/>
  <c r="EW76" i="160"/>
  <c r="EU36" i="160" s="1"/>
  <c r="DJ76" i="160"/>
  <c r="EV72" i="160"/>
  <c r="ET32" i="160" s="1"/>
  <c r="DD72" i="160"/>
  <c r="EV67" i="160"/>
  <c r="ET27" i="160" s="1"/>
  <c r="EQ27" i="160" s="1"/>
  <c r="DD67" i="160"/>
  <c r="EW83" i="160"/>
  <c r="EU43" i="160" s="1"/>
  <c r="DJ83" i="160"/>
  <c r="DJ63" i="160"/>
  <c r="CW81" i="160"/>
  <c r="M41" i="160" s="1"/>
  <c r="CW68" i="160"/>
  <c r="M28" i="160" s="1"/>
  <c r="EJ66" i="160"/>
  <c r="DS66" i="160" s="1"/>
  <c r="DT66" i="160" s="1"/>
  <c r="DV66" i="160" s="1"/>
  <c r="CX85" i="160"/>
  <c r="N45" i="160" s="1"/>
  <c r="CW58" i="160"/>
  <c r="M18" i="160" s="1"/>
  <c r="DD59" i="160"/>
  <c r="CW83" i="160"/>
  <c r="M43" i="160" s="1"/>
  <c r="EG58" i="160"/>
  <c r="DL58" i="160" s="1"/>
  <c r="DN58" i="160" s="1"/>
  <c r="DP58" i="160" s="1"/>
  <c r="EJ57" i="160"/>
  <c r="DS57" i="160" s="1"/>
  <c r="DU57" i="160" s="1"/>
  <c r="DW57" i="160" s="1"/>
  <c r="EJ73" i="160"/>
  <c r="DS73" i="160" s="1"/>
  <c r="DU73" i="160" s="1"/>
  <c r="DW73" i="160" s="1"/>
  <c r="EG74" i="160"/>
  <c r="DL74" i="160" s="1"/>
  <c r="DM74" i="160" s="1"/>
  <c r="DO74" i="160" s="1"/>
  <c r="EG59" i="160"/>
  <c r="DL59" i="160" s="1"/>
  <c r="DN59" i="160" s="1"/>
  <c r="DP59" i="160" s="1"/>
  <c r="EG66" i="160"/>
  <c r="DL66" i="160" s="1"/>
  <c r="DN66" i="160" s="1"/>
  <c r="DP66" i="160" s="1"/>
  <c r="EG61" i="160"/>
  <c r="DL61" i="160" s="1"/>
  <c r="DN61" i="160" s="1"/>
  <c r="DP61" i="160" s="1"/>
  <c r="CW62" i="160"/>
  <c r="M22" i="160" s="1"/>
  <c r="EG70" i="160"/>
  <c r="DL70" i="160" s="1"/>
  <c r="DM70" i="160" s="1"/>
  <c r="DO70" i="160" s="1"/>
  <c r="CW82" i="160"/>
  <c r="M42" i="160" s="1"/>
  <c r="CX78" i="160"/>
  <c r="N38" i="160" s="1"/>
  <c r="DJ67" i="160"/>
  <c r="CX81" i="160"/>
  <c r="N41" i="160" s="1"/>
  <c r="CX76" i="160"/>
  <c r="N36" i="160" s="1"/>
  <c r="CW73" i="160"/>
  <c r="M33" i="160" s="1"/>
  <c r="CX56" i="160"/>
  <c r="N16" i="160" s="1"/>
  <c r="DD54" i="160"/>
  <c r="DD73" i="160"/>
  <c r="EJ59" i="160"/>
  <c r="DS59" i="160" s="1"/>
  <c r="DU59" i="160" s="1"/>
  <c r="DW59" i="160" s="1"/>
  <c r="CW79" i="160"/>
  <c r="M39" i="160" s="1"/>
  <c r="CW59" i="160"/>
  <c r="M19" i="160" s="1"/>
  <c r="CW55" i="160"/>
  <c r="M15" i="160" s="1"/>
  <c r="CW70" i="160"/>
  <c r="M30" i="160" s="1"/>
  <c r="CX77" i="160"/>
  <c r="N37" i="160" s="1"/>
  <c r="CX68" i="160"/>
  <c r="N28" i="160" s="1"/>
  <c r="CW78" i="160"/>
  <c r="M38" i="160" s="1"/>
  <c r="EJ75" i="160"/>
  <c r="DS75" i="160" s="1"/>
  <c r="DT75" i="160" s="1"/>
  <c r="DV75" i="160" s="1"/>
  <c r="CX54" i="160"/>
  <c r="N14" i="160" s="1"/>
  <c r="CX72" i="160"/>
  <c r="N32" i="160" s="1"/>
  <c r="CW63" i="160"/>
  <c r="M23" i="160" s="1"/>
  <c r="CW67" i="160"/>
  <c r="M27" i="160" s="1"/>
  <c r="CW84" i="160"/>
  <c r="M44" i="160" s="1"/>
  <c r="CW56" i="160"/>
  <c r="M16" i="160" s="1"/>
  <c r="CX71" i="160"/>
  <c r="N31" i="160" s="1"/>
  <c r="EJ82" i="160"/>
  <c r="DS82" i="160" s="1"/>
  <c r="DU82" i="160" s="1"/>
  <c r="DW82" i="160" s="1"/>
  <c r="EJ77" i="160"/>
  <c r="DS77" i="160" s="1"/>
  <c r="DT77" i="160" s="1"/>
  <c r="DV77" i="160" s="1"/>
  <c r="EG78" i="160"/>
  <c r="DL78" i="160" s="1"/>
  <c r="DM78" i="160" s="1"/>
  <c r="DO78" i="160" s="1"/>
  <c r="CW72" i="160"/>
  <c r="M32" i="160" s="1"/>
  <c r="CX61" i="160"/>
  <c r="N21" i="160" s="1"/>
  <c r="EG75" i="160"/>
  <c r="DL75" i="160" s="1"/>
  <c r="DN75" i="160" s="1"/>
  <c r="DP75" i="160" s="1"/>
  <c r="CW61" i="160"/>
  <c r="M21" i="160" s="1"/>
  <c r="EG72" i="160"/>
  <c r="DL72" i="160" s="1"/>
  <c r="DM72" i="160" s="1"/>
  <c r="DO72" i="160" s="1"/>
  <c r="CW75" i="160"/>
  <c r="M35" i="160" s="1"/>
  <c r="CX63" i="160"/>
  <c r="N23" i="160" s="1"/>
  <c r="CX73" i="160"/>
  <c r="N33" i="160" s="1"/>
  <c r="CX64" i="160"/>
  <c r="N24" i="160" s="1"/>
  <c r="CX66" i="160"/>
  <c r="N26" i="160" s="1"/>
  <c r="DD68" i="160"/>
  <c r="DD85" i="160"/>
  <c r="DJ64" i="160"/>
  <c r="CX67" i="160"/>
  <c r="N27" i="160" s="1"/>
  <c r="EG65" i="160"/>
  <c r="DL65" i="160" s="1"/>
  <c r="DM65" i="160" s="1"/>
  <c r="DO65" i="160" s="1"/>
  <c r="CX82" i="160"/>
  <c r="N42" i="160" s="1"/>
  <c r="CW66" i="160"/>
  <c r="M26" i="160" s="1"/>
  <c r="EG82" i="160"/>
  <c r="DL82" i="160" s="1"/>
  <c r="DN82" i="160" s="1"/>
  <c r="DP82" i="160" s="1"/>
  <c r="EJ74" i="160"/>
  <c r="DS74" i="160" s="1"/>
  <c r="DT74" i="160" s="1"/>
  <c r="DV74" i="160" s="1"/>
  <c r="EG60" i="160"/>
  <c r="DL60" i="160" s="1"/>
  <c r="DN60" i="160" s="1"/>
  <c r="DP60" i="160" s="1"/>
  <c r="EG84" i="160"/>
  <c r="DL84" i="160" s="1"/>
  <c r="DM84" i="160" s="1"/>
  <c r="DO84" i="160" s="1"/>
  <c r="CW85" i="160"/>
  <c r="M45" i="160" s="1"/>
  <c r="EG80" i="160"/>
  <c r="DL80" i="160" s="1"/>
  <c r="DN80" i="160" s="1"/>
  <c r="DP80" i="160" s="1"/>
  <c r="EG76" i="160"/>
  <c r="DL76" i="160" s="1"/>
  <c r="DN76" i="160" s="1"/>
  <c r="DP76" i="160" s="1"/>
  <c r="CX69" i="160"/>
  <c r="N29" i="160" s="1"/>
  <c r="CX62" i="160"/>
  <c r="N22" i="160" s="1"/>
  <c r="AP41" i="165"/>
  <c r="DK70" i="160"/>
  <c r="DK79" i="160"/>
  <c r="EY79" i="160" s="1"/>
  <c r="DK63" i="160"/>
  <c r="DK71" i="160"/>
  <c r="BM15" i="160"/>
  <c r="BR15" i="160" s="1"/>
  <c r="BM16" i="160"/>
  <c r="BM25" i="160"/>
  <c r="BR25" i="160" s="1"/>
  <c r="AP32" i="165"/>
  <c r="AP17" i="165"/>
  <c r="AD23" i="147"/>
  <c r="FK57" i="160"/>
  <c r="FJ56" i="160"/>
  <c r="CV70" i="84"/>
  <c r="DG70" i="84"/>
  <c r="DA70" i="84"/>
  <c r="FK57" i="84"/>
  <c r="FJ57" i="84" s="1"/>
  <c r="FG59" i="84"/>
  <c r="EW55" i="160"/>
  <c r="EU15" i="160" s="1"/>
  <c r="DK81" i="84"/>
  <c r="DK80" i="84"/>
  <c r="DK78" i="84"/>
  <c r="BR38" i="84"/>
  <c r="BR36" i="84"/>
  <c r="AK38" i="147"/>
  <c r="AL38" i="147" s="1"/>
  <c r="AH46" i="165"/>
  <c r="AO24" i="165"/>
  <c r="AK34" i="165"/>
  <c r="AL34" i="165" s="1"/>
  <c r="AK25" i="165"/>
  <c r="AL25" i="165" s="1"/>
  <c r="AK30" i="165"/>
  <c r="AK27" i="165"/>
  <c r="AL27" i="165" s="1"/>
  <c r="AG46" i="165"/>
  <c r="AM24" i="165"/>
  <c r="AN24" i="165"/>
  <c r="AD30" i="165"/>
  <c r="ES32" i="165"/>
  <c r="CW65" i="160"/>
  <c r="M25" i="160" s="1"/>
  <c r="DJ65" i="160"/>
  <c r="CX65" i="160"/>
  <c r="N25" i="160" s="1"/>
  <c r="BK28" i="84"/>
  <c r="BK29" i="84" s="1"/>
  <c r="BK30" i="84" s="1"/>
  <c r="BO28" i="84"/>
  <c r="EZ68" i="84" s="1"/>
  <c r="EX68" i="84" s="1"/>
  <c r="GC55" i="84"/>
  <c r="GC56" i="84" s="1"/>
  <c r="GC57" i="84" s="1"/>
  <c r="GC58" i="84" s="1"/>
  <c r="GF54" i="84"/>
  <c r="BY14" i="84"/>
  <c r="BR42" i="84"/>
  <c r="BR34" i="84"/>
  <c r="DF72" i="84"/>
  <c r="DI72" i="84" s="1"/>
  <c r="EI72" i="84"/>
  <c r="EH72" i="84"/>
  <c r="EJ72" i="84" s="1"/>
  <c r="DS72" i="84" s="1"/>
  <c r="DT72" i="84" s="1"/>
  <c r="DV72" i="84" s="1"/>
  <c r="BK14" i="160"/>
  <c r="BK15" i="160" s="1"/>
  <c r="BK16" i="160" s="1"/>
  <c r="BK17" i="160" s="1"/>
  <c r="BK18" i="160" s="1"/>
  <c r="BK19" i="160" s="1"/>
  <c r="BK20" i="160" s="1"/>
  <c r="BK21" i="160" s="1"/>
  <c r="BK22" i="160" s="1"/>
  <c r="BK23" i="160" s="1"/>
  <c r="CZ72" i="84"/>
  <c r="EF72" i="84"/>
  <c r="DA72" i="84"/>
  <c r="EN72" i="84"/>
  <c r="X32" i="84" s="1"/>
  <c r="CW72" i="84"/>
  <c r="M32" i="84" s="1"/>
  <c r="CX72" i="84"/>
  <c r="N32" i="84" s="1"/>
  <c r="AN28" i="147"/>
  <c r="AM28" i="147"/>
  <c r="AO37" i="147"/>
  <c r="AM37" i="147"/>
  <c r="AN37" i="147"/>
  <c r="AM39" i="147"/>
  <c r="AN39" i="147"/>
  <c r="AO39" i="147"/>
  <c r="AD31" i="147"/>
  <c r="AD27" i="147"/>
  <c r="AG41" i="147"/>
  <c r="AA18" i="147" s="1"/>
  <c r="DU76" i="160"/>
  <c r="DW76" i="160" s="1"/>
  <c r="DT76" i="160"/>
  <c r="DV76" i="160" s="1"/>
  <c r="DU71" i="160"/>
  <c r="DW71" i="160" s="1"/>
  <c r="DT71" i="160"/>
  <c r="DV71" i="160" s="1"/>
  <c r="DN68" i="160"/>
  <c r="DP68" i="160" s="1"/>
  <c r="DM68" i="160"/>
  <c r="DO68" i="160" s="1"/>
  <c r="DU70" i="160"/>
  <c r="DW70" i="160" s="1"/>
  <c r="DT70" i="160"/>
  <c r="DV70" i="160" s="1"/>
  <c r="DT55" i="160"/>
  <c r="DV55" i="160" s="1"/>
  <c r="DU55" i="160"/>
  <c r="DW55" i="160" s="1"/>
  <c r="DN81" i="160"/>
  <c r="DP81" i="160" s="1"/>
  <c r="DM81" i="160"/>
  <c r="DO81" i="160" s="1"/>
  <c r="DM63" i="160"/>
  <c r="DO63" i="160" s="1"/>
  <c r="DN63" i="160"/>
  <c r="DP63" i="160" s="1"/>
  <c r="DU80" i="160"/>
  <c r="DW80" i="160" s="1"/>
  <c r="DT80" i="160"/>
  <c r="DV80" i="160" s="1"/>
  <c r="DU60" i="160"/>
  <c r="DW60" i="160" s="1"/>
  <c r="DT60" i="160"/>
  <c r="DV60" i="160" s="1"/>
  <c r="DU68" i="160"/>
  <c r="DW68" i="160" s="1"/>
  <c r="DT68" i="160"/>
  <c r="DV68" i="160" s="1"/>
  <c r="DN67" i="160"/>
  <c r="DP67" i="160" s="1"/>
  <c r="DM67" i="160"/>
  <c r="DO67" i="160" s="1"/>
  <c r="DU81" i="160"/>
  <c r="DW81" i="160" s="1"/>
  <c r="DT81" i="160"/>
  <c r="DV81" i="160" s="1"/>
  <c r="DU64" i="160"/>
  <c r="DW64" i="160" s="1"/>
  <c r="DT64" i="160"/>
  <c r="DV64" i="160" s="1"/>
  <c r="DM55" i="160"/>
  <c r="DO55" i="160" s="1"/>
  <c r="DN55" i="160"/>
  <c r="DP55" i="160" s="1"/>
  <c r="CX57" i="160"/>
  <c r="N17" i="160" s="1"/>
  <c r="DU84" i="160"/>
  <c r="DW84" i="160" s="1"/>
  <c r="DT84" i="160"/>
  <c r="DV84" i="160" s="1"/>
  <c r="DN56" i="160"/>
  <c r="DP56" i="160" s="1"/>
  <c r="DM56" i="160"/>
  <c r="DO56" i="160" s="1"/>
  <c r="DN62" i="160"/>
  <c r="DP62" i="160" s="1"/>
  <c r="DM62" i="160"/>
  <c r="DO62" i="160" s="1"/>
  <c r="DU61" i="160"/>
  <c r="DW61" i="160" s="1"/>
  <c r="DT61" i="160"/>
  <c r="DV61" i="160" s="1"/>
  <c r="DU83" i="160"/>
  <c r="DW83" i="160" s="1"/>
  <c r="DT83" i="160"/>
  <c r="DV83" i="160" s="1"/>
  <c r="DN77" i="160"/>
  <c r="DP77" i="160" s="1"/>
  <c r="DM77" i="160"/>
  <c r="DO77" i="160" s="1"/>
  <c r="DN79" i="160"/>
  <c r="DP79" i="160" s="1"/>
  <c r="DM79" i="160"/>
  <c r="DO79" i="160" s="1"/>
  <c r="DN83" i="160"/>
  <c r="DP83" i="160" s="1"/>
  <c r="DM83" i="160"/>
  <c r="DO83" i="160" s="1"/>
  <c r="DT58" i="160"/>
  <c r="DV58" i="160" s="1"/>
  <c r="DU58" i="160"/>
  <c r="DW58" i="160" s="1"/>
  <c r="DU54" i="160"/>
  <c r="DW54" i="160" s="1"/>
  <c r="DT54" i="160"/>
  <c r="DV54" i="160" s="1"/>
  <c r="DN69" i="160"/>
  <c r="DP69" i="160" s="1"/>
  <c r="DM69" i="160"/>
  <c r="DO69" i="160" s="1"/>
  <c r="DN57" i="160"/>
  <c r="DP57" i="160" s="1"/>
  <c r="DM57" i="160"/>
  <c r="DO57" i="160" s="1"/>
  <c r="DU62" i="160"/>
  <c r="DW62" i="160" s="1"/>
  <c r="DT62" i="160"/>
  <c r="DV62" i="160" s="1"/>
  <c r="DU69" i="160"/>
  <c r="DW69" i="160" s="1"/>
  <c r="DT69" i="160"/>
  <c r="DV69" i="160" s="1"/>
  <c r="DM71" i="160"/>
  <c r="DO71" i="160" s="1"/>
  <c r="DN71" i="160"/>
  <c r="DP71" i="160" s="1"/>
  <c r="DU72" i="160"/>
  <c r="DW72" i="160" s="1"/>
  <c r="DT72" i="160"/>
  <c r="DV72" i="160" s="1"/>
  <c r="DN54" i="160"/>
  <c r="DP54" i="160" s="1"/>
  <c r="DM54" i="160"/>
  <c r="DO54" i="160" s="1"/>
  <c r="DN73" i="160"/>
  <c r="DP73" i="160" s="1"/>
  <c r="DM73" i="160"/>
  <c r="DO73" i="160" s="1"/>
  <c r="DN85" i="160"/>
  <c r="DP85" i="160" s="1"/>
  <c r="DM85" i="160"/>
  <c r="DO85" i="160" s="1"/>
  <c r="DU56" i="160"/>
  <c r="DW56" i="160" s="1"/>
  <c r="DT56" i="160"/>
  <c r="DV56" i="160" s="1"/>
  <c r="DU65" i="160"/>
  <c r="DW65" i="160" s="1"/>
  <c r="DT65" i="160"/>
  <c r="DV65" i="160" s="1"/>
  <c r="DU85" i="160"/>
  <c r="DW85" i="160" s="1"/>
  <c r="DT85" i="160"/>
  <c r="DV85" i="160" s="1"/>
  <c r="DU78" i="160"/>
  <c r="DW78" i="160" s="1"/>
  <c r="DT78" i="160"/>
  <c r="DV78" i="160" s="1"/>
  <c r="DU79" i="160"/>
  <c r="DW79" i="160" s="1"/>
  <c r="DT79" i="160"/>
  <c r="DV79" i="160" s="1"/>
  <c r="DU63" i="160"/>
  <c r="DW63" i="160" s="1"/>
  <c r="DT63" i="160"/>
  <c r="DV63" i="160" s="1"/>
  <c r="DU67" i="160"/>
  <c r="DW67" i="160" s="1"/>
  <c r="DT67" i="160"/>
  <c r="DV67" i="160" s="1"/>
  <c r="DN64" i="160"/>
  <c r="DP64" i="160" s="1"/>
  <c r="DM64" i="160"/>
  <c r="DO64" i="160" s="1"/>
  <c r="DN84" i="84"/>
  <c r="DP84" i="84" s="1"/>
  <c r="DM84" i="84"/>
  <c r="DO84" i="84" s="1"/>
  <c r="DN68" i="84"/>
  <c r="DP68" i="84" s="1"/>
  <c r="DM68" i="84"/>
  <c r="DO68" i="84" s="1"/>
  <c r="DU78" i="84"/>
  <c r="DW78" i="84" s="1"/>
  <c r="DT78" i="84"/>
  <c r="DV78" i="84" s="1"/>
  <c r="DT84" i="84"/>
  <c r="DV84" i="84" s="1"/>
  <c r="DU84" i="84"/>
  <c r="DW84" i="84" s="1"/>
  <c r="DT76" i="84"/>
  <c r="DV76" i="84" s="1"/>
  <c r="DU76" i="84"/>
  <c r="DW76" i="84" s="1"/>
  <c r="DM77" i="84"/>
  <c r="DO77" i="84" s="1"/>
  <c r="DN77" i="84"/>
  <c r="DP77" i="84" s="1"/>
  <c r="DN81" i="84"/>
  <c r="DP81" i="84" s="1"/>
  <c r="DM81" i="84"/>
  <c r="DO81" i="84" s="1"/>
  <c r="DN69" i="84"/>
  <c r="DP69" i="84" s="1"/>
  <c r="DM69" i="84"/>
  <c r="DO69" i="84" s="1"/>
  <c r="DN78" i="84"/>
  <c r="DP78" i="84" s="1"/>
  <c r="DM78" i="84"/>
  <c r="DO78" i="84" s="1"/>
  <c r="DU82" i="84"/>
  <c r="DW82" i="84" s="1"/>
  <c r="DT82" i="84"/>
  <c r="DV82" i="84" s="1"/>
  <c r="DU73" i="84"/>
  <c r="DW73" i="84" s="1"/>
  <c r="DT73" i="84"/>
  <c r="DV73" i="84" s="1"/>
  <c r="DU74" i="84"/>
  <c r="DW74" i="84" s="1"/>
  <c r="DT74" i="84"/>
  <c r="DV74" i="84" s="1"/>
  <c r="DU68" i="84"/>
  <c r="DW68" i="84" s="1"/>
  <c r="DT68" i="84"/>
  <c r="DV68" i="84" s="1"/>
  <c r="DU69" i="84"/>
  <c r="DW69" i="84" s="1"/>
  <c r="DT69" i="84"/>
  <c r="DV69" i="84" s="1"/>
  <c r="DU79" i="84"/>
  <c r="DW79" i="84" s="1"/>
  <c r="DT79" i="84"/>
  <c r="DV79" i="84" s="1"/>
  <c r="DN72" i="84"/>
  <c r="DP72" i="84" s="1"/>
  <c r="DM72" i="84"/>
  <c r="DO72" i="84" s="1"/>
  <c r="DN75" i="84"/>
  <c r="DP75" i="84" s="1"/>
  <c r="DM75" i="84"/>
  <c r="DO75" i="84" s="1"/>
  <c r="DM73" i="84"/>
  <c r="DO73" i="84" s="1"/>
  <c r="DN73" i="84"/>
  <c r="DP73" i="84" s="1"/>
  <c r="DN71" i="84"/>
  <c r="DM71" i="84"/>
  <c r="DU85" i="84"/>
  <c r="DW85" i="84" s="1"/>
  <c r="DT85" i="84"/>
  <c r="DV85" i="84" s="1"/>
  <c r="DN82" i="84"/>
  <c r="DP82" i="84" s="1"/>
  <c r="DM82" i="84"/>
  <c r="DO82" i="84" s="1"/>
  <c r="DU77" i="84"/>
  <c r="DW77" i="84" s="1"/>
  <c r="DT77" i="84"/>
  <c r="DV77" i="84" s="1"/>
  <c r="DN85" i="84"/>
  <c r="DP85" i="84" s="1"/>
  <c r="DM85" i="84"/>
  <c r="DO85" i="84" s="1"/>
  <c r="DN83" i="84"/>
  <c r="DP83" i="84" s="1"/>
  <c r="DM83" i="84"/>
  <c r="DO83" i="84" s="1"/>
  <c r="DN74" i="84"/>
  <c r="DP74" i="84" s="1"/>
  <c r="DM74" i="84"/>
  <c r="DO74" i="84" s="1"/>
  <c r="DU80" i="84"/>
  <c r="DW80" i="84" s="1"/>
  <c r="DT80" i="84"/>
  <c r="DV80" i="84" s="1"/>
  <c r="DU75" i="84"/>
  <c r="DW75" i="84" s="1"/>
  <c r="DT75" i="84"/>
  <c r="DV75" i="84" s="1"/>
  <c r="DU83" i="84"/>
  <c r="DW83" i="84" s="1"/>
  <c r="DT83" i="84"/>
  <c r="DV83" i="84" s="1"/>
  <c r="DN76" i="84"/>
  <c r="DP76" i="84" s="1"/>
  <c r="DM76" i="84"/>
  <c r="DO76" i="84" s="1"/>
  <c r="DU81" i="84"/>
  <c r="DW81" i="84" s="1"/>
  <c r="DT81" i="84"/>
  <c r="DV81" i="84" s="1"/>
  <c r="DN79" i="84"/>
  <c r="DP79" i="84" s="1"/>
  <c r="DM79" i="84"/>
  <c r="DO79" i="84" s="1"/>
  <c r="DN80" i="84"/>
  <c r="DP80" i="84" s="1"/>
  <c r="DM80" i="84"/>
  <c r="DO80" i="84" s="1"/>
  <c r="AD26" i="147"/>
  <c r="AD25" i="147"/>
  <c r="R45" i="84"/>
  <c r="EW57" i="160"/>
  <c r="EU17" i="160" s="1"/>
  <c r="BO30" i="84"/>
  <c r="BR30" i="84" s="1"/>
  <c r="GL32" i="84"/>
  <c r="AK29" i="147"/>
  <c r="AL29" i="147" s="1"/>
  <c r="AE41" i="147"/>
  <c r="AA16" i="147" s="1"/>
  <c r="AF41" i="147"/>
  <c r="AA17" i="147" s="1"/>
  <c r="AH41" i="147"/>
  <c r="AA19" i="147" s="1"/>
  <c r="BR29" i="84"/>
  <c r="EV69" i="84"/>
  <c r="ET29" i="84" s="1"/>
  <c r="DD69" i="84"/>
  <c r="AD30" i="147"/>
  <c r="BR31" i="84"/>
  <c r="CX71" i="84"/>
  <c r="N31" i="84" s="1"/>
  <c r="CW71" i="84"/>
  <c r="M31" i="84" s="1"/>
  <c r="DK73" i="160"/>
  <c r="EY73" i="160" s="1"/>
  <c r="DK80" i="160"/>
  <c r="O45" i="84"/>
  <c r="P45" i="84"/>
  <c r="DK66" i="160"/>
  <c r="GL27" i="147"/>
  <c r="GL45" i="160"/>
  <c r="GL28" i="84"/>
  <c r="DK67" i="160"/>
  <c r="DK83" i="160"/>
  <c r="GL23" i="147"/>
  <c r="GL26" i="160"/>
  <c r="GL30" i="84"/>
  <c r="J45" i="84"/>
  <c r="K45" i="84"/>
  <c r="L45" i="84"/>
  <c r="BU45" i="84" s="1"/>
  <c r="DK82" i="160"/>
  <c r="EY82" i="160" s="1"/>
  <c r="BR33" i="84"/>
  <c r="AO28" i="165"/>
  <c r="AM28" i="165"/>
  <c r="AN28" i="165"/>
  <c r="AY23" i="147"/>
  <c r="AY24" i="147" s="1"/>
  <c r="AO19" i="165"/>
  <c r="AM19" i="165"/>
  <c r="DK75" i="84"/>
  <c r="GL29" i="84"/>
  <c r="DK82" i="84"/>
  <c r="AK31" i="165"/>
  <c r="AL31" i="165" s="1"/>
  <c r="DK72" i="160"/>
  <c r="EY72" i="160" s="1"/>
  <c r="DK77" i="160"/>
  <c r="EY77" i="160" s="1"/>
  <c r="DK54" i="160"/>
  <c r="EY54" i="160" s="1"/>
  <c r="AM16" i="165"/>
  <c r="AK42" i="165"/>
  <c r="AL42" i="165" s="1"/>
  <c r="AK18" i="165"/>
  <c r="AL18" i="165" s="1"/>
  <c r="AK35" i="165"/>
  <c r="AL35" i="165" s="1"/>
  <c r="AN22" i="165"/>
  <c r="DK79" i="84"/>
  <c r="EY79" i="84" s="1"/>
  <c r="AK40" i="165"/>
  <c r="AL40" i="165" s="1"/>
  <c r="AM29" i="165"/>
  <c r="AN29" i="165"/>
  <c r="AO29" i="165"/>
  <c r="AK30" i="147"/>
  <c r="AL30" i="147" s="1"/>
  <c r="AK27" i="147"/>
  <c r="GL28" i="147"/>
  <c r="AO16" i="165"/>
  <c r="GL23" i="160"/>
  <c r="AN36" i="147"/>
  <c r="AM22" i="165"/>
  <c r="GL19" i="165"/>
  <c r="AO39" i="165"/>
  <c r="GL14" i="160"/>
  <c r="AK24" i="147"/>
  <c r="AL24" i="147" s="1"/>
  <c r="DK77" i="84"/>
  <c r="DK78" i="160"/>
  <c r="EY78" i="160" s="1"/>
  <c r="D45" i="84"/>
  <c r="GK45" i="84" s="1"/>
  <c r="E45" i="84"/>
  <c r="DK85" i="84"/>
  <c r="AK43" i="165"/>
  <c r="AL43" i="165" s="1"/>
  <c r="AN16" i="165"/>
  <c r="AO36" i="147"/>
  <c r="GL44" i="84"/>
  <c r="DK83" i="84"/>
  <c r="GL33" i="84"/>
  <c r="AM36" i="147"/>
  <c r="GL38" i="165"/>
  <c r="AN39" i="165"/>
  <c r="GL16" i="165"/>
  <c r="AN23" i="147"/>
  <c r="AM23" i="147"/>
  <c r="AO23" i="147"/>
  <c r="DK74" i="160"/>
  <c r="GL34" i="84"/>
  <c r="DK64" i="160"/>
  <c r="DK76" i="84"/>
  <c r="GL33" i="160"/>
  <c r="AM45" i="165"/>
  <c r="AN45" i="165"/>
  <c r="AO45" i="165"/>
  <c r="AK32" i="147"/>
  <c r="AL32" i="147" s="1"/>
  <c r="DK61" i="160"/>
  <c r="EY61" i="160" s="1"/>
  <c r="GL36" i="165"/>
  <c r="GL40" i="160"/>
  <c r="DK76" i="160"/>
  <c r="EY76" i="160" s="1"/>
  <c r="G45" i="84"/>
  <c r="H45" i="84"/>
  <c r="I45" i="84"/>
  <c r="BS45" i="84" s="1"/>
  <c r="AO33" i="147"/>
  <c r="AM33" i="147"/>
  <c r="AN33" i="147"/>
  <c r="AN31" i="147"/>
  <c r="AO31" i="147"/>
  <c r="AM31" i="147"/>
  <c r="DK69" i="160"/>
  <c r="GL21" i="165"/>
  <c r="AM25" i="147"/>
  <c r="AO25" i="147"/>
  <c r="AN25" i="147"/>
  <c r="GL40" i="165"/>
  <c r="GL35" i="160"/>
  <c r="GL40" i="84"/>
  <c r="GL30" i="147"/>
  <c r="BR39" i="84"/>
  <c r="AM37" i="165"/>
  <c r="AN37" i="165"/>
  <c r="AO37" i="165"/>
  <c r="GL30" i="160"/>
  <c r="AM21" i="165"/>
  <c r="AN21" i="165"/>
  <c r="AO21" i="165"/>
  <c r="DK59" i="160"/>
  <c r="GL43" i="165"/>
  <c r="GL36" i="147"/>
  <c r="GL37" i="147"/>
  <c r="FU56" i="160"/>
  <c r="FO56" i="160"/>
  <c r="AF16" i="160" s="1"/>
  <c r="FX55" i="160"/>
  <c r="DK74" i="84"/>
  <c r="AM34" i="147"/>
  <c r="AN34" i="147"/>
  <c r="AO34" i="147"/>
  <c r="AN35" i="147"/>
  <c r="AO35" i="147"/>
  <c r="AM35" i="147"/>
  <c r="DK84" i="84"/>
  <c r="GL36" i="160"/>
  <c r="BR35" i="84"/>
  <c r="BR40" i="84"/>
  <c r="DK84" i="160"/>
  <c r="GB55" i="160"/>
  <c r="GL44" i="165"/>
  <c r="GL27" i="160"/>
  <c r="GL33" i="147"/>
  <c r="GL42" i="160"/>
  <c r="DK85" i="160"/>
  <c r="GL32" i="165"/>
  <c r="AE46" i="165"/>
  <c r="GL31" i="165"/>
  <c r="GL32" i="160"/>
  <c r="GL29" i="160"/>
  <c r="GL42" i="84"/>
  <c r="GL44" i="160"/>
  <c r="GL26" i="165"/>
  <c r="GL43" i="160"/>
  <c r="GL41" i="84"/>
  <c r="AK26" i="147"/>
  <c r="AL26" i="147" s="1"/>
  <c r="GL37" i="165"/>
  <c r="GL24" i="165"/>
  <c r="GL24" i="160"/>
  <c r="GL45" i="165"/>
  <c r="BR37" i="84"/>
  <c r="AM44" i="165"/>
  <c r="AO44" i="165"/>
  <c r="AN44" i="165"/>
  <c r="DK68" i="160"/>
  <c r="GL39" i="165"/>
  <c r="AM26" i="165"/>
  <c r="AN26" i="165"/>
  <c r="AO26" i="165"/>
  <c r="AM23" i="165"/>
  <c r="AN23" i="165"/>
  <c r="AO23" i="165"/>
  <c r="GL33" i="165"/>
  <c r="GL25" i="165"/>
  <c r="GL34" i="147"/>
  <c r="GL18" i="165"/>
  <c r="GL32" i="147"/>
  <c r="GL19" i="160"/>
  <c r="GL39" i="84"/>
  <c r="GL34" i="160"/>
  <c r="GL37" i="160"/>
  <c r="BR43" i="84"/>
  <c r="AO36" i="165"/>
  <c r="AM36" i="165"/>
  <c r="AN36" i="165"/>
  <c r="AO20" i="165"/>
  <c r="AM20" i="165"/>
  <c r="AN20" i="165"/>
  <c r="DK81" i="160"/>
  <c r="EY81" i="160" s="1"/>
  <c r="AF46" i="165"/>
  <c r="GL42" i="165"/>
  <c r="GL34" i="165"/>
  <c r="GL39" i="147"/>
  <c r="GL36" i="84"/>
  <c r="GL38" i="160"/>
  <c r="GL40" i="147"/>
  <c r="GL31" i="160"/>
  <c r="DK75" i="160"/>
  <c r="EY75" i="160" s="1"/>
  <c r="BR41" i="84"/>
  <c r="GK55" i="160" l="1"/>
  <c r="CM24" i="147"/>
  <c r="EO17" i="165"/>
  <c r="EP17" i="165"/>
  <c r="DD56" i="160"/>
  <c r="EW71" i="84"/>
  <c r="EU31" i="84" s="1"/>
  <c r="ES31" i="84"/>
  <c r="DC71" i="84"/>
  <c r="EG20" i="165"/>
  <c r="EK20" i="165" s="1"/>
  <c r="AR14" i="84"/>
  <c r="FF54" i="84" s="1"/>
  <c r="AS14" i="84"/>
  <c r="GL22" i="165"/>
  <c r="EF29" i="165"/>
  <c r="EG29" i="165"/>
  <c r="EK25" i="165"/>
  <c r="EK27" i="165"/>
  <c r="EK45" i="165"/>
  <c r="EJ35" i="165"/>
  <c r="EJ42" i="165"/>
  <c r="EN32" i="165"/>
  <c r="EP32" i="165" s="1"/>
  <c r="EM32" i="165"/>
  <c r="EO32" i="165" s="1"/>
  <c r="EN45" i="165"/>
  <c r="EM45" i="165"/>
  <c r="EJ24" i="165"/>
  <c r="EJ25" i="165"/>
  <c r="EJ27" i="165"/>
  <c r="EJ45" i="165"/>
  <c r="EK42" i="165"/>
  <c r="EM33" i="165"/>
  <c r="EN33" i="165"/>
  <c r="EG30" i="165"/>
  <c r="EF30" i="165"/>
  <c r="EK24" i="165"/>
  <c r="EK17" i="165"/>
  <c r="EI17" i="165"/>
  <c r="EJ32" i="165"/>
  <c r="EH32" i="165"/>
  <c r="EJ44" i="165"/>
  <c r="EJ26" i="165"/>
  <c r="EJ40" i="165"/>
  <c r="EF43" i="165"/>
  <c r="EG43" i="165"/>
  <c r="EN34" i="165"/>
  <c r="EM34" i="165"/>
  <c r="EF31" i="165"/>
  <c r="EG31" i="165"/>
  <c r="EM20" i="165"/>
  <c r="EN20" i="165"/>
  <c r="EJ28" i="165"/>
  <c r="EJ17" i="165"/>
  <c r="EH17" i="165"/>
  <c r="EK32" i="165"/>
  <c r="EI32" i="165"/>
  <c r="EK44" i="165"/>
  <c r="EK26" i="165"/>
  <c r="EK40" i="165"/>
  <c r="EM44" i="165"/>
  <c r="EN44" i="165"/>
  <c r="N32" i="165"/>
  <c r="P32" i="165"/>
  <c r="O32" i="165"/>
  <c r="EN30" i="165"/>
  <c r="EM30" i="165"/>
  <c r="EM39" i="165"/>
  <c r="EN39" i="165"/>
  <c r="EG34" i="165"/>
  <c r="EF34" i="165"/>
  <c r="EK28" i="165"/>
  <c r="EK33" i="165"/>
  <c r="EJ18" i="165"/>
  <c r="EJ38" i="165"/>
  <c r="EG16" i="165"/>
  <c r="EF16" i="165"/>
  <c r="EM41" i="165"/>
  <c r="EO41" i="165" s="1"/>
  <c r="EN41" i="165"/>
  <c r="EP41" i="165" s="1"/>
  <c r="EF37" i="165"/>
  <c r="EG37" i="165"/>
  <c r="EJ33" i="165"/>
  <c r="EK18" i="165"/>
  <c r="EK38" i="165"/>
  <c r="EF19" i="165"/>
  <c r="EG19" i="165"/>
  <c r="EN42" i="165"/>
  <c r="EM42" i="165"/>
  <c r="EF39" i="165"/>
  <c r="EG39" i="165"/>
  <c r="EN18" i="165"/>
  <c r="EM18" i="165"/>
  <c r="EJ20" i="165"/>
  <c r="EJ36" i="165"/>
  <c r="EF21" i="165"/>
  <c r="EG21" i="165"/>
  <c r="EN43" i="165"/>
  <c r="EM43" i="165"/>
  <c r="EF41" i="165"/>
  <c r="EG41" i="165"/>
  <c r="EK35" i="165"/>
  <c r="EK36" i="165"/>
  <c r="EC22" i="165"/>
  <c r="DP22" i="165"/>
  <c r="D22" i="165" s="1"/>
  <c r="E22" i="165" s="1"/>
  <c r="FT23" i="165"/>
  <c r="FS23" i="165"/>
  <c r="FS22" i="165"/>
  <c r="FT22" i="165"/>
  <c r="AU25" i="147"/>
  <c r="EZ25" i="147" s="1"/>
  <c r="EE25" i="147" s="1"/>
  <c r="FT25" i="147"/>
  <c r="FS25" i="147"/>
  <c r="DT70" i="84"/>
  <c r="AU23" i="147"/>
  <c r="EO23" i="147" s="1"/>
  <c r="FS23" i="147"/>
  <c r="FT23" i="147"/>
  <c r="BR16" i="160"/>
  <c r="FB56" i="160"/>
  <c r="DZ56" i="160" s="1"/>
  <c r="O16" i="160" s="1"/>
  <c r="P16" i="160" s="1"/>
  <c r="FC56" i="160"/>
  <c r="EA56" i="160" s="1"/>
  <c r="Q16" i="160" s="1"/>
  <c r="R16" i="160" s="1"/>
  <c r="FE68" i="84"/>
  <c r="AH15" i="160"/>
  <c r="AG15" i="160"/>
  <c r="DB70" i="84"/>
  <c r="DH70" i="84"/>
  <c r="FE70" i="84" s="1"/>
  <c r="AJ40" i="147"/>
  <c r="AL40" i="147"/>
  <c r="AU39" i="147"/>
  <c r="AZ39" i="147"/>
  <c r="AU31" i="147"/>
  <c r="AU36" i="147"/>
  <c r="CS36" i="147" s="1"/>
  <c r="AZ36" i="147"/>
  <c r="AU37" i="147"/>
  <c r="AZ37" i="147"/>
  <c r="AU35" i="147"/>
  <c r="AZ35" i="147"/>
  <c r="AU34" i="147"/>
  <c r="AZ34" i="147"/>
  <c r="AU33" i="147"/>
  <c r="ES33" i="147" s="1"/>
  <c r="AZ33" i="147"/>
  <c r="DC72" i="84"/>
  <c r="DB72" i="84"/>
  <c r="FD72" i="84" s="1"/>
  <c r="BK31" i="84"/>
  <c r="BK32" i="84" s="1"/>
  <c r="BK33" i="84" s="1"/>
  <c r="BK34" i="84" s="1"/>
  <c r="BK35" i="84" s="1"/>
  <c r="BK36" i="84" s="1"/>
  <c r="BK37" i="84" s="1"/>
  <c r="BK38" i="84" s="1"/>
  <c r="BK39" i="84" s="1"/>
  <c r="BK40" i="84" s="1"/>
  <c r="BK41" i="84" s="1"/>
  <c r="BK42" i="84" s="1"/>
  <c r="BK43" i="84" s="1"/>
  <c r="BK44" i="84" s="1"/>
  <c r="BK45" i="84" s="1"/>
  <c r="BK24" i="160"/>
  <c r="BK25" i="160" s="1"/>
  <c r="BK26" i="160" s="1"/>
  <c r="BK27" i="160" s="1"/>
  <c r="BK28" i="160" s="1"/>
  <c r="BK29" i="160" s="1"/>
  <c r="BK30" i="160" s="1"/>
  <c r="BK31" i="160" s="1"/>
  <c r="BK32" i="160" s="1"/>
  <c r="BK33" i="160" s="1"/>
  <c r="BK34" i="160" s="1"/>
  <c r="BK35" i="160" s="1"/>
  <c r="BK36" i="160" s="1"/>
  <c r="BK37" i="160" s="1"/>
  <c r="BK38" i="160" s="1"/>
  <c r="BK39" i="160" s="1"/>
  <c r="BK40" i="160" s="1"/>
  <c r="BK41" i="160" s="1"/>
  <c r="BK42" i="160" s="1"/>
  <c r="BK43" i="160" s="1"/>
  <c r="BK44" i="160" s="1"/>
  <c r="BK45" i="160" s="1"/>
  <c r="AU22" i="165"/>
  <c r="ES22" i="165" s="1"/>
  <c r="AU19" i="165"/>
  <c r="AU36" i="165"/>
  <c r="EI36" i="165" s="1"/>
  <c r="GK17" i="165"/>
  <c r="GK39" i="165"/>
  <c r="GM39" i="165" s="1"/>
  <c r="AU45" i="165"/>
  <c r="EH45" i="165" s="1"/>
  <c r="AU37" i="165"/>
  <c r="EO37" i="165" s="1"/>
  <c r="E28" i="165"/>
  <c r="GK28" i="165" s="1"/>
  <c r="AU26" i="165"/>
  <c r="EH26" i="165" s="1"/>
  <c r="AU23" i="165"/>
  <c r="AU21" i="165"/>
  <c r="GK33" i="165"/>
  <c r="GM33" i="165" s="1"/>
  <c r="E44" i="165"/>
  <c r="GK44" i="165" s="1"/>
  <c r="GM44" i="165" s="1"/>
  <c r="GK41" i="165"/>
  <c r="GK38" i="165"/>
  <c r="GM38" i="165" s="1"/>
  <c r="AU33" i="165"/>
  <c r="EJ92" i="165" s="1"/>
  <c r="EL92" i="165" s="1"/>
  <c r="AU20" i="165"/>
  <c r="E40" i="165"/>
  <c r="GK40" i="165" s="1"/>
  <c r="GM40" i="165" s="1"/>
  <c r="GK42" i="165"/>
  <c r="GM42" i="165" s="1"/>
  <c r="E24" i="165"/>
  <c r="GK24" i="165" s="1"/>
  <c r="GM24" i="165" s="1"/>
  <c r="E32" i="165"/>
  <c r="GK32" i="165" s="1"/>
  <c r="GM32" i="165" s="1"/>
  <c r="AU39" i="165"/>
  <c r="AU38" i="165"/>
  <c r="EH38" i="165" s="1"/>
  <c r="AU29" i="165"/>
  <c r="EO29" i="165" s="1"/>
  <c r="GK27" i="165"/>
  <c r="GK23" i="165"/>
  <c r="GM23" i="165" s="1"/>
  <c r="AU24" i="165"/>
  <c r="AU44" i="165"/>
  <c r="EI44" i="165" s="1"/>
  <c r="AU28" i="165"/>
  <c r="GK25" i="165"/>
  <c r="GM25" i="165" s="1"/>
  <c r="DV32" i="165"/>
  <c r="AO30" i="165"/>
  <c r="AL30" i="165"/>
  <c r="E34" i="165"/>
  <c r="GK34" i="165" s="1"/>
  <c r="GM34" i="165" s="1"/>
  <c r="GK43" i="165"/>
  <c r="GM43" i="165" s="1"/>
  <c r="GK36" i="165"/>
  <c r="GM36" i="165" s="1"/>
  <c r="GK31" i="165"/>
  <c r="GM31" i="165" s="1"/>
  <c r="E37" i="165"/>
  <c r="GK37" i="165" s="1"/>
  <c r="GM37" i="165" s="1"/>
  <c r="E35" i="165"/>
  <c r="GK35" i="165" s="1"/>
  <c r="DV41" i="165"/>
  <c r="AU16" i="165"/>
  <c r="AU28" i="147"/>
  <c r="AL27" i="147"/>
  <c r="EJ76" i="165"/>
  <c r="EL76" i="165" s="1"/>
  <c r="CS17" i="165"/>
  <c r="GK20" i="165"/>
  <c r="AY25" i="147"/>
  <c r="AY26" i="147" s="1"/>
  <c r="GK21" i="165"/>
  <c r="GM21" i="165" s="1"/>
  <c r="GL45" i="84"/>
  <c r="GM45" i="84" s="1"/>
  <c r="EY76" i="84"/>
  <c r="ES35" i="147"/>
  <c r="EJ78" i="165"/>
  <c r="EL78" i="165" s="1"/>
  <c r="CQ17" i="165"/>
  <c r="EL100" i="165"/>
  <c r="EL91" i="165"/>
  <c r="DL24" i="165"/>
  <c r="FU16" i="165"/>
  <c r="EJ97" i="165"/>
  <c r="EJ88" i="165"/>
  <c r="AD46" i="165"/>
  <c r="AD47" i="165" s="1"/>
  <c r="EZ70" i="84"/>
  <c r="EY83" i="84"/>
  <c r="EY80" i="84"/>
  <c r="EZ55" i="160"/>
  <c r="EX55" i="160" s="1"/>
  <c r="FA70" i="84"/>
  <c r="EY81" i="84"/>
  <c r="FA55" i="160"/>
  <c r="EZ65" i="160"/>
  <c r="EZ56" i="160"/>
  <c r="FA65" i="160"/>
  <c r="FA56" i="160"/>
  <c r="GL25" i="147"/>
  <c r="GK29" i="165"/>
  <c r="FA68" i="84"/>
  <c r="EY68" i="84" s="1"/>
  <c r="DT71" i="84"/>
  <c r="DV71" i="84" s="1"/>
  <c r="FC15" i="160"/>
  <c r="FE15" i="160"/>
  <c r="I29" i="84"/>
  <c r="BS29" i="84" s="1"/>
  <c r="H29" i="84"/>
  <c r="G29" i="84"/>
  <c r="D30" i="84"/>
  <c r="E33" i="84"/>
  <c r="D33" i="84"/>
  <c r="GK33" i="84" s="1"/>
  <c r="GM33" i="84" s="1"/>
  <c r="D25" i="147"/>
  <c r="AJ31" i="165"/>
  <c r="AJ40" i="165"/>
  <c r="AP38" i="165"/>
  <c r="AJ43" i="165"/>
  <c r="AJ24" i="147"/>
  <c r="AU24" i="147" s="1"/>
  <c r="EB24" i="147" s="1"/>
  <c r="EC24" i="147" s="1"/>
  <c r="AJ27" i="147"/>
  <c r="AJ26" i="147"/>
  <c r="AJ30" i="147"/>
  <c r="AJ32" i="147"/>
  <c r="O30" i="84"/>
  <c r="P30" i="84" s="1"/>
  <c r="O28" i="84"/>
  <c r="P28" i="84"/>
  <c r="EW72" i="84"/>
  <c r="EU32" i="84" s="1"/>
  <c r="DC70" i="84"/>
  <c r="DP70" i="84" s="1"/>
  <c r="EV56" i="160"/>
  <c r="ET16" i="160" s="1"/>
  <c r="E16" i="160"/>
  <c r="GK16" i="160" s="1"/>
  <c r="GC59" i="84"/>
  <c r="GC60" i="84" s="1"/>
  <c r="GC61" i="84" s="1"/>
  <c r="GC62" i="84" s="1"/>
  <c r="GC63" i="84" s="1"/>
  <c r="GC64" i="84" s="1"/>
  <c r="GC65" i="84" s="1"/>
  <c r="GC66" i="84" s="1"/>
  <c r="GC67" i="84" s="1"/>
  <c r="GC68" i="84" s="1"/>
  <c r="GC69" i="84" s="1"/>
  <c r="GC70" i="84" s="1"/>
  <c r="GC71" i="84" s="1"/>
  <c r="GC72" i="84" s="1"/>
  <c r="GC73" i="84" s="1"/>
  <c r="GC74" i="84" s="1"/>
  <c r="GC75" i="84" s="1"/>
  <c r="GC76" i="84" s="1"/>
  <c r="GC77" i="84" s="1"/>
  <c r="GC78" i="84" s="1"/>
  <c r="GC79" i="84" s="1"/>
  <c r="GC80" i="84" s="1"/>
  <c r="GC81" i="84" s="1"/>
  <c r="GC82" i="84" s="1"/>
  <c r="GC83" i="84" s="1"/>
  <c r="GC84" i="84" s="1"/>
  <c r="GC85" i="84" s="1"/>
  <c r="EW61" i="160"/>
  <c r="EU21" i="160" s="1"/>
  <c r="DD62" i="160"/>
  <c r="I22" i="160" s="1"/>
  <c r="BS22" i="160" s="1"/>
  <c r="GK22" i="160"/>
  <c r="EW62" i="160"/>
  <c r="EU22" i="160" s="1"/>
  <c r="EQ22" i="160" s="1"/>
  <c r="DJ62" i="160"/>
  <c r="FP56" i="160"/>
  <c r="FX56" i="160" s="1"/>
  <c r="GK18" i="165"/>
  <c r="GM18" i="165" s="1"/>
  <c r="GK26" i="165"/>
  <c r="GM26" i="165" s="1"/>
  <c r="J19" i="160"/>
  <c r="BW14" i="160"/>
  <c r="BX14" i="160" s="1"/>
  <c r="FB14" i="160" s="1"/>
  <c r="K19" i="160"/>
  <c r="DQ68" i="84"/>
  <c r="EV58" i="160"/>
  <c r="ET18" i="160" s="1"/>
  <c r="EQ18" i="160" s="1"/>
  <c r="DX58" i="160"/>
  <c r="DY58" i="160"/>
  <c r="AO40" i="147"/>
  <c r="AN40" i="147"/>
  <c r="AM40" i="147"/>
  <c r="DJ58" i="160"/>
  <c r="J18" i="160" s="1"/>
  <c r="K18" i="160" s="1"/>
  <c r="FD70" i="84"/>
  <c r="GK18" i="160"/>
  <c r="DY75" i="84"/>
  <c r="DR82" i="84"/>
  <c r="DR80" i="84"/>
  <c r="DR75" i="84"/>
  <c r="DX79" i="84"/>
  <c r="DY80" i="84"/>
  <c r="DX75" i="84"/>
  <c r="DQ85" i="84"/>
  <c r="DX74" i="84"/>
  <c r="DQ82" i="84"/>
  <c r="GK16" i="165"/>
  <c r="GM16" i="165" s="1"/>
  <c r="CP16" i="165"/>
  <c r="CQ16" i="165"/>
  <c r="GK45" i="165"/>
  <c r="GM45" i="165" s="1"/>
  <c r="DN78" i="160"/>
  <c r="DP78" i="160" s="1"/>
  <c r="DT59" i="160"/>
  <c r="DV59" i="160" s="1"/>
  <c r="AO38" i="147"/>
  <c r="AJ38" i="147"/>
  <c r="AJ29" i="147"/>
  <c r="DM82" i="160"/>
  <c r="DO82" i="160" s="1"/>
  <c r="DM61" i="160"/>
  <c r="DO61" i="160" s="1"/>
  <c r="H28" i="160"/>
  <c r="I28" i="160"/>
  <c r="BS28" i="160" s="1"/>
  <c r="G28" i="160"/>
  <c r="J41" i="160"/>
  <c r="L41" i="160"/>
  <c r="BU41" i="160" s="1"/>
  <c r="K41" i="160"/>
  <c r="L45" i="160"/>
  <c r="BU45" i="160" s="1"/>
  <c r="K45" i="160"/>
  <c r="J45" i="160"/>
  <c r="I24" i="160"/>
  <c r="BS24" i="160" s="1"/>
  <c r="H24" i="160"/>
  <c r="G24" i="160"/>
  <c r="I33" i="160"/>
  <c r="BS33" i="160" s="1"/>
  <c r="G33" i="160"/>
  <c r="H33" i="160"/>
  <c r="L27" i="160"/>
  <c r="BU27" i="160" s="1"/>
  <c r="K27" i="160"/>
  <c r="J27" i="160"/>
  <c r="L36" i="160"/>
  <c r="BU36" i="160" s="1"/>
  <c r="J36" i="160"/>
  <c r="K36" i="160"/>
  <c r="K34" i="160"/>
  <c r="J34" i="160"/>
  <c r="L34" i="160"/>
  <c r="BU34" i="160" s="1"/>
  <c r="K37" i="160"/>
  <c r="L37" i="160"/>
  <c r="BU37" i="160" s="1"/>
  <c r="J37" i="160"/>
  <c r="I41" i="160"/>
  <c r="BS41" i="160" s="1"/>
  <c r="G41" i="160"/>
  <c r="H41" i="160"/>
  <c r="I35" i="160"/>
  <c r="BS35" i="160" s="1"/>
  <c r="G35" i="160"/>
  <c r="H35" i="160"/>
  <c r="I45" i="160"/>
  <c r="BS45" i="160" s="1"/>
  <c r="H45" i="160"/>
  <c r="G45" i="160"/>
  <c r="H23" i="160"/>
  <c r="G23" i="160"/>
  <c r="I23" i="160"/>
  <c r="BS23" i="160" s="1"/>
  <c r="L40" i="160"/>
  <c r="BU40" i="160" s="1"/>
  <c r="K40" i="160"/>
  <c r="J40" i="160"/>
  <c r="DU74" i="160"/>
  <c r="DW74" i="160" s="1"/>
  <c r="G30" i="160"/>
  <c r="H30" i="160"/>
  <c r="I30" i="160"/>
  <c r="BS30" i="160" s="1"/>
  <c r="K42" i="160"/>
  <c r="J42" i="160"/>
  <c r="L42" i="160"/>
  <c r="BU42" i="160" s="1"/>
  <c r="I37" i="160"/>
  <c r="BS37" i="160" s="1"/>
  <c r="G37" i="160"/>
  <c r="H37" i="160"/>
  <c r="I16" i="160"/>
  <c r="G16" i="160"/>
  <c r="H16" i="160" s="1"/>
  <c r="L21" i="160"/>
  <c r="BU21" i="160" s="1"/>
  <c r="J21" i="160"/>
  <c r="K21" i="160" s="1"/>
  <c r="J25" i="160"/>
  <c r="L25" i="160"/>
  <c r="BU25" i="160" s="1"/>
  <c r="K25" i="160"/>
  <c r="I32" i="160"/>
  <c r="BS32" i="160" s="1"/>
  <c r="H32" i="160"/>
  <c r="G32" i="160"/>
  <c r="I19" i="160"/>
  <c r="BS19" i="160" s="1"/>
  <c r="G19" i="160"/>
  <c r="H19" i="160"/>
  <c r="K23" i="160"/>
  <c r="L23" i="160"/>
  <c r="BU23" i="160" s="1"/>
  <c r="J23" i="160"/>
  <c r="H42" i="160"/>
  <c r="G42" i="160"/>
  <c r="I42" i="160"/>
  <c r="BS42" i="160" s="1"/>
  <c r="G14" i="160"/>
  <c r="H14" i="160"/>
  <c r="I14" i="160"/>
  <c r="BS14" i="160" s="1"/>
  <c r="L43" i="160"/>
  <c r="BU43" i="160" s="1"/>
  <c r="J43" i="160"/>
  <c r="K43" i="160"/>
  <c r="L24" i="160"/>
  <c r="BU24" i="160" s="1"/>
  <c r="K24" i="160"/>
  <c r="J24" i="160"/>
  <c r="I27" i="160"/>
  <c r="BS27" i="160" s="1"/>
  <c r="G27" i="160"/>
  <c r="H27" i="160"/>
  <c r="I40" i="160"/>
  <c r="BS40" i="160" s="1"/>
  <c r="H40" i="160"/>
  <c r="G40" i="160"/>
  <c r="L14" i="160"/>
  <c r="BU14" i="160" s="1"/>
  <c r="J14" i="160"/>
  <c r="K14" i="160"/>
  <c r="K39" i="160"/>
  <c r="J39" i="160"/>
  <c r="L39" i="160"/>
  <c r="BU39" i="160" s="1"/>
  <c r="AP33" i="165"/>
  <c r="DM70" i="84"/>
  <c r="AO35" i="165"/>
  <c r="AJ35" i="165"/>
  <c r="AO27" i="165"/>
  <c r="AJ27" i="165"/>
  <c r="AJ30" i="165"/>
  <c r="AO34" i="165"/>
  <c r="AJ34" i="165"/>
  <c r="AO18" i="165"/>
  <c r="AJ18" i="165"/>
  <c r="AN25" i="165"/>
  <c r="AJ25" i="165"/>
  <c r="AN42" i="165"/>
  <c r="AJ42" i="165"/>
  <c r="EQ40" i="160"/>
  <c r="DU66" i="160"/>
  <c r="DW66" i="160" s="1"/>
  <c r="DN74" i="160"/>
  <c r="DP74" i="160" s="1"/>
  <c r="DM66" i="160"/>
  <c r="DO66" i="160" s="1"/>
  <c r="DN65" i="160"/>
  <c r="DP65" i="160" s="1"/>
  <c r="DM59" i="160"/>
  <c r="DO59" i="160" s="1"/>
  <c r="DT73" i="160"/>
  <c r="DV73" i="160" s="1"/>
  <c r="EQ37" i="160"/>
  <c r="DN70" i="160"/>
  <c r="DP70" i="160" s="1"/>
  <c r="DM80" i="160"/>
  <c r="DO80" i="160" s="1"/>
  <c r="DM76" i="160"/>
  <c r="DO76" i="160" s="1"/>
  <c r="DN72" i="160"/>
  <c r="DP72" i="160" s="1"/>
  <c r="DT82" i="160"/>
  <c r="DV82" i="160" s="1"/>
  <c r="DM75" i="160"/>
  <c r="DO75" i="160" s="1"/>
  <c r="DY80" i="160"/>
  <c r="EW70" i="160"/>
  <c r="EU30" i="160" s="1"/>
  <c r="EQ30" i="160" s="1"/>
  <c r="DJ70" i="160"/>
  <c r="EW56" i="160"/>
  <c r="EU16" i="160" s="1"/>
  <c r="DJ56" i="160"/>
  <c r="DK56" i="160" s="1"/>
  <c r="EV78" i="160"/>
  <c r="ET38" i="160" s="1"/>
  <c r="DD78" i="160"/>
  <c r="EW71" i="160"/>
  <c r="EU31" i="160" s="1"/>
  <c r="DJ71" i="160"/>
  <c r="EV79" i="160"/>
  <c r="ET39" i="160" s="1"/>
  <c r="EQ39" i="160" s="1"/>
  <c r="DD79" i="160"/>
  <c r="EQ41" i="160"/>
  <c r="EV66" i="160"/>
  <c r="ET26" i="160" s="1"/>
  <c r="DD66" i="160"/>
  <c r="EW66" i="160"/>
  <c r="EU26" i="160" s="1"/>
  <c r="DJ66" i="160"/>
  <c r="EV71" i="160"/>
  <c r="ET31" i="160" s="1"/>
  <c r="DD71" i="160"/>
  <c r="EV84" i="160"/>
  <c r="ET44" i="160" s="1"/>
  <c r="DD84" i="160"/>
  <c r="EW75" i="160"/>
  <c r="EU35" i="160" s="1"/>
  <c r="EQ35" i="160" s="1"/>
  <c r="DJ75" i="160"/>
  <c r="DU75" i="160"/>
  <c r="DW75" i="160" s="1"/>
  <c r="DU77" i="160"/>
  <c r="DW77" i="160" s="1"/>
  <c r="DN84" i="160"/>
  <c r="DP84" i="160" s="1"/>
  <c r="EV74" i="160"/>
  <c r="ET34" i="160" s="1"/>
  <c r="EQ34" i="160" s="1"/>
  <c r="DD74" i="160"/>
  <c r="EV61" i="160"/>
  <c r="ET21" i="160" s="1"/>
  <c r="DD61" i="160"/>
  <c r="EW68" i="160"/>
  <c r="EU28" i="160" s="1"/>
  <c r="EQ28" i="160" s="1"/>
  <c r="DJ68" i="160"/>
  <c r="DY59" i="160"/>
  <c r="DJ55" i="160"/>
  <c r="EW69" i="160"/>
  <c r="EU29" i="160" s="1"/>
  <c r="DJ69" i="160"/>
  <c r="EW73" i="160"/>
  <c r="EU33" i="160" s="1"/>
  <c r="EQ33" i="160" s="1"/>
  <c r="DJ73" i="160"/>
  <c r="DM58" i="160"/>
  <c r="DO58" i="160" s="1"/>
  <c r="DT57" i="160"/>
  <c r="DV57" i="160" s="1"/>
  <c r="DM60" i="160"/>
  <c r="DO60" i="160" s="1"/>
  <c r="EW78" i="160"/>
  <c r="EU38" i="160" s="1"/>
  <c r="DJ78" i="160"/>
  <c r="EW72" i="160"/>
  <c r="EU32" i="160" s="1"/>
  <c r="EQ32" i="160" s="1"/>
  <c r="DJ72" i="160"/>
  <c r="EV69" i="160"/>
  <c r="ET29" i="160" s="1"/>
  <c r="DD69" i="160"/>
  <c r="EW84" i="160"/>
  <c r="EU44" i="160" s="1"/>
  <c r="DJ84" i="160"/>
  <c r="EV83" i="160"/>
  <c r="ET43" i="160" s="1"/>
  <c r="EQ43" i="160" s="1"/>
  <c r="DD83" i="160"/>
  <c r="DX80" i="160"/>
  <c r="DX71" i="160"/>
  <c r="EQ42" i="160"/>
  <c r="EY63" i="160"/>
  <c r="EY71" i="160"/>
  <c r="DR32" i="165"/>
  <c r="M32" i="165" s="1"/>
  <c r="AN34" i="165"/>
  <c r="AP29" i="165"/>
  <c r="AP24" i="165"/>
  <c r="AM27" i="165"/>
  <c r="AM34" i="165"/>
  <c r="AN27" i="165"/>
  <c r="GM26" i="160"/>
  <c r="GM33" i="160"/>
  <c r="GM34" i="160"/>
  <c r="EY70" i="160"/>
  <c r="AP44" i="165"/>
  <c r="AP37" i="165"/>
  <c r="AP22" i="165"/>
  <c r="AP26" i="165"/>
  <c r="AP28" i="165"/>
  <c r="AP23" i="165"/>
  <c r="AP21" i="165"/>
  <c r="AP16" i="165"/>
  <c r="AP19" i="165"/>
  <c r="AP45" i="165"/>
  <c r="AP36" i="165"/>
  <c r="AP20" i="165"/>
  <c r="AP39" i="165"/>
  <c r="AP36" i="147"/>
  <c r="AP31" i="147"/>
  <c r="AP33" i="147"/>
  <c r="AP39" i="147"/>
  <c r="AP34" i="147"/>
  <c r="AP28" i="147"/>
  <c r="AP35" i="147"/>
  <c r="AN29" i="147"/>
  <c r="AP37" i="147"/>
  <c r="AP23" i="147"/>
  <c r="FK58" i="160"/>
  <c r="FJ57" i="160"/>
  <c r="FK58" i="84"/>
  <c r="FJ58" i="84" s="1"/>
  <c r="GL16" i="160"/>
  <c r="AO25" i="165"/>
  <c r="GM36" i="84"/>
  <c r="EY78" i="84"/>
  <c r="GK15" i="160"/>
  <c r="EV55" i="160"/>
  <c r="ET15" i="160" s="1"/>
  <c r="EQ15" i="160" s="1"/>
  <c r="DD55" i="160"/>
  <c r="AO29" i="147"/>
  <c r="AN38" i="147"/>
  <c r="AM38" i="147"/>
  <c r="AM29" i="147"/>
  <c r="DQ17" i="165"/>
  <c r="L17" i="165" s="1"/>
  <c r="AM25" i="165"/>
  <c r="AN35" i="165"/>
  <c r="ES17" i="165"/>
  <c r="AN30" i="165"/>
  <c r="AM42" i="165"/>
  <c r="AM30" i="165"/>
  <c r="EU17" i="165"/>
  <c r="DR17" i="165"/>
  <c r="M17" i="165" s="1"/>
  <c r="FS30" i="165"/>
  <c r="FT30" i="165"/>
  <c r="ET17" i="165"/>
  <c r="ET32" i="165"/>
  <c r="ET33" i="165"/>
  <c r="AO43" i="165"/>
  <c r="AO42" i="165"/>
  <c r="CR17" i="165"/>
  <c r="CR33" i="165"/>
  <c r="CS32" i="165"/>
  <c r="CR32" i="165"/>
  <c r="DQ32" i="165"/>
  <c r="L32" i="165" s="1"/>
  <c r="EU33" i="165"/>
  <c r="AM43" i="165"/>
  <c r="AN43" i="165"/>
  <c r="EU32" i="165"/>
  <c r="DQ33" i="165"/>
  <c r="L33" i="165" s="1"/>
  <c r="EW65" i="160"/>
  <c r="EU25" i="160" s="1"/>
  <c r="DQ65" i="160"/>
  <c r="GK30" i="165"/>
  <c r="GK25" i="160"/>
  <c r="DJ68" i="84"/>
  <c r="DD68" i="84"/>
  <c r="GK28" i="84"/>
  <c r="GM28" i="84" s="1"/>
  <c r="EQ28" i="84"/>
  <c r="BR28" i="84"/>
  <c r="DU72" i="84"/>
  <c r="DW72" i="84" s="1"/>
  <c r="GK32" i="84"/>
  <c r="GM32" i="84" s="1"/>
  <c r="GK35" i="147"/>
  <c r="GK23" i="147"/>
  <c r="GM23" i="147" s="1"/>
  <c r="GK32" i="147"/>
  <c r="GM32" i="147" s="1"/>
  <c r="GK36" i="147"/>
  <c r="GM36" i="147" s="1"/>
  <c r="GK38" i="147"/>
  <c r="GK39" i="147"/>
  <c r="GM39" i="147" s="1"/>
  <c r="GK34" i="147"/>
  <c r="GM34" i="147" s="1"/>
  <c r="GK40" i="147"/>
  <c r="GM40" i="147" s="1"/>
  <c r="GK37" i="147"/>
  <c r="GM37" i="147" s="1"/>
  <c r="GK33" i="147"/>
  <c r="GM33" i="147" s="1"/>
  <c r="GK24" i="147"/>
  <c r="DY79" i="160"/>
  <c r="DY84" i="160"/>
  <c r="AD41" i="147"/>
  <c r="AD47" i="147" s="1"/>
  <c r="DJ57" i="160"/>
  <c r="GK17" i="160"/>
  <c r="EV57" i="160"/>
  <c r="ET17" i="160" s="1"/>
  <c r="EQ17" i="160" s="1"/>
  <c r="DD57" i="160"/>
  <c r="GL31" i="147"/>
  <c r="GL26" i="147"/>
  <c r="GL20" i="160"/>
  <c r="GK20" i="160"/>
  <c r="EW60" i="160"/>
  <c r="EU20" i="160" s="1"/>
  <c r="DJ60" i="160"/>
  <c r="EV60" i="160"/>
  <c r="ET20" i="160" s="1"/>
  <c r="DD60" i="160"/>
  <c r="GK29" i="84"/>
  <c r="GM29" i="84" s="1"/>
  <c r="EW69" i="84"/>
  <c r="EU29" i="84" s="1"/>
  <c r="EQ29" i="84" s="1"/>
  <c r="DJ69" i="84"/>
  <c r="DX79" i="160"/>
  <c r="DY85" i="160"/>
  <c r="GK31" i="147"/>
  <c r="GK29" i="147"/>
  <c r="GM29" i="147" s="1"/>
  <c r="GK30" i="147"/>
  <c r="GM30" i="147" s="1"/>
  <c r="GK28" i="147"/>
  <c r="GM28" i="147" s="1"/>
  <c r="GK19" i="165"/>
  <c r="GM19" i="165" s="1"/>
  <c r="DX78" i="160"/>
  <c r="DY54" i="160"/>
  <c r="DQ75" i="84"/>
  <c r="DX56" i="160"/>
  <c r="DQ76" i="84"/>
  <c r="DX77" i="84"/>
  <c r="DY69" i="84"/>
  <c r="DX64" i="160"/>
  <c r="DX83" i="160"/>
  <c r="DX74" i="160"/>
  <c r="DR68" i="160"/>
  <c r="DQ84" i="160"/>
  <c r="DQ83" i="160"/>
  <c r="DQ70" i="160"/>
  <c r="DQ71" i="160"/>
  <c r="DQ79" i="160"/>
  <c r="DQ56" i="160"/>
  <c r="DR83" i="160"/>
  <c r="DR71" i="160"/>
  <c r="DR79" i="160"/>
  <c r="DR76" i="160"/>
  <c r="DR56" i="160"/>
  <c r="DR57" i="160"/>
  <c r="DR54" i="160"/>
  <c r="DQ77" i="160"/>
  <c r="DR59" i="160"/>
  <c r="DQ68" i="160"/>
  <c r="DR64" i="160"/>
  <c r="DQ72" i="160"/>
  <c r="DQ69" i="160"/>
  <c r="DR81" i="160"/>
  <c r="DQ64" i="160"/>
  <c r="DR80" i="160"/>
  <c r="DR63" i="160"/>
  <c r="DR60" i="160"/>
  <c r="DR69" i="160"/>
  <c r="DR75" i="160"/>
  <c r="DR62" i="160"/>
  <c r="DR77" i="160"/>
  <c r="DQ81" i="160"/>
  <c r="DQ63" i="160"/>
  <c r="DQ62" i="160"/>
  <c r="DQ67" i="160"/>
  <c r="DQ73" i="160"/>
  <c r="DQ55" i="160"/>
  <c r="DQ85" i="160"/>
  <c r="DQ78" i="160"/>
  <c r="DQ57" i="160"/>
  <c r="DQ54" i="160"/>
  <c r="DQ74" i="160"/>
  <c r="DR61" i="160"/>
  <c r="DR67" i="160"/>
  <c r="DR82" i="160"/>
  <c r="DR73" i="160"/>
  <c r="DR66" i="160"/>
  <c r="DR55" i="160"/>
  <c r="DR85" i="160"/>
  <c r="DX80" i="84"/>
  <c r="DQ81" i="84"/>
  <c r="DX68" i="84"/>
  <c r="GM45" i="160"/>
  <c r="DX66" i="160"/>
  <c r="GM42" i="160"/>
  <c r="DY71" i="84"/>
  <c r="DJ71" i="84"/>
  <c r="DY77" i="84"/>
  <c r="GM41" i="84"/>
  <c r="GK31" i="84"/>
  <c r="GM31" i="84" s="1"/>
  <c r="EV71" i="84"/>
  <c r="ET31" i="84" s="1"/>
  <c r="EQ31" i="84" s="1"/>
  <c r="DD71" i="84"/>
  <c r="DY56" i="160"/>
  <c r="EY82" i="84"/>
  <c r="DX84" i="160"/>
  <c r="DR81" i="84"/>
  <c r="DY68" i="84"/>
  <c r="GM36" i="160"/>
  <c r="GM31" i="160"/>
  <c r="EY80" i="160"/>
  <c r="DR68" i="84"/>
  <c r="DY83" i="160"/>
  <c r="EY83" i="160"/>
  <c r="DY64" i="160"/>
  <c r="GM40" i="84"/>
  <c r="GM37" i="160"/>
  <c r="GM42" i="84"/>
  <c r="EY66" i="160"/>
  <c r="GL17" i="160"/>
  <c r="DR85" i="84"/>
  <c r="DR76" i="84"/>
  <c r="DX85" i="160"/>
  <c r="GM23" i="160"/>
  <c r="DQ80" i="84"/>
  <c r="DX54" i="160"/>
  <c r="DX75" i="160"/>
  <c r="EY75" i="84"/>
  <c r="DY78" i="160"/>
  <c r="DY74" i="84"/>
  <c r="EY67" i="160"/>
  <c r="GM34" i="84"/>
  <c r="DQ73" i="84"/>
  <c r="GM39" i="84"/>
  <c r="DR73" i="84"/>
  <c r="GM35" i="160"/>
  <c r="GM27" i="160"/>
  <c r="GM38" i="160"/>
  <c r="GL29" i="165"/>
  <c r="GM43" i="160"/>
  <c r="EY69" i="160"/>
  <c r="GM44" i="84"/>
  <c r="GL35" i="147"/>
  <c r="GM14" i="160"/>
  <c r="GL38" i="147"/>
  <c r="GL18" i="160"/>
  <c r="GL35" i="165"/>
  <c r="DQ69" i="84"/>
  <c r="DY79" i="84"/>
  <c r="DY71" i="160"/>
  <c r="EY74" i="160"/>
  <c r="GM30" i="160"/>
  <c r="GM40" i="160"/>
  <c r="DR69" i="84"/>
  <c r="EY64" i="160"/>
  <c r="AM35" i="165"/>
  <c r="GM29" i="160"/>
  <c r="DY70" i="160"/>
  <c r="DR72" i="84"/>
  <c r="GL30" i="165"/>
  <c r="DR83" i="84"/>
  <c r="DQ83" i="84"/>
  <c r="GL21" i="160"/>
  <c r="GM21" i="160" s="1"/>
  <c r="GM32" i="160"/>
  <c r="AM18" i="165"/>
  <c r="GL17" i="165"/>
  <c r="DX55" i="160"/>
  <c r="DX63" i="160"/>
  <c r="DX73" i="84"/>
  <c r="GL41" i="160"/>
  <c r="GM41" i="160" s="1"/>
  <c r="DY63" i="160"/>
  <c r="DX72" i="160"/>
  <c r="AN40" i="165"/>
  <c r="AM40" i="165"/>
  <c r="AO40" i="165"/>
  <c r="AO31" i="165"/>
  <c r="AM31" i="165"/>
  <c r="AN31" i="165"/>
  <c r="EY68" i="160"/>
  <c r="GL38" i="84"/>
  <c r="GM38" i="84" s="1"/>
  <c r="AN18" i="165"/>
  <c r="DX69" i="84"/>
  <c r="DY55" i="160"/>
  <c r="AM32" i="147"/>
  <c r="AN32" i="147"/>
  <c r="AO32" i="147"/>
  <c r="DY73" i="84"/>
  <c r="AM27" i="147"/>
  <c r="AO27" i="147"/>
  <c r="AN27" i="147"/>
  <c r="AM24" i="147"/>
  <c r="AN24" i="147"/>
  <c r="AO24" i="147"/>
  <c r="DY72" i="160"/>
  <c r="EY85" i="84"/>
  <c r="GM24" i="160"/>
  <c r="DX70" i="160"/>
  <c r="AO30" i="147"/>
  <c r="AM30" i="147"/>
  <c r="AN30" i="147"/>
  <c r="EY77" i="84"/>
  <c r="AO26" i="147"/>
  <c r="AN26" i="147"/>
  <c r="AM26" i="147"/>
  <c r="DY61" i="160"/>
  <c r="DX81" i="84"/>
  <c r="DX76" i="84"/>
  <c r="DY78" i="84"/>
  <c r="DX77" i="160"/>
  <c r="EY59" i="160"/>
  <c r="DX61" i="160"/>
  <c r="DY76" i="160"/>
  <c r="GL24" i="147"/>
  <c r="DY81" i="84"/>
  <c r="DX81" i="160"/>
  <c r="DY69" i="160"/>
  <c r="GL43" i="84"/>
  <c r="GM43" i="84" s="1"/>
  <c r="DX60" i="160"/>
  <c r="GL20" i="165"/>
  <c r="DX68" i="160"/>
  <c r="GL39" i="160"/>
  <c r="GM39" i="160" s="1"/>
  <c r="DX76" i="160"/>
  <c r="GM19" i="160"/>
  <c r="DY81" i="160"/>
  <c r="DX69" i="160"/>
  <c r="GL28" i="165"/>
  <c r="DQ84" i="84"/>
  <c r="DY60" i="160"/>
  <c r="DQ74" i="84"/>
  <c r="DY82" i="84"/>
  <c r="DY83" i="84"/>
  <c r="DR74" i="84"/>
  <c r="DX84" i="84"/>
  <c r="DX82" i="84"/>
  <c r="DX83" i="84"/>
  <c r="GL28" i="160"/>
  <c r="GM28" i="160" s="1"/>
  <c r="GL37" i="84"/>
  <c r="GM37" i="84" s="1"/>
  <c r="EY84" i="160"/>
  <c r="DR77" i="84"/>
  <c r="CS19" i="165"/>
  <c r="DR19" i="165"/>
  <c r="M19" i="165" s="1"/>
  <c r="DQ19" i="165"/>
  <c r="L19" i="165" s="1"/>
  <c r="DX78" i="84"/>
  <c r="DR79" i="84"/>
  <c r="DY65" i="160"/>
  <c r="EY74" i="84"/>
  <c r="GL41" i="165"/>
  <c r="DR78" i="84"/>
  <c r="GL25" i="160"/>
  <c r="GL15" i="160"/>
  <c r="DY57" i="160"/>
  <c r="DX67" i="160"/>
  <c r="DX85" i="84"/>
  <c r="DX62" i="160"/>
  <c r="EY84" i="84"/>
  <c r="DY68" i="160"/>
  <c r="DQ78" i="84"/>
  <c r="GL27" i="165"/>
  <c r="DY84" i="84"/>
  <c r="DQ79" i="84"/>
  <c r="DQ77" i="84"/>
  <c r="GI87" i="84"/>
  <c r="GJ87" i="84" s="1"/>
  <c r="DY73" i="160"/>
  <c r="DX65" i="160"/>
  <c r="EU38" i="165"/>
  <c r="ET38" i="165"/>
  <c r="CS38" i="165"/>
  <c r="CR38" i="165"/>
  <c r="DQ38" i="165"/>
  <c r="L38" i="165" s="1"/>
  <c r="ES38" i="165"/>
  <c r="DR38" i="165"/>
  <c r="M38" i="165" s="1"/>
  <c r="DR84" i="84"/>
  <c r="DY67" i="160"/>
  <c r="ES28" i="165"/>
  <c r="CS41" i="165"/>
  <c r="CR41" i="165"/>
  <c r="ES41" i="165"/>
  <c r="DQ41" i="165"/>
  <c r="L41" i="165" s="1"/>
  <c r="ET41" i="165"/>
  <c r="DR41" i="165"/>
  <c r="M41" i="165" s="1"/>
  <c r="EU41" i="165"/>
  <c r="EY85" i="160"/>
  <c r="DY85" i="84"/>
  <c r="DY62" i="160"/>
  <c r="GM44" i="160"/>
  <c r="DY82" i="160"/>
  <c r="GL22" i="160"/>
  <c r="GL35" i="84"/>
  <c r="GM35" i="84" s="1"/>
  <c r="DY76" i="84"/>
  <c r="FP24" i="147" l="1"/>
  <c r="ED24" i="147"/>
  <c r="EP28" i="165"/>
  <c r="EO28" i="165"/>
  <c r="EH36" i="165"/>
  <c r="EP44" i="165"/>
  <c r="EP36" i="165"/>
  <c r="EP39" i="165"/>
  <c r="EO44" i="165"/>
  <c r="EP29" i="165"/>
  <c r="EP38" i="165"/>
  <c r="EO21" i="165"/>
  <c r="EP21" i="165"/>
  <c r="EO39" i="165"/>
  <c r="EH44" i="165"/>
  <c r="EO19" i="165"/>
  <c r="EP19" i="165"/>
  <c r="EI38" i="165"/>
  <c r="EI33" i="165"/>
  <c r="EP33" i="165"/>
  <c r="EO16" i="165"/>
  <c r="EP16" i="165"/>
  <c r="EO26" i="165"/>
  <c r="EP26" i="165"/>
  <c r="EI26" i="165"/>
  <c r="EH28" i="165"/>
  <c r="EO33" i="165"/>
  <c r="EO36" i="165"/>
  <c r="EI28" i="165"/>
  <c r="EO38" i="165"/>
  <c r="EP37" i="165"/>
  <c r="EO45" i="165"/>
  <c r="EI45" i="165"/>
  <c r="EH33" i="165"/>
  <c r="EP45" i="165"/>
  <c r="DQ33" i="147"/>
  <c r="L33" i="147" s="1"/>
  <c r="EP28" i="147"/>
  <c r="EH28" i="147"/>
  <c r="EI28" i="147"/>
  <c r="EO28" i="147"/>
  <c r="EI31" i="147"/>
  <c r="EP31" i="147"/>
  <c r="EO31" i="147"/>
  <c r="EH31" i="147"/>
  <c r="EO34" i="147"/>
  <c r="EH34" i="147"/>
  <c r="EI34" i="147"/>
  <c r="EP34" i="147"/>
  <c r="EI39" i="147"/>
  <c r="EP39" i="147"/>
  <c r="EO39" i="147"/>
  <c r="EH39" i="147"/>
  <c r="EI35" i="147"/>
  <c r="EH35" i="147"/>
  <c r="EO35" i="147"/>
  <c r="EP35" i="147"/>
  <c r="EO37" i="147"/>
  <c r="EH37" i="147"/>
  <c r="EP37" i="147"/>
  <c r="EI37" i="147"/>
  <c r="ET35" i="147"/>
  <c r="Q35" i="147" s="1"/>
  <c r="EI33" i="147"/>
  <c r="EO33" i="147"/>
  <c r="EH33" i="147"/>
  <c r="EP33" i="147"/>
  <c r="EP36" i="147"/>
  <c r="EH36" i="147"/>
  <c r="EI36" i="147"/>
  <c r="EO36" i="147"/>
  <c r="EI23" i="147"/>
  <c r="EH23" i="147"/>
  <c r="EP23" i="147"/>
  <c r="DO71" i="84"/>
  <c r="DQ71" i="84" s="1"/>
  <c r="ER31" i="84"/>
  <c r="DP71" i="84"/>
  <c r="DR71" i="84" s="1"/>
  <c r="DO70" i="84"/>
  <c r="DI70" i="84"/>
  <c r="EW70" i="84" s="1"/>
  <c r="EU30" i="84" s="1"/>
  <c r="DV70" i="84"/>
  <c r="DL20" i="165"/>
  <c r="DB20" i="165"/>
  <c r="EB20" i="165"/>
  <c r="EC20" i="165" s="1"/>
  <c r="EP20" i="165" s="1"/>
  <c r="ED22" i="165"/>
  <c r="FP22" i="165"/>
  <c r="EO24" i="165"/>
  <c r="EP24" i="165"/>
  <c r="EH24" i="165"/>
  <c r="EI24" i="165"/>
  <c r="EK31" i="165"/>
  <c r="N28" i="165"/>
  <c r="P28" i="165"/>
  <c r="O28" i="165"/>
  <c r="R38" i="165"/>
  <c r="Q38" i="165"/>
  <c r="S38" i="165"/>
  <c r="S33" i="165"/>
  <c r="R33" i="165"/>
  <c r="Q33" i="165"/>
  <c r="EK41" i="165"/>
  <c r="EI41" i="165"/>
  <c r="EK19" i="165"/>
  <c r="EI19" i="165"/>
  <c r="EK37" i="165"/>
  <c r="EI37" i="165"/>
  <c r="EJ31" i="165"/>
  <c r="GM20" i="165"/>
  <c r="S32" i="165"/>
  <c r="R32" i="165"/>
  <c r="Q32" i="165"/>
  <c r="EJ41" i="165"/>
  <c r="EH41" i="165"/>
  <c r="EJ19" i="165"/>
  <c r="EH19" i="165"/>
  <c r="EJ37" i="165"/>
  <c r="EH37" i="165"/>
  <c r="EJ30" i="165"/>
  <c r="R17" i="165"/>
  <c r="Q17" i="165"/>
  <c r="S17" i="165"/>
  <c r="P17" i="165"/>
  <c r="O17" i="165"/>
  <c r="N17" i="165"/>
  <c r="EK30" i="165"/>
  <c r="S41" i="165"/>
  <c r="R41" i="165"/>
  <c r="Q41" i="165"/>
  <c r="EK43" i="165"/>
  <c r="EK21" i="165"/>
  <c r="EI21" i="165"/>
  <c r="EK39" i="165"/>
  <c r="EI39" i="165"/>
  <c r="EJ16" i="165"/>
  <c r="EH16" i="165"/>
  <c r="EJ43" i="165"/>
  <c r="EJ21" i="165"/>
  <c r="EH21" i="165"/>
  <c r="EJ39" i="165"/>
  <c r="EH39" i="165"/>
  <c r="EK16" i="165"/>
  <c r="EI16" i="165"/>
  <c r="EK29" i="165"/>
  <c r="EI29" i="165"/>
  <c r="EK34" i="165"/>
  <c r="P38" i="165"/>
  <c r="O38" i="165"/>
  <c r="N38" i="165"/>
  <c r="P41" i="165"/>
  <c r="O41" i="165"/>
  <c r="N41" i="165"/>
  <c r="EJ34" i="165"/>
  <c r="EJ29" i="165"/>
  <c r="EH29" i="165"/>
  <c r="AU27" i="147"/>
  <c r="FT27" i="147"/>
  <c r="FS27" i="147"/>
  <c r="N22" i="165"/>
  <c r="O22" i="165" s="1"/>
  <c r="P22" i="165"/>
  <c r="DL23" i="165"/>
  <c r="EZ23" i="165"/>
  <c r="EE23" i="165" s="1"/>
  <c r="FC23" i="165"/>
  <c r="EL23" i="165" s="1"/>
  <c r="EZ22" i="165"/>
  <c r="EE22" i="165" s="1"/>
  <c r="FC22" i="165"/>
  <c r="EL22" i="165" s="1"/>
  <c r="DR22" i="165"/>
  <c r="M22" i="165" s="1"/>
  <c r="EJ82" i="165"/>
  <c r="EL82" i="165" s="1"/>
  <c r="EJ81" i="165"/>
  <c r="EL81" i="165" s="1"/>
  <c r="DB23" i="165"/>
  <c r="CR22" i="165"/>
  <c r="DL22" i="165"/>
  <c r="ET22" i="165"/>
  <c r="DB22" i="165"/>
  <c r="P35" i="147"/>
  <c r="O35" i="147"/>
  <c r="N35" i="147"/>
  <c r="AU26" i="147"/>
  <c r="FT26" i="147"/>
  <c r="FS26" i="147"/>
  <c r="CR37" i="147"/>
  <c r="P33" i="147"/>
  <c r="O33" i="147"/>
  <c r="N33" i="147"/>
  <c r="DR31" i="147"/>
  <c r="M31" i="147" s="1"/>
  <c r="R35" i="147"/>
  <c r="GM27" i="165"/>
  <c r="FC24" i="147"/>
  <c r="EL24" i="147" s="1"/>
  <c r="EZ24" i="147"/>
  <c r="EE24" i="147" s="1"/>
  <c r="GM41" i="165"/>
  <c r="DL23" i="147"/>
  <c r="DB23" i="147"/>
  <c r="DV23" i="147"/>
  <c r="BS16" i="160"/>
  <c r="EX56" i="160"/>
  <c r="AH16" i="160"/>
  <c r="AG16" i="160"/>
  <c r="GM17" i="165"/>
  <c r="DQ31" i="147"/>
  <c r="L31" i="147" s="1"/>
  <c r="ES31" i="147"/>
  <c r="CS33" i="165"/>
  <c r="DR33" i="165"/>
  <c r="M33" i="165" s="1"/>
  <c r="EV72" i="84"/>
  <c r="ET32" i="84" s="1"/>
  <c r="EQ32" i="84" s="1"/>
  <c r="E30" i="84"/>
  <c r="GK30" i="84" s="1"/>
  <c r="GM30" i="84" s="1"/>
  <c r="AU38" i="147"/>
  <c r="CR38" i="147" s="1"/>
  <c r="AZ38" i="147"/>
  <c r="AU32" i="147"/>
  <c r="AZ32" i="147"/>
  <c r="AU40" i="147"/>
  <c r="ET40" i="147" s="1"/>
  <c r="AZ40" i="147"/>
  <c r="AY27" i="147"/>
  <c r="AY28" i="147" s="1"/>
  <c r="AY29" i="147" s="1"/>
  <c r="AY30" i="147" s="1"/>
  <c r="AY31" i="147" s="1"/>
  <c r="AY32" i="147" s="1"/>
  <c r="AY33" i="147" s="1"/>
  <c r="AY34" i="147" s="1"/>
  <c r="AY35" i="147" s="1"/>
  <c r="AY36" i="147" s="1"/>
  <c r="AY37" i="147" s="1"/>
  <c r="AY38" i="147" s="1"/>
  <c r="AY39" i="147" s="1"/>
  <c r="AY40" i="147" s="1"/>
  <c r="DV22" i="165"/>
  <c r="FU22" i="165" s="1"/>
  <c r="FV29" i="165"/>
  <c r="AU34" i="165"/>
  <c r="EI34" i="165" s="1"/>
  <c r="FV41" i="165"/>
  <c r="DV23" i="165"/>
  <c r="DV36" i="165"/>
  <c r="DV44" i="165"/>
  <c r="DV26" i="165"/>
  <c r="DV19" i="165"/>
  <c r="AU42" i="165"/>
  <c r="AU30" i="165"/>
  <c r="EJ89" i="165" s="1"/>
  <c r="EL89" i="165" s="1"/>
  <c r="DV38" i="165"/>
  <c r="DV20" i="165"/>
  <c r="DW20" i="165" s="1"/>
  <c r="AU27" i="165"/>
  <c r="AU43" i="165"/>
  <c r="EP43" i="165" s="1"/>
  <c r="DV24" i="165"/>
  <c r="DV33" i="165"/>
  <c r="DV45" i="165"/>
  <c r="EJ104" i="165"/>
  <c r="EL104" i="165" s="1"/>
  <c r="GM35" i="165"/>
  <c r="AU25" i="165"/>
  <c r="AU31" i="165"/>
  <c r="FV32" i="165"/>
  <c r="DV39" i="165"/>
  <c r="AU35" i="165"/>
  <c r="FU41" i="165"/>
  <c r="DV21" i="165"/>
  <c r="AU18" i="165"/>
  <c r="EP18" i="165" s="1"/>
  <c r="DV37" i="165"/>
  <c r="GM28" i="165"/>
  <c r="AU40" i="165"/>
  <c r="FU32" i="165"/>
  <c r="DV28" i="165"/>
  <c r="DV29" i="165"/>
  <c r="AU30" i="147"/>
  <c r="AZ30" i="147"/>
  <c r="AU29" i="147"/>
  <c r="AZ29" i="147"/>
  <c r="DL24" i="147"/>
  <c r="DB24" i="147"/>
  <c r="DV24" i="147"/>
  <c r="DW24" i="147" s="1"/>
  <c r="CL24" i="147" s="1"/>
  <c r="DB27" i="147"/>
  <c r="DL27" i="147"/>
  <c r="DV27" i="147"/>
  <c r="E25" i="147"/>
  <c r="GK25" i="147" s="1"/>
  <c r="GM25" i="147" s="1"/>
  <c r="AP26" i="147"/>
  <c r="EU35" i="147"/>
  <c r="DR33" i="147"/>
  <c r="M33" i="147" s="1"/>
  <c r="DQ35" i="147"/>
  <c r="L35" i="147" s="1"/>
  <c r="ER16" i="165"/>
  <c r="EL97" i="165"/>
  <c r="ET33" i="147"/>
  <c r="EU33" i="147"/>
  <c r="DR35" i="147"/>
  <c r="M35" i="147" s="1"/>
  <c r="FC25" i="147"/>
  <c r="EL25" i="147" s="1"/>
  <c r="CS37" i="147"/>
  <c r="CR36" i="147"/>
  <c r="EJ98" i="165"/>
  <c r="EL98" i="165" s="1"/>
  <c r="ET39" i="165"/>
  <c r="EJ75" i="165"/>
  <c r="EL75" i="165" s="1"/>
  <c r="ET39" i="147"/>
  <c r="DR39" i="147"/>
  <c r="M39" i="147" s="1"/>
  <c r="CS28" i="165"/>
  <c r="ET24" i="165"/>
  <c r="CS39" i="165"/>
  <c r="EU31" i="147"/>
  <c r="ES39" i="147"/>
  <c r="DQ39" i="147"/>
  <c r="L39" i="147" s="1"/>
  <c r="DQ39" i="165"/>
  <c r="L39" i="165" s="1"/>
  <c r="ET31" i="147"/>
  <c r="EU39" i="147"/>
  <c r="EL88" i="165"/>
  <c r="DQ40" i="147"/>
  <c r="L40" i="147" s="1"/>
  <c r="DR40" i="147"/>
  <c r="M40" i="147" s="1"/>
  <c r="ES40" i="147"/>
  <c r="DQ34" i="147"/>
  <c r="L34" i="147" s="1"/>
  <c r="DR34" i="147"/>
  <c r="M34" i="147" s="1"/>
  <c r="EU34" i="147"/>
  <c r="ET34" i="147"/>
  <c r="ES34" i="147"/>
  <c r="EU19" i="165"/>
  <c r="ET16" i="165"/>
  <c r="CS24" i="165"/>
  <c r="EU23" i="147"/>
  <c r="DQ23" i="147"/>
  <c r="L23" i="147" s="1"/>
  <c r="DR23" i="147"/>
  <c r="M23" i="147" s="1"/>
  <c r="ES23" i="147"/>
  <c r="ET23" i="147"/>
  <c r="ET19" i="165"/>
  <c r="EQ16" i="165"/>
  <c r="ES33" i="165"/>
  <c r="EU36" i="147"/>
  <c r="DR36" i="147"/>
  <c r="M36" i="147" s="1"/>
  <c r="DQ36" i="147"/>
  <c r="L36" i="147" s="1"/>
  <c r="ET36" i="147"/>
  <c r="ES36" i="147"/>
  <c r="DQ37" i="147"/>
  <c r="L37" i="147" s="1"/>
  <c r="DR37" i="147"/>
  <c r="M37" i="147" s="1"/>
  <c r="EU37" i="147"/>
  <c r="ES37" i="147"/>
  <c r="ET37" i="147"/>
  <c r="CR19" i="165"/>
  <c r="ES19" i="165"/>
  <c r="DQ24" i="165"/>
  <c r="L24" i="165" s="1"/>
  <c r="DQ28" i="147"/>
  <c r="L28" i="147" s="1"/>
  <c r="DR28" i="147"/>
  <c r="M28" i="147" s="1"/>
  <c r="EU28" i="147"/>
  <c r="ET28" i="147"/>
  <c r="ES28" i="147"/>
  <c r="F17" i="165"/>
  <c r="CP17" i="165"/>
  <c r="CK17" i="165" s="1"/>
  <c r="ER17" i="165"/>
  <c r="CH17" i="165"/>
  <c r="EQ17" i="165"/>
  <c r="I17" i="165"/>
  <c r="EJ80" i="165"/>
  <c r="EL80" i="165" s="1"/>
  <c r="EJ79" i="165"/>
  <c r="EL79" i="165" s="1"/>
  <c r="EJ96" i="165"/>
  <c r="EL96" i="165" s="1"/>
  <c r="EJ87" i="165"/>
  <c r="EL87" i="165" s="1"/>
  <c r="ES24" i="165"/>
  <c r="EJ103" i="165"/>
  <c r="EL103" i="165" s="1"/>
  <c r="DR24" i="165"/>
  <c r="M24" i="165" s="1"/>
  <c r="EJ83" i="165"/>
  <c r="EL83" i="165" s="1"/>
  <c r="EJ95" i="165"/>
  <c r="EL95" i="165" s="1"/>
  <c r="EU24" i="165"/>
  <c r="CR24" i="165"/>
  <c r="EJ85" i="165"/>
  <c r="EL85" i="165" s="1"/>
  <c r="AP40" i="147"/>
  <c r="GM29" i="165"/>
  <c r="DX71" i="84"/>
  <c r="EO31" i="84" s="1"/>
  <c r="EY56" i="160"/>
  <c r="FD15" i="160"/>
  <c r="T34" i="84"/>
  <c r="S34" i="84"/>
  <c r="V39" i="84"/>
  <c r="U39" i="84"/>
  <c r="I28" i="84"/>
  <c r="G28" i="84"/>
  <c r="H28" i="84" s="1"/>
  <c r="V40" i="84"/>
  <c r="U40" i="84"/>
  <c r="V44" i="84"/>
  <c r="U44" i="84"/>
  <c r="V43" i="84"/>
  <c r="U43" i="84"/>
  <c r="T41" i="84"/>
  <c r="S41" i="84"/>
  <c r="J28" i="84"/>
  <c r="K28" i="84" s="1"/>
  <c r="L28" i="84"/>
  <c r="U42" i="84"/>
  <c r="V42" i="84"/>
  <c r="T43" i="84"/>
  <c r="S43" i="84"/>
  <c r="V37" i="84"/>
  <c r="U37" i="84"/>
  <c r="V29" i="84"/>
  <c r="U29" i="84"/>
  <c r="V36" i="84"/>
  <c r="U36" i="84"/>
  <c r="S28" i="84"/>
  <c r="U28" i="84"/>
  <c r="V35" i="84"/>
  <c r="U35" i="84"/>
  <c r="T44" i="84"/>
  <c r="S44" i="84"/>
  <c r="T35" i="84"/>
  <c r="S35" i="84"/>
  <c r="T29" i="84"/>
  <c r="S29" i="84"/>
  <c r="S39" i="84"/>
  <c r="T39" i="84"/>
  <c r="T42" i="84"/>
  <c r="S42" i="84"/>
  <c r="S31" i="84"/>
  <c r="U34" i="84"/>
  <c r="V34" i="84"/>
  <c r="G31" i="84"/>
  <c r="H31" i="84" s="1"/>
  <c r="I31" i="84"/>
  <c r="L31" i="84"/>
  <c r="J31" i="84"/>
  <c r="K31" i="84" s="1"/>
  <c r="L29" i="84"/>
  <c r="BU29" i="84" s="1"/>
  <c r="K29" i="84"/>
  <c r="J29" i="84"/>
  <c r="S40" i="84"/>
  <c r="T40" i="84"/>
  <c r="T38" i="84"/>
  <c r="S38" i="84"/>
  <c r="T37" i="84"/>
  <c r="S37" i="84"/>
  <c r="U41" i="84"/>
  <c r="V41" i="84"/>
  <c r="U38" i="84"/>
  <c r="V38" i="84"/>
  <c r="U33" i="84"/>
  <c r="V33" i="84"/>
  <c r="T33" i="84"/>
  <c r="S33" i="84"/>
  <c r="T36" i="84"/>
  <c r="S36" i="84"/>
  <c r="U31" i="84"/>
  <c r="I16" i="165"/>
  <c r="K16" i="165"/>
  <c r="AS16" i="165" s="1"/>
  <c r="J16" i="165"/>
  <c r="H16" i="165"/>
  <c r="F16" i="165"/>
  <c r="G16" i="165" s="1"/>
  <c r="DJ72" i="84"/>
  <c r="DX72" i="84"/>
  <c r="EQ16" i="160"/>
  <c r="GM16" i="160"/>
  <c r="DQ70" i="84"/>
  <c r="DX70" i="84"/>
  <c r="GF58" i="84"/>
  <c r="EQ21" i="160"/>
  <c r="GM22" i="160"/>
  <c r="G22" i="160"/>
  <c r="L22" i="160"/>
  <c r="BU22" i="160" s="1"/>
  <c r="DK62" i="160"/>
  <c r="J22" i="160"/>
  <c r="K22" i="160" s="1"/>
  <c r="FN56" i="160"/>
  <c r="BY14" i="160"/>
  <c r="EX14" i="160"/>
  <c r="DB18" i="165"/>
  <c r="DL18" i="165"/>
  <c r="DR58" i="160"/>
  <c r="EC58" i="160" s="1"/>
  <c r="W18" i="160" s="1"/>
  <c r="GK22" i="165"/>
  <c r="GM22" i="165" s="1"/>
  <c r="DD58" i="160"/>
  <c r="I18" i="160" s="1"/>
  <c r="BS18" i="160" s="1"/>
  <c r="DD73" i="84"/>
  <c r="EV73" i="84"/>
  <c r="ET33" i="84" s="1"/>
  <c r="DJ73" i="84"/>
  <c r="EW73" i="84"/>
  <c r="EU33" i="84" s="1"/>
  <c r="EJ93" i="165"/>
  <c r="EL93" i="165" s="1"/>
  <c r="FV22" i="165"/>
  <c r="AA15" i="147"/>
  <c r="L18" i="160"/>
  <c r="BU18" i="160" s="1"/>
  <c r="EO35" i="84"/>
  <c r="GM18" i="160"/>
  <c r="EC75" i="84"/>
  <c r="W35" i="84" s="1"/>
  <c r="EN45" i="84"/>
  <c r="EN35" i="84"/>
  <c r="EN42" i="84"/>
  <c r="EO40" i="84"/>
  <c r="DR78" i="160"/>
  <c r="T38" i="160" s="1"/>
  <c r="EC80" i="84"/>
  <c r="W40" i="84" s="1"/>
  <c r="DY72" i="84"/>
  <c r="EN40" i="84"/>
  <c r="DR72" i="160"/>
  <c r="EC72" i="160" s="1"/>
  <c r="W32" i="160" s="1"/>
  <c r="DY66" i="160"/>
  <c r="V26" i="160" s="1"/>
  <c r="DQ60" i="160"/>
  <c r="EN20" i="160" s="1"/>
  <c r="DX73" i="160"/>
  <c r="EO33" i="160" s="1"/>
  <c r="DQ82" i="160"/>
  <c r="EN42" i="160" s="1"/>
  <c r="DQ76" i="160"/>
  <c r="EN36" i="160" s="1"/>
  <c r="DR70" i="160"/>
  <c r="S30" i="160" s="1"/>
  <c r="DX57" i="160"/>
  <c r="EO17" i="160" s="1"/>
  <c r="DQ75" i="160"/>
  <c r="EN35" i="160" s="1"/>
  <c r="DQ59" i="160"/>
  <c r="EN19" i="160" s="1"/>
  <c r="DQ80" i="160"/>
  <c r="EN40" i="160" s="1"/>
  <c r="DQ58" i="160"/>
  <c r="DX82" i="160"/>
  <c r="EO42" i="160" s="1"/>
  <c r="DQ61" i="160"/>
  <c r="EN21" i="160" s="1"/>
  <c r="CK16" i="165"/>
  <c r="DX59" i="160"/>
  <c r="EO19" i="160" s="1"/>
  <c r="DR74" i="160"/>
  <c r="T34" i="160" s="1"/>
  <c r="DQ66" i="160"/>
  <c r="EN26" i="160" s="1"/>
  <c r="DY74" i="160"/>
  <c r="V34" i="160" s="1"/>
  <c r="V38" i="160"/>
  <c r="U38" i="160"/>
  <c r="T45" i="160"/>
  <c r="S45" i="160"/>
  <c r="V45" i="160"/>
  <c r="U45" i="160"/>
  <c r="L32" i="160"/>
  <c r="BU32" i="160" s="1"/>
  <c r="K32" i="160"/>
  <c r="J32" i="160"/>
  <c r="J33" i="160"/>
  <c r="K33" i="160"/>
  <c r="L33" i="160"/>
  <c r="BU33" i="160" s="1"/>
  <c r="I21" i="160"/>
  <c r="BS21" i="160" s="1"/>
  <c r="G21" i="160"/>
  <c r="H21" i="160" s="1"/>
  <c r="K31" i="160"/>
  <c r="J31" i="160"/>
  <c r="L31" i="160"/>
  <c r="BU31" i="160" s="1"/>
  <c r="V41" i="160"/>
  <c r="U41" i="160"/>
  <c r="U29" i="160"/>
  <c r="V29" i="160"/>
  <c r="U21" i="160"/>
  <c r="U32" i="160"/>
  <c r="V32" i="160"/>
  <c r="T15" i="160"/>
  <c r="S15" i="160"/>
  <c r="T37" i="160"/>
  <c r="S37" i="160"/>
  <c r="T23" i="160"/>
  <c r="S23" i="160"/>
  <c r="T24" i="160"/>
  <c r="S24" i="160"/>
  <c r="T36" i="160"/>
  <c r="S36" i="160"/>
  <c r="T28" i="160"/>
  <c r="S28" i="160"/>
  <c r="I44" i="160"/>
  <c r="BS44" i="160" s="1"/>
  <c r="H44" i="160"/>
  <c r="G44" i="160"/>
  <c r="V33" i="160"/>
  <c r="U33" i="160"/>
  <c r="V25" i="160"/>
  <c r="U25" i="160"/>
  <c r="U20" i="160"/>
  <c r="V43" i="160"/>
  <c r="U43" i="160"/>
  <c r="U16" i="160"/>
  <c r="V14" i="160"/>
  <c r="U14" i="160"/>
  <c r="J17" i="160"/>
  <c r="K17" i="160"/>
  <c r="L17" i="160"/>
  <c r="BU17" i="160" s="1"/>
  <c r="I43" i="160"/>
  <c r="BS43" i="160" s="1"/>
  <c r="G43" i="160"/>
  <c r="H43" i="160"/>
  <c r="L38" i="160"/>
  <c r="BU38" i="160" s="1"/>
  <c r="J38" i="160"/>
  <c r="K38" i="160"/>
  <c r="K29" i="160"/>
  <c r="L29" i="160"/>
  <c r="BU29" i="160" s="1"/>
  <c r="J29" i="160"/>
  <c r="H34" i="160"/>
  <c r="I34" i="160"/>
  <c r="BS34" i="160" s="1"/>
  <c r="G34" i="160"/>
  <c r="G38" i="160"/>
  <c r="I38" i="160"/>
  <c r="BS38" i="160" s="1"/>
  <c r="H38" i="160"/>
  <c r="S21" i="160"/>
  <c r="U40" i="160"/>
  <c r="V40" i="160"/>
  <c r="V17" i="160"/>
  <c r="U17" i="160"/>
  <c r="T40" i="160"/>
  <c r="S40" i="160"/>
  <c r="V15" i="160"/>
  <c r="U15" i="160"/>
  <c r="V44" i="160"/>
  <c r="U44" i="160"/>
  <c r="L44" i="160"/>
  <c r="BU44" i="160" s="1"/>
  <c r="K44" i="160"/>
  <c r="J44" i="160"/>
  <c r="K15" i="160"/>
  <c r="J15" i="160"/>
  <c r="L15" i="160"/>
  <c r="BU15" i="160" s="1"/>
  <c r="V23" i="160"/>
  <c r="U23" i="160"/>
  <c r="V30" i="160"/>
  <c r="U30" i="160"/>
  <c r="S29" i="160"/>
  <c r="T29" i="160"/>
  <c r="S41" i="160"/>
  <c r="T41" i="160"/>
  <c r="T43" i="160"/>
  <c r="S43" i="160"/>
  <c r="L20" i="160"/>
  <c r="J20" i="160"/>
  <c r="K20" i="160"/>
  <c r="V39" i="160"/>
  <c r="U39" i="160"/>
  <c r="U19" i="160"/>
  <c r="V19" i="160"/>
  <c r="K26" i="160"/>
  <c r="J26" i="160"/>
  <c r="L26" i="160"/>
  <c r="BU26" i="160" s="1"/>
  <c r="V31" i="160"/>
  <c r="U31" i="160"/>
  <c r="S16" i="160"/>
  <c r="V42" i="160"/>
  <c r="U42" i="160"/>
  <c r="T26" i="160"/>
  <c r="S26" i="160"/>
  <c r="T39" i="160"/>
  <c r="S39" i="160"/>
  <c r="H20" i="160"/>
  <c r="I20" i="160"/>
  <c r="G20" i="160"/>
  <c r="S33" i="160"/>
  <c r="T33" i="160"/>
  <c r="S35" i="160"/>
  <c r="T35" i="160"/>
  <c r="T31" i="160"/>
  <c r="S31" i="160"/>
  <c r="U18" i="160"/>
  <c r="T42" i="160"/>
  <c r="S42" i="160"/>
  <c r="S14" i="160"/>
  <c r="T14" i="160"/>
  <c r="H15" i="160"/>
  <c r="G15" i="160"/>
  <c r="I15" i="160"/>
  <c r="BS15" i="160" s="1"/>
  <c r="I29" i="160"/>
  <c r="BS29" i="160" s="1"/>
  <c r="H29" i="160"/>
  <c r="G29" i="160"/>
  <c r="L28" i="160"/>
  <c r="BU28" i="160" s="1"/>
  <c r="J28" i="160"/>
  <c r="K28" i="160"/>
  <c r="L30" i="160"/>
  <c r="BU30" i="160" s="1"/>
  <c r="J30" i="160"/>
  <c r="K30" i="160"/>
  <c r="S22" i="160"/>
  <c r="T22" i="160"/>
  <c r="H31" i="160"/>
  <c r="G31" i="160"/>
  <c r="I31" i="160"/>
  <c r="BS31" i="160" s="1"/>
  <c r="H39" i="160"/>
  <c r="G39" i="160"/>
  <c r="I39" i="160"/>
  <c r="BS39" i="160" s="1"/>
  <c r="L16" i="160"/>
  <c r="J16" i="160"/>
  <c r="K16" i="160" s="1"/>
  <c r="V22" i="160"/>
  <c r="U22" i="160"/>
  <c r="U27" i="160"/>
  <c r="V27" i="160"/>
  <c r="V28" i="160"/>
  <c r="U28" i="160"/>
  <c r="V36" i="160"/>
  <c r="U36" i="160"/>
  <c r="U24" i="160"/>
  <c r="V24" i="160"/>
  <c r="S27" i="160"/>
  <c r="T27" i="160"/>
  <c r="T20" i="160"/>
  <c r="S20" i="160"/>
  <c r="S17" i="160"/>
  <c r="T17" i="160"/>
  <c r="I17" i="160"/>
  <c r="BS17" i="160" s="1"/>
  <c r="G17" i="160"/>
  <c r="H17" i="160"/>
  <c r="L35" i="160"/>
  <c r="BU35" i="160" s="1"/>
  <c r="K35" i="160"/>
  <c r="J35" i="160"/>
  <c r="H26" i="160"/>
  <c r="I26" i="160"/>
  <c r="BS26" i="160" s="1"/>
  <c r="G26" i="160"/>
  <c r="AP34" i="165"/>
  <c r="AP27" i="165"/>
  <c r="AP18" i="165"/>
  <c r="EQ29" i="160"/>
  <c r="DY77" i="160"/>
  <c r="EO40" i="160"/>
  <c r="EQ31" i="160"/>
  <c r="EQ38" i="160"/>
  <c r="DR84" i="160"/>
  <c r="EO44" i="160"/>
  <c r="EO18" i="160"/>
  <c r="EQ44" i="160"/>
  <c r="EV76" i="160"/>
  <c r="ET36" i="160" s="1"/>
  <c r="EQ36" i="160" s="1"/>
  <c r="DD76" i="160"/>
  <c r="DY75" i="160"/>
  <c r="EO38" i="160"/>
  <c r="EO39" i="160"/>
  <c r="EQ26" i="160"/>
  <c r="ET28" i="165"/>
  <c r="DQ28" i="165"/>
  <c r="L28" i="165" s="1"/>
  <c r="AP43" i="165"/>
  <c r="AP30" i="165"/>
  <c r="DR28" i="165"/>
  <c r="M28" i="165" s="1"/>
  <c r="EU28" i="165"/>
  <c r="CR28" i="165"/>
  <c r="AP31" i="165"/>
  <c r="DK55" i="160"/>
  <c r="EY55" i="160" s="1"/>
  <c r="EO16" i="160"/>
  <c r="EC59" i="160"/>
  <c r="W19" i="160" s="1"/>
  <c r="GK26" i="147"/>
  <c r="GM26" i="147" s="1"/>
  <c r="EU22" i="165"/>
  <c r="AP35" i="165"/>
  <c r="FS25" i="165"/>
  <c r="AP25" i="165"/>
  <c r="CS22" i="165"/>
  <c r="ES30" i="165"/>
  <c r="DQ22" i="165"/>
  <c r="L22" i="165" s="1"/>
  <c r="AP40" i="165"/>
  <c r="AP42" i="165"/>
  <c r="AP29" i="147"/>
  <c r="CR28" i="147"/>
  <c r="CS28" i="147"/>
  <c r="AP38" i="147"/>
  <c r="AP30" i="147"/>
  <c r="AP32" i="147"/>
  <c r="AP24" i="147"/>
  <c r="AP27" i="147"/>
  <c r="FK59" i="160"/>
  <c r="FJ58" i="160"/>
  <c r="FK59" i="84"/>
  <c r="FJ59" i="84" s="1"/>
  <c r="DB25" i="165"/>
  <c r="DL25" i="165"/>
  <c r="GK27" i="147"/>
  <c r="GM27" i="147" s="1"/>
  <c r="GM15" i="160"/>
  <c r="DR16" i="165"/>
  <c r="M16" i="165" s="1"/>
  <c r="DR39" i="165"/>
  <c r="M39" i="165" s="1"/>
  <c r="EU16" i="165"/>
  <c r="CR16" i="165"/>
  <c r="DQ16" i="165"/>
  <c r="L16" i="165" s="1"/>
  <c r="CR39" i="165"/>
  <c r="ES16" i="165"/>
  <c r="ES39" i="165"/>
  <c r="EU39" i="165"/>
  <c r="DB30" i="165"/>
  <c r="DL30" i="165"/>
  <c r="CS16" i="165"/>
  <c r="GM30" i="165"/>
  <c r="DR65" i="160"/>
  <c r="GM25" i="160"/>
  <c r="EV65" i="160"/>
  <c r="ET25" i="160" s="1"/>
  <c r="EQ25" i="160" s="1"/>
  <c r="DD65" i="160"/>
  <c r="DQ72" i="84"/>
  <c r="EN32" i="84" s="1"/>
  <c r="DD72" i="84"/>
  <c r="EN28" i="84"/>
  <c r="DK68" i="84"/>
  <c r="FG54" i="84"/>
  <c r="BW15" i="160"/>
  <c r="BX15" i="160" s="1"/>
  <c r="FB15" i="160" s="1"/>
  <c r="CR39" i="147"/>
  <c r="CS39" i="147"/>
  <c r="CS40" i="147"/>
  <c r="CR40" i="147"/>
  <c r="GM38" i="147"/>
  <c r="GM35" i="147"/>
  <c r="GM24" i="147"/>
  <c r="DR70" i="84"/>
  <c r="GM17" i="160"/>
  <c r="DK57" i="160"/>
  <c r="EV70" i="84"/>
  <c r="ET30" i="84" s="1"/>
  <c r="DD70" i="84"/>
  <c r="GM31" i="147"/>
  <c r="GM20" i="160"/>
  <c r="EQ20" i="160"/>
  <c r="EO45" i="160"/>
  <c r="DK60" i="160"/>
  <c r="DK69" i="84"/>
  <c r="EO14" i="160"/>
  <c r="EN36" i="84"/>
  <c r="EC79" i="160"/>
  <c r="W39" i="160" s="1"/>
  <c r="EO29" i="84"/>
  <c r="EN23" i="160"/>
  <c r="EN37" i="160"/>
  <c r="EN43" i="160"/>
  <c r="EN39" i="160"/>
  <c r="EC63" i="160"/>
  <c r="W23" i="160" s="1"/>
  <c r="EC80" i="160"/>
  <c r="W40" i="160" s="1"/>
  <c r="DK71" i="84"/>
  <c r="EY71" i="84" s="1"/>
  <c r="EO37" i="84"/>
  <c r="EN22" i="160"/>
  <c r="EO43" i="160"/>
  <c r="EO34" i="84"/>
  <c r="EO24" i="160"/>
  <c r="EN45" i="160"/>
  <c r="EC85" i="160"/>
  <c r="W45" i="160" s="1"/>
  <c r="EC81" i="84"/>
  <c r="W41" i="84" s="1"/>
  <c r="EC76" i="84"/>
  <c r="W36" i="84" s="1"/>
  <c r="EN41" i="84"/>
  <c r="EC68" i="84"/>
  <c r="W28" i="84" s="1"/>
  <c r="EO31" i="160"/>
  <c r="EC85" i="84"/>
  <c r="EP45" i="84" s="1"/>
  <c r="S45" i="84"/>
  <c r="EC83" i="160"/>
  <c r="W43" i="160" s="1"/>
  <c r="EO28" i="84"/>
  <c r="EN24" i="160"/>
  <c r="T45" i="84"/>
  <c r="EO30" i="160"/>
  <c r="EO21" i="160"/>
  <c r="EN37" i="84"/>
  <c r="EN29" i="84"/>
  <c r="EN33" i="84"/>
  <c r="EO44" i="84"/>
  <c r="EO25" i="160"/>
  <c r="EN17" i="160"/>
  <c r="EC69" i="84"/>
  <c r="W29" i="84" s="1"/>
  <c r="EN15" i="160"/>
  <c r="EO39" i="84"/>
  <c r="EO42" i="84"/>
  <c r="CS23" i="147"/>
  <c r="CR23" i="147"/>
  <c r="EO33" i="84"/>
  <c r="EO38" i="84"/>
  <c r="EO28" i="160"/>
  <c r="EO41" i="160"/>
  <c r="EO32" i="160"/>
  <c r="DQ29" i="165"/>
  <c r="L29" i="165" s="1"/>
  <c r="CS29" i="165"/>
  <c r="ET29" i="165"/>
  <c r="DR29" i="165"/>
  <c r="M29" i="165" s="1"/>
  <c r="EU29" i="165"/>
  <c r="CR29" i="165"/>
  <c r="ES29" i="165"/>
  <c r="ET45" i="165"/>
  <c r="EU45" i="165"/>
  <c r="CS45" i="165"/>
  <c r="ES45" i="165"/>
  <c r="DR45" i="165"/>
  <c r="M45" i="165" s="1"/>
  <c r="CR45" i="165"/>
  <c r="DQ45" i="165"/>
  <c r="L45" i="165" s="1"/>
  <c r="EN29" i="160"/>
  <c r="EO23" i="160"/>
  <c r="EN43" i="84"/>
  <c r="EC73" i="84"/>
  <c r="W33" i="84" s="1"/>
  <c r="EC55" i="160"/>
  <c r="W15" i="160" s="1"/>
  <c r="EN39" i="84"/>
  <c r="EO15" i="160"/>
  <c r="CS34" i="165"/>
  <c r="DR34" i="165"/>
  <c r="M34" i="165" s="1"/>
  <c r="ET34" i="165"/>
  <c r="CR34" i="165"/>
  <c r="DQ34" i="165"/>
  <c r="L34" i="165" s="1"/>
  <c r="EU34" i="165"/>
  <c r="ES34" i="165"/>
  <c r="EC54" i="160"/>
  <c r="W14" i="160" s="1"/>
  <c r="EN16" i="160"/>
  <c r="EO29" i="160"/>
  <c r="EC69" i="160"/>
  <c r="W29" i="160" s="1"/>
  <c r="EC60" i="160"/>
  <c r="W20" i="160" s="1"/>
  <c r="EC57" i="160"/>
  <c r="W17" i="160" s="1"/>
  <c r="CR20" i="165"/>
  <c r="ES20" i="165"/>
  <c r="CS20" i="165"/>
  <c r="EU20" i="165"/>
  <c r="DR20" i="165"/>
  <c r="M20" i="165" s="1"/>
  <c r="DQ20" i="165"/>
  <c r="L20" i="165" s="1"/>
  <c r="ET20" i="165"/>
  <c r="EO36" i="160"/>
  <c r="DR26" i="165"/>
  <c r="M26" i="165" s="1"/>
  <c r="EU26" i="165"/>
  <c r="ES26" i="165"/>
  <c r="CS26" i="165"/>
  <c r="ET26" i="165"/>
  <c r="DQ26" i="165"/>
  <c r="L26" i="165" s="1"/>
  <c r="CR26" i="165"/>
  <c r="EC74" i="84"/>
  <c r="W34" i="84" s="1"/>
  <c r="ET43" i="165"/>
  <c r="EC79" i="84"/>
  <c r="W39" i="84" s="1"/>
  <c r="EN41" i="160"/>
  <c r="EC82" i="84"/>
  <c r="W42" i="84" s="1"/>
  <c r="EC73" i="160"/>
  <c r="W33" i="160" s="1"/>
  <c r="EO20" i="160"/>
  <c r="EN27" i="160"/>
  <c r="EU21" i="165"/>
  <c r="DQ21" i="165"/>
  <c r="L21" i="165" s="1"/>
  <c r="ES21" i="165"/>
  <c r="CS21" i="165"/>
  <c r="ET21" i="165"/>
  <c r="DR21" i="165"/>
  <c r="M21" i="165" s="1"/>
  <c r="CR21" i="165"/>
  <c r="CR33" i="147"/>
  <c r="CS33" i="147"/>
  <c r="EC84" i="84"/>
  <c r="W44" i="84" s="1"/>
  <c r="EC62" i="160"/>
  <c r="W22" i="160" s="1"/>
  <c r="EN33" i="160"/>
  <c r="EN28" i="160"/>
  <c r="CS35" i="147"/>
  <c r="CR35" i="147"/>
  <c r="EC77" i="84"/>
  <c r="W37" i="84" s="1"/>
  <c r="EO41" i="84"/>
  <c r="EC81" i="160"/>
  <c r="W41" i="160" s="1"/>
  <c r="DR36" i="165"/>
  <c r="M36" i="165" s="1"/>
  <c r="ES36" i="165"/>
  <c r="DQ36" i="165"/>
  <c r="L36" i="165" s="1"/>
  <c r="CS36" i="165"/>
  <c r="CR36" i="165"/>
  <c r="EU36" i="165"/>
  <c r="ET36" i="165"/>
  <c r="EC83" i="84"/>
  <c r="W43" i="84" s="1"/>
  <c r="V45" i="84"/>
  <c r="U45" i="84"/>
  <c r="EC61" i="160"/>
  <c r="W21" i="160" s="1"/>
  <c r="EC71" i="84"/>
  <c r="W31" i="84" s="1"/>
  <c r="EC56" i="160"/>
  <c r="W16" i="160" s="1"/>
  <c r="EC67" i="160"/>
  <c r="W27" i="160" s="1"/>
  <c r="CR23" i="165"/>
  <c r="DQ23" i="165"/>
  <c r="L23" i="165" s="1"/>
  <c r="CS23" i="165"/>
  <c r="ET23" i="165"/>
  <c r="DR23" i="165"/>
  <c r="M23" i="165" s="1"/>
  <c r="EU23" i="165"/>
  <c r="ES23" i="165"/>
  <c r="EC78" i="84"/>
  <c r="W38" i="84" s="1"/>
  <c r="EC82" i="160"/>
  <c r="W42" i="160" s="1"/>
  <c r="EN14" i="160"/>
  <c r="EN38" i="84"/>
  <c r="DR37" i="165"/>
  <c r="M37" i="165" s="1"/>
  <c r="EU37" i="165"/>
  <c r="DQ37" i="165"/>
  <c r="L37" i="165" s="1"/>
  <c r="CS37" i="165"/>
  <c r="CR37" i="165"/>
  <c r="ES37" i="165"/>
  <c r="ET37" i="165"/>
  <c r="EO22" i="160"/>
  <c r="EC68" i="160"/>
  <c r="W28" i="160" s="1"/>
  <c r="EN44" i="84"/>
  <c r="EC76" i="160"/>
  <c r="W36" i="160" s="1"/>
  <c r="EC71" i="160"/>
  <c r="W31" i="160" s="1"/>
  <c r="DR44" i="165"/>
  <c r="M44" i="165" s="1"/>
  <c r="ES44" i="165"/>
  <c r="DQ44" i="165"/>
  <c r="L44" i="165" s="1"/>
  <c r="CS44" i="165"/>
  <c r="CR44" i="165"/>
  <c r="EU44" i="165"/>
  <c r="ET44" i="165"/>
  <c r="CS31" i="147"/>
  <c r="CR31" i="147"/>
  <c r="EO45" i="84"/>
  <c r="EO27" i="160"/>
  <c r="EO43" i="84"/>
  <c r="EN34" i="84"/>
  <c r="EN31" i="160"/>
  <c r="CR34" i="147"/>
  <c r="CS34" i="147"/>
  <c r="EC64" i="160"/>
  <c r="W24" i="160" s="1"/>
  <c r="EO36" i="84"/>
  <c r="EN31" i="84" l="1"/>
  <c r="EJ102" i="165"/>
  <c r="EU40" i="147"/>
  <c r="EI35" i="165"/>
  <c r="EO35" i="165"/>
  <c r="EH35" i="165"/>
  <c r="EP35" i="165"/>
  <c r="EI42" i="165"/>
  <c r="EH42" i="165"/>
  <c r="EI30" i="165"/>
  <c r="EH30" i="165"/>
  <c r="EP30" i="165"/>
  <c r="EP34" i="165"/>
  <c r="EO34" i="165"/>
  <c r="EO40" i="165"/>
  <c r="EH40" i="165"/>
  <c r="EP40" i="165"/>
  <c r="EI40" i="165"/>
  <c r="EH34" i="165"/>
  <c r="EO30" i="165"/>
  <c r="EO31" i="165"/>
  <c r="EP31" i="165"/>
  <c r="ET27" i="165"/>
  <c r="S27" i="165" s="1"/>
  <c r="EO27" i="165"/>
  <c r="EP27" i="165"/>
  <c r="EH27" i="165"/>
  <c r="EI27" i="165"/>
  <c r="EO43" i="165"/>
  <c r="EP42" i="165"/>
  <c r="EO25" i="165"/>
  <c r="EP25" i="165"/>
  <c r="EH25" i="165"/>
  <c r="EI25" i="165"/>
  <c r="EH43" i="165"/>
  <c r="EI43" i="165"/>
  <c r="DR18" i="165"/>
  <c r="M18" i="165" s="1"/>
  <c r="EI18" i="165"/>
  <c r="EH18" i="165"/>
  <c r="EH31" i="165"/>
  <c r="EO18" i="165"/>
  <c r="EI31" i="165"/>
  <c r="EO42" i="165"/>
  <c r="FO24" i="147"/>
  <c r="DX24" i="147"/>
  <c r="S35" i="147"/>
  <c r="EP32" i="147"/>
  <c r="EH32" i="147"/>
  <c r="EI32" i="147"/>
  <c r="EO32" i="147"/>
  <c r="EI30" i="147"/>
  <c r="EH30" i="147"/>
  <c r="EO30" i="147"/>
  <c r="EP30" i="147"/>
  <c r="EP38" i="147"/>
  <c r="EI38" i="147"/>
  <c r="EO38" i="147"/>
  <c r="EH38" i="147"/>
  <c r="EH40" i="147"/>
  <c r="EP40" i="147"/>
  <c r="EI40" i="147"/>
  <c r="EO40" i="147"/>
  <c r="EP29" i="147"/>
  <c r="EH29" i="147"/>
  <c r="EI29" i="147"/>
  <c r="EO29" i="147"/>
  <c r="DW70" i="84"/>
  <c r="DY70" i="84" s="1"/>
  <c r="U30" i="84" s="1"/>
  <c r="DJ70" i="84"/>
  <c r="FP20" i="165"/>
  <c r="ED20" i="165"/>
  <c r="DX20" i="165"/>
  <c r="FO20" i="165"/>
  <c r="EI20" i="165"/>
  <c r="EO20" i="165"/>
  <c r="EH20" i="165"/>
  <c r="CH16" i="165"/>
  <c r="U16" i="165" s="1"/>
  <c r="AS18" i="84"/>
  <c r="AR18" i="84"/>
  <c r="FF58" i="84" s="1"/>
  <c r="S21" i="165"/>
  <c r="R21" i="165"/>
  <c r="Q21" i="165"/>
  <c r="EM23" i="165"/>
  <c r="EO23" i="165" s="1"/>
  <c r="EN23" i="165"/>
  <c r="EP23" i="165" s="1"/>
  <c r="EF23" i="165"/>
  <c r="EH23" i="165" s="1"/>
  <c r="EJ23" i="165" s="1"/>
  <c r="EG23" i="165"/>
  <c r="P21" i="165"/>
  <c r="O21" i="165"/>
  <c r="N21" i="165"/>
  <c r="P20" i="165"/>
  <c r="O20" i="165"/>
  <c r="N20" i="165"/>
  <c r="P34" i="165"/>
  <c r="O34" i="165"/>
  <c r="N34" i="165"/>
  <c r="S28" i="165"/>
  <c r="R28" i="165"/>
  <c r="Q28" i="165"/>
  <c r="R16" i="165"/>
  <c r="S16" i="165"/>
  <c r="Q16" i="165"/>
  <c r="P26" i="165"/>
  <c r="O26" i="165"/>
  <c r="N26" i="165"/>
  <c r="P30" i="165"/>
  <c r="O30" i="165"/>
  <c r="N30" i="165"/>
  <c r="N24" i="165"/>
  <c r="P24" i="165"/>
  <c r="O24" i="165"/>
  <c r="N44" i="165"/>
  <c r="P44" i="165"/>
  <c r="O44" i="165"/>
  <c r="P45" i="165"/>
  <c r="O45" i="165"/>
  <c r="N45" i="165"/>
  <c r="S29" i="165"/>
  <c r="R29" i="165"/>
  <c r="Q29" i="165"/>
  <c r="S19" i="165"/>
  <c r="R19" i="165"/>
  <c r="Q19" i="165"/>
  <c r="N36" i="165"/>
  <c r="P36" i="165"/>
  <c r="O36" i="165"/>
  <c r="S37" i="165"/>
  <c r="R37" i="165"/>
  <c r="Q37" i="165"/>
  <c r="S43" i="165"/>
  <c r="R43" i="165"/>
  <c r="Q43" i="165"/>
  <c r="P37" i="165"/>
  <c r="O37" i="165"/>
  <c r="N37" i="165"/>
  <c r="S36" i="165"/>
  <c r="R36" i="165"/>
  <c r="Q36" i="165"/>
  <c r="P19" i="165"/>
  <c r="O19" i="165"/>
  <c r="N19" i="165"/>
  <c r="S39" i="165"/>
  <c r="R39" i="165"/>
  <c r="Q39" i="165"/>
  <c r="P33" i="165"/>
  <c r="O33" i="165"/>
  <c r="N33" i="165"/>
  <c r="U17" i="165"/>
  <c r="T17" i="165"/>
  <c r="EG24" i="147"/>
  <c r="EF24" i="147"/>
  <c r="P16" i="165"/>
  <c r="O16" i="165"/>
  <c r="N16" i="165"/>
  <c r="R34" i="165"/>
  <c r="Q34" i="165"/>
  <c r="S34" i="165"/>
  <c r="S45" i="165"/>
  <c r="R45" i="165"/>
  <c r="Q45" i="165"/>
  <c r="EM24" i="147"/>
  <c r="EO24" i="147" s="1"/>
  <c r="EN24" i="147"/>
  <c r="EP24" i="147" s="1"/>
  <c r="R20" i="165"/>
  <c r="Q20" i="165"/>
  <c r="S20" i="165"/>
  <c r="S44" i="165"/>
  <c r="R44" i="165"/>
  <c r="Q44" i="165"/>
  <c r="R26" i="165"/>
  <c r="Q26" i="165"/>
  <c r="S26" i="165"/>
  <c r="P29" i="165"/>
  <c r="O29" i="165"/>
  <c r="N29" i="165"/>
  <c r="P39" i="165"/>
  <c r="O39" i="165"/>
  <c r="N39" i="165"/>
  <c r="S24" i="165"/>
  <c r="R24" i="165"/>
  <c r="Q24" i="165"/>
  <c r="DW27" i="147"/>
  <c r="FC27" i="147"/>
  <c r="EL27" i="147" s="1"/>
  <c r="EZ27" i="147"/>
  <c r="EE27" i="147" s="1"/>
  <c r="EB27" i="147"/>
  <c r="EN22" i="165"/>
  <c r="EP22" i="165" s="1"/>
  <c r="EM22" i="165"/>
  <c r="EO22" i="165" s="1"/>
  <c r="DW22" i="165"/>
  <c r="S23" i="165"/>
  <c r="Q23" i="165"/>
  <c r="R23" i="165" s="1"/>
  <c r="N23" i="165"/>
  <c r="O23" i="165" s="1"/>
  <c r="P23" i="165"/>
  <c r="S22" i="165"/>
  <c r="Q22" i="165"/>
  <c r="R22" i="165" s="1"/>
  <c r="S31" i="147"/>
  <c r="R31" i="147"/>
  <c r="Q31" i="147"/>
  <c r="S40" i="147"/>
  <c r="R40" i="147"/>
  <c r="Q40" i="147"/>
  <c r="S39" i="147"/>
  <c r="R39" i="147"/>
  <c r="Q39" i="147"/>
  <c r="O36" i="147"/>
  <c r="N36" i="147"/>
  <c r="P36" i="147"/>
  <c r="P40" i="147"/>
  <c r="O40" i="147"/>
  <c r="N40" i="147"/>
  <c r="S33" i="147"/>
  <c r="R33" i="147"/>
  <c r="Q33" i="147"/>
  <c r="Q36" i="147"/>
  <c r="S36" i="147"/>
  <c r="R36" i="147"/>
  <c r="S23" i="147"/>
  <c r="R23" i="147"/>
  <c r="Q23" i="147"/>
  <c r="O34" i="147"/>
  <c r="P34" i="147"/>
  <c r="N34" i="147"/>
  <c r="N39" i="147"/>
  <c r="P39" i="147"/>
  <c r="O39" i="147"/>
  <c r="FC26" i="147"/>
  <c r="EL26" i="147" s="1"/>
  <c r="EZ26" i="147"/>
  <c r="EE26" i="147" s="1"/>
  <c r="O28" i="147"/>
  <c r="N28" i="147"/>
  <c r="P28" i="147"/>
  <c r="P23" i="147"/>
  <c r="O23" i="147"/>
  <c r="N23" i="147"/>
  <c r="S34" i="147"/>
  <c r="R34" i="147"/>
  <c r="Q34" i="147"/>
  <c r="Q28" i="147"/>
  <c r="S28" i="147"/>
  <c r="R28" i="147"/>
  <c r="S37" i="147"/>
  <c r="R37" i="147"/>
  <c r="Q37" i="147"/>
  <c r="N37" i="147"/>
  <c r="P37" i="147"/>
  <c r="O37" i="147"/>
  <c r="N31" i="147"/>
  <c r="P31" i="147"/>
  <c r="O31" i="147"/>
  <c r="BV22" i="160"/>
  <c r="BV36" i="84"/>
  <c r="BV44" i="84"/>
  <c r="BT26" i="160"/>
  <c r="BT33" i="160"/>
  <c r="BV40" i="160"/>
  <c r="BT20" i="160"/>
  <c r="BV28" i="160"/>
  <c r="BV39" i="160"/>
  <c r="BV25" i="160"/>
  <c r="BV41" i="160"/>
  <c r="BV35" i="84"/>
  <c r="BV37" i="84"/>
  <c r="BV41" i="84"/>
  <c r="BV34" i="84"/>
  <c r="BV33" i="84"/>
  <c r="BT41" i="160"/>
  <c r="BV38" i="84"/>
  <c r="BT40" i="84"/>
  <c r="BT39" i="160"/>
  <c r="BV14" i="160"/>
  <c r="BV33" i="160"/>
  <c r="BT35" i="84"/>
  <c r="BT43" i="84"/>
  <c r="BV43" i="84"/>
  <c r="BV39" i="84"/>
  <c r="BT35" i="160"/>
  <c r="BV32" i="160"/>
  <c r="BV45" i="84"/>
  <c r="BV36" i="160"/>
  <c r="BT42" i="160"/>
  <c r="BV42" i="160"/>
  <c r="BV29" i="84"/>
  <c r="BV40" i="84"/>
  <c r="BT29" i="84"/>
  <c r="BT41" i="84"/>
  <c r="BT29" i="160"/>
  <c r="BT42" i="84"/>
  <c r="BT44" i="84"/>
  <c r="BT34" i="84"/>
  <c r="BT17" i="160"/>
  <c r="BT22" i="160"/>
  <c r="BV19" i="160"/>
  <c r="BV15" i="160"/>
  <c r="BT28" i="160"/>
  <c r="BT37" i="160"/>
  <c r="BV29" i="160"/>
  <c r="BT45" i="160"/>
  <c r="BT39" i="84"/>
  <c r="V31" i="84"/>
  <c r="BT31" i="160"/>
  <c r="BV31" i="160"/>
  <c r="BT40" i="160"/>
  <c r="BT36" i="160"/>
  <c r="BT15" i="160"/>
  <c r="BV38" i="160"/>
  <c r="BT36" i="84"/>
  <c r="ER29" i="165"/>
  <c r="BT45" i="84"/>
  <c r="BT27" i="160"/>
  <c r="BV27" i="160"/>
  <c r="BV30" i="160"/>
  <c r="BV17" i="160"/>
  <c r="BT24" i="160"/>
  <c r="BT33" i="84"/>
  <c r="BT37" i="84"/>
  <c r="T31" i="84"/>
  <c r="BV24" i="160"/>
  <c r="BT14" i="160"/>
  <c r="BT43" i="160"/>
  <c r="BV23" i="160"/>
  <c r="BV44" i="160"/>
  <c r="BV43" i="160"/>
  <c r="BT23" i="160"/>
  <c r="BV45" i="160"/>
  <c r="BT38" i="84"/>
  <c r="BV42" i="84"/>
  <c r="V28" i="84"/>
  <c r="BV28" i="84" s="1"/>
  <c r="T28" i="84"/>
  <c r="BT28" i="84" s="1"/>
  <c r="EJ77" i="165"/>
  <c r="EL77" i="165" s="1"/>
  <c r="EV16" i="165"/>
  <c r="CJ16" i="165" s="1"/>
  <c r="FV23" i="147"/>
  <c r="FU23" i="147"/>
  <c r="BU16" i="160"/>
  <c r="BU28" i="84"/>
  <c r="BS28" i="84"/>
  <c r="T32" i="84"/>
  <c r="S32" i="84"/>
  <c r="FA15" i="160"/>
  <c r="BZ15" i="160"/>
  <c r="CI16" i="165"/>
  <c r="AQ16" i="165"/>
  <c r="EV17" i="165"/>
  <c r="CJ17" i="165" s="1"/>
  <c r="DV35" i="165"/>
  <c r="FV23" i="165"/>
  <c r="CI17" i="165"/>
  <c r="FV45" i="165"/>
  <c r="FU19" i="165"/>
  <c r="FU26" i="165"/>
  <c r="DV25" i="165"/>
  <c r="G17" i="165"/>
  <c r="FU29" i="165"/>
  <c r="DV18" i="165"/>
  <c r="CP41" i="165"/>
  <c r="FU39" i="165"/>
  <c r="FU24" i="165"/>
  <c r="FV26" i="165"/>
  <c r="CQ41" i="165"/>
  <c r="ER41" i="165"/>
  <c r="EQ41" i="165"/>
  <c r="FU28" i="165"/>
  <c r="FU38" i="165"/>
  <c r="FU37" i="165"/>
  <c r="CQ32" i="165"/>
  <c r="EQ32" i="165"/>
  <c r="ER32" i="165"/>
  <c r="DV27" i="165"/>
  <c r="DV30" i="165"/>
  <c r="FU44" i="165"/>
  <c r="DV34" i="165"/>
  <c r="FV28" i="165"/>
  <c r="CP32" i="165"/>
  <c r="FV37" i="165"/>
  <c r="FV19" i="165"/>
  <c r="FV44" i="165"/>
  <c r="FU23" i="165"/>
  <c r="DV31" i="165"/>
  <c r="EQ45" i="165"/>
  <c r="FV24" i="165"/>
  <c r="FU20" i="165"/>
  <c r="FV38" i="165"/>
  <c r="DV42" i="165"/>
  <c r="FV36" i="165"/>
  <c r="FU45" i="165"/>
  <c r="EQ29" i="165"/>
  <c r="FU33" i="165"/>
  <c r="EQ38" i="165"/>
  <c r="EQ26" i="165"/>
  <c r="CQ29" i="165"/>
  <c r="FV21" i="165"/>
  <c r="ER26" i="165"/>
  <c r="EQ28" i="165"/>
  <c r="DV40" i="165"/>
  <c r="FU21" i="165"/>
  <c r="FV39" i="165"/>
  <c r="ER45" i="165"/>
  <c r="FV33" i="165"/>
  <c r="DV43" i="165"/>
  <c r="FV20" i="165"/>
  <c r="ER38" i="165"/>
  <c r="FU36" i="165"/>
  <c r="AZ16" i="165"/>
  <c r="EO75" i="165" s="1"/>
  <c r="EM75" i="165" s="1"/>
  <c r="FV24" i="147"/>
  <c r="FU24" i="147"/>
  <c r="FU27" i="147"/>
  <c r="DB26" i="147"/>
  <c r="DL26" i="147"/>
  <c r="DV26" i="147"/>
  <c r="EU27" i="165"/>
  <c r="EL102" i="165"/>
  <c r="ES18" i="165"/>
  <c r="ES27" i="165"/>
  <c r="DQ18" i="165"/>
  <c r="L18" i="165" s="1"/>
  <c r="CR18" i="165"/>
  <c r="EU43" i="165"/>
  <c r="CR27" i="165"/>
  <c r="CR43" i="165"/>
  <c r="DQ27" i="165"/>
  <c r="L27" i="165" s="1"/>
  <c r="H17" i="165"/>
  <c r="AQ17" i="165" s="1"/>
  <c r="CS18" i="165"/>
  <c r="ES25" i="165"/>
  <c r="CS25" i="165"/>
  <c r="DR24" i="147"/>
  <c r="M24" i="147" s="1"/>
  <c r="EU24" i="147"/>
  <c r="DQ24" i="147"/>
  <c r="L24" i="147" s="1"/>
  <c r="ET24" i="147"/>
  <c r="DQ32" i="147"/>
  <c r="L32" i="147" s="1"/>
  <c r="DR32" i="147"/>
  <c r="M32" i="147" s="1"/>
  <c r="EU32" i="147"/>
  <c r="ES32" i="147"/>
  <c r="ET32" i="147"/>
  <c r="DR29" i="147"/>
  <c r="M29" i="147" s="1"/>
  <c r="ET29" i="147"/>
  <c r="EU29" i="147"/>
  <c r="DQ29" i="147"/>
  <c r="L29" i="147" s="1"/>
  <c r="ES29" i="147"/>
  <c r="DQ26" i="147"/>
  <c r="L26" i="147" s="1"/>
  <c r="EU26" i="147"/>
  <c r="DR26" i="147"/>
  <c r="M26" i="147" s="1"/>
  <c r="ET26" i="147"/>
  <c r="ES26" i="147"/>
  <c r="ET18" i="165"/>
  <c r="EU18" i="165"/>
  <c r="ET35" i="165"/>
  <c r="DQ27" i="147"/>
  <c r="L27" i="147" s="1"/>
  <c r="DR27" i="147"/>
  <c r="M27" i="147" s="1"/>
  <c r="EU27" i="147"/>
  <c r="ET27" i="147"/>
  <c r="ES27" i="147"/>
  <c r="DR25" i="165"/>
  <c r="M25" i="165" s="1"/>
  <c r="EU38" i="147"/>
  <c r="DQ38" i="147"/>
  <c r="L38" i="147" s="1"/>
  <c r="DR38" i="147"/>
  <c r="M38" i="147" s="1"/>
  <c r="ET38" i="147"/>
  <c r="ES38" i="147"/>
  <c r="CS38" i="147"/>
  <c r="CS29" i="147"/>
  <c r="CR29" i="147"/>
  <c r="EJ84" i="165"/>
  <c r="EL84" i="165" s="1"/>
  <c r="EJ94" i="165"/>
  <c r="EL94" i="165" s="1"/>
  <c r="DR30" i="147"/>
  <c r="M30" i="147" s="1"/>
  <c r="DQ30" i="147"/>
  <c r="L30" i="147" s="1"/>
  <c r="EU30" i="147"/>
  <c r="ET30" i="147"/>
  <c r="ES30" i="147"/>
  <c r="J17" i="165"/>
  <c r="K17" i="165"/>
  <c r="AS17" i="165" s="1"/>
  <c r="EJ90" i="165"/>
  <c r="EL90" i="165" s="1"/>
  <c r="ES43" i="165"/>
  <c r="DR27" i="165"/>
  <c r="M27" i="165" s="1"/>
  <c r="EJ101" i="165"/>
  <c r="EL101" i="165" s="1"/>
  <c r="EJ99" i="165"/>
  <c r="EL99" i="165" s="1"/>
  <c r="EU42" i="165"/>
  <c r="CS43" i="165"/>
  <c r="CS40" i="165"/>
  <c r="DR42" i="165"/>
  <c r="M42" i="165" s="1"/>
  <c r="DQ43" i="165"/>
  <c r="L43" i="165" s="1"/>
  <c r="CS27" i="165"/>
  <c r="DR43" i="165"/>
  <c r="M43" i="165" s="1"/>
  <c r="EJ86" i="165"/>
  <c r="EL86" i="165" s="1"/>
  <c r="BU20" i="160"/>
  <c r="BS20" i="160"/>
  <c r="BU31" i="84"/>
  <c r="BS31" i="84"/>
  <c r="FD16" i="160"/>
  <c r="H33" i="84"/>
  <c r="G33" i="84"/>
  <c r="I33" i="84"/>
  <c r="BS33" i="84" s="1"/>
  <c r="G32" i="84"/>
  <c r="H32" i="84"/>
  <c r="I32" i="84"/>
  <c r="BS32" i="84" s="1"/>
  <c r="V16" i="160"/>
  <c r="BV16" i="160" s="1"/>
  <c r="V21" i="160"/>
  <c r="BV21" i="160" s="1"/>
  <c r="J32" i="84"/>
  <c r="L32" i="84"/>
  <c r="BU32" i="84" s="1"/>
  <c r="K32" i="84"/>
  <c r="V20" i="160"/>
  <c r="BV20" i="160" s="1"/>
  <c r="T16" i="160"/>
  <c r="BT16" i="160" s="1"/>
  <c r="I30" i="84"/>
  <c r="G30" i="84"/>
  <c r="H30" i="84" s="1"/>
  <c r="S30" i="84"/>
  <c r="T21" i="160"/>
  <c r="BT21" i="160" s="1"/>
  <c r="V18" i="160"/>
  <c r="BV18" i="160" s="1"/>
  <c r="EC72" i="84"/>
  <c r="W32" i="84" s="1"/>
  <c r="U32" i="84"/>
  <c r="J33" i="84"/>
  <c r="L33" i="84"/>
  <c r="BU33" i="84" s="1"/>
  <c r="K33" i="84"/>
  <c r="FG58" i="84"/>
  <c r="H22" i="160"/>
  <c r="EY62" i="160"/>
  <c r="EX62" i="160"/>
  <c r="EX15" i="160"/>
  <c r="FW56" i="160"/>
  <c r="FQ56" i="160"/>
  <c r="FU18" i="165"/>
  <c r="FV18" i="165"/>
  <c r="EN18" i="160"/>
  <c r="S19" i="160"/>
  <c r="DK58" i="160"/>
  <c r="EX58" i="160" s="1"/>
  <c r="DK73" i="84"/>
  <c r="G18" i="160"/>
  <c r="H18" i="160" s="1"/>
  <c r="EQ33" i="84"/>
  <c r="S18" i="160"/>
  <c r="CQ22" i="165"/>
  <c r="CP22" i="165"/>
  <c r="EP35" i="84"/>
  <c r="EC78" i="160"/>
  <c r="W38" i="160" s="1"/>
  <c r="EC70" i="160"/>
  <c r="W30" i="160" s="1"/>
  <c r="S38" i="160"/>
  <c r="BT38" i="160" s="1"/>
  <c r="EN30" i="160"/>
  <c r="EN38" i="160"/>
  <c r="EC66" i="160"/>
  <c r="W26" i="160" s="1"/>
  <c r="U26" i="160"/>
  <c r="BV26" i="160" s="1"/>
  <c r="EO26" i="160"/>
  <c r="EN32" i="160"/>
  <c r="T32" i="160"/>
  <c r="EP40" i="84"/>
  <c r="EO32" i="84"/>
  <c r="T30" i="160"/>
  <c r="BT30" i="160" s="1"/>
  <c r="S32" i="160"/>
  <c r="EN34" i="160"/>
  <c r="S34" i="160"/>
  <c r="BT34" i="160" s="1"/>
  <c r="EC74" i="160"/>
  <c r="W34" i="160" s="1"/>
  <c r="EQ30" i="84"/>
  <c r="EO34" i="160"/>
  <c r="U34" i="160"/>
  <c r="BV34" i="160" s="1"/>
  <c r="U37" i="160"/>
  <c r="V37" i="160"/>
  <c r="U35" i="160"/>
  <c r="V35" i="160"/>
  <c r="EC84" i="160"/>
  <c r="W44" i="160" s="1"/>
  <c r="T44" i="160"/>
  <c r="S44" i="160"/>
  <c r="S25" i="160"/>
  <c r="T25" i="160"/>
  <c r="I25" i="160"/>
  <c r="BS25" i="160" s="1"/>
  <c r="G25" i="160"/>
  <c r="H25" i="160"/>
  <c r="EO37" i="160"/>
  <c r="EC77" i="160"/>
  <c r="W37" i="160" s="1"/>
  <c r="H36" i="160"/>
  <c r="I36" i="160"/>
  <c r="BS36" i="160" s="1"/>
  <c r="G36" i="160"/>
  <c r="EC65" i="160"/>
  <c r="W25" i="160" s="1"/>
  <c r="EN25" i="160"/>
  <c r="EN44" i="160"/>
  <c r="EO35" i="160"/>
  <c r="EC75" i="160"/>
  <c r="W35" i="160" s="1"/>
  <c r="DR40" i="165"/>
  <c r="M40" i="165" s="1"/>
  <c r="CR25" i="165"/>
  <c r="EU30" i="165"/>
  <c r="EU25" i="165"/>
  <c r="ET25" i="165"/>
  <c r="DQ25" i="165"/>
  <c r="L25" i="165" s="1"/>
  <c r="DQ40" i="165"/>
  <c r="L40" i="165" s="1"/>
  <c r="ET42" i="165"/>
  <c r="EP32" i="160"/>
  <c r="EP19" i="160"/>
  <c r="EP45" i="160"/>
  <c r="EP39" i="160"/>
  <c r="ET30" i="165"/>
  <c r="DR30" i="165"/>
  <c r="M30" i="165" s="1"/>
  <c r="CR30" i="165"/>
  <c r="ES42" i="165"/>
  <c r="CR42" i="165"/>
  <c r="DQ30" i="165"/>
  <c r="L30" i="165" s="1"/>
  <c r="CS42" i="165"/>
  <c r="CS30" i="165"/>
  <c r="DQ42" i="165"/>
  <c r="L42" i="165" s="1"/>
  <c r="FK60" i="160"/>
  <c r="FJ59" i="160"/>
  <c r="FK60" i="84"/>
  <c r="FJ60" i="84" s="1"/>
  <c r="FV25" i="165"/>
  <c r="FU25" i="165"/>
  <c r="EP36" i="84"/>
  <c r="EP41" i="84"/>
  <c r="CR40" i="165"/>
  <c r="EU40" i="165"/>
  <c r="ES40" i="165"/>
  <c r="ET40" i="165"/>
  <c r="ES35" i="165"/>
  <c r="DQ35" i="165"/>
  <c r="L35" i="165" s="1"/>
  <c r="FV30" i="165"/>
  <c r="CR35" i="165"/>
  <c r="DR35" i="165"/>
  <c r="M35" i="165" s="1"/>
  <c r="EU35" i="165"/>
  <c r="CS35" i="165"/>
  <c r="FU30" i="165"/>
  <c r="DK72" i="84"/>
  <c r="EX72" i="84" s="1"/>
  <c r="DK65" i="160"/>
  <c r="EP28" i="84"/>
  <c r="DK70" i="84"/>
  <c r="EY70" i="84" s="1"/>
  <c r="BY15" i="160"/>
  <c r="CQ37" i="147"/>
  <c r="CI37" i="147"/>
  <c r="CH37" i="147"/>
  <c r="CQ36" i="147"/>
  <c r="CI36" i="147"/>
  <c r="CP36" i="147"/>
  <c r="CP37" i="147"/>
  <c r="CQ28" i="147"/>
  <c r="EN30" i="84"/>
  <c r="EY57" i="160"/>
  <c r="EY60" i="160"/>
  <c r="EY69" i="84"/>
  <c r="CP28" i="147"/>
  <c r="CS26" i="147"/>
  <c r="EP23" i="160"/>
  <c r="EP40" i="160"/>
  <c r="EX71" i="84"/>
  <c r="W45" i="84"/>
  <c r="EP43" i="160"/>
  <c r="EP29" i="84"/>
  <c r="EP15" i="160"/>
  <c r="EP33" i="84"/>
  <c r="CS27" i="147"/>
  <c r="CR27" i="147"/>
  <c r="CS24" i="147"/>
  <c r="CR24" i="147"/>
  <c r="DR31" i="165"/>
  <c r="M31" i="165" s="1"/>
  <c r="DQ31" i="165"/>
  <c r="L31" i="165" s="1"/>
  <c r="CR31" i="165"/>
  <c r="EU31" i="165"/>
  <c r="ET31" i="165"/>
  <c r="CS31" i="165"/>
  <c r="ES31" i="165"/>
  <c r="CR32" i="147"/>
  <c r="CS32" i="147"/>
  <c r="CS30" i="147"/>
  <c r="CR30" i="147"/>
  <c r="EP31" i="84"/>
  <c r="EP18" i="160"/>
  <c r="EP42" i="160"/>
  <c r="EP44" i="84"/>
  <c r="EP17" i="160"/>
  <c r="EP28" i="160"/>
  <c r="EP20" i="160"/>
  <c r="EP41" i="160"/>
  <c r="EP36" i="160"/>
  <c r="EP38" i="84"/>
  <c r="EP16" i="160"/>
  <c r="EP22" i="160"/>
  <c r="EP42" i="84"/>
  <c r="EP29" i="160"/>
  <c r="EP27" i="160"/>
  <c r="EP21" i="160"/>
  <c r="EP24" i="160"/>
  <c r="EP31" i="160"/>
  <c r="EP43" i="84"/>
  <c r="EP37" i="84"/>
  <c r="EP33" i="160"/>
  <c r="EP39" i="84"/>
  <c r="EP34" i="84"/>
  <c r="EP14" i="160"/>
  <c r="EC70" i="84" l="1"/>
  <c r="W30" i="84" s="1"/>
  <c r="EO30" i="84"/>
  <c r="Q27" i="165"/>
  <c r="R27" i="165"/>
  <c r="BV31" i="84"/>
  <c r="BT31" i="84"/>
  <c r="L30" i="84"/>
  <c r="BU30" i="84" s="1"/>
  <c r="J30" i="84"/>
  <c r="K30" i="84" s="1"/>
  <c r="T16" i="165"/>
  <c r="AR16" i="165" s="1"/>
  <c r="DX27" i="147"/>
  <c r="F27" i="147" s="1"/>
  <c r="G27" i="147" s="1"/>
  <c r="FO27" i="147"/>
  <c r="DX22" i="165"/>
  <c r="F22" i="165" s="1"/>
  <c r="G22" i="165" s="1"/>
  <c r="FO22" i="165"/>
  <c r="EF22" i="165"/>
  <c r="EH22" i="165" s="1"/>
  <c r="EJ22" i="165" s="1"/>
  <c r="EG22" i="165"/>
  <c r="EI22" i="165" s="1"/>
  <c r="EK22" i="165" s="1"/>
  <c r="EI23" i="165"/>
  <c r="EK23" i="165" s="1"/>
  <c r="P35" i="165"/>
  <c r="O35" i="165"/>
  <c r="N35" i="165"/>
  <c r="S40" i="165"/>
  <c r="R40" i="165"/>
  <c r="Q40" i="165"/>
  <c r="P42" i="165"/>
  <c r="O42" i="165"/>
  <c r="N42" i="165"/>
  <c r="R42" i="165"/>
  <c r="Q42" i="165"/>
  <c r="S42" i="165"/>
  <c r="P43" i="165"/>
  <c r="O43" i="165"/>
  <c r="N43" i="165"/>
  <c r="P25" i="165"/>
  <c r="O25" i="165"/>
  <c r="N25" i="165"/>
  <c r="EH24" i="147"/>
  <c r="EJ24" i="147" s="1"/>
  <c r="S35" i="165"/>
  <c r="R35" i="165"/>
  <c r="Q35" i="165"/>
  <c r="P27" i="165"/>
  <c r="O27" i="165"/>
  <c r="N27" i="165"/>
  <c r="V16" i="165"/>
  <c r="W16" i="165"/>
  <c r="EI24" i="147"/>
  <c r="EK24" i="147" s="1"/>
  <c r="N40" i="165"/>
  <c r="P40" i="165"/>
  <c r="O40" i="165"/>
  <c r="N18" i="165"/>
  <c r="P18" i="165"/>
  <c r="O18" i="165"/>
  <c r="EF26" i="147"/>
  <c r="EG26" i="147"/>
  <c r="W17" i="165"/>
  <c r="V17" i="165"/>
  <c r="P31" i="165"/>
  <c r="O31" i="165"/>
  <c r="N31" i="165"/>
  <c r="S31" i="165"/>
  <c r="R31" i="165"/>
  <c r="Q31" i="165"/>
  <c r="R30" i="165"/>
  <c r="Q30" i="165"/>
  <c r="S30" i="165"/>
  <c r="S25" i="165"/>
  <c r="R25" i="165"/>
  <c r="Q25" i="165"/>
  <c r="S18" i="165"/>
  <c r="R18" i="165"/>
  <c r="Q18" i="165"/>
  <c r="EN26" i="147"/>
  <c r="EP26" i="147" s="1"/>
  <c r="EM26" i="147"/>
  <c r="EO26" i="147" s="1"/>
  <c r="EC27" i="147"/>
  <c r="FV27" i="147"/>
  <c r="EG27" i="147"/>
  <c r="EF27" i="147"/>
  <c r="EQ23" i="165"/>
  <c r="N29" i="147"/>
  <c r="P29" i="147"/>
  <c r="O29" i="147"/>
  <c r="P30" i="147"/>
  <c r="O30" i="147"/>
  <c r="N30" i="147"/>
  <c r="R24" i="147"/>
  <c r="S24" i="147"/>
  <c r="Q24" i="147"/>
  <c r="Q30" i="147"/>
  <c r="S30" i="147"/>
  <c r="R30" i="147"/>
  <c r="P27" i="147"/>
  <c r="N27" i="147"/>
  <c r="O27" i="147" s="1"/>
  <c r="P26" i="147"/>
  <c r="N26" i="147"/>
  <c r="O26" i="147" s="1"/>
  <c r="S29" i="147"/>
  <c r="R29" i="147"/>
  <c r="Q29" i="147"/>
  <c r="W36" i="147"/>
  <c r="V36" i="147"/>
  <c r="Q27" i="147"/>
  <c r="R27" i="147" s="1"/>
  <c r="S27" i="147"/>
  <c r="S26" i="147"/>
  <c r="Q26" i="147"/>
  <c r="R26" i="147" s="1"/>
  <c r="P38" i="147"/>
  <c r="O38" i="147"/>
  <c r="N38" i="147"/>
  <c r="S32" i="147"/>
  <c r="R32" i="147"/>
  <c r="Q32" i="147"/>
  <c r="T37" i="147"/>
  <c r="U37" i="147"/>
  <c r="Q38" i="147"/>
  <c r="S38" i="147"/>
  <c r="R38" i="147"/>
  <c r="P32" i="147"/>
  <c r="O32" i="147"/>
  <c r="N32" i="147"/>
  <c r="V37" i="147"/>
  <c r="W37" i="147"/>
  <c r="X16" i="165"/>
  <c r="CI29" i="165"/>
  <c r="BV37" i="160"/>
  <c r="BV35" i="160"/>
  <c r="BT25" i="160"/>
  <c r="BT32" i="160"/>
  <c r="V30" i="84"/>
  <c r="BV30" i="84" s="1"/>
  <c r="BT44" i="160"/>
  <c r="T30" i="84"/>
  <c r="ER23" i="147"/>
  <c r="BT32" i="84"/>
  <c r="V32" i="84"/>
  <c r="BV32" i="84" s="1"/>
  <c r="AR17" i="165"/>
  <c r="ER24" i="147"/>
  <c r="EQ23" i="147"/>
  <c r="CQ23" i="147"/>
  <c r="BS30" i="84"/>
  <c r="X17" i="165"/>
  <c r="FA14" i="160"/>
  <c r="CH38" i="165"/>
  <c r="EV32" i="165"/>
  <c r="X32" i="165" s="1"/>
  <c r="AZ17" i="165"/>
  <c r="CH45" i="165"/>
  <c r="CH26" i="165"/>
  <c r="CI41" i="165"/>
  <c r="CI38" i="165"/>
  <c r="CK32" i="165"/>
  <c r="EV41" i="165"/>
  <c r="EV38" i="165"/>
  <c r="X38" i="165" s="1"/>
  <c r="CQ39" i="165"/>
  <c r="ER39" i="165"/>
  <c r="CQ44" i="165"/>
  <c r="EQ44" i="165"/>
  <c r="FU43" i="165"/>
  <c r="CQ21" i="165"/>
  <c r="EQ21" i="165"/>
  <c r="CP20" i="165"/>
  <c r="CQ37" i="165"/>
  <c r="ER37" i="165"/>
  <c r="FU34" i="165"/>
  <c r="CP38" i="165"/>
  <c r="CQ26" i="165"/>
  <c r="CP39" i="165"/>
  <c r="CH39" i="165"/>
  <c r="F25" i="165"/>
  <c r="G25" i="165" s="1"/>
  <c r="H25" i="165"/>
  <c r="FV43" i="165"/>
  <c r="CI26" i="165"/>
  <c r="FU40" i="165"/>
  <c r="CQ24" i="165"/>
  <c r="EQ24" i="165"/>
  <c r="ER24" i="165"/>
  <c r="FU27" i="165"/>
  <c r="CP37" i="165"/>
  <c r="CP28" i="165"/>
  <c r="CP29" i="165"/>
  <c r="CK29" i="165" s="1"/>
  <c r="CQ45" i="165"/>
  <c r="ER44" i="165"/>
  <c r="EV44" i="165" s="1"/>
  <c r="CQ36" i="165"/>
  <c r="ER36" i="165"/>
  <c r="CP36" i="165"/>
  <c r="CH36" i="165"/>
  <c r="CQ20" i="165"/>
  <c r="EQ20" i="165"/>
  <c r="EV26" i="165"/>
  <c r="FV31" i="165"/>
  <c r="CH32" i="165"/>
  <c r="CP44" i="165"/>
  <c r="CH44" i="165"/>
  <c r="CI32" i="165"/>
  <c r="CH41" i="165"/>
  <c r="FU35" i="165"/>
  <c r="EQ25" i="165"/>
  <c r="CQ33" i="165"/>
  <c r="EQ33" i="165"/>
  <c r="ER33" i="165"/>
  <c r="CP21" i="165"/>
  <c r="I29" i="165"/>
  <c r="K29" i="165"/>
  <c r="AS29" i="165" s="1"/>
  <c r="J29" i="165"/>
  <c r="CQ19" i="165"/>
  <c r="EQ19" i="165"/>
  <c r="ER19" i="165"/>
  <c r="F32" i="165"/>
  <c r="H32" i="165"/>
  <c r="G32" i="165"/>
  <c r="F30" i="165"/>
  <c r="G30" i="165" s="1"/>
  <c r="H30" i="165"/>
  <c r="FV27" i="165"/>
  <c r="I32" i="165"/>
  <c r="J32" i="165" s="1"/>
  <c r="K32" i="165"/>
  <c r="F41" i="165"/>
  <c r="G41" i="165" s="1"/>
  <c r="H41" i="165"/>
  <c r="EQ37" i="165"/>
  <c r="FV40" i="165"/>
  <c r="EO76" i="165"/>
  <c r="EM76" i="165" s="1"/>
  <c r="CP45" i="165"/>
  <c r="FU42" i="165"/>
  <c r="CQ38" i="165"/>
  <c r="CI45" i="165"/>
  <c r="EQ39" i="165"/>
  <c r="FV34" i="165"/>
  <c r="I41" i="165"/>
  <c r="J41" i="165" s="1"/>
  <c r="K41" i="165"/>
  <c r="CP24" i="165"/>
  <c r="CK41" i="165"/>
  <c r="CP26" i="165"/>
  <c r="EV29" i="165"/>
  <c r="FU31" i="165"/>
  <c r="FV42" i="165"/>
  <c r="CP23" i="165"/>
  <c r="CQ28" i="165"/>
  <c r="ER28" i="165"/>
  <c r="CI28" i="165" s="1"/>
  <c r="ER25" i="165"/>
  <c r="FV35" i="165"/>
  <c r="ER20" i="165"/>
  <c r="CP33" i="165"/>
  <c r="CH33" i="165"/>
  <c r="ER31" i="165"/>
  <c r="ER21" i="165"/>
  <c r="EQ36" i="165"/>
  <c r="CP19" i="165"/>
  <c r="CH19" i="165"/>
  <c r="CQ23" i="165"/>
  <c r="EQ24" i="147"/>
  <c r="FV26" i="147"/>
  <c r="FU26" i="147"/>
  <c r="EP32" i="84"/>
  <c r="T19" i="160"/>
  <c r="BT19" i="160" s="1"/>
  <c r="T18" i="160"/>
  <c r="BT18" i="160" s="1"/>
  <c r="I22" i="165"/>
  <c r="K22" i="165"/>
  <c r="AS22" i="165" s="1"/>
  <c r="J22" i="165"/>
  <c r="AQ37" i="147"/>
  <c r="AS36" i="147"/>
  <c r="AQ36" i="147"/>
  <c r="AQ28" i="147"/>
  <c r="AS28" i="147"/>
  <c r="AS37" i="147"/>
  <c r="FL56" i="160"/>
  <c r="FL57" i="160" s="1"/>
  <c r="FL58" i="160" s="1"/>
  <c r="FR56" i="160"/>
  <c r="FS57" i="160" s="1"/>
  <c r="FL54" i="84"/>
  <c r="FT54" i="84" s="1"/>
  <c r="CQ18" i="165"/>
  <c r="EQ18" i="165"/>
  <c r="ER18" i="165"/>
  <c r="CP18" i="165"/>
  <c r="EY58" i="160"/>
  <c r="EY73" i="84"/>
  <c r="CK22" i="165"/>
  <c r="EP30" i="160"/>
  <c r="EP26" i="160"/>
  <c r="EP38" i="160"/>
  <c r="EP34" i="160"/>
  <c r="EP44" i="160"/>
  <c r="EP35" i="160"/>
  <c r="EP25" i="160"/>
  <c r="EP37" i="160"/>
  <c r="FK61" i="160"/>
  <c r="FJ60" i="160"/>
  <c r="FK61" i="84"/>
  <c r="FJ61" i="84" s="1"/>
  <c r="CH36" i="147"/>
  <c r="CP25" i="165"/>
  <c r="CQ25" i="165"/>
  <c r="EY72" i="84"/>
  <c r="CP30" i="165"/>
  <c r="ER30" i="165"/>
  <c r="CQ30" i="165"/>
  <c r="EQ30" i="165"/>
  <c r="EY65" i="160"/>
  <c r="EX70" i="84"/>
  <c r="CH28" i="147"/>
  <c r="CI28" i="147"/>
  <c r="CK36" i="147"/>
  <c r="CQ38" i="147"/>
  <c r="CP23" i="147"/>
  <c r="CQ35" i="147"/>
  <c r="CQ33" i="147"/>
  <c r="CQ34" i="147"/>
  <c r="CP40" i="147"/>
  <c r="CQ40" i="147"/>
  <c r="CP35" i="147"/>
  <c r="CP34" i="147"/>
  <c r="CP38" i="147"/>
  <c r="CK37" i="147"/>
  <c r="CP33" i="147"/>
  <c r="CK28" i="147"/>
  <c r="CQ29" i="147"/>
  <c r="CQ39" i="147"/>
  <c r="CP39" i="147"/>
  <c r="CP31" i="147"/>
  <c r="CQ31" i="147"/>
  <c r="CP29" i="147"/>
  <c r="H27" i="147" l="1"/>
  <c r="EP30" i="84"/>
  <c r="H22" i="165"/>
  <c r="BT30" i="84"/>
  <c r="ED27" i="147"/>
  <c r="I27" i="147" s="1"/>
  <c r="J27" i="147" s="1"/>
  <c r="FP27" i="147"/>
  <c r="AT17" i="165"/>
  <c r="EN27" i="147"/>
  <c r="EP27" i="147" s="1"/>
  <c r="EM27" i="147"/>
  <c r="AT16" i="165"/>
  <c r="U19" i="165"/>
  <c r="T19" i="165"/>
  <c r="U32" i="165"/>
  <c r="T32" i="165"/>
  <c r="EH26" i="147"/>
  <c r="EJ26" i="147" s="1"/>
  <c r="V38" i="165"/>
  <c r="W38" i="165"/>
  <c r="V28" i="165"/>
  <c r="W28" i="165"/>
  <c r="V41" i="165"/>
  <c r="W41" i="165"/>
  <c r="W45" i="165"/>
  <c r="V45" i="165"/>
  <c r="EI26" i="147"/>
  <c r="EK26" i="147" s="1"/>
  <c r="V26" i="165"/>
  <c r="W26" i="165"/>
  <c r="U26" i="165"/>
  <c r="T26" i="165"/>
  <c r="U41" i="165"/>
  <c r="T41" i="165"/>
  <c r="T45" i="165"/>
  <c r="U45" i="165"/>
  <c r="U38" i="165"/>
  <c r="T38" i="165"/>
  <c r="T33" i="165"/>
  <c r="U33" i="165"/>
  <c r="V32" i="165"/>
  <c r="W32" i="165"/>
  <c r="U36" i="165"/>
  <c r="T36" i="165"/>
  <c r="W29" i="165"/>
  <c r="V29" i="165"/>
  <c r="U39" i="165"/>
  <c r="T39" i="165"/>
  <c r="CI39" i="165"/>
  <c r="U44" i="165"/>
  <c r="T44" i="165"/>
  <c r="ER27" i="147"/>
  <c r="EH27" i="147"/>
  <c r="EJ27" i="147" s="1"/>
  <c r="EI27" i="147"/>
  <c r="EK27" i="147" s="1"/>
  <c r="ER23" i="165"/>
  <c r="CI23" i="165" s="1"/>
  <c r="V23" i="165" s="1"/>
  <c r="W23" i="165" s="1"/>
  <c r="CH23" i="165"/>
  <c r="EQ22" i="165"/>
  <c r="ER22" i="165"/>
  <c r="CH22" i="165"/>
  <c r="T22" i="165" s="1"/>
  <c r="U22" i="165" s="1"/>
  <c r="U36" i="147"/>
  <c r="T36" i="147"/>
  <c r="U28" i="147"/>
  <c r="T28" i="147"/>
  <c r="J24" i="147"/>
  <c r="K24" i="147"/>
  <c r="I24" i="147"/>
  <c r="W28" i="147"/>
  <c r="V28" i="147"/>
  <c r="K23" i="147"/>
  <c r="J23" i="147"/>
  <c r="I23" i="147"/>
  <c r="H24" i="147"/>
  <c r="F24" i="147"/>
  <c r="G24" i="147" s="1"/>
  <c r="H23" i="147"/>
  <c r="G23" i="147"/>
  <c r="F23" i="147"/>
  <c r="EV23" i="147"/>
  <c r="AR37" i="147"/>
  <c r="AT37" i="147"/>
  <c r="AT36" i="147"/>
  <c r="AZ28" i="147"/>
  <c r="CK21" i="165"/>
  <c r="CK19" i="165"/>
  <c r="CI36" i="165"/>
  <c r="CK26" i="165"/>
  <c r="CJ32" i="165"/>
  <c r="AQ41" i="165"/>
  <c r="AQ32" i="165"/>
  <c r="AQ30" i="165"/>
  <c r="AS41" i="165"/>
  <c r="AS32" i="165"/>
  <c r="AQ25" i="165"/>
  <c r="AQ22" i="165"/>
  <c r="CK45" i="165"/>
  <c r="CK37" i="165"/>
  <c r="EV33" i="165"/>
  <c r="X33" i="165" s="1"/>
  <c r="CH34" i="165"/>
  <c r="EV24" i="165"/>
  <c r="X24" i="165" s="1"/>
  <c r="EV45" i="165"/>
  <c r="X45" i="165" s="1"/>
  <c r="CI37" i="165"/>
  <c r="CJ38" i="165"/>
  <c r="CK39" i="165"/>
  <c r="CK33" i="165"/>
  <c r="CK44" i="165"/>
  <c r="CH28" i="165"/>
  <c r="CJ41" i="165"/>
  <c r="X41" i="165"/>
  <c r="CI33" i="165"/>
  <c r="CH37" i="165"/>
  <c r="CH18" i="165"/>
  <c r="CK23" i="165"/>
  <c r="CH29" i="165"/>
  <c r="CI19" i="165"/>
  <c r="CH21" i="165"/>
  <c r="CK36" i="165"/>
  <c r="CI18" i="165"/>
  <c r="X44" i="165"/>
  <c r="CJ44" i="165"/>
  <c r="EV18" i="165"/>
  <c r="EV25" i="165"/>
  <c r="CJ25" i="165" s="1"/>
  <c r="CQ42" i="165"/>
  <c r="ER42" i="165"/>
  <c r="X29" i="165"/>
  <c r="CJ29" i="165"/>
  <c r="K33" i="165"/>
  <c r="I33" i="165"/>
  <c r="J33" i="165" s="1"/>
  <c r="F36" i="165"/>
  <c r="H36" i="165"/>
  <c r="AQ36" i="165" s="1"/>
  <c r="G36" i="165"/>
  <c r="CK28" i="165"/>
  <c r="CP40" i="165"/>
  <c r="I39" i="165"/>
  <c r="J39" i="165" s="1"/>
  <c r="K39" i="165"/>
  <c r="K38" i="165"/>
  <c r="I38" i="165"/>
  <c r="J38" i="165" s="1"/>
  <c r="CQ27" i="165"/>
  <c r="ER27" i="165"/>
  <c r="EV27" i="165" s="1"/>
  <c r="EQ27" i="165"/>
  <c r="EV39" i="165"/>
  <c r="CH20" i="165"/>
  <c r="EV19" i="165"/>
  <c r="K23" i="165"/>
  <c r="AS23" i="165" s="1"/>
  <c r="I23" i="165"/>
  <c r="J23" i="165" s="1"/>
  <c r="I28" i="165"/>
  <c r="K28" i="165"/>
  <c r="AS28" i="165" s="1"/>
  <c r="J28" i="165"/>
  <c r="H26" i="165"/>
  <c r="F26" i="165"/>
  <c r="G26" i="165" s="1"/>
  <c r="AZ32" i="165"/>
  <c r="EO91" i="165" s="1"/>
  <c r="EM91" i="165" s="1"/>
  <c r="EV21" i="165"/>
  <c r="CQ31" i="165"/>
  <c r="EQ31" i="165"/>
  <c r="CI31" i="165" s="1"/>
  <c r="I45" i="165"/>
  <c r="J45" i="165" s="1"/>
  <c r="K45" i="165"/>
  <c r="EV37" i="165"/>
  <c r="H39" i="165"/>
  <c r="F39" i="165"/>
  <c r="G39" i="165" s="1"/>
  <c r="CP34" i="165"/>
  <c r="CK20" i="165"/>
  <c r="CP42" i="165"/>
  <c r="CH42" i="165"/>
  <c r="F44" i="165"/>
  <c r="H44" i="165"/>
  <c r="AQ44" i="165" s="1"/>
  <c r="G44" i="165"/>
  <c r="X26" i="165"/>
  <c r="CJ26" i="165"/>
  <c r="H37" i="165"/>
  <c r="AQ37" i="165" s="1"/>
  <c r="G37" i="165"/>
  <c r="F37" i="165"/>
  <c r="F20" i="165"/>
  <c r="G20" i="165" s="1"/>
  <c r="H20" i="165"/>
  <c r="CP43" i="165"/>
  <c r="CH43" i="165"/>
  <c r="CQ35" i="165"/>
  <c r="ER35" i="165"/>
  <c r="EQ35" i="165"/>
  <c r="F21" i="165"/>
  <c r="G21" i="165" s="1"/>
  <c r="H21" i="165"/>
  <c r="CI20" i="165"/>
  <c r="H29" i="165"/>
  <c r="AQ29" i="165" s="1"/>
  <c r="G29" i="165"/>
  <c r="F29" i="165"/>
  <c r="CI24" i="165"/>
  <c r="CQ43" i="165"/>
  <c r="EQ43" i="165"/>
  <c r="ER43" i="165"/>
  <c r="K37" i="165"/>
  <c r="I37" i="165"/>
  <c r="J37" i="165" s="1"/>
  <c r="EQ42" i="165"/>
  <c r="CI44" i="165"/>
  <c r="CH24" i="165"/>
  <c r="F23" i="165"/>
  <c r="G23" i="165" s="1"/>
  <c r="H23" i="165"/>
  <c r="G24" i="165"/>
  <c r="F24" i="165"/>
  <c r="H24" i="165"/>
  <c r="AQ24" i="165" s="1"/>
  <c r="CQ34" i="165"/>
  <c r="AZ41" i="165"/>
  <c r="EO100" i="165" s="1"/>
  <c r="EM100" i="165" s="1"/>
  <c r="CP35" i="165"/>
  <c r="EQ34" i="165"/>
  <c r="I20" i="165"/>
  <c r="J20" i="165" s="1"/>
  <c r="K20" i="165"/>
  <c r="J36" i="165"/>
  <c r="I36" i="165"/>
  <c r="K36" i="165"/>
  <c r="CP27" i="165"/>
  <c r="CH27" i="165"/>
  <c r="CK24" i="165"/>
  <c r="CH35" i="165"/>
  <c r="I26" i="165"/>
  <c r="K26" i="165"/>
  <c r="AS26" i="165" s="1"/>
  <c r="J26" i="165"/>
  <c r="K44" i="165"/>
  <c r="I44" i="165"/>
  <c r="J44" i="165" s="1"/>
  <c r="AZ22" i="165"/>
  <c r="EO81" i="165" s="1"/>
  <c r="EM81" i="165" s="1"/>
  <c r="H19" i="165"/>
  <c r="F19" i="165"/>
  <c r="F33" i="165"/>
  <c r="G33" i="165"/>
  <c r="H33" i="165"/>
  <c r="AQ33" i="165" s="1"/>
  <c r="CP31" i="165"/>
  <c r="CI25" i="165"/>
  <c r="H45" i="165"/>
  <c r="F45" i="165"/>
  <c r="G45" i="165" s="1"/>
  <c r="CQ40" i="165"/>
  <c r="ER40" i="165"/>
  <c r="EQ40" i="165"/>
  <c r="ER34" i="165"/>
  <c r="K19" i="165"/>
  <c r="AS19" i="165" s="1"/>
  <c r="I19" i="165"/>
  <c r="J19" i="165" s="1"/>
  <c r="EV28" i="165"/>
  <c r="I24" i="165"/>
  <c r="K24" i="165"/>
  <c r="AS24" i="165" s="1"/>
  <c r="J24" i="165"/>
  <c r="F38" i="165"/>
  <c r="G38" i="165" s="1"/>
  <c r="H38" i="165"/>
  <c r="CI21" i="165"/>
  <c r="EV20" i="165"/>
  <c r="EV36" i="165"/>
  <c r="H28" i="165"/>
  <c r="F28" i="165"/>
  <c r="CK38" i="165"/>
  <c r="J21" i="165"/>
  <c r="I21" i="165"/>
  <c r="K21" i="165"/>
  <c r="AS21" i="165" s="1"/>
  <c r="EV24" i="147"/>
  <c r="CP26" i="147"/>
  <c r="CQ26" i="147"/>
  <c r="ER26" i="147"/>
  <c r="EQ26" i="147"/>
  <c r="H18" i="165"/>
  <c r="F18" i="165"/>
  <c r="I25" i="165"/>
  <c r="K25" i="165"/>
  <c r="AS25" i="165" s="1"/>
  <c r="J25" i="165"/>
  <c r="I30" i="165"/>
  <c r="J30" i="165" s="1"/>
  <c r="K30" i="165"/>
  <c r="K18" i="165"/>
  <c r="I18" i="165"/>
  <c r="J18" i="165" s="1"/>
  <c r="AS38" i="147"/>
  <c r="AS31" i="147"/>
  <c r="AQ29" i="147"/>
  <c r="AS33" i="147"/>
  <c r="AQ31" i="147"/>
  <c r="AZ31" i="147"/>
  <c r="AS39" i="147"/>
  <c r="AQ34" i="147"/>
  <c r="AS35" i="147"/>
  <c r="AQ33" i="147"/>
  <c r="AS29" i="147"/>
  <c r="AQ38" i="147"/>
  <c r="AQ35" i="147"/>
  <c r="AQ39" i="147"/>
  <c r="AS34" i="147"/>
  <c r="FL55" i="84"/>
  <c r="FL56" i="84" s="1"/>
  <c r="FL57" i="84" s="1"/>
  <c r="FL58" i="84" s="1"/>
  <c r="FL59" i="84" s="1"/>
  <c r="FL60" i="84" s="1"/>
  <c r="FL61" i="84" s="1"/>
  <c r="FL62" i="84" s="1"/>
  <c r="FL63" i="84" s="1"/>
  <c r="FL64" i="84" s="1"/>
  <c r="FL65" i="84" s="1"/>
  <c r="FL66" i="84" s="1"/>
  <c r="FL67" i="84" s="1"/>
  <c r="FL68" i="84" s="1"/>
  <c r="FL69" i="84" s="1"/>
  <c r="FL70" i="84" s="1"/>
  <c r="FL71" i="84" s="1"/>
  <c r="FL72" i="84" s="1"/>
  <c r="FL73" i="84" s="1"/>
  <c r="FL74" i="84" s="1"/>
  <c r="FL75" i="84" s="1"/>
  <c r="FL76" i="84" s="1"/>
  <c r="FL77" i="84" s="1"/>
  <c r="FL78" i="84" s="1"/>
  <c r="FL79" i="84" s="1"/>
  <c r="FL80" i="84" s="1"/>
  <c r="FL81" i="84" s="1"/>
  <c r="FL82" i="84" s="1"/>
  <c r="FL83" i="84" s="1"/>
  <c r="FL84" i="84" s="1"/>
  <c r="FL85" i="84" s="1"/>
  <c r="FT56" i="160"/>
  <c r="FY56" i="160" s="1"/>
  <c r="GB56" i="160" s="1"/>
  <c r="FU57" i="160"/>
  <c r="FT57" i="160" s="1"/>
  <c r="FO57" i="160"/>
  <c r="AF17" i="160" s="1"/>
  <c r="CK18" i="165"/>
  <c r="FL59" i="160"/>
  <c r="FL60" i="160" s="1"/>
  <c r="FL61" i="160" s="1"/>
  <c r="FL62" i="160" s="1"/>
  <c r="FL63" i="160" s="1"/>
  <c r="FL64" i="160" s="1"/>
  <c r="FL65" i="160" s="1"/>
  <c r="FL66" i="160" s="1"/>
  <c r="FL67" i="160" s="1"/>
  <c r="FL68" i="160" s="1"/>
  <c r="FL69" i="160" s="1"/>
  <c r="FL70" i="160" s="1"/>
  <c r="FL71" i="160" s="1"/>
  <c r="FL72" i="160" s="1"/>
  <c r="FL73" i="160" s="1"/>
  <c r="FL74" i="160" s="1"/>
  <c r="FL75" i="160" s="1"/>
  <c r="FL76" i="160" s="1"/>
  <c r="FL77" i="160" s="1"/>
  <c r="FL78" i="160" s="1"/>
  <c r="FL79" i="160" s="1"/>
  <c r="FL80" i="160" s="1"/>
  <c r="FL81" i="160" s="1"/>
  <c r="FL82" i="160" s="1"/>
  <c r="FL83" i="160" s="1"/>
  <c r="FL84" i="160" s="1"/>
  <c r="FL85" i="160" s="1"/>
  <c r="FK62" i="160"/>
  <c r="FJ61" i="160"/>
  <c r="FK62" i="84"/>
  <c r="FJ62" i="84" s="1"/>
  <c r="CH25" i="165"/>
  <c r="CK25" i="165"/>
  <c r="CI30" i="165"/>
  <c r="CK30" i="165"/>
  <c r="EV30" i="165"/>
  <c r="CH30" i="165"/>
  <c r="CI31" i="147"/>
  <c r="CI35" i="147"/>
  <c r="CH23" i="147"/>
  <c r="CH38" i="147"/>
  <c r="CI40" i="147"/>
  <c r="CI39" i="147"/>
  <c r="CH29" i="147"/>
  <c r="CI29" i="147"/>
  <c r="CI34" i="147"/>
  <c r="CH35" i="147"/>
  <c r="CH40" i="147"/>
  <c r="CI33" i="147"/>
  <c r="CK38" i="147"/>
  <c r="CH34" i="147"/>
  <c r="CH39" i="147"/>
  <c r="CH31" i="147"/>
  <c r="CI38" i="147"/>
  <c r="CH33" i="147"/>
  <c r="CI23" i="147"/>
  <c r="CK39" i="147"/>
  <c r="CK33" i="147"/>
  <c r="CK40" i="147"/>
  <c r="CK34" i="147"/>
  <c r="CK23" i="147"/>
  <c r="CQ30" i="147"/>
  <c r="CQ24" i="147"/>
  <c r="AQ40" i="147"/>
  <c r="CK29" i="147"/>
  <c r="CK35" i="147"/>
  <c r="CP32" i="147"/>
  <c r="AS40" i="147"/>
  <c r="CP24" i="147"/>
  <c r="CQ27" i="147"/>
  <c r="CP27" i="147"/>
  <c r="CQ32" i="147"/>
  <c r="CK31" i="147"/>
  <c r="CP30" i="147"/>
  <c r="CR26" i="147"/>
  <c r="K27" i="147" l="1"/>
  <c r="AS20" i="165"/>
  <c r="AR19" i="165"/>
  <c r="EO27" i="147"/>
  <c r="EQ27" i="147" s="1"/>
  <c r="EV23" i="165"/>
  <c r="X23" i="165" s="1"/>
  <c r="AT29" i="165"/>
  <c r="AR45" i="165"/>
  <c r="AR38" i="165"/>
  <c r="U21" i="165"/>
  <c r="T21" i="165"/>
  <c r="V36" i="165"/>
  <c r="W36" i="165"/>
  <c r="U27" i="165"/>
  <c r="T27" i="165"/>
  <c r="U42" i="165"/>
  <c r="T42" i="165"/>
  <c r="W19" i="165"/>
  <c r="V19" i="165"/>
  <c r="V30" i="165"/>
  <c r="W30" i="165"/>
  <c r="V25" i="165"/>
  <c r="W25" i="165"/>
  <c r="U24" i="165"/>
  <c r="T24" i="165"/>
  <c r="V24" i="165"/>
  <c r="W24" i="165"/>
  <c r="W31" i="165"/>
  <c r="V31" i="165"/>
  <c r="T29" i="165"/>
  <c r="U29" i="165"/>
  <c r="U28" i="165"/>
  <c r="T28" i="165"/>
  <c r="T23" i="165"/>
  <c r="U23" i="165" s="1"/>
  <c r="W39" i="165"/>
  <c r="V39" i="165"/>
  <c r="W37" i="165"/>
  <c r="V37" i="165"/>
  <c r="W21" i="165"/>
  <c r="V21" i="165"/>
  <c r="V44" i="165"/>
  <c r="W44" i="165"/>
  <c r="U34" i="165"/>
  <c r="T34" i="165"/>
  <c r="U30" i="165"/>
  <c r="T30" i="165"/>
  <c r="T25" i="165"/>
  <c r="U25" i="165"/>
  <c r="U18" i="165"/>
  <c r="T18" i="165"/>
  <c r="U43" i="165"/>
  <c r="T43" i="165"/>
  <c r="T37" i="165"/>
  <c r="U37" i="165"/>
  <c r="U35" i="165"/>
  <c r="T35" i="165"/>
  <c r="V20" i="165"/>
  <c r="W20" i="165"/>
  <c r="U20" i="165"/>
  <c r="T20" i="165"/>
  <c r="W18" i="165"/>
  <c r="V18" i="165"/>
  <c r="W33" i="165"/>
  <c r="V33" i="165"/>
  <c r="CI22" i="165"/>
  <c r="V22" i="165" s="1"/>
  <c r="W22" i="165" s="1"/>
  <c r="EV22" i="165"/>
  <c r="V39" i="147"/>
  <c r="W39" i="147"/>
  <c r="W33" i="147"/>
  <c r="V33" i="147"/>
  <c r="U38" i="147"/>
  <c r="T38" i="147"/>
  <c r="CJ24" i="147"/>
  <c r="X24" i="147"/>
  <c r="W23" i="147"/>
  <c r="V23" i="147"/>
  <c r="U40" i="147"/>
  <c r="T40" i="147"/>
  <c r="U23" i="147"/>
  <c r="T23" i="147"/>
  <c r="U33" i="147"/>
  <c r="T33" i="147"/>
  <c r="U35" i="147"/>
  <c r="T35" i="147"/>
  <c r="W35" i="147"/>
  <c r="V35" i="147"/>
  <c r="U34" i="147"/>
  <c r="T34" i="147"/>
  <c r="W38" i="147"/>
  <c r="V38" i="147"/>
  <c r="W34" i="147"/>
  <c r="V34" i="147"/>
  <c r="V31" i="147"/>
  <c r="W31" i="147"/>
  <c r="U31" i="147"/>
  <c r="T31" i="147"/>
  <c r="W29" i="147"/>
  <c r="V29" i="147"/>
  <c r="W40" i="147"/>
  <c r="V40" i="147"/>
  <c r="U39" i="147"/>
  <c r="T39" i="147"/>
  <c r="T29" i="147"/>
  <c r="U29" i="147"/>
  <c r="K26" i="147"/>
  <c r="I26" i="147"/>
  <c r="J26" i="147" s="1"/>
  <c r="CJ23" i="147"/>
  <c r="X23" i="147"/>
  <c r="AR39" i="165"/>
  <c r="AR22" i="165"/>
  <c r="AT28" i="165"/>
  <c r="AR26" i="165"/>
  <c r="AT32" i="165"/>
  <c r="AR41" i="165"/>
  <c r="AT38" i="165"/>
  <c r="AT41" i="165"/>
  <c r="AR33" i="165"/>
  <c r="AT26" i="165"/>
  <c r="AR36" i="165"/>
  <c r="AT45" i="165"/>
  <c r="AT28" i="147"/>
  <c r="AR28" i="147"/>
  <c r="AR36" i="147"/>
  <c r="CK27" i="165"/>
  <c r="CI42" i="165"/>
  <c r="AQ45" i="165"/>
  <c r="AQ39" i="165"/>
  <c r="AQ38" i="165"/>
  <c r="AS30" i="165"/>
  <c r="AS45" i="165"/>
  <c r="AS44" i="165"/>
  <c r="AS39" i="165"/>
  <c r="AS38" i="165"/>
  <c r="AS37" i="165"/>
  <c r="AS36" i="165"/>
  <c r="EV35" i="165"/>
  <c r="X35" i="165" s="1"/>
  <c r="CJ33" i="165"/>
  <c r="AS33" i="165"/>
  <c r="G28" i="165"/>
  <c r="AZ28" i="165" s="1"/>
  <c r="EO87" i="165" s="1"/>
  <c r="EM87" i="165" s="1"/>
  <c r="AQ28" i="165"/>
  <c r="AQ26" i="165"/>
  <c r="CJ24" i="165"/>
  <c r="AQ23" i="165"/>
  <c r="AQ21" i="165"/>
  <c r="AQ20" i="165"/>
  <c r="AZ45" i="165"/>
  <c r="EO104" i="165" s="1"/>
  <c r="EM104" i="165" s="1"/>
  <c r="CJ45" i="165"/>
  <c r="EV43" i="165"/>
  <c r="X43" i="165" s="1"/>
  <c r="EV42" i="165"/>
  <c r="CJ42" i="165" s="1"/>
  <c r="CK42" i="165"/>
  <c r="EV34" i="165"/>
  <c r="CJ34" i="165" s="1"/>
  <c r="AZ33" i="165"/>
  <c r="EO92" i="165" s="1"/>
  <c r="EM92" i="165" s="1"/>
  <c r="EV31" i="165"/>
  <c r="CJ31" i="165" s="1"/>
  <c r="CK31" i="165"/>
  <c r="X25" i="165"/>
  <c r="CH31" i="165"/>
  <c r="AZ39" i="165"/>
  <c r="EO98" i="165" s="1"/>
  <c r="EM98" i="165" s="1"/>
  <c r="AZ24" i="165"/>
  <c r="EO83" i="165" s="1"/>
  <c r="EM83" i="165" s="1"/>
  <c r="AZ25" i="165"/>
  <c r="EO84" i="165" s="1"/>
  <c r="EM84" i="165" s="1"/>
  <c r="AZ30" i="165"/>
  <c r="EO89" i="165" s="1"/>
  <c r="EM89" i="165" s="1"/>
  <c r="AZ38" i="165"/>
  <c r="EO97" i="165" s="1"/>
  <c r="EM97" i="165" s="1"/>
  <c r="AZ29" i="165"/>
  <c r="EO88" i="165" s="1"/>
  <c r="EM88" i="165" s="1"/>
  <c r="AZ26" i="165"/>
  <c r="EO85" i="165" s="1"/>
  <c r="EM85" i="165" s="1"/>
  <c r="X27" i="165"/>
  <c r="CJ27" i="165"/>
  <c r="K31" i="165"/>
  <c r="I31" i="165"/>
  <c r="J31" i="165" s="1"/>
  <c r="CK43" i="165"/>
  <c r="CI34" i="165"/>
  <c r="X19" i="165"/>
  <c r="CJ19" i="165"/>
  <c r="J27" i="165"/>
  <c r="I27" i="165"/>
  <c r="K27" i="165"/>
  <c r="AS27" i="165" s="1"/>
  <c r="AZ36" i="165"/>
  <c r="EO95" i="165" s="1"/>
  <c r="EM95" i="165" s="1"/>
  <c r="F35" i="165"/>
  <c r="H35" i="165"/>
  <c r="AQ35" i="165" s="1"/>
  <c r="G35" i="165"/>
  <c r="AZ20" i="165"/>
  <c r="EO79" i="165" s="1"/>
  <c r="EM79" i="165" s="1"/>
  <c r="CH40" i="165"/>
  <c r="CI40" i="165"/>
  <c r="G19" i="165"/>
  <c r="AZ19" i="165" s="1"/>
  <c r="EO78" i="165" s="1"/>
  <c r="EM78" i="165" s="1"/>
  <c r="CK35" i="165"/>
  <c r="H42" i="165"/>
  <c r="AQ42" i="165" s="1"/>
  <c r="G42" i="165"/>
  <c r="F42" i="165"/>
  <c r="X37" i="165"/>
  <c r="CJ37" i="165"/>
  <c r="AR44" i="165"/>
  <c r="X39" i="165"/>
  <c r="CJ39" i="165"/>
  <c r="EV40" i="165"/>
  <c r="AR32" i="165"/>
  <c r="G18" i="165"/>
  <c r="AZ18" i="165" s="1"/>
  <c r="EO77" i="165" s="1"/>
  <c r="EM77" i="165" s="1"/>
  <c r="H31" i="165"/>
  <c r="F31" i="165"/>
  <c r="G31" i="165" s="1"/>
  <c r="AZ23" i="165"/>
  <c r="EO82" i="165" s="1"/>
  <c r="EM82" i="165" s="1"/>
  <c r="CI35" i="165"/>
  <c r="X21" i="165"/>
  <c r="CJ21" i="165"/>
  <c r="F40" i="165"/>
  <c r="G40" i="165" s="1"/>
  <c r="H40" i="165"/>
  <c r="X28" i="165"/>
  <c r="CJ28" i="165"/>
  <c r="I40" i="165"/>
  <c r="J40" i="165" s="1"/>
  <c r="K40" i="165"/>
  <c r="K34" i="165"/>
  <c r="I34" i="165"/>
  <c r="J34" i="165" s="1"/>
  <c r="AZ44" i="165"/>
  <c r="EO103" i="165" s="1"/>
  <c r="EM103" i="165" s="1"/>
  <c r="CK40" i="165"/>
  <c r="X18" i="165"/>
  <c r="CJ18" i="165"/>
  <c r="X36" i="165"/>
  <c r="CJ36" i="165"/>
  <c r="CI43" i="165"/>
  <c r="K35" i="165"/>
  <c r="I35" i="165"/>
  <c r="J35" i="165" s="1"/>
  <c r="AZ37" i="165"/>
  <c r="EO96" i="165" s="1"/>
  <c r="EM96" i="165" s="1"/>
  <c r="F34" i="165"/>
  <c r="G34" i="165" s="1"/>
  <c r="H34" i="165"/>
  <c r="I42" i="165"/>
  <c r="J42" i="165" s="1"/>
  <c r="K42" i="165"/>
  <c r="X20" i="165"/>
  <c r="CJ20" i="165"/>
  <c r="H27" i="165"/>
  <c r="F27" i="165"/>
  <c r="G27" i="165" s="1"/>
  <c r="K43" i="165"/>
  <c r="I43" i="165"/>
  <c r="J43" i="165" s="1"/>
  <c r="AZ21" i="165"/>
  <c r="EO80" i="165" s="1"/>
  <c r="EM80" i="165" s="1"/>
  <c r="F43" i="165"/>
  <c r="G43" i="165" s="1"/>
  <c r="H43" i="165"/>
  <c r="CK34" i="165"/>
  <c r="CI27" i="165"/>
  <c r="AQ23" i="147"/>
  <c r="AZ23" i="147"/>
  <c r="EV26" i="147"/>
  <c r="X26" i="147" s="1"/>
  <c r="X30" i="165"/>
  <c r="CJ30" i="165"/>
  <c r="AS18" i="165"/>
  <c r="AS23" i="147"/>
  <c r="AQ30" i="147"/>
  <c r="AS32" i="147"/>
  <c r="AS30" i="147"/>
  <c r="AQ32" i="147"/>
  <c r="FP57" i="160"/>
  <c r="FX57" i="160" s="1"/>
  <c r="GA56" i="160"/>
  <c r="CH24" i="147"/>
  <c r="CI30" i="147"/>
  <c r="FK63" i="160"/>
  <c r="FJ62" i="160"/>
  <c r="FK63" i="84"/>
  <c r="FJ63" i="84" s="1"/>
  <c r="CH27" i="147"/>
  <c r="CI32" i="147"/>
  <c r="CI24" i="147"/>
  <c r="CH32" i="147"/>
  <c r="CH30" i="147"/>
  <c r="CH26" i="147"/>
  <c r="CI26" i="147"/>
  <c r="CK24" i="147"/>
  <c r="CK30" i="147"/>
  <c r="CK27" i="147"/>
  <c r="CK32" i="147"/>
  <c r="CK26" i="147"/>
  <c r="AR34" i="165" l="1"/>
  <c r="AT40" i="147"/>
  <c r="CJ23" i="165"/>
  <c r="AT19" i="165"/>
  <c r="AR21" i="165"/>
  <c r="EV27" i="147"/>
  <c r="X27" i="147" s="1"/>
  <c r="CI27" i="147"/>
  <c r="V27" i="147" s="1"/>
  <c r="W27" i="147" s="1"/>
  <c r="AR20" i="165"/>
  <c r="AT39" i="165"/>
  <c r="AT36" i="165"/>
  <c r="AT20" i="165"/>
  <c r="AR18" i="165"/>
  <c r="AR29" i="165"/>
  <c r="AR37" i="165"/>
  <c r="AR40" i="147"/>
  <c r="AT33" i="165"/>
  <c r="AR28" i="165"/>
  <c r="CJ27" i="147"/>
  <c r="U31" i="165"/>
  <c r="T31" i="165"/>
  <c r="U40" i="165"/>
  <c r="T40" i="165"/>
  <c r="V43" i="165"/>
  <c r="W43" i="165"/>
  <c r="V42" i="165"/>
  <c r="W42" i="165"/>
  <c r="V34" i="165"/>
  <c r="W34" i="165"/>
  <c r="V27" i="165"/>
  <c r="W27" i="165"/>
  <c r="V35" i="165"/>
  <c r="W35" i="165"/>
  <c r="V40" i="165"/>
  <c r="W40" i="165"/>
  <c r="AR23" i="165"/>
  <c r="AT23" i="165"/>
  <c r="CJ22" i="165"/>
  <c r="X22" i="165"/>
  <c r="AT22" i="165"/>
  <c r="U30" i="147"/>
  <c r="T30" i="147"/>
  <c r="U32" i="147"/>
  <c r="T32" i="147"/>
  <c r="W30" i="147"/>
  <c r="V30" i="147"/>
  <c r="W24" i="147"/>
  <c r="V24" i="147"/>
  <c r="T24" i="147"/>
  <c r="U24" i="147" s="1"/>
  <c r="W32" i="147"/>
  <c r="V32" i="147"/>
  <c r="T27" i="147"/>
  <c r="U27" i="147" s="1"/>
  <c r="V26" i="147"/>
  <c r="W26" i="147" s="1"/>
  <c r="T26" i="147"/>
  <c r="U26" i="147" s="1"/>
  <c r="AT24" i="165"/>
  <c r="AR43" i="165"/>
  <c r="AR30" i="165"/>
  <c r="AT18" i="165"/>
  <c r="AT37" i="165"/>
  <c r="AR25" i="165"/>
  <c r="AT30" i="165"/>
  <c r="AR42" i="165"/>
  <c r="AT44" i="165"/>
  <c r="AR35" i="165"/>
  <c r="AT34" i="147"/>
  <c r="AR39" i="147"/>
  <c r="AR33" i="147"/>
  <c r="AR31" i="147"/>
  <c r="AR34" i="147"/>
  <c r="AT35" i="147"/>
  <c r="AT33" i="147"/>
  <c r="AT39" i="147"/>
  <c r="AR38" i="147"/>
  <c r="AT31" i="147"/>
  <c r="AT29" i="147"/>
  <c r="AR29" i="147"/>
  <c r="AT23" i="147"/>
  <c r="AR35" i="147"/>
  <c r="AT38" i="147"/>
  <c r="AR23" i="147"/>
  <c r="AG17" i="160"/>
  <c r="AH17" i="160"/>
  <c r="CJ26" i="147"/>
  <c r="X42" i="165"/>
  <c r="X34" i="165"/>
  <c r="AQ43" i="165"/>
  <c r="AQ40" i="165"/>
  <c r="AQ34" i="165"/>
  <c r="AQ31" i="165"/>
  <c r="CJ43" i="165"/>
  <c r="CJ35" i="165"/>
  <c r="X31" i="165"/>
  <c r="AS43" i="165"/>
  <c r="AS42" i="165"/>
  <c r="AS40" i="165"/>
  <c r="AS35" i="165"/>
  <c r="AS34" i="165"/>
  <c r="AS31" i="165"/>
  <c r="AQ27" i="165"/>
  <c r="AQ19" i="165"/>
  <c r="AQ18" i="165"/>
  <c r="AZ35" i="165"/>
  <c r="EO94" i="165" s="1"/>
  <c r="EM94" i="165" s="1"/>
  <c r="AZ43" i="165"/>
  <c r="EO102" i="165" s="1"/>
  <c r="EM102" i="165" s="1"/>
  <c r="AR24" i="165"/>
  <c r="AZ34" i="165"/>
  <c r="EO93" i="165" s="1"/>
  <c r="EM93" i="165" s="1"/>
  <c r="AZ27" i="165"/>
  <c r="EO86" i="165" s="1"/>
  <c r="EM86" i="165" s="1"/>
  <c r="AR27" i="165"/>
  <c r="AT25" i="165"/>
  <c r="AZ42" i="165"/>
  <c r="EO101" i="165" s="1"/>
  <c r="EM101" i="165" s="1"/>
  <c r="AT31" i="165"/>
  <c r="AT21" i="165"/>
  <c r="AZ40" i="165"/>
  <c r="EO99" i="165" s="1"/>
  <c r="EM99" i="165" s="1"/>
  <c r="X40" i="165"/>
  <c r="CJ40" i="165"/>
  <c r="AZ31" i="165"/>
  <c r="EO90" i="165" s="1"/>
  <c r="EM90" i="165" s="1"/>
  <c r="AS27" i="147"/>
  <c r="AQ27" i="147"/>
  <c r="AZ27" i="147"/>
  <c r="AQ24" i="147"/>
  <c r="AQ26" i="147"/>
  <c r="AS26" i="147"/>
  <c r="AS24" i="147"/>
  <c r="FN57" i="160"/>
  <c r="FW57" i="160" s="1"/>
  <c r="FK64" i="160"/>
  <c r="GG64" i="160" s="1"/>
  <c r="FJ63" i="160"/>
  <c r="FK64" i="84"/>
  <c r="FJ64" i="84" s="1"/>
  <c r="AW24" i="160" l="1"/>
  <c r="AV24" i="160"/>
  <c r="FG64" i="160" s="1"/>
  <c r="AR31" i="165"/>
  <c r="AT42" i="165"/>
  <c r="AT35" i="165"/>
  <c r="AT43" i="165"/>
  <c r="AT27" i="165"/>
  <c r="AT34" i="165"/>
  <c r="AR40" i="165"/>
  <c r="AR27" i="147"/>
  <c r="AT26" i="147"/>
  <c r="AT32" i="147"/>
  <c r="AR30" i="147"/>
  <c r="AT30" i="147"/>
  <c r="AR32" i="147"/>
  <c r="AR26" i="147"/>
  <c r="AT27" i="147"/>
  <c r="AT24" i="147"/>
  <c r="AR24" i="147"/>
  <c r="AZ26" i="147"/>
  <c r="AT40" i="165"/>
  <c r="AZ24" i="147"/>
  <c r="FQ57" i="160"/>
  <c r="FY57" i="160" s="1"/>
  <c r="GA57" i="160" s="1"/>
  <c r="FD17" i="160"/>
  <c r="FK65" i="160"/>
  <c r="FJ64" i="160"/>
  <c r="FK65" i="84"/>
  <c r="FJ65" i="84" s="1"/>
  <c r="FR57" i="160" l="1"/>
  <c r="FS58" i="160" s="1"/>
  <c r="FP58" i="160" s="1"/>
  <c r="GA58" i="160" s="1"/>
  <c r="GB57" i="160"/>
  <c r="FK66" i="160"/>
  <c r="FJ65" i="160"/>
  <c r="FK66" i="84"/>
  <c r="FJ66" i="84" s="1"/>
  <c r="FR58" i="160" l="1"/>
  <c r="FS59" i="160" s="1"/>
  <c r="FP59" i="160" s="1"/>
  <c r="GA59" i="160" s="1"/>
  <c r="FU58" i="160"/>
  <c r="FT58" i="160" s="1"/>
  <c r="FN58" i="160"/>
  <c r="FW58" i="160" s="1"/>
  <c r="FO58" i="160"/>
  <c r="AF18" i="160" s="1"/>
  <c r="FQ58" i="160"/>
  <c r="FY58" i="160" s="1"/>
  <c r="GB58" i="160" s="1"/>
  <c r="FK67" i="160"/>
  <c r="FJ66" i="160"/>
  <c r="FK67" i="84"/>
  <c r="FJ67" i="84" s="1"/>
  <c r="FN59" i="160" l="1"/>
  <c r="FW59" i="160" s="1"/>
  <c r="FV59" i="160" s="1"/>
  <c r="FU59" i="160"/>
  <c r="FT59" i="160" s="1"/>
  <c r="FO59" i="160"/>
  <c r="AF19" i="160" s="1"/>
  <c r="FQ59" i="160"/>
  <c r="FY59" i="160" s="1"/>
  <c r="FZ59" i="160" s="1"/>
  <c r="FR59" i="160"/>
  <c r="FS60" i="160" s="1"/>
  <c r="FN60" i="160" s="1"/>
  <c r="FW60" i="160" s="1"/>
  <c r="FX58" i="160"/>
  <c r="FK68" i="160"/>
  <c r="FJ67" i="160"/>
  <c r="FK68" i="84"/>
  <c r="FJ68" i="84" s="1"/>
  <c r="AG18" i="160" l="1"/>
  <c r="AH18" i="160"/>
  <c r="AJ19" i="160"/>
  <c r="AI19" i="160"/>
  <c r="AE19" i="160"/>
  <c r="AD19" i="160"/>
  <c r="FX59" i="160"/>
  <c r="FU60" i="160"/>
  <c r="FT60" i="160" s="1"/>
  <c r="GB59" i="160"/>
  <c r="FP60" i="160"/>
  <c r="GA60" i="160" s="1"/>
  <c r="FQ60" i="160"/>
  <c r="FY60" i="160" s="1"/>
  <c r="FO60" i="160"/>
  <c r="AF20" i="160" s="1"/>
  <c r="FR60" i="160"/>
  <c r="FS61" i="160" s="1"/>
  <c r="FK69" i="160"/>
  <c r="FJ68" i="160"/>
  <c r="FK69" i="84"/>
  <c r="FJ69" i="84" s="1"/>
  <c r="GK59" i="160" l="1"/>
  <c r="FD18" i="160"/>
  <c r="AH19" i="160"/>
  <c r="AG19" i="160"/>
  <c r="FC19" i="160"/>
  <c r="FX60" i="160"/>
  <c r="FE19" i="160"/>
  <c r="FN61" i="160"/>
  <c r="FW61" i="160" s="1"/>
  <c r="FV61" i="160" s="1"/>
  <c r="FP61" i="160"/>
  <c r="GA61" i="160" s="1"/>
  <c r="FO61" i="160"/>
  <c r="AF21" i="160" s="1"/>
  <c r="FQ61" i="160"/>
  <c r="FY61" i="160" s="1"/>
  <c r="FU61" i="160"/>
  <c r="FT61" i="160" s="1"/>
  <c r="FR61" i="160"/>
  <c r="FS62" i="160" s="1"/>
  <c r="FZ60" i="160"/>
  <c r="GB60" i="160"/>
  <c r="FK70" i="160"/>
  <c r="FJ69" i="160"/>
  <c r="FK70" i="84"/>
  <c r="FJ70" i="84" s="1"/>
  <c r="FD19" i="160" l="1"/>
  <c r="AH20" i="160"/>
  <c r="AG20" i="160"/>
  <c r="AI20" i="160"/>
  <c r="AJ20" i="160"/>
  <c r="AE21" i="160"/>
  <c r="AD21" i="160"/>
  <c r="BW19" i="160"/>
  <c r="FZ61" i="160"/>
  <c r="GB61" i="160"/>
  <c r="FX61" i="160"/>
  <c r="FP62" i="160"/>
  <c r="GA62" i="160" s="1"/>
  <c r="FN62" i="160"/>
  <c r="FW62" i="160" s="1"/>
  <c r="FV62" i="160" s="1"/>
  <c r="FQ62" i="160"/>
  <c r="FY62" i="160" s="1"/>
  <c r="FO62" i="160"/>
  <c r="AF22" i="160" s="1"/>
  <c r="FU62" i="160"/>
  <c r="FT62" i="160" s="1"/>
  <c r="FR62" i="160"/>
  <c r="FS63" i="160" s="1"/>
  <c r="FK71" i="160"/>
  <c r="FJ70" i="160"/>
  <c r="FK71" i="84"/>
  <c r="FJ71" i="84" s="1"/>
  <c r="FD20" i="160" l="1"/>
  <c r="AJ21" i="160"/>
  <c r="AI21" i="160"/>
  <c r="AH21" i="160"/>
  <c r="AG21" i="160"/>
  <c r="AE22" i="160"/>
  <c r="AD22" i="160"/>
  <c r="FC21" i="160"/>
  <c r="FE20" i="160"/>
  <c r="FX62" i="160"/>
  <c r="FN63" i="160"/>
  <c r="FW63" i="160" s="1"/>
  <c r="FV63" i="160" s="1"/>
  <c r="FQ63" i="160"/>
  <c r="FY63" i="160" s="1"/>
  <c r="FO63" i="160"/>
  <c r="AF23" i="160" s="1"/>
  <c r="FR63" i="160"/>
  <c r="FS64" i="160" s="1"/>
  <c r="FU63" i="160"/>
  <c r="FT63" i="160" s="1"/>
  <c r="FP63" i="160"/>
  <c r="GA63" i="160" s="1"/>
  <c r="FZ62" i="160"/>
  <c r="GB62" i="160"/>
  <c r="FK72" i="160"/>
  <c r="FJ71" i="160"/>
  <c r="FK72" i="84"/>
  <c r="FJ72" i="84" s="1"/>
  <c r="GK61" i="160" l="1"/>
  <c r="AH22" i="160"/>
  <c r="AG22" i="160"/>
  <c r="AJ22" i="160"/>
  <c r="AI22" i="160"/>
  <c r="AD23" i="160"/>
  <c r="AE23" i="160"/>
  <c r="FC22" i="160"/>
  <c r="FD21" i="160"/>
  <c r="FE21" i="160"/>
  <c r="BW21" i="160"/>
  <c r="BX21" i="160" s="1"/>
  <c r="FB21" i="160" s="1"/>
  <c r="FX63" i="160"/>
  <c r="FZ63" i="160"/>
  <c r="GB63" i="160"/>
  <c r="FR64" i="160"/>
  <c r="FS65" i="160" s="1"/>
  <c r="FO64" i="160"/>
  <c r="AF24" i="160" s="1"/>
  <c r="FQ64" i="160"/>
  <c r="FY64" i="160" s="1"/>
  <c r="FU64" i="160"/>
  <c r="FT64" i="160" s="1"/>
  <c r="FP64" i="160"/>
  <c r="GA64" i="160" s="1"/>
  <c r="FN64" i="160"/>
  <c r="FW64" i="160" s="1"/>
  <c r="FV64" i="160" s="1"/>
  <c r="FK73" i="160"/>
  <c r="FJ72" i="160"/>
  <c r="FK73" i="84"/>
  <c r="FJ73" i="84" s="1"/>
  <c r="GK62" i="160" l="1"/>
  <c r="BZ21" i="160"/>
  <c r="EZ21" i="160"/>
  <c r="AI23" i="160"/>
  <c r="AJ23" i="160"/>
  <c r="AH23" i="160"/>
  <c r="AG23" i="160"/>
  <c r="AE24" i="160"/>
  <c r="AD24" i="160"/>
  <c r="FE22" i="160"/>
  <c r="FC23" i="160"/>
  <c r="FD22" i="160"/>
  <c r="BY21" i="160"/>
  <c r="FA21" i="160"/>
  <c r="FZ64" i="160"/>
  <c r="GB64" i="160"/>
  <c r="FX64" i="160"/>
  <c r="FU65" i="160"/>
  <c r="FT65" i="160" s="1"/>
  <c r="FO65" i="160"/>
  <c r="AF25" i="160" s="1"/>
  <c r="FP65" i="160"/>
  <c r="FN65" i="160" s="1"/>
  <c r="FW65" i="160" s="1"/>
  <c r="FQ65" i="160"/>
  <c r="FY65" i="160" s="1"/>
  <c r="FR65" i="160"/>
  <c r="FS66" i="160" s="1"/>
  <c r="BW22" i="160"/>
  <c r="BX22" i="160" s="1"/>
  <c r="FB22" i="160" s="1"/>
  <c r="FK74" i="160"/>
  <c r="FJ73" i="160"/>
  <c r="FK74" i="84"/>
  <c r="FJ74" i="84" s="1"/>
  <c r="GK63" i="160" l="1"/>
  <c r="BZ22" i="160"/>
  <c r="AJ24" i="160"/>
  <c r="AI24" i="160"/>
  <c r="AH24" i="160"/>
  <c r="AG24" i="160"/>
  <c r="FC24" i="160"/>
  <c r="BY22" i="160"/>
  <c r="FA22" i="160"/>
  <c r="FE23" i="160"/>
  <c r="FD23" i="160"/>
  <c r="BW23" i="160"/>
  <c r="BX23" i="160" s="1"/>
  <c r="FB23" i="160" s="1"/>
  <c r="FX65" i="160"/>
  <c r="GA65" i="160"/>
  <c r="GB65" i="160"/>
  <c r="FR66" i="160"/>
  <c r="FS67" i="160" s="1"/>
  <c r="FQ66" i="160"/>
  <c r="FY66" i="160" s="1"/>
  <c r="FP66" i="160"/>
  <c r="GA66" i="160" s="1"/>
  <c r="FO66" i="160"/>
  <c r="AF26" i="160" s="1"/>
  <c r="FU66" i="160"/>
  <c r="FT66" i="160" s="1"/>
  <c r="FN66" i="160"/>
  <c r="FW66" i="160" s="1"/>
  <c r="FV66" i="160" s="1"/>
  <c r="FK75" i="160"/>
  <c r="FJ74" i="160"/>
  <c r="FK75" i="84"/>
  <c r="FJ75" i="84" s="1"/>
  <c r="GK64" i="160" l="1"/>
  <c r="BZ23" i="160"/>
  <c r="AE26" i="160"/>
  <c r="AD26" i="160"/>
  <c r="AH25" i="160"/>
  <c r="AG25" i="160"/>
  <c r="FE24" i="160"/>
  <c r="FD24" i="160"/>
  <c r="BY23" i="160"/>
  <c r="FA23" i="160"/>
  <c r="FX66" i="160"/>
  <c r="FR67" i="160"/>
  <c r="FS68" i="160" s="1"/>
  <c r="FQ67" i="160"/>
  <c r="FY67" i="160" s="1"/>
  <c r="FP67" i="160"/>
  <c r="GA67" i="160" s="1"/>
  <c r="FO67" i="160"/>
  <c r="AF27" i="160" s="1"/>
  <c r="FN67" i="160"/>
  <c r="FW67" i="160" s="1"/>
  <c r="FV67" i="160" s="1"/>
  <c r="FU67" i="160"/>
  <c r="FT67" i="160" s="1"/>
  <c r="BW24" i="160"/>
  <c r="BX24" i="160" s="1"/>
  <c r="FB24" i="160" s="1"/>
  <c r="GB66" i="160"/>
  <c r="FZ66" i="160"/>
  <c r="FK76" i="160"/>
  <c r="FJ75" i="160"/>
  <c r="FK76" i="84"/>
  <c r="FJ76" i="84" s="1"/>
  <c r="BZ24" i="160" l="1"/>
  <c r="AE27" i="160"/>
  <c r="AD27" i="160"/>
  <c r="AJ26" i="160"/>
  <c r="AI26" i="160"/>
  <c r="AG26" i="160"/>
  <c r="AH26" i="160"/>
  <c r="FD25" i="160"/>
  <c r="BY24" i="160"/>
  <c r="FA24" i="160"/>
  <c r="FC26" i="160"/>
  <c r="GB67" i="160"/>
  <c r="FZ67" i="160"/>
  <c r="FX67" i="160"/>
  <c r="FN68" i="160"/>
  <c r="FW68" i="160" s="1"/>
  <c r="FV68" i="160" s="1"/>
  <c r="FR68" i="160"/>
  <c r="FS69" i="160" s="1"/>
  <c r="FU68" i="160"/>
  <c r="FT68" i="160" s="1"/>
  <c r="FQ68" i="160"/>
  <c r="FY68" i="160" s="1"/>
  <c r="FO68" i="160"/>
  <c r="AF28" i="160" s="1"/>
  <c r="FP68" i="160"/>
  <c r="GA68" i="160" s="1"/>
  <c r="FK77" i="160"/>
  <c r="FJ76" i="160"/>
  <c r="FK77" i="84"/>
  <c r="FJ77" i="84" s="1"/>
  <c r="GK66" i="160" l="1"/>
  <c r="AE28" i="160"/>
  <c r="AD28" i="160"/>
  <c r="AH27" i="160"/>
  <c r="AG27" i="160"/>
  <c r="AJ27" i="160"/>
  <c r="AI27" i="160"/>
  <c r="FD26" i="160"/>
  <c r="FC27" i="160"/>
  <c r="FE26" i="160"/>
  <c r="BW26" i="160"/>
  <c r="BX26" i="160" s="1"/>
  <c r="FB26" i="160" s="1"/>
  <c r="FU69" i="160"/>
  <c r="FT69" i="160" s="1"/>
  <c r="FR69" i="160"/>
  <c r="FS70" i="160" s="1"/>
  <c r="FO69" i="160"/>
  <c r="AF29" i="160" s="1"/>
  <c r="FP69" i="160"/>
  <c r="GA69" i="160" s="1"/>
  <c r="FN69" i="160"/>
  <c r="FW69" i="160" s="1"/>
  <c r="FV69" i="160" s="1"/>
  <c r="FQ69" i="160"/>
  <c r="FY69" i="160" s="1"/>
  <c r="FX68" i="160"/>
  <c r="GB68" i="160"/>
  <c r="FZ68" i="160"/>
  <c r="FK78" i="160"/>
  <c r="FJ77" i="160"/>
  <c r="FK78" i="84"/>
  <c r="FJ78" i="84" s="1"/>
  <c r="GK67" i="160" l="1"/>
  <c r="BZ26" i="160"/>
  <c r="AE29" i="160"/>
  <c r="AD29" i="160"/>
  <c r="AH28" i="160"/>
  <c r="AG28" i="160"/>
  <c r="AI28" i="160"/>
  <c r="AJ28" i="160"/>
  <c r="FD27" i="160"/>
  <c r="FC28" i="160"/>
  <c r="FE27" i="160"/>
  <c r="BY26" i="160"/>
  <c r="FA26" i="160"/>
  <c r="BW27" i="160"/>
  <c r="BX27" i="160" s="1"/>
  <c r="FB27" i="160" s="1"/>
  <c r="FZ69" i="160"/>
  <c r="GB69" i="160"/>
  <c r="FX69" i="160"/>
  <c r="FU70" i="160"/>
  <c r="FT70" i="160" s="1"/>
  <c r="FO70" i="160"/>
  <c r="AF30" i="160" s="1"/>
  <c r="FK79" i="160"/>
  <c r="FJ78" i="160"/>
  <c r="FK79" i="84"/>
  <c r="FJ79" i="84" s="1"/>
  <c r="GK68" i="160" l="1"/>
  <c r="BZ27" i="160"/>
  <c r="FA27" i="160"/>
  <c r="AG29" i="160"/>
  <c r="AH29" i="160"/>
  <c r="AJ29" i="160"/>
  <c r="AI29" i="160"/>
  <c r="FD28" i="160"/>
  <c r="BY27" i="160"/>
  <c r="FE28" i="160"/>
  <c r="FC29" i="160"/>
  <c r="FP70" i="160"/>
  <c r="FN70" i="160" s="1"/>
  <c r="BW28" i="160"/>
  <c r="BX28" i="160" s="1"/>
  <c r="FB28" i="160" s="1"/>
  <c r="FK80" i="160"/>
  <c r="FJ79" i="160"/>
  <c r="FK80" i="84"/>
  <c r="FJ80" i="84" s="1"/>
  <c r="GK69" i="160" l="1"/>
  <c r="BZ28" i="160"/>
  <c r="FD29" i="160"/>
  <c r="FE29" i="160"/>
  <c r="BY28" i="160"/>
  <c r="FA28" i="160"/>
  <c r="FX70" i="160"/>
  <c r="FW70" i="160"/>
  <c r="FQ70" i="160"/>
  <c r="FR70" i="160" s="1"/>
  <c r="FS71" i="160" s="1"/>
  <c r="BW29" i="160"/>
  <c r="BX29" i="160" s="1"/>
  <c r="FB29" i="160" s="1"/>
  <c r="FK81" i="160"/>
  <c r="FJ80" i="160"/>
  <c r="FK81" i="84"/>
  <c r="FJ81" i="84" s="1"/>
  <c r="BZ29" i="160" l="1"/>
  <c r="AH30" i="160"/>
  <c r="AG30" i="160"/>
  <c r="BY29" i="160"/>
  <c r="FA29" i="160"/>
  <c r="FY70" i="160"/>
  <c r="GA70" i="160" s="1"/>
  <c r="FR71" i="160"/>
  <c r="FS72" i="160" s="1"/>
  <c r="FP71" i="160"/>
  <c r="GA71" i="160" s="1"/>
  <c r="FQ71" i="160"/>
  <c r="FY71" i="160" s="1"/>
  <c r="FN71" i="160"/>
  <c r="FW71" i="160" s="1"/>
  <c r="FV71" i="160" s="1"/>
  <c r="FU71" i="160"/>
  <c r="FT71" i="160" s="1"/>
  <c r="FO71" i="160"/>
  <c r="AF31" i="160" s="1"/>
  <c r="FK82" i="160"/>
  <c r="FJ81" i="160"/>
  <c r="FK82" i="84"/>
  <c r="FJ82" i="84" s="1"/>
  <c r="AD31" i="160" l="1"/>
  <c r="AE31" i="160"/>
  <c r="FD30" i="160"/>
  <c r="GB70" i="160"/>
  <c r="GB71" i="160"/>
  <c r="FZ71" i="160"/>
  <c r="FP72" i="160"/>
  <c r="GA72" i="160" s="1"/>
  <c r="FR72" i="160"/>
  <c r="FS73" i="160" s="1"/>
  <c r="FU72" i="160"/>
  <c r="FT72" i="160" s="1"/>
  <c r="FO72" i="160"/>
  <c r="AF32" i="160" s="1"/>
  <c r="FQ72" i="160"/>
  <c r="FY72" i="160" s="1"/>
  <c r="FN72" i="160"/>
  <c r="FW72" i="160" s="1"/>
  <c r="FV72" i="160" s="1"/>
  <c r="FX71" i="160"/>
  <c r="FK83" i="160"/>
  <c r="FJ82" i="160"/>
  <c r="FK83" i="84"/>
  <c r="FJ83" i="84" s="1"/>
  <c r="AJ31" i="160" l="1"/>
  <c r="AI31" i="160"/>
  <c r="AE32" i="160"/>
  <c r="AD32" i="160"/>
  <c r="AH31" i="160"/>
  <c r="AG31" i="160"/>
  <c r="FC31" i="160"/>
  <c r="FN73" i="160"/>
  <c r="FW73" i="160" s="1"/>
  <c r="FV73" i="160" s="1"/>
  <c r="FU73" i="160"/>
  <c r="FT73" i="160" s="1"/>
  <c r="FO73" i="160"/>
  <c r="AF33" i="160" s="1"/>
  <c r="FQ73" i="160"/>
  <c r="FY73" i="160" s="1"/>
  <c r="FR73" i="160"/>
  <c r="FS74" i="160" s="1"/>
  <c r="FP73" i="160"/>
  <c r="GA73" i="160" s="1"/>
  <c r="FX72" i="160"/>
  <c r="FZ72" i="160"/>
  <c r="GB72" i="160"/>
  <c r="FK84" i="160"/>
  <c r="FJ83" i="160"/>
  <c r="FK84" i="84"/>
  <c r="FJ84" i="84" s="1"/>
  <c r="GK71" i="160" l="1"/>
  <c r="AE33" i="160"/>
  <c r="AD33" i="160"/>
  <c r="AJ32" i="160"/>
  <c r="AI32" i="160"/>
  <c r="AH32" i="160"/>
  <c r="AG32" i="160"/>
  <c r="FC32" i="160"/>
  <c r="FD31" i="160"/>
  <c r="FE31" i="160"/>
  <c r="BW31" i="160"/>
  <c r="BX31" i="160" s="1"/>
  <c r="FB31" i="160" s="1"/>
  <c r="GB73" i="160"/>
  <c r="FZ73" i="160"/>
  <c r="FX73" i="160"/>
  <c r="FQ74" i="160"/>
  <c r="FY74" i="160" s="1"/>
  <c r="FN74" i="160"/>
  <c r="FW74" i="160" s="1"/>
  <c r="FV74" i="160" s="1"/>
  <c r="FO74" i="160"/>
  <c r="AF34" i="160" s="1"/>
  <c r="FP74" i="160"/>
  <c r="GA74" i="160" s="1"/>
  <c r="FR74" i="160"/>
  <c r="FS75" i="160" s="1"/>
  <c r="FU74" i="160"/>
  <c r="FT74" i="160" s="1"/>
  <c r="FK85" i="160"/>
  <c r="FJ85" i="160" s="1"/>
  <c r="FJ84" i="160"/>
  <c r="FK85" i="84"/>
  <c r="FJ85" i="84" s="1"/>
  <c r="GK72" i="160" l="1"/>
  <c r="BZ31" i="160"/>
  <c r="AD34" i="160"/>
  <c r="AE34" i="160"/>
  <c r="AH33" i="160"/>
  <c r="AG33" i="160"/>
  <c r="AJ33" i="160"/>
  <c r="AI33" i="160"/>
  <c r="FC33" i="160"/>
  <c r="FD32" i="160"/>
  <c r="BY31" i="160"/>
  <c r="FA31" i="160"/>
  <c r="FE32" i="160"/>
  <c r="BW32" i="160"/>
  <c r="BX32" i="160" s="1"/>
  <c r="FB32" i="160" s="1"/>
  <c r="FQ75" i="160"/>
  <c r="FY75" i="160" s="1"/>
  <c r="FO75" i="160"/>
  <c r="AF35" i="160" s="1"/>
  <c r="FN75" i="160"/>
  <c r="FW75" i="160" s="1"/>
  <c r="FV75" i="160" s="1"/>
  <c r="FR75" i="160"/>
  <c r="FS76" i="160" s="1"/>
  <c r="FU75" i="160"/>
  <c r="FT75" i="160" s="1"/>
  <c r="FP75" i="160"/>
  <c r="GA75" i="160" s="1"/>
  <c r="FX74" i="160"/>
  <c r="GB74" i="160"/>
  <c r="FZ74" i="160"/>
  <c r="GK73" i="160" l="1"/>
  <c r="BZ32" i="160"/>
  <c r="AJ34" i="160"/>
  <c r="AI34" i="160"/>
  <c r="AE35" i="160"/>
  <c r="AD35" i="160"/>
  <c r="AG34" i="160"/>
  <c r="AH34" i="160"/>
  <c r="FD33" i="160"/>
  <c r="FC34" i="160"/>
  <c r="BY32" i="160"/>
  <c r="FA32" i="160"/>
  <c r="FE33" i="160"/>
  <c r="BW33" i="160"/>
  <c r="BX33" i="160" s="1"/>
  <c r="FB33" i="160" s="1"/>
  <c r="FU76" i="160"/>
  <c r="FT76" i="160" s="1"/>
  <c r="FQ76" i="160"/>
  <c r="FY76" i="160" s="1"/>
  <c r="FO76" i="160"/>
  <c r="AF36" i="160" s="1"/>
  <c r="FN76" i="160"/>
  <c r="FW76" i="160" s="1"/>
  <c r="FV76" i="160" s="1"/>
  <c r="FR76" i="160"/>
  <c r="FS77" i="160" s="1"/>
  <c r="FP76" i="160"/>
  <c r="GA76" i="160" s="1"/>
  <c r="FX75" i="160"/>
  <c r="FZ75" i="160"/>
  <c r="GB75" i="160"/>
  <c r="GK74" i="160" l="1"/>
  <c r="BZ33" i="160"/>
  <c r="AE36" i="160"/>
  <c r="AD36" i="160"/>
  <c r="AJ35" i="160"/>
  <c r="AI35" i="160"/>
  <c r="AH35" i="160"/>
  <c r="AG35" i="160"/>
  <c r="FC35" i="160"/>
  <c r="BY33" i="160"/>
  <c r="FA33" i="160"/>
  <c r="FE34" i="160"/>
  <c r="FD34" i="160"/>
  <c r="BW34" i="160"/>
  <c r="BX34" i="160" s="1"/>
  <c r="FB34" i="160" s="1"/>
  <c r="GB76" i="160"/>
  <c r="FZ76" i="160"/>
  <c r="FP77" i="160"/>
  <c r="GA77" i="160" s="1"/>
  <c r="FN77" i="160"/>
  <c r="FW77" i="160" s="1"/>
  <c r="FV77" i="160" s="1"/>
  <c r="FO77" i="160"/>
  <c r="AF37" i="160" s="1"/>
  <c r="FR77" i="160"/>
  <c r="FS78" i="160" s="1"/>
  <c r="FU77" i="160"/>
  <c r="FT77" i="160" s="1"/>
  <c r="FQ77" i="160"/>
  <c r="FY77" i="160" s="1"/>
  <c r="FX76" i="160"/>
  <c r="GK75" i="160" l="1"/>
  <c r="BZ34" i="160"/>
  <c r="AG36" i="160"/>
  <c r="AH36" i="160"/>
  <c r="AI36" i="160"/>
  <c r="AJ36" i="160"/>
  <c r="AE37" i="160"/>
  <c r="AD37" i="160"/>
  <c r="FD35" i="160"/>
  <c r="FC36" i="160"/>
  <c r="BY34" i="160"/>
  <c r="FA34" i="160"/>
  <c r="FE35" i="160"/>
  <c r="BW35" i="160"/>
  <c r="BX35" i="160" s="1"/>
  <c r="FB35" i="160" s="1"/>
  <c r="FZ77" i="160"/>
  <c r="GB77" i="160"/>
  <c r="FR78" i="160"/>
  <c r="FS79" i="160" s="1"/>
  <c r="FN78" i="160"/>
  <c r="FW78" i="160" s="1"/>
  <c r="FV78" i="160" s="1"/>
  <c r="FU78" i="160"/>
  <c r="FT78" i="160" s="1"/>
  <c r="FP78" i="160"/>
  <c r="GA78" i="160" s="1"/>
  <c r="FO78" i="160"/>
  <c r="AF38" i="160" s="1"/>
  <c r="FQ78" i="160"/>
  <c r="FY78" i="160" s="1"/>
  <c r="FX77" i="160"/>
  <c r="GK76" i="160" l="1"/>
  <c r="BZ35" i="160"/>
  <c r="AG37" i="160"/>
  <c r="AH37" i="160"/>
  <c r="AJ37" i="160"/>
  <c r="AI37" i="160"/>
  <c r="AE38" i="160"/>
  <c r="AD38" i="160"/>
  <c r="FE36" i="160"/>
  <c r="FC37" i="160"/>
  <c r="BY35" i="160"/>
  <c r="FA35" i="160"/>
  <c r="FD36" i="160"/>
  <c r="FX78" i="160"/>
  <c r="FR79" i="160"/>
  <c r="FS80" i="160" s="1"/>
  <c r="FO79" i="160"/>
  <c r="AF39" i="160" s="1"/>
  <c r="FP79" i="160"/>
  <c r="GA79" i="160" s="1"/>
  <c r="FU79" i="160"/>
  <c r="FT79" i="160" s="1"/>
  <c r="FQ79" i="160"/>
  <c r="FY79" i="160" s="1"/>
  <c r="FN79" i="160"/>
  <c r="FW79" i="160" s="1"/>
  <c r="FV79" i="160" s="1"/>
  <c r="GB78" i="160"/>
  <c r="FZ78" i="160"/>
  <c r="BW36" i="160"/>
  <c r="BX36" i="160" s="1"/>
  <c r="FB36" i="160" s="1"/>
  <c r="FV60" i="160"/>
  <c r="GK77" i="160" l="1"/>
  <c r="BZ36" i="160"/>
  <c r="AJ38" i="160"/>
  <c r="AI38" i="160"/>
  <c r="AD20" i="160"/>
  <c r="AE20" i="160"/>
  <c r="AH38" i="160"/>
  <c r="AG38" i="160"/>
  <c r="AD39" i="160"/>
  <c r="AE39" i="160"/>
  <c r="FC38" i="160"/>
  <c r="FE37" i="160"/>
  <c r="BY36" i="160"/>
  <c r="FA36" i="160"/>
  <c r="FD37" i="160"/>
  <c r="FP80" i="160"/>
  <c r="GA80" i="160" s="1"/>
  <c r="FU80" i="160"/>
  <c r="FT80" i="160" s="1"/>
  <c r="FO80" i="160"/>
  <c r="AF40" i="160" s="1"/>
  <c r="FR80" i="160"/>
  <c r="FS81" i="160" s="1"/>
  <c r="FN80" i="160"/>
  <c r="FW80" i="160" s="1"/>
  <c r="FV80" i="160" s="1"/>
  <c r="FQ80" i="160"/>
  <c r="FY80" i="160" s="1"/>
  <c r="GB79" i="160"/>
  <c r="FZ79" i="160"/>
  <c r="FX79" i="160"/>
  <c r="BW37" i="160"/>
  <c r="BX37" i="160" s="1"/>
  <c r="FB37" i="160" s="1"/>
  <c r="GK78" i="160" l="1"/>
  <c r="GK60" i="160"/>
  <c r="BZ37" i="160"/>
  <c r="AH39" i="160"/>
  <c r="AG39" i="160"/>
  <c r="AE40" i="160"/>
  <c r="AD40" i="160"/>
  <c r="AI39" i="160"/>
  <c r="AJ39" i="160"/>
  <c r="FC20" i="160"/>
  <c r="FE38" i="160"/>
  <c r="FC39" i="160"/>
  <c r="FD38" i="160"/>
  <c r="BY37" i="160"/>
  <c r="FA37" i="160"/>
  <c r="BW38" i="160"/>
  <c r="BX38" i="160" s="1"/>
  <c r="FB38" i="160" s="1"/>
  <c r="FP81" i="160"/>
  <c r="GA81" i="160" s="1"/>
  <c r="FN81" i="160"/>
  <c r="FW81" i="160" s="1"/>
  <c r="FV81" i="160" s="1"/>
  <c r="FQ81" i="160"/>
  <c r="FY81" i="160" s="1"/>
  <c r="FU81" i="160"/>
  <c r="FT81" i="160" s="1"/>
  <c r="FO81" i="160"/>
  <c r="AF41" i="160" s="1"/>
  <c r="FR81" i="160"/>
  <c r="FS82" i="160" s="1"/>
  <c r="FX80" i="160"/>
  <c r="FZ80" i="160"/>
  <c r="GB80" i="160"/>
  <c r="GK79" i="160" l="1"/>
  <c r="BZ38" i="160"/>
  <c r="AH40" i="160"/>
  <c r="AG40" i="160"/>
  <c r="AJ40" i="160"/>
  <c r="AI40" i="160"/>
  <c r="AE41" i="160"/>
  <c r="AD41" i="160"/>
  <c r="FD39" i="160"/>
  <c r="FC40" i="160"/>
  <c r="BY38" i="160"/>
  <c r="FA38" i="160"/>
  <c r="FE39" i="160"/>
  <c r="BW39" i="160"/>
  <c r="BX39" i="160" s="1"/>
  <c r="FB39" i="160" s="1"/>
  <c r="FR82" i="160"/>
  <c r="FS83" i="160" s="1"/>
  <c r="FQ82" i="160"/>
  <c r="FY82" i="160" s="1"/>
  <c r="FP82" i="160"/>
  <c r="GA82" i="160" s="1"/>
  <c r="FN82" i="160"/>
  <c r="FW82" i="160" s="1"/>
  <c r="FV82" i="160" s="1"/>
  <c r="FO82" i="160"/>
  <c r="AF42" i="160" s="1"/>
  <c r="FU82" i="160"/>
  <c r="FT82" i="160" s="1"/>
  <c r="FZ81" i="160"/>
  <c r="GB81" i="160"/>
  <c r="FX81" i="160"/>
  <c r="FV65" i="160"/>
  <c r="BW20" i="160"/>
  <c r="BX20" i="160" s="1"/>
  <c r="FB20" i="160" s="1"/>
  <c r="GK80" i="160" l="1"/>
  <c r="BZ20" i="160"/>
  <c r="BZ39" i="160"/>
  <c r="FA39" i="160"/>
  <c r="AE25" i="160"/>
  <c r="AD25" i="160"/>
  <c r="AJ41" i="160"/>
  <c r="AI41" i="160"/>
  <c r="AH41" i="160"/>
  <c r="AG41" i="160"/>
  <c r="AD42" i="160"/>
  <c r="AE42" i="160"/>
  <c r="FA20" i="160"/>
  <c r="EZ20" i="160"/>
  <c r="FD40" i="160"/>
  <c r="FC41" i="160"/>
  <c r="BY39" i="160"/>
  <c r="FE40" i="160"/>
  <c r="BW40" i="160"/>
  <c r="BX40" i="160" s="1"/>
  <c r="FB40" i="160" s="1"/>
  <c r="FX82" i="160"/>
  <c r="GB82" i="160"/>
  <c r="FZ82" i="160"/>
  <c r="FR83" i="160"/>
  <c r="FS84" i="160" s="1"/>
  <c r="FN83" i="160"/>
  <c r="FW83" i="160" s="1"/>
  <c r="FV83" i="160" s="1"/>
  <c r="FQ83" i="160"/>
  <c r="FY83" i="160" s="1"/>
  <c r="FU83" i="160"/>
  <c r="FT83" i="160" s="1"/>
  <c r="FO83" i="160"/>
  <c r="AF43" i="160" s="1"/>
  <c r="FP83" i="160"/>
  <c r="GA83" i="160" s="1"/>
  <c r="FV58" i="160"/>
  <c r="FZ65" i="160"/>
  <c r="BY20" i="160"/>
  <c r="FN54" i="84"/>
  <c r="FW54" i="84" s="1"/>
  <c r="GK81" i="160" l="1"/>
  <c r="BZ40" i="160"/>
  <c r="AE43" i="160"/>
  <c r="AD43" i="160"/>
  <c r="AJ42" i="160"/>
  <c r="AI42" i="160"/>
  <c r="AD18" i="160"/>
  <c r="AE18" i="160"/>
  <c r="AI25" i="160"/>
  <c r="AJ25" i="160"/>
  <c r="AG42" i="160"/>
  <c r="AH42" i="160"/>
  <c r="FE41" i="160"/>
  <c r="BY40" i="160"/>
  <c r="FA40" i="160"/>
  <c r="FD41" i="160"/>
  <c r="FC42" i="160"/>
  <c r="FC25" i="160"/>
  <c r="FX83" i="160"/>
  <c r="GB83" i="160"/>
  <c r="FZ83" i="160"/>
  <c r="BW41" i="160"/>
  <c r="BX41" i="160" s="1"/>
  <c r="FB41" i="160" s="1"/>
  <c r="FQ84" i="160"/>
  <c r="FY84" i="160" s="1"/>
  <c r="FO84" i="160"/>
  <c r="AF44" i="160" s="1"/>
  <c r="FR84" i="160"/>
  <c r="FS85" i="160" s="1"/>
  <c r="FN84" i="160"/>
  <c r="FW84" i="160" s="1"/>
  <c r="FV84" i="160" s="1"/>
  <c r="FP84" i="160"/>
  <c r="GA84" i="160" s="1"/>
  <c r="FU84" i="160"/>
  <c r="FT84" i="160" s="1"/>
  <c r="FP54" i="84"/>
  <c r="FX54" i="84" s="1"/>
  <c r="FZ58" i="160"/>
  <c r="FQ54" i="84"/>
  <c r="GK82" i="160" l="1"/>
  <c r="GK65" i="160"/>
  <c r="BZ41" i="160"/>
  <c r="AG14" i="84"/>
  <c r="AH14" i="84"/>
  <c r="AH43" i="160"/>
  <c r="AG43" i="160"/>
  <c r="AJ18" i="160"/>
  <c r="AI18" i="160"/>
  <c r="AJ43" i="160"/>
  <c r="AI43" i="160"/>
  <c r="AE44" i="160"/>
  <c r="AD44" i="160"/>
  <c r="FD42" i="160"/>
  <c r="FC18" i="160"/>
  <c r="FE42" i="160"/>
  <c r="BY41" i="160"/>
  <c r="FA41" i="160"/>
  <c r="FE25" i="160"/>
  <c r="FC43" i="160"/>
  <c r="BW42" i="160"/>
  <c r="BX42" i="160" s="1"/>
  <c r="FB42" i="160" s="1"/>
  <c r="FO85" i="160"/>
  <c r="AF45" i="160" s="1"/>
  <c r="FQ85" i="160"/>
  <c r="FY85" i="160" s="1"/>
  <c r="FR85" i="160"/>
  <c r="FU85" i="160"/>
  <c r="FT85" i="160" s="1"/>
  <c r="FN85" i="160"/>
  <c r="FW85" i="160" s="1"/>
  <c r="FV85" i="160" s="1"/>
  <c r="FP85" i="160"/>
  <c r="GA85" i="160" s="1"/>
  <c r="FX84" i="160"/>
  <c r="FZ84" i="160"/>
  <c r="GB84" i="160"/>
  <c r="FY54" i="84"/>
  <c r="GB54" i="84" s="1"/>
  <c r="BW25" i="160"/>
  <c r="BX25" i="160" s="1"/>
  <c r="FB25" i="160" s="1"/>
  <c r="FR54" i="84"/>
  <c r="FS55" i="84" s="1"/>
  <c r="GK58" i="160" l="1"/>
  <c r="GK83" i="160"/>
  <c r="BZ42" i="160"/>
  <c r="FA42" i="160"/>
  <c r="AH44" i="160"/>
  <c r="AG44" i="160"/>
  <c r="AI44" i="160"/>
  <c r="AJ44" i="160"/>
  <c r="AE45" i="160"/>
  <c r="AD45" i="160"/>
  <c r="FA25" i="160"/>
  <c r="BZ25" i="160"/>
  <c r="FE18" i="160"/>
  <c r="FD14" i="84"/>
  <c r="FD43" i="160"/>
  <c r="BY42" i="160"/>
  <c r="FE43" i="160"/>
  <c r="FC44" i="160"/>
  <c r="BW43" i="160"/>
  <c r="BX43" i="160" s="1"/>
  <c r="FB43" i="160" s="1"/>
  <c r="FX85" i="160"/>
  <c r="FZ85" i="160"/>
  <c r="GB85" i="160"/>
  <c r="GJ85" i="160"/>
  <c r="GJ84" i="160" s="1"/>
  <c r="GJ83" i="160" s="1"/>
  <c r="GJ82" i="160" s="1"/>
  <c r="GJ81" i="160" s="1"/>
  <c r="GJ80" i="160" s="1"/>
  <c r="GJ79" i="160" s="1"/>
  <c r="GJ78" i="160" s="1"/>
  <c r="GJ77" i="160" s="1"/>
  <c r="GJ76" i="160" s="1"/>
  <c r="GJ75" i="160" s="1"/>
  <c r="GJ74" i="160" s="1"/>
  <c r="GJ73" i="160" s="1"/>
  <c r="GJ72" i="160" s="1"/>
  <c r="GJ71" i="160" s="1"/>
  <c r="GJ70" i="160" s="1"/>
  <c r="BY25" i="160"/>
  <c r="GA54" i="84"/>
  <c r="BW18" i="160"/>
  <c r="FO55" i="84"/>
  <c r="AF15" i="84" s="1"/>
  <c r="FU55" i="84"/>
  <c r="FN55" i="84"/>
  <c r="FW55" i="84" s="1"/>
  <c r="FV55" i="84" s="1"/>
  <c r="GK84" i="160" l="1"/>
  <c r="BZ43" i="160"/>
  <c r="AJ45" i="160"/>
  <c r="AI45" i="160"/>
  <c r="AG45" i="160"/>
  <c r="AH45" i="160"/>
  <c r="AE15" i="84"/>
  <c r="AD15" i="84"/>
  <c r="FD44" i="160"/>
  <c r="FE44" i="160"/>
  <c r="BY43" i="160"/>
  <c r="FA43" i="160"/>
  <c r="FC45" i="160"/>
  <c r="FT55" i="84"/>
  <c r="BW44" i="160"/>
  <c r="BX44" i="160" s="1"/>
  <c r="FB44" i="160" s="1"/>
  <c r="GJ69" i="160"/>
  <c r="GJ68" i="160" s="1"/>
  <c r="GJ67" i="160" s="1"/>
  <c r="GJ66" i="160" s="1"/>
  <c r="GJ65" i="160" s="1"/>
  <c r="GJ64" i="160" s="1"/>
  <c r="GJ63" i="160" s="1"/>
  <c r="GJ62" i="160" s="1"/>
  <c r="GJ61" i="160" s="1"/>
  <c r="GJ60" i="160" s="1"/>
  <c r="GJ59" i="160" s="1"/>
  <c r="GJ58" i="160" s="1"/>
  <c r="GJ57" i="160" s="1"/>
  <c r="FV70" i="160"/>
  <c r="BX19" i="160"/>
  <c r="FB19" i="160" s="1"/>
  <c r="GK85" i="160" l="1"/>
  <c r="BZ44" i="160"/>
  <c r="AE30" i="160"/>
  <c r="AD30" i="160"/>
  <c r="FA19" i="160"/>
  <c r="BZ19" i="160"/>
  <c r="GJ56" i="160"/>
  <c r="FV56" i="160" s="1"/>
  <c r="FV57" i="160"/>
  <c r="FD45" i="160"/>
  <c r="BY44" i="160"/>
  <c r="FA44" i="160"/>
  <c r="FE45" i="160"/>
  <c r="FC15" i="84"/>
  <c r="BW45" i="160"/>
  <c r="BX45" i="160" s="1"/>
  <c r="FB45" i="160" s="1"/>
  <c r="FZ70" i="160"/>
  <c r="FP55" i="84"/>
  <c r="BY19" i="160"/>
  <c r="BZ45" i="160" l="1"/>
  <c r="AE17" i="160"/>
  <c r="AD17" i="160"/>
  <c r="AE16" i="160"/>
  <c r="AD16" i="160"/>
  <c r="AJ30" i="160"/>
  <c r="AI30" i="160"/>
  <c r="FZ56" i="160"/>
  <c r="GJ55" i="160"/>
  <c r="GJ54" i="160" s="1"/>
  <c r="FZ57" i="160"/>
  <c r="FF45" i="160"/>
  <c r="FF44" i="160" s="1"/>
  <c r="FF43" i="160" s="1"/>
  <c r="FF42" i="160" s="1"/>
  <c r="FF41" i="160" s="1"/>
  <c r="FF40" i="160" s="1"/>
  <c r="FF39" i="160" s="1"/>
  <c r="FF38" i="160" s="1"/>
  <c r="FF37" i="160" s="1"/>
  <c r="FF36" i="160" s="1"/>
  <c r="FF35" i="160" s="1"/>
  <c r="FF34" i="160" s="1"/>
  <c r="FF33" i="160" s="1"/>
  <c r="FF32" i="160" s="1"/>
  <c r="FF31" i="160" s="1"/>
  <c r="FC30" i="160"/>
  <c r="BY45" i="160"/>
  <c r="FA45" i="160"/>
  <c r="FX55" i="84"/>
  <c r="FQ55" i="84"/>
  <c r="FR55" i="84" s="1"/>
  <c r="FS56" i="84" s="1"/>
  <c r="GK70" i="160" l="1"/>
  <c r="AJ16" i="160"/>
  <c r="AI16" i="160"/>
  <c r="AJ17" i="160"/>
  <c r="AI17" i="160"/>
  <c r="AH15" i="84"/>
  <c r="AG15" i="84"/>
  <c r="FC17" i="160"/>
  <c r="FE30" i="160"/>
  <c r="FF30" i="160" s="1"/>
  <c r="FF29" i="160" s="1"/>
  <c r="FF28" i="160" s="1"/>
  <c r="FF27" i="160" s="1"/>
  <c r="FF26" i="160" s="1"/>
  <c r="FF25" i="160" s="1"/>
  <c r="FF24" i="160" s="1"/>
  <c r="FF23" i="160" s="1"/>
  <c r="FF22" i="160" s="1"/>
  <c r="FF21" i="160" s="1"/>
  <c r="FF20" i="160" s="1"/>
  <c r="FF19" i="160" s="1"/>
  <c r="FF18" i="160" s="1"/>
  <c r="BW30" i="160"/>
  <c r="BX30" i="160" s="1"/>
  <c r="FB30" i="160" s="1"/>
  <c r="FY55" i="84"/>
  <c r="FO56" i="84"/>
  <c r="AF16" i="84" s="1"/>
  <c r="FU56" i="84"/>
  <c r="GK56" i="160" l="1"/>
  <c r="GK57" i="160"/>
  <c r="BZ30" i="160"/>
  <c r="FD15" i="84"/>
  <c r="FE16" i="160"/>
  <c r="BW16" i="160"/>
  <c r="BX16" i="160" s="1"/>
  <c r="FB16" i="160" s="1"/>
  <c r="FC16" i="160"/>
  <c r="BW17" i="160"/>
  <c r="FE17" i="160"/>
  <c r="FF17" i="160" s="1"/>
  <c r="EZ30" i="160"/>
  <c r="FA30" i="160"/>
  <c r="BY30" i="160"/>
  <c r="FZ55" i="84"/>
  <c r="GB55" i="84"/>
  <c r="GA55" i="84"/>
  <c r="FT56" i="84" s="1"/>
  <c r="BZ16" i="160" l="1"/>
  <c r="FA16" i="160"/>
  <c r="AI15" i="84"/>
  <c r="AJ15" i="84"/>
  <c r="FF16" i="160"/>
  <c r="FF15" i="160" s="1"/>
  <c r="FF14" i="160" s="1"/>
  <c r="BY16" i="160"/>
  <c r="EX16" i="160"/>
  <c r="BX17" i="160"/>
  <c r="FB17" i="160" s="1"/>
  <c r="EZ16" i="160"/>
  <c r="EY30" i="160"/>
  <c r="GK55" i="84" l="1"/>
  <c r="EZ17" i="160"/>
  <c r="BY17" i="160"/>
  <c r="BZ17" i="160"/>
  <c r="EX17" i="160"/>
  <c r="BX18" i="160"/>
  <c r="FB18" i="160" s="1"/>
  <c r="FA17" i="160"/>
  <c r="FE15" i="84"/>
  <c r="BY18" i="160" l="1"/>
  <c r="BZ18" i="160"/>
  <c r="FA18" i="160"/>
  <c r="EX18" i="160"/>
  <c r="EX19" i="160" s="1"/>
  <c r="EX20" i="160" s="1"/>
  <c r="BW15" i="84"/>
  <c r="BX15" i="84" s="1"/>
  <c r="BY15" i="84" l="1"/>
  <c r="BZ15" i="84"/>
  <c r="EX21" i="160"/>
  <c r="EX15" i="84"/>
  <c r="FB15" i="84"/>
  <c r="FA15" i="84" l="1"/>
  <c r="FA14" i="84"/>
  <c r="EX22" i="160"/>
  <c r="EX23" i="160" s="1"/>
  <c r="EX24" i="160" s="1"/>
  <c r="EX25" i="160" s="1"/>
  <c r="EX26" i="160" s="1"/>
  <c r="EX27" i="160" s="1"/>
  <c r="EX28" i="160" s="1"/>
  <c r="EX29" i="160" s="1"/>
  <c r="EX30" i="160" s="1"/>
  <c r="EX31" i="160" s="1"/>
  <c r="EX32" i="160" s="1"/>
  <c r="EX33" i="160" s="1"/>
  <c r="EX34" i="160" s="1"/>
  <c r="EX35" i="160" s="1"/>
  <c r="EX36" i="160" s="1"/>
  <c r="EX37" i="160" s="1"/>
  <c r="EX38" i="160" s="1"/>
  <c r="EX39" i="160" s="1"/>
  <c r="EX40" i="160" s="1"/>
  <c r="EX41" i="160" s="1"/>
  <c r="EX42" i="160" s="1"/>
  <c r="EX43" i="160" s="1"/>
  <c r="EX44" i="160" s="1"/>
  <c r="EX45" i="160" s="1"/>
  <c r="EY16" i="160" s="1"/>
  <c r="EY17" i="160"/>
  <c r="EY20" i="160"/>
  <c r="EY21" i="160" l="1"/>
  <c r="EZ31" i="84" l="1"/>
  <c r="FZ54" i="84" l="1"/>
  <c r="AI14" i="84" l="1"/>
  <c r="AJ14" i="84"/>
  <c r="FE14" i="84" l="1"/>
  <c r="EZ20" i="84"/>
  <c r="FV54" i="84" l="1"/>
  <c r="AE14" i="84" l="1"/>
  <c r="AD14" i="84"/>
  <c r="EY14" i="84"/>
  <c r="GK54" i="84" l="1"/>
  <c r="BW14" i="84"/>
  <c r="FC14" i="84"/>
  <c r="EZ21" i="84" l="1"/>
  <c r="AP25" i="147" l="1"/>
  <c r="CS25" i="147" l="1"/>
  <c r="ES25" i="147"/>
  <c r="P25" i="147" s="1"/>
  <c r="ET25" i="147"/>
  <c r="S25" i="147" s="1"/>
  <c r="DV25" i="147"/>
  <c r="DW25" i="147" s="1"/>
  <c r="CL25" i="147" s="1"/>
  <c r="EB25" i="147"/>
  <c r="DL25" i="147"/>
  <c r="DR25" i="147"/>
  <c r="M25" i="147" s="1"/>
  <c r="DQ25" i="147"/>
  <c r="L25" i="147" s="1"/>
  <c r="CR25" i="147"/>
  <c r="EU25" i="147"/>
  <c r="DB25" i="147"/>
  <c r="FO25" i="147" l="1"/>
  <c r="EC25" i="147"/>
  <c r="EG25" i="147"/>
  <c r="EI25" i="147" s="1"/>
  <c r="EF25" i="147"/>
  <c r="EH25" i="147" s="1"/>
  <c r="DX25" i="147"/>
  <c r="H25" i="147" s="1"/>
  <c r="EY27" i="84"/>
  <c r="Q25" i="147"/>
  <c r="R25" i="147" s="1"/>
  <c r="N25" i="147"/>
  <c r="O25" i="147" s="1"/>
  <c r="FU25" i="147"/>
  <c r="EN25" i="147"/>
  <c r="EP25" i="147" s="1"/>
  <c r="FV25" i="147"/>
  <c r="FP25" i="147" l="1"/>
  <c r="CQ25" i="147" s="1"/>
  <c r="ER25" i="147"/>
  <c r="EM25" i="147"/>
  <c r="EO25" i="147" s="1"/>
  <c r="EY31" i="84"/>
  <c r="EK25" i="147"/>
  <c r="EJ25" i="147"/>
  <c r="CP25" i="147"/>
  <c r="ED25" i="147"/>
  <c r="K25" i="147" s="1"/>
  <c r="EQ25" i="147" l="1"/>
  <c r="CH25" i="147"/>
  <c r="T25" i="147" s="1"/>
  <c r="CK25" i="147"/>
  <c r="I25" i="147"/>
  <c r="J25" i="147" s="1"/>
  <c r="F25" i="147"/>
  <c r="CI25" i="147" l="1"/>
  <c r="EV25" i="147"/>
  <c r="U25" i="147"/>
  <c r="EY19" i="84"/>
  <c r="G25" i="147"/>
  <c r="AZ25" i="147" s="1"/>
  <c r="AQ25" i="147"/>
  <c r="AS25" i="147"/>
  <c r="EY21" i="84" l="1"/>
  <c r="CJ25" i="147"/>
  <c r="X25" i="147"/>
  <c r="V25" i="147"/>
  <c r="W25" i="147" s="1"/>
  <c r="AT25" i="147" s="1"/>
  <c r="AR25" i="147"/>
  <c r="EY20" i="84"/>
  <c r="FS24" i="147"/>
  <c r="ES24" i="147"/>
  <c r="P24" i="147" l="1"/>
  <c r="O24" i="147"/>
  <c r="N24" i="147"/>
  <c r="FN56" i="84"/>
  <c r="FP56" i="84" s="1"/>
  <c r="FX56" i="84" s="1"/>
  <c r="EZ19" i="84"/>
  <c r="EZ27" i="84"/>
  <c r="AG16" i="84" l="1"/>
  <c r="AH16" i="84" s="1"/>
  <c r="FQ56" i="84"/>
  <c r="FW56" i="84"/>
  <c r="FV56" i="84" l="1"/>
  <c r="FY56" i="84"/>
  <c r="FR56" i="84"/>
  <c r="FS57" i="84" s="1"/>
  <c r="FD16" i="84"/>
  <c r="FZ56" i="84" l="1"/>
  <c r="GB56" i="84"/>
  <c r="FO57" i="84"/>
  <c r="FP57" i="84" s="1"/>
  <c r="FN57" i="84"/>
  <c r="FW57" i="84" s="1"/>
  <c r="FV57" i="84" s="1"/>
  <c r="FU57" i="84"/>
  <c r="GA56" i="84"/>
  <c r="AD16" i="84"/>
  <c r="AE16" i="84"/>
  <c r="FQ57" i="84" l="1"/>
  <c r="FT57" i="84"/>
  <c r="AD17" i="84"/>
  <c r="AE17" i="84"/>
  <c r="FC16" i="84"/>
  <c r="AJ16" i="84"/>
  <c r="AI16" i="84"/>
  <c r="AF17" i="84"/>
  <c r="FX57" i="84"/>
  <c r="GK56" i="84" l="1"/>
  <c r="FY57" i="84"/>
  <c r="FR57" i="84"/>
  <c r="FS58" i="84" s="1"/>
  <c r="FE16" i="84"/>
  <c r="BW16" i="84"/>
  <c r="BX16" i="84" s="1"/>
  <c r="BZ16" i="84" s="1"/>
  <c r="AG17" i="84"/>
  <c r="AH17" i="84" s="1"/>
  <c r="FC17" i="84"/>
  <c r="FU58" i="84" l="1"/>
  <c r="FT58" i="84" s="1"/>
  <c r="FO58" i="84"/>
  <c r="FP58" i="84" s="1"/>
  <c r="FZ57" i="84"/>
  <c r="GB57" i="84"/>
  <c r="GA57" i="84"/>
  <c r="FD17" i="84"/>
  <c r="EX16" i="84"/>
  <c r="FB16" i="84"/>
  <c r="FA16" i="84" s="1"/>
  <c r="BY16" i="84"/>
  <c r="EZ16" i="84"/>
  <c r="FN58" i="84" l="1"/>
  <c r="AJ17" i="84"/>
  <c r="AI17" i="84"/>
  <c r="AF18" i="84"/>
  <c r="FX58" i="84"/>
  <c r="GK57" i="84" l="1"/>
  <c r="FW58" i="84"/>
  <c r="FQ58" i="84"/>
  <c r="AG18" i="84"/>
  <c r="AH18" i="84" s="1"/>
  <c r="BW17" i="84"/>
  <c r="BX17" i="84" s="1"/>
  <c r="BZ17" i="84" s="1"/>
  <c r="FE17" i="84"/>
  <c r="FY58" i="84" l="1"/>
  <c r="FR58" i="84"/>
  <c r="FS59" i="84" s="1"/>
  <c r="GA58" i="84"/>
  <c r="FD18" i="84"/>
  <c r="BY17" i="84"/>
  <c r="EX17" i="84"/>
  <c r="FB17" i="84"/>
  <c r="FA17" i="84" s="1"/>
  <c r="FN59" i="84" l="1"/>
  <c r="FW59" i="84" s="1"/>
  <c r="FV59" i="84" s="1"/>
  <c r="FO59" i="84"/>
  <c r="FP59" i="84"/>
  <c r="GA59" i="84" s="1"/>
  <c r="FR59" i="84"/>
  <c r="FS60" i="84" s="1"/>
  <c r="FU59" i="84"/>
  <c r="FT59" i="84" s="1"/>
  <c r="FQ59" i="84"/>
  <c r="FY59" i="84" s="1"/>
  <c r="GB58" i="84"/>
  <c r="AE19" i="84" l="1"/>
  <c r="AD19" i="84"/>
  <c r="FZ59" i="84"/>
  <c r="GB59" i="84"/>
  <c r="FQ60" i="84"/>
  <c r="FY60" i="84" s="1"/>
  <c r="FO60" i="84"/>
  <c r="FP60" i="84"/>
  <c r="GA60" i="84" s="1"/>
  <c r="FU60" i="84"/>
  <c r="FT60" i="84" s="1"/>
  <c r="FR60" i="84"/>
  <c r="FS61" i="84" s="1"/>
  <c r="FN60" i="84"/>
  <c r="FW60" i="84" s="1"/>
  <c r="FV60" i="84" s="1"/>
  <c r="AF19" i="84"/>
  <c r="FX59" i="84"/>
  <c r="AF20" i="84" l="1"/>
  <c r="FX60" i="84"/>
  <c r="AG19" i="84"/>
  <c r="AH19" i="84"/>
  <c r="AD20" i="84"/>
  <c r="AE20" i="84"/>
  <c r="FC19" i="84"/>
  <c r="FZ60" i="84"/>
  <c r="GB60" i="84"/>
  <c r="AI19" i="84"/>
  <c r="AJ19" i="84"/>
  <c r="FQ61" i="84"/>
  <c r="FY61" i="84" s="1"/>
  <c r="FN61" i="84"/>
  <c r="FW61" i="84" s="1"/>
  <c r="FV61" i="84" s="1"/>
  <c r="FR61" i="84"/>
  <c r="FS62" i="84" s="1"/>
  <c r="FU61" i="84"/>
  <c r="FT61" i="84" s="1"/>
  <c r="FP61" i="84"/>
  <c r="GA61" i="84" s="1"/>
  <c r="FO61" i="84"/>
  <c r="GK59" i="84" l="1"/>
  <c r="BW19" i="84"/>
  <c r="BX19" i="84" s="1"/>
  <c r="FD19" i="84"/>
  <c r="FC20" i="84"/>
  <c r="FZ61" i="84"/>
  <c r="GB61" i="84"/>
  <c r="AI20" i="84"/>
  <c r="AJ20" i="84"/>
  <c r="FE19" i="84"/>
  <c r="AF21" i="84"/>
  <c r="FX61" i="84"/>
  <c r="AG20" i="84"/>
  <c r="AH20" i="84"/>
  <c r="AD21" i="84"/>
  <c r="AE21" i="84"/>
  <c r="FU62" i="84"/>
  <c r="FT62" i="84" s="1"/>
  <c r="FQ62" i="84"/>
  <c r="FY62" i="84" s="1"/>
  <c r="FR62" i="84"/>
  <c r="FS63" i="84" s="1"/>
  <c r="FO62" i="84"/>
  <c r="FN62" i="84"/>
  <c r="FW62" i="84" s="1"/>
  <c r="FV62" i="84" s="1"/>
  <c r="FP62" i="84"/>
  <c r="GA62" i="84" s="1"/>
  <c r="FB19" i="84" l="1"/>
  <c r="FA19" i="84" s="1"/>
  <c r="BZ19" i="84"/>
  <c r="GK60" i="84"/>
  <c r="BY19" i="84"/>
  <c r="FD20" i="84"/>
  <c r="FC21" i="84"/>
  <c r="AI21" i="84"/>
  <c r="AJ21" i="84"/>
  <c r="AD22" i="84"/>
  <c r="AE22" i="84"/>
  <c r="BW20" i="84"/>
  <c r="BX20" i="84" s="1"/>
  <c r="BZ20" i="84" s="1"/>
  <c r="FR63" i="84"/>
  <c r="FS64" i="84" s="1"/>
  <c r="FU63" i="84"/>
  <c r="FT63" i="84" s="1"/>
  <c r="FQ63" i="84"/>
  <c r="FY63" i="84" s="1"/>
  <c r="FO63" i="84"/>
  <c r="FP63" i="84"/>
  <c r="GA63" i="84" s="1"/>
  <c r="FN63" i="84"/>
  <c r="FW63" i="84" s="1"/>
  <c r="FV63" i="84" s="1"/>
  <c r="FX62" i="84"/>
  <c r="AF22" i="84"/>
  <c r="GB62" i="84"/>
  <c r="FZ62" i="84"/>
  <c r="AG21" i="84"/>
  <c r="AH21" i="84"/>
  <c r="FE20" i="84"/>
  <c r="GK61" i="84" l="1"/>
  <c r="FD21" i="84"/>
  <c r="BW21" i="84"/>
  <c r="BX21" i="84" s="1"/>
  <c r="FB20" i="84"/>
  <c r="FA20" i="84" s="1"/>
  <c r="BY20" i="84"/>
  <c r="FC22" i="84"/>
  <c r="AE23" i="84"/>
  <c r="AD23" i="84"/>
  <c r="FE21" i="84"/>
  <c r="FZ63" i="84"/>
  <c r="GB63" i="84"/>
  <c r="AH22" i="84"/>
  <c r="AG22" i="84"/>
  <c r="AF23" i="84"/>
  <c r="FX63" i="84"/>
  <c r="AJ22" i="84"/>
  <c r="AI22" i="84"/>
  <c r="FQ64" i="84"/>
  <c r="FY64" i="84" s="1"/>
  <c r="FR64" i="84"/>
  <c r="FS65" i="84" s="1"/>
  <c r="FO64" i="84"/>
  <c r="FU64" i="84"/>
  <c r="FT64" i="84" s="1"/>
  <c r="FP64" i="84"/>
  <c r="GA64" i="84" s="1"/>
  <c r="FN64" i="84"/>
  <c r="FW64" i="84" s="1"/>
  <c r="FV64" i="84" s="1"/>
  <c r="FB21" i="84" l="1"/>
  <c r="FA21" i="84" s="1"/>
  <c r="BZ21" i="84"/>
  <c r="GK62" i="84"/>
  <c r="BW22" i="84"/>
  <c r="BX22" i="84" s="1"/>
  <c r="FD22" i="84"/>
  <c r="FE22" i="84"/>
  <c r="BY21" i="84"/>
  <c r="GB64" i="84"/>
  <c r="FZ64" i="84"/>
  <c r="AJ23" i="84"/>
  <c r="AI23" i="84"/>
  <c r="FQ65" i="84"/>
  <c r="FY65" i="84" s="1"/>
  <c r="FO65" i="84"/>
  <c r="FP65" i="84"/>
  <c r="GA65" i="84" s="1"/>
  <c r="FU65" i="84"/>
  <c r="FT65" i="84" s="1"/>
  <c r="FR65" i="84"/>
  <c r="FS66" i="84" s="1"/>
  <c r="FN65" i="84"/>
  <c r="FW65" i="84" s="1"/>
  <c r="FV65" i="84" s="1"/>
  <c r="FC23" i="84"/>
  <c r="AE24" i="84"/>
  <c r="AD24" i="84"/>
  <c r="AG23" i="84"/>
  <c r="AH23" i="84"/>
  <c r="FX64" i="84"/>
  <c r="AF24" i="84"/>
  <c r="BY22" i="84" l="1"/>
  <c r="BZ22" i="84"/>
  <c r="GK63" i="84"/>
  <c r="FD23" i="84"/>
  <c r="FB22" i="84"/>
  <c r="FA22" i="84" s="1"/>
  <c r="FE23" i="84"/>
  <c r="BW23" i="84"/>
  <c r="BX23" i="84" s="1"/>
  <c r="AG24" i="84"/>
  <c r="AH24" i="84"/>
  <c r="FN66" i="84"/>
  <c r="FW66" i="84" s="1"/>
  <c r="FV66" i="84" s="1"/>
  <c r="FQ66" i="84"/>
  <c r="FY66" i="84" s="1"/>
  <c r="FU66" i="84"/>
  <c r="FT66" i="84" s="1"/>
  <c r="FR66" i="84"/>
  <c r="FS67" i="84" s="1"/>
  <c r="FO66" i="84"/>
  <c r="FP66" i="84"/>
  <c r="GA66" i="84" s="1"/>
  <c r="GB65" i="84"/>
  <c r="FZ65" i="84"/>
  <c r="AI24" i="84"/>
  <c r="AJ24" i="84"/>
  <c r="FC24" i="84"/>
  <c r="AD25" i="84"/>
  <c r="AE25" i="84"/>
  <c r="FX65" i="84"/>
  <c r="AF25" i="84"/>
  <c r="BY23" i="84" l="1"/>
  <c r="BZ23" i="84"/>
  <c r="GK64" i="84"/>
  <c r="FB23" i="84"/>
  <c r="FA23" i="84" s="1"/>
  <c r="BW24" i="84"/>
  <c r="BX24" i="84" s="1"/>
  <c r="AD26" i="84"/>
  <c r="AE26" i="84"/>
  <c r="AJ25" i="84"/>
  <c r="AI25" i="84"/>
  <c r="FD24" i="84"/>
  <c r="FZ66" i="84"/>
  <c r="GB66" i="84"/>
  <c r="AG25" i="84"/>
  <c r="AH25" i="84"/>
  <c r="AF26" i="84"/>
  <c r="FX66" i="84"/>
  <c r="FE24" i="84"/>
  <c r="FC25" i="84"/>
  <c r="FU67" i="84"/>
  <c r="FT67" i="84" s="1"/>
  <c r="FN67" i="84"/>
  <c r="FW67" i="84" s="1"/>
  <c r="FV67" i="84" s="1"/>
  <c r="FO67" i="84"/>
  <c r="FQ67" i="84"/>
  <c r="FY67" i="84" s="1"/>
  <c r="FR67" i="84"/>
  <c r="FS68" i="84" s="1"/>
  <c r="FP67" i="84"/>
  <c r="GA67" i="84" s="1"/>
  <c r="FB24" i="84" l="1"/>
  <c r="FA24" i="84" s="1"/>
  <c r="BZ24" i="84"/>
  <c r="GK65" i="84"/>
  <c r="FE25" i="84"/>
  <c r="FD25" i="84"/>
  <c r="BY24" i="84"/>
  <c r="FZ67" i="84"/>
  <c r="GB67" i="84"/>
  <c r="AH26" i="84"/>
  <c r="AG26" i="84"/>
  <c r="AD27" i="84"/>
  <c r="AE27" i="84"/>
  <c r="FC26" i="84"/>
  <c r="BW25" i="84"/>
  <c r="BX25" i="84" s="1"/>
  <c r="BZ25" i="84" s="1"/>
  <c r="FX67" i="84"/>
  <c r="AF27" i="84"/>
  <c r="FN68" i="84"/>
  <c r="FW68" i="84" s="1"/>
  <c r="FV68" i="84" s="1"/>
  <c r="FP68" i="84"/>
  <c r="GA68" i="84" s="1"/>
  <c r="FU68" i="84"/>
  <c r="FT68" i="84" s="1"/>
  <c r="FQ68" i="84"/>
  <c r="FY68" i="84" s="1"/>
  <c r="FR68" i="84"/>
  <c r="FS69" i="84" s="1"/>
  <c r="FO68" i="84"/>
  <c r="AI26" i="84"/>
  <c r="AJ26" i="84"/>
  <c r="GK66" i="84" l="1"/>
  <c r="FD26" i="84"/>
  <c r="FE26" i="84"/>
  <c r="FC27" i="84"/>
  <c r="AE28" i="84"/>
  <c r="AD28" i="84"/>
  <c r="AF28" i="84"/>
  <c r="FX68" i="84"/>
  <c r="AG27" i="84"/>
  <c r="AH27" i="84"/>
  <c r="FB25" i="84"/>
  <c r="FA25" i="84" s="1"/>
  <c r="BY25" i="84"/>
  <c r="BW26" i="84"/>
  <c r="BX26" i="84" s="1"/>
  <c r="BZ26" i="84" s="1"/>
  <c r="FP69" i="84"/>
  <c r="GA69" i="84" s="1"/>
  <c r="FQ69" i="84"/>
  <c r="FY69" i="84" s="1"/>
  <c r="FN69" i="84"/>
  <c r="FW69" i="84" s="1"/>
  <c r="FV69" i="84" s="1"/>
  <c r="FO69" i="84"/>
  <c r="FU69" i="84"/>
  <c r="FT69" i="84" s="1"/>
  <c r="FR69" i="84"/>
  <c r="FS70" i="84" s="1"/>
  <c r="FZ68" i="84"/>
  <c r="GB68" i="84"/>
  <c r="AI27" i="84"/>
  <c r="AJ27" i="84"/>
  <c r="GK67" i="84" l="1"/>
  <c r="BW27" i="84"/>
  <c r="BX27" i="84" s="1"/>
  <c r="FD27" i="84"/>
  <c r="FE27" i="84"/>
  <c r="AH28" i="84"/>
  <c r="AG28" i="84"/>
  <c r="FC28" i="84"/>
  <c r="AJ28" i="84"/>
  <c r="AI28" i="84"/>
  <c r="FQ70" i="84"/>
  <c r="FY70" i="84" s="1"/>
  <c r="FP70" i="84"/>
  <c r="GA70" i="84" s="1"/>
  <c r="FR70" i="84"/>
  <c r="FS71" i="84" s="1"/>
  <c r="FU70" i="84"/>
  <c r="FT70" i="84" s="1"/>
  <c r="FN70" i="84"/>
  <c r="FW70" i="84" s="1"/>
  <c r="FV70" i="84" s="1"/>
  <c r="FO70" i="84"/>
  <c r="GB69" i="84"/>
  <c r="FZ69" i="84"/>
  <c r="FX69" i="84"/>
  <c r="AF29" i="84"/>
  <c r="BY26" i="84"/>
  <c r="FB26" i="84"/>
  <c r="FA26" i="84" s="1"/>
  <c r="AD29" i="84"/>
  <c r="AE29" i="84"/>
  <c r="FB27" i="84" l="1"/>
  <c r="FA27" i="84" s="1"/>
  <c r="BZ27" i="84"/>
  <c r="GK68" i="84"/>
  <c r="BY27" i="84"/>
  <c r="FE28" i="84"/>
  <c r="FD28" i="84"/>
  <c r="AD30" i="84"/>
  <c r="AE30" i="84"/>
  <c r="BW28" i="84"/>
  <c r="BX28" i="84" s="1"/>
  <c r="BZ28" i="84" s="1"/>
  <c r="FP71" i="84"/>
  <c r="GA71" i="84" s="1"/>
  <c r="FN71" i="84"/>
  <c r="FW71" i="84" s="1"/>
  <c r="FV71" i="84" s="1"/>
  <c r="FU71" i="84"/>
  <c r="FT71" i="84" s="1"/>
  <c r="FQ71" i="84"/>
  <c r="FY71" i="84" s="1"/>
  <c r="FR71" i="84"/>
  <c r="FS72" i="84" s="1"/>
  <c r="FO71" i="84"/>
  <c r="AG29" i="84"/>
  <c r="AH29" i="84"/>
  <c r="AI29" i="84"/>
  <c r="AJ29" i="84"/>
  <c r="GB70" i="84"/>
  <c r="FZ70" i="84"/>
  <c r="FC29" i="84"/>
  <c r="AF30" i="84"/>
  <c r="FX70" i="84"/>
  <c r="GK69" i="84" l="1"/>
  <c r="FD29" i="84"/>
  <c r="BW29" i="84"/>
  <c r="BX29" i="84" s="1"/>
  <c r="FU72" i="84"/>
  <c r="FT72" i="84" s="1"/>
  <c r="FP72" i="84"/>
  <c r="GA72" i="84" s="1"/>
  <c r="FR72" i="84"/>
  <c r="FS73" i="84" s="1"/>
  <c r="FN72" i="84"/>
  <c r="FW72" i="84" s="1"/>
  <c r="FV72" i="84" s="1"/>
  <c r="FO72" i="84"/>
  <c r="FQ72" i="84"/>
  <c r="FY72" i="84" s="1"/>
  <c r="AE31" i="84"/>
  <c r="AD31" i="84"/>
  <c r="FB28" i="84"/>
  <c r="FA28" i="84" s="1"/>
  <c r="BY28" i="84"/>
  <c r="AJ30" i="84"/>
  <c r="AI30" i="84"/>
  <c r="FZ71" i="84"/>
  <c r="GB71" i="84"/>
  <c r="AH30" i="84"/>
  <c r="AG30" i="84"/>
  <c r="FE29" i="84"/>
  <c r="AF31" i="84"/>
  <c r="FX71" i="84"/>
  <c r="FC30" i="84"/>
  <c r="BY29" i="84" l="1"/>
  <c r="BZ29" i="84"/>
  <c r="GK70" i="84"/>
  <c r="FD30" i="84"/>
  <c r="FB29" i="84"/>
  <c r="FA29" i="84" s="1"/>
  <c r="FE30" i="84"/>
  <c r="AF32" i="84"/>
  <c r="FX72" i="84"/>
  <c r="FN73" i="84"/>
  <c r="FW73" i="84" s="1"/>
  <c r="FV73" i="84" s="1"/>
  <c r="FU73" i="84"/>
  <c r="FT73" i="84" s="1"/>
  <c r="FR73" i="84"/>
  <c r="FS74" i="84" s="1"/>
  <c r="FP73" i="84"/>
  <c r="GA73" i="84" s="1"/>
  <c r="FQ73" i="84"/>
  <c r="FY73" i="84" s="1"/>
  <c r="FO73" i="84"/>
  <c r="BW30" i="84"/>
  <c r="BX30" i="84" s="1"/>
  <c r="BZ30" i="84" s="1"/>
  <c r="FC31" i="84"/>
  <c r="AJ31" i="84"/>
  <c r="AI31" i="84"/>
  <c r="AE32" i="84"/>
  <c r="AD32" i="84"/>
  <c r="AH31" i="84"/>
  <c r="AG31" i="84"/>
  <c r="FZ72" i="84"/>
  <c r="GB72" i="84"/>
  <c r="GK71" i="84" l="1"/>
  <c r="FD31" i="84"/>
  <c r="BW31" i="84"/>
  <c r="BX31" i="84" s="1"/>
  <c r="FQ74" i="84"/>
  <c r="FY74" i="84" s="1"/>
  <c r="FU74" i="84"/>
  <c r="FT74" i="84" s="1"/>
  <c r="FR74" i="84"/>
  <c r="FS75" i="84" s="1"/>
  <c r="FO74" i="84"/>
  <c r="FN74" i="84"/>
  <c r="FW74" i="84" s="1"/>
  <c r="FV74" i="84" s="1"/>
  <c r="FP74" i="84"/>
  <c r="GA74" i="84" s="1"/>
  <c r="AD33" i="84"/>
  <c r="AE33" i="84"/>
  <c r="FB30" i="84"/>
  <c r="FA30" i="84" s="1"/>
  <c r="BY30" i="84"/>
  <c r="AH32" i="84"/>
  <c r="AG32" i="84"/>
  <c r="AI32" i="84"/>
  <c r="AJ32" i="84"/>
  <c r="FC32" i="84"/>
  <c r="FX73" i="84"/>
  <c r="AF33" i="84"/>
  <c r="FE31" i="84"/>
  <c r="FZ73" i="84"/>
  <c r="GB73" i="84"/>
  <c r="FB31" i="84" l="1"/>
  <c r="FA31" i="84" s="1"/>
  <c r="BZ31" i="84"/>
  <c r="GK72" i="84"/>
  <c r="FD32" i="84"/>
  <c r="BY31" i="84"/>
  <c r="AH33" i="84"/>
  <c r="AG33" i="84"/>
  <c r="AE34" i="84"/>
  <c r="AD34" i="84"/>
  <c r="FX74" i="84"/>
  <c r="AF34" i="84"/>
  <c r="BW32" i="84"/>
  <c r="BX32" i="84" s="1"/>
  <c r="BZ32" i="84" s="1"/>
  <c r="FZ74" i="84"/>
  <c r="GB74" i="84"/>
  <c r="AJ33" i="84"/>
  <c r="AI33" i="84"/>
  <c r="FC33" i="84"/>
  <c r="FN75" i="84"/>
  <c r="FW75" i="84" s="1"/>
  <c r="FV75" i="84" s="1"/>
  <c r="FU75" i="84"/>
  <c r="FT75" i="84" s="1"/>
  <c r="FR75" i="84"/>
  <c r="FS76" i="84" s="1"/>
  <c r="FQ75" i="84"/>
  <c r="FY75" i="84" s="1"/>
  <c r="FO75" i="84"/>
  <c r="FP75" i="84"/>
  <c r="GA75" i="84" s="1"/>
  <c r="FE32" i="84"/>
  <c r="GK73" i="84" l="1"/>
  <c r="FD33" i="84"/>
  <c r="FE33" i="84"/>
  <c r="BW33" i="84"/>
  <c r="BX33" i="84" s="1"/>
  <c r="AI34" i="84"/>
  <c r="AJ34" i="84"/>
  <c r="AD35" i="84"/>
  <c r="AE35" i="84"/>
  <c r="AH34" i="84"/>
  <c r="AG34" i="84"/>
  <c r="FC34" i="84"/>
  <c r="BY32" i="84"/>
  <c r="FB32" i="84"/>
  <c r="FA32" i="84" s="1"/>
  <c r="FX75" i="84"/>
  <c r="AF35" i="84"/>
  <c r="FZ75" i="84"/>
  <c r="GB75" i="84"/>
  <c r="FP76" i="84"/>
  <c r="GA76" i="84" s="1"/>
  <c r="FO76" i="84"/>
  <c r="FR76" i="84"/>
  <c r="FS77" i="84" s="1"/>
  <c r="FQ76" i="84"/>
  <c r="FY76" i="84" s="1"/>
  <c r="FN76" i="84"/>
  <c r="FW76" i="84" s="1"/>
  <c r="FV76" i="84" s="1"/>
  <c r="FU76" i="84"/>
  <c r="FT76" i="84" s="1"/>
  <c r="FB33" i="84" l="1"/>
  <c r="FA33" i="84" s="1"/>
  <c r="BZ33" i="84"/>
  <c r="GK74" i="84"/>
  <c r="BY33" i="84"/>
  <c r="FD34" i="84"/>
  <c r="GB76" i="84"/>
  <c r="FZ76" i="84"/>
  <c r="AH35" i="84"/>
  <c r="AG35" i="84"/>
  <c r="AF36" i="84"/>
  <c r="FX76" i="84"/>
  <c r="BW34" i="84"/>
  <c r="BX34" i="84" s="1"/>
  <c r="BZ34" i="84" s="1"/>
  <c r="FR77" i="84"/>
  <c r="FS78" i="84" s="1"/>
  <c r="FO77" i="84"/>
  <c r="FU77" i="84"/>
  <c r="FT77" i="84" s="1"/>
  <c r="FP77" i="84"/>
  <c r="GA77" i="84" s="1"/>
  <c r="FN77" i="84"/>
  <c r="FW77" i="84" s="1"/>
  <c r="FV77" i="84" s="1"/>
  <c r="FQ77" i="84"/>
  <c r="FY77" i="84" s="1"/>
  <c r="FC35" i="84"/>
  <c r="AI35" i="84"/>
  <c r="AJ35" i="84"/>
  <c r="AD36" i="84"/>
  <c r="AE36" i="84"/>
  <c r="FE34" i="84"/>
  <c r="GK75" i="84" l="1"/>
  <c r="BW35" i="84"/>
  <c r="BX35" i="84" s="1"/>
  <c r="FD35" i="84"/>
  <c r="FN78" i="84"/>
  <c r="FW78" i="84" s="1"/>
  <c r="FV78" i="84" s="1"/>
  <c r="FQ78" i="84"/>
  <c r="FY78" i="84" s="1"/>
  <c r="FR78" i="84"/>
  <c r="FS79" i="84" s="1"/>
  <c r="FO78" i="84"/>
  <c r="FP78" i="84"/>
  <c r="GA78" i="84" s="1"/>
  <c r="FU78" i="84"/>
  <c r="FT78" i="84" s="1"/>
  <c r="AH36" i="84"/>
  <c r="AG36" i="84"/>
  <c r="GB77" i="84"/>
  <c r="FZ77" i="84"/>
  <c r="AJ36" i="84"/>
  <c r="AI36" i="84"/>
  <c r="FB34" i="84"/>
  <c r="FA34" i="84" s="1"/>
  <c r="BY34" i="84"/>
  <c r="AE37" i="84"/>
  <c r="AD37" i="84"/>
  <c r="FC36" i="84"/>
  <c r="FE35" i="84"/>
  <c r="FX77" i="84"/>
  <c r="AF37" i="84"/>
  <c r="FB35" i="84" l="1"/>
  <c r="FA35" i="84" s="1"/>
  <c r="BZ35" i="84"/>
  <c r="GK76" i="84"/>
  <c r="BY35" i="84"/>
  <c r="FE36" i="84"/>
  <c r="BW36" i="84"/>
  <c r="BX36" i="84" s="1"/>
  <c r="AF38" i="84"/>
  <c r="FX78" i="84"/>
  <c r="FD36" i="84"/>
  <c r="FP79" i="84"/>
  <c r="GA79" i="84" s="1"/>
  <c r="FN79" i="84"/>
  <c r="FW79" i="84" s="1"/>
  <c r="FV79" i="84" s="1"/>
  <c r="FO79" i="84"/>
  <c r="FQ79" i="84"/>
  <c r="FY79" i="84" s="1"/>
  <c r="FU79" i="84"/>
  <c r="FT79" i="84" s="1"/>
  <c r="FR79" i="84"/>
  <c r="FS80" i="84" s="1"/>
  <c r="AH37" i="84"/>
  <c r="AG37" i="84"/>
  <c r="AJ37" i="84"/>
  <c r="AI37" i="84"/>
  <c r="FZ78" i="84"/>
  <c r="GB78" i="84"/>
  <c r="FC37" i="84"/>
  <c r="AD38" i="84"/>
  <c r="AE38" i="84"/>
  <c r="FB36" i="84" l="1"/>
  <c r="FA36" i="84" s="1"/>
  <c r="BZ36" i="84"/>
  <c r="GK77" i="84"/>
  <c r="FD37" i="84"/>
  <c r="BY36" i="84"/>
  <c r="AE39" i="84"/>
  <c r="AD39" i="84"/>
  <c r="BW37" i="84"/>
  <c r="BX37" i="84" s="1"/>
  <c r="BZ37" i="84" s="1"/>
  <c r="AH38" i="84"/>
  <c r="AG38" i="84"/>
  <c r="FO80" i="84"/>
  <c r="FP80" i="84"/>
  <c r="GA80" i="84" s="1"/>
  <c r="FR80" i="84"/>
  <c r="FS81" i="84" s="1"/>
  <c r="FU80" i="84"/>
  <c r="FT80" i="84" s="1"/>
  <c r="FQ80" i="84"/>
  <c r="FY80" i="84" s="1"/>
  <c r="FN80" i="84"/>
  <c r="FW80" i="84" s="1"/>
  <c r="FV80" i="84" s="1"/>
  <c r="FZ79" i="84"/>
  <c r="GB79" i="84"/>
  <c r="FC38" i="84"/>
  <c r="AJ38" i="84"/>
  <c r="AI38" i="84"/>
  <c r="FE37" i="84"/>
  <c r="AF39" i="84"/>
  <c r="FX79" i="84"/>
  <c r="GK78" i="84" l="1"/>
  <c r="BW38" i="84"/>
  <c r="BX38" i="84" s="1"/>
  <c r="FE38" i="84"/>
  <c r="FR81" i="84"/>
  <c r="FS82" i="84" s="1"/>
  <c r="FO81" i="84"/>
  <c r="FN81" i="84"/>
  <c r="FW81" i="84" s="1"/>
  <c r="FV81" i="84" s="1"/>
  <c r="FQ81" i="84"/>
  <c r="FY81" i="84" s="1"/>
  <c r="FP81" i="84"/>
  <c r="GA81" i="84" s="1"/>
  <c r="FU81" i="84"/>
  <c r="FT81" i="84" s="1"/>
  <c r="AF40" i="84"/>
  <c r="FX80" i="84"/>
  <c r="AI39" i="84"/>
  <c r="AJ39" i="84"/>
  <c r="FD38" i="84"/>
  <c r="FB37" i="84"/>
  <c r="FA37" i="84" s="1"/>
  <c r="BY37" i="84"/>
  <c r="GB80" i="84"/>
  <c r="FZ80" i="84"/>
  <c r="FC39" i="84"/>
  <c r="AG39" i="84"/>
  <c r="AH39" i="84"/>
  <c r="AD40" i="84"/>
  <c r="AE40" i="84"/>
  <c r="BY38" i="84" l="1"/>
  <c r="BZ38" i="84"/>
  <c r="GK79" i="84"/>
  <c r="FB38" i="84"/>
  <c r="FA38" i="84" s="1"/>
  <c r="FD39" i="84"/>
  <c r="AD41" i="84"/>
  <c r="AE41" i="84"/>
  <c r="FX81" i="84"/>
  <c r="AF41" i="84"/>
  <c r="AJ40" i="84"/>
  <c r="AI40" i="84"/>
  <c r="FE39" i="84"/>
  <c r="FN82" i="84"/>
  <c r="FW82" i="84" s="1"/>
  <c r="FV82" i="84" s="1"/>
  <c r="FQ82" i="84"/>
  <c r="FY82" i="84" s="1"/>
  <c r="FU82" i="84"/>
  <c r="FT82" i="84" s="1"/>
  <c r="FP82" i="84"/>
  <c r="GA82" i="84" s="1"/>
  <c r="FO82" i="84"/>
  <c r="FR82" i="84"/>
  <c r="FS83" i="84" s="1"/>
  <c r="AG40" i="84"/>
  <c r="AH40" i="84"/>
  <c r="BW39" i="84"/>
  <c r="BX39" i="84" s="1"/>
  <c r="BZ39" i="84" s="1"/>
  <c r="FC40" i="84"/>
  <c r="GB81" i="84"/>
  <c r="FZ81" i="84"/>
  <c r="GK80" i="84" l="1"/>
  <c r="BW40" i="84"/>
  <c r="BX40" i="84" s="1"/>
  <c r="FE40" i="84"/>
  <c r="AD42" i="84"/>
  <c r="AE42" i="84"/>
  <c r="FU83" i="84"/>
  <c r="FT83" i="84" s="1"/>
  <c r="FO83" i="84"/>
  <c r="FQ83" i="84"/>
  <c r="FY83" i="84" s="1"/>
  <c r="FP83" i="84"/>
  <c r="GA83" i="84" s="1"/>
  <c r="FR83" i="84"/>
  <c r="FS84" i="84" s="1"/>
  <c r="FN83" i="84"/>
  <c r="FW83" i="84" s="1"/>
  <c r="FV83" i="84" s="1"/>
  <c r="BY39" i="84"/>
  <c r="FB39" i="84"/>
  <c r="FA39" i="84" s="1"/>
  <c r="AI41" i="84"/>
  <c r="AJ41" i="84"/>
  <c r="FD40" i="84"/>
  <c r="FX82" i="84"/>
  <c r="AF42" i="84"/>
  <c r="AG41" i="84"/>
  <c r="AH41" i="84"/>
  <c r="FZ82" i="84"/>
  <c r="GB82" i="84"/>
  <c r="FC41" i="84"/>
  <c r="BY40" i="84" l="1"/>
  <c r="BZ40" i="84"/>
  <c r="GK81" i="84"/>
  <c r="FB40" i="84"/>
  <c r="FA40" i="84" s="1"/>
  <c r="FD41" i="84"/>
  <c r="FE41" i="84"/>
  <c r="FZ83" i="84"/>
  <c r="GB83" i="84"/>
  <c r="AF43" i="84"/>
  <c r="FX83" i="84"/>
  <c r="BW41" i="84"/>
  <c r="BX41" i="84" s="1"/>
  <c r="BZ41" i="84" s="1"/>
  <c r="FC42" i="84"/>
  <c r="AD43" i="84"/>
  <c r="AE43" i="84"/>
  <c r="AJ42" i="84"/>
  <c r="AI42" i="84"/>
  <c r="AH42" i="84"/>
  <c r="AG42" i="84"/>
  <c r="FO84" i="84"/>
  <c r="FN84" i="84"/>
  <c r="FW84" i="84" s="1"/>
  <c r="FV84" i="84" s="1"/>
  <c r="FU84" i="84"/>
  <c r="FT84" i="84" s="1"/>
  <c r="FR84" i="84"/>
  <c r="FS85" i="84" s="1"/>
  <c r="FP84" i="84"/>
  <c r="GA84" i="84" s="1"/>
  <c r="FQ84" i="84"/>
  <c r="FY84" i="84" s="1"/>
  <c r="GK82" i="84" l="1"/>
  <c r="FD42" i="84"/>
  <c r="FX84" i="84"/>
  <c r="AF44" i="84"/>
  <c r="BW42" i="84"/>
  <c r="BX42" i="84" s="1"/>
  <c r="BZ42" i="84" s="1"/>
  <c r="FB41" i="84"/>
  <c r="FA41" i="84" s="1"/>
  <c r="BY41" i="84"/>
  <c r="FZ84" i="84"/>
  <c r="GB84" i="84"/>
  <c r="FE42" i="84"/>
  <c r="AH43" i="84"/>
  <c r="AG43" i="84"/>
  <c r="FO85" i="84"/>
  <c r="FQ85" i="84"/>
  <c r="FY85" i="84" s="1"/>
  <c r="FP85" i="84"/>
  <c r="GA85" i="84" s="1"/>
  <c r="FR85" i="84"/>
  <c r="FU85" i="84"/>
  <c r="FT85" i="84" s="1"/>
  <c r="FN85" i="84"/>
  <c r="FW85" i="84" s="1"/>
  <c r="FV85" i="84" s="1"/>
  <c r="AE44" i="84"/>
  <c r="AD44" i="84"/>
  <c r="FC43" i="84"/>
  <c r="AJ43" i="84"/>
  <c r="AI43" i="84"/>
  <c r="GK83" i="84" l="1"/>
  <c r="FD43" i="84"/>
  <c r="BW43" i="84"/>
  <c r="BX43" i="84" s="1"/>
  <c r="AI44" i="84"/>
  <c r="AJ44" i="84"/>
  <c r="GJ85" i="84"/>
  <c r="GJ84" i="84" s="1"/>
  <c r="GJ83" i="84" s="1"/>
  <c r="GJ82" i="84" s="1"/>
  <c r="GJ81" i="84" s="1"/>
  <c r="GJ80" i="84" s="1"/>
  <c r="GJ79" i="84" s="1"/>
  <c r="GJ78" i="84" s="1"/>
  <c r="GJ77" i="84" s="1"/>
  <c r="GJ76" i="84" s="1"/>
  <c r="GJ75" i="84" s="1"/>
  <c r="GJ74" i="84" s="1"/>
  <c r="GJ73" i="84" s="1"/>
  <c r="GJ72" i="84" s="1"/>
  <c r="GJ71" i="84" s="1"/>
  <c r="GJ70" i="84" s="1"/>
  <c r="GJ69" i="84" s="1"/>
  <c r="GJ68" i="84" s="1"/>
  <c r="GJ67" i="84" s="1"/>
  <c r="GJ66" i="84" s="1"/>
  <c r="GJ65" i="84" s="1"/>
  <c r="GJ64" i="84" s="1"/>
  <c r="GJ63" i="84" s="1"/>
  <c r="GJ62" i="84" s="1"/>
  <c r="GJ61" i="84" s="1"/>
  <c r="GJ60" i="84" s="1"/>
  <c r="GJ59" i="84" s="1"/>
  <c r="GJ58" i="84" s="1"/>
  <c r="GB85" i="84"/>
  <c r="FZ85" i="84"/>
  <c r="FX85" i="84"/>
  <c r="AF45" i="84"/>
  <c r="FB42" i="84"/>
  <c r="FA42" i="84" s="1"/>
  <c r="BY42" i="84"/>
  <c r="FC44" i="84"/>
  <c r="FE43" i="84"/>
  <c r="AD45" i="84"/>
  <c r="AE45" i="84"/>
  <c r="AH44" i="84"/>
  <c r="AG44" i="84"/>
  <c r="FB43" i="84" l="1"/>
  <c r="FA43" i="84" s="1"/>
  <c r="BZ43" i="84"/>
  <c r="GK84" i="84"/>
  <c r="FE44" i="84"/>
  <c r="BY43" i="84"/>
  <c r="BW44" i="84"/>
  <c r="BX44" i="84" s="1"/>
  <c r="AI45" i="84"/>
  <c r="AJ45" i="84"/>
  <c r="GJ57" i="84"/>
  <c r="GJ56" i="84" s="1"/>
  <c r="GJ55" i="84" s="1"/>
  <c r="GJ54" i="84" s="1"/>
  <c r="FV58" i="84"/>
  <c r="FD44" i="84"/>
  <c r="AH45" i="84"/>
  <c r="AG45" i="84"/>
  <c r="FC45" i="84"/>
  <c r="FB44" i="84" l="1"/>
  <c r="FA44" i="84" s="1"/>
  <c r="BZ44" i="84"/>
  <c r="GK85" i="84"/>
  <c r="FD45" i="84"/>
  <c r="BW45" i="84"/>
  <c r="BX45" i="84" s="1"/>
  <c r="BY44" i="84"/>
  <c r="AD18" i="84"/>
  <c r="FZ58" i="84"/>
  <c r="FE45" i="84"/>
  <c r="BY45" i="84" l="1"/>
  <c r="BZ45" i="84"/>
  <c r="FF45" i="84"/>
  <c r="FF44" i="84" s="1"/>
  <c r="FF43" i="84" s="1"/>
  <c r="FF42" i="84" s="1"/>
  <c r="FF41" i="84" s="1"/>
  <c r="FF40" i="84" s="1"/>
  <c r="FF39" i="84" s="1"/>
  <c r="FF38" i="84" s="1"/>
  <c r="FF37" i="84" s="1"/>
  <c r="FF36" i="84" s="1"/>
  <c r="FF35" i="84" s="1"/>
  <c r="FF34" i="84" s="1"/>
  <c r="FF33" i="84" s="1"/>
  <c r="FF32" i="84" s="1"/>
  <c r="FF31" i="84" s="1"/>
  <c r="FF30" i="84" s="1"/>
  <c r="FF29" i="84" s="1"/>
  <c r="FF28" i="84" s="1"/>
  <c r="FF27" i="84" s="1"/>
  <c r="FF26" i="84" s="1"/>
  <c r="FF25" i="84" s="1"/>
  <c r="FF24" i="84" s="1"/>
  <c r="FF23" i="84" s="1"/>
  <c r="FF22" i="84" s="1"/>
  <c r="FF21" i="84" s="1"/>
  <c r="FF20" i="84" s="1"/>
  <c r="FF19" i="84" s="1"/>
  <c r="FB45" i="84"/>
  <c r="FA45" i="84" s="1"/>
  <c r="AI18" i="84"/>
  <c r="AE18" i="84"/>
  <c r="FC18" i="84" l="1"/>
  <c r="AJ18" i="84"/>
  <c r="BW18" i="84" s="1"/>
  <c r="BX18" i="84" s="1"/>
  <c r="BZ18" i="84" s="1"/>
  <c r="GK58" i="84" l="1"/>
  <c r="EZ18" i="84"/>
  <c r="BY18" i="84"/>
  <c r="FB18" i="84"/>
  <c r="EX18" i="84"/>
  <c r="FE18" i="84"/>
  <c r="FF18" i="84" s="1"/>
  <c r="FF17" i="84" s="1"/>
  <c r="FF16" i="84" s="1"/>
  <c r="FF15" i="84" s="1"/>
  <c r="FF14" i="84" s="1"/>
  <c r="EX19" i="84" l="1"/>
  <c r="EX20" i="84" s="1"/>
  <c r="EX21" i="84" s="1"/>
  <c r="EX22" i="84" s="1"/>
  <c r="EX23" i="84" s="1"/>
  <c r="EX24" i="84" s="1"/>
  <c r="EX25" i="84" s="1"/>
  <c r="EX26" i="84" s="1"/>
  <c r="EX27" i="84" s="1"/>
  <c r="EX28" i="84" s="1"/>
  <c r="EX29" i="84" s="1"/>
  <c r="EX30" i="84" s="1"/>
  <c r="EX31" i="84" s="1"/>
  <c r="EX32" i="84" s="1"/>
  <c r="EX33" i="84" s="1"/>
  <c r="EX34" i="84" s="1"/>
  <c r="EX35" i="84" s="1"/>
  <c r="EX36" i="84" s="1"/>
  <c r="EX37" i="84" s="1"/>
  <c r="EX38" i="84" s="1"/>
  <c r="EX39" i="84" s="1"/>
  <c r="EX40" i="84" s="1"/>
  <c r="EX41" i="84" s="1"/>
  <c r="EX42" i="84" s="1"/>
  <c r="EX43" i="84" s="1"/>
  <c r="EX44" i="84" s="1"/>
  <c r="EX45" i="84" s="1"/>
  <c r="EY18" i="84"/>
  <c r="FA18" i="84"/>
  <c r="EY16" i="84"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Faull, Spencer</author>
    <author>Sellers, Rich</author>
    <author>Mike Camperman</author>
    <author>Rich Sellers</author>
  </authors>
  <commentList>
    <comment ref="A12" authorId="0" shapeId="0" xr:uid="{5B64461B-054C-4A8A-B7C5-FCBBF37FB57C}">
      <text>
        <r>
          <rPr>
            <sz val="9"/>
            <color indexed="81"/>
            <rFont val="Tahoma"/>
            <family val="2"/>
          </rPr>
          <t xml:space="preserve">The TYPE, CAT, and POS cells </t>
        </r>
        <r>
          <rPr>
            <b/>
            <i/>
            <sz val="9"/>
            <color indexed="81"/>
            <rFont val="Tahoma"/>
            <family val="2"/>
          </rPr>
          <t xml:space="preserve">cannot </t>
        </r>
        <r>
          <rPr>
            <sz val="9"/>
            <color indexed="81"/>
            <rFont val="Tahoma"/>
            <family val="2"/>
          </rPr>
          <t xml:space="preserve">be left blank if there is a load value in LOAD 1 or LOAD 2 of that row.
Illegal blank cells will turn completely red.
If they are left blank, JEDI will ignore the entire row of the note.
</t>
        </r>
      </text>
    </comment>
    <comment ref="A13" authorId="1" shapeId="0" xr:uid="{00000000-0006-0000-0600-000001000000}">
      <text>
        <r>
          <rPr>
            <b/>
            <sz val="12"/>
            <color indexed="81"/>
            <rFont val="Arial"/>
            <family val="2"/>
          </rPr>
          <t xml:space="preserve">Load #:
</t>
        </r>
        <r>
          <rPr>
            <sz val="12"/>
            <color indexed="81"/>
            <rFont val="Arial"/>
            <family val="2"/>
          </rPr>
          <t xml:space="preserve">If Value is </t>
        </r>
        <r>
          <rPr>
            <b/>
            <sz val="12"/>
            <color indexed="10"/>
            <rFont val="Arial"/>
            <family val="2"/>
          </rPr>
          <t>Bold Red</t>
        </r>
        <r>
          <rPr>
            <sz val="12"/>
            <color indexed="81"/>
            <rFont val="Arial"/>
            <family val="2"/>
          </rPr>
          <t>, the Load Note is not used on any Girder, Joist or Bridging mark.</t>
        </r>
      </text>
    </comment>
    <comment ref="E13" authorId="2" shapeId="0" xr:uid="{00000000-0006-0000-0600-000002000000}">
      <text>
        <r>
          <rPr>
            <b/>
            <sz val="8"/>
            <color indexed="81"/>
            <rFont val="Tahoma"/>
            <family val="2"/>
          </rPr>
          <t xml:space="preserve">Currently NOT used.
</t>
        </r>
      </text>
    </comment>
    <comment ref="F13" authorId="3" shapeId="0" xr:uid="{00000000-0006-0000-0600-000003000000}">
      <text>
        <r>
          <rPr>
            <b/>
            <sz val="12"/>
            <color indexed="81"/>
            <rFont val="Arial"/>
            <family val="2"/>
          </rPr>
          <t>Load1 Value:</t>
        </r>
        <r>
          <rPr>
            <sz val="12"/>
            <color indexed="81"/>
            <rFont val="Arial"/>
            <family val="2"/>
          </rPr>
          <t xml:space="preserve">
If Load2 Value is</t>
        </r>
        <r>
          <rPr>
            <b/>
            <sz val="12"/>
            <color indexed="10"/>
            <rFont val="Arial"/>
            <family val="2"/>
          </rPr>
          <t xml:space="preserve"> Bold Red</t>
        </r>
        <r>
          <rPr>
            <sz val="12"/>
            <color indexed="81"/>
            <rFont val="Arial"/>
            <family val="2"/>
          </rPr>
          <t>, check the following things:
1) Load Type "NU" can not have a negative magnitude.</t>
        </r>
      </text>
    </comment>
    <comment ref="G13" authorId="3" shapeId="0" xr:uid="{00000000-0006-0000-0600-000004000000}">
      <text>
        <r>
          <rPr>
            <b/>
            <sz val="12"/>
            <color indexed="81"/>
            <rFont val="Arial"/>
            <family val="2"/>
          </rPr>
          <t>Load Location:</t>
        </r>
        <r>
          <rPr>
            <sz val="12"/>
            <color indexed="81"/>
            <rFont val="Arial"/>
            <family val="2"/>
          </rPr>
          <t xml:space="preserve">
If the Load Locations are </t>
        </r>
        <r>
          <rPr>
            <b/>
            <sz val="12"/>
            <color indexed="10"/>
            <rFont val="Arial"/>
            <family val="2"/>
          </rPr>
          <t>RED</t>
        </r>
        <r>
          <rPr>
            <sz val="12"/>
            <color indexed="81"/>
            <rFont val="Arial"/>
            <family val="2"/>
          </rPr>
          <t>, there are 2 things that might be the problem:
1) The location of Load1 is greater than the location of Load2.  Location1 must be &lt; Location2 for JEDI to import proplery.
2) Load Types "CP", "CA", "M", "AX" and "S" do not require any location.</t>
        </r>
      </text>
    </comment>
    <comment ref="I13" authorId="3" shapeId="0" xr:uid="{00000000-0006-0000-0600-000005000000}">
      <text>
        <r>
          <rPr>
            <b/>
            <sz val="12"/>
            <color indexed="81"/>
            <rFont val="Arial"/>
            <family val="2"/>
          </rPr>
          <t xml:space="preserve">Load2 Value:
</t>
        </r>
        <r>
          <rPr>
            <sz val="12"/>
            <color indexed="81"/>
            <rFont val="Arial"/>
            <family val="2"/>
          </rPr>
          <t xml:space="preserve">If Load2 Value is </t>
        </r>
        <r>
          <rPr>
            <b/>
            <sz val="12"/>
            <color indexed="10"/>
            <rFont val="Arial"/>
            <family val="2"/>
          </rPr>
          <t>Bold Red</t>
        </r>
        <r>
          <rPr>
            <sz val="12"/>
            <color indexed="81"/>
            <rFont val="Arial"/>
            <family val="2"/>
          </rPr>
          <t xml:space="preserve">, check the following things:
1) Load Types "CZ", "CP", "CA", "M", "AX" and "S" can </t>
        </r>
        <r>
          <rPr>
            <b/>
            <u/>
            <sz val="12"/>
            <color indexed="81"/>
            <rFont val="Arial"/>
            <family val="2"/>
          </rPr>
          <t>NOT</t>
        </r>
        <r>
          <rPr>
            <sz val="12"/>
            <color indexed="81"/>
            <rFont val="Arial"/>
            <family val="2"/>
          </rPr>
          <t xml:space="preserve"> have a Load2 magnitude.
2) Load Type "NU" can not have a negative magnitude.</t>
        </r>
      </text>
    </comment>
    <comment ref="J13" authorId="3" shapeId="0" xr:uid="{00000000-0006-0000-0600-000006000000}">
      <text>
        <r>
          <rPr>
            <b/>
            <sz val="12"/>
            <color indexed="81"/>
            <rFont val="Arial"/>
            <family val="2"/>
          </rPr>
          <t>Load Location:</t>
        </r>
        <r>
          <rPr>
            <sz val="12"/>
            <color indexed="81"/>
            <rFont val="Arial"/>
            <family val="2"/>
          </rPr>
          <t xml:space="preserve">
If the Load Locations are </t>
        </r>
        <r>
          <rPr>
            <b/>
            <sz val="12"/>
            <color indexed="10"/>
            <rFont val="Arial"/>
            <family val="2"/>
          </rPr>
          <t>RED</t>
        </r>
        <r>
          <rPr>
            <sz val="12"/>
            <color indexed="81"/>
            <rFont val="Arial"/>
            <family val="2"/>
          </rPr>
          <t>, there are 2 things that might be the problem:
1) The location of Load1 is greater than the location of Load2.  Location1 must be &lt; Location2 for JEDI to import proplery.
2) Load Types "CP", "CA", "M", "AX" and "S" do not require any location.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Sellers, Rich</author>
  </authors>
  <commentList>
    <comment ref="A12" authorId="0" shapeId="0" xr:uid="{00000000-0006-0000-0700-000001000000}">
      <text>
        <r>
          <rPr>
            <b/>
            <sz val="12"/>
            <color indexed="81"/>
            <rFont val="Arial"/>
            <family val="2"/>
          </rPr>
          <t xml:space="preserve">Note #:
</t>
        </r>
        <r>
          <rPr>
            <sz val="12"/>
            <color indexed="81"/>
            <rFont val="Arial"/>
            <family val="2"/>
          </rPr>
          <t xml:space="preserve">If Value is </t>
        </r>
        <r>
          <rPr>
            <b/>
            <sz val="12"/>
            <color indexed="10"/>
            <rFont val="Arial"/>
            <family val="2"/>
          </rPr>
          <t>Bold Red</t>
        </r>
        <r>
          <rPr>
            <sz val="12"/>
            <color indexed="81"/>
            <rFont val="Arial"/>
            <family val="2"/>
          </rPr>
          <t>, the Special Note is not used on any Girder, Joist or Bridging mark.</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sellersrl</author>
  </authors>
  <commentList>
    <comment ref="E12" authorId="0" shapeId="0" xr:uid="{00000000-0006-0000-0800-000001000000}">
      <text>
        <r>
          <rPr>
            <b/>
            <sz val="12"/>
            <color indexed="81"/>
            <rFont val="Arial"/>
            <family val="2"/>
          </rPr>
          <t>Sequence Name:</t>
        </r>
        <r>
          <rPr>
            <sz val="12"/>
            <color indexed="81"/>
            <rFont val="Arial"/>
            <family val="2"/>
          </rPr>
          <t xml:space="preserve">
If the Sequence Name turns </t>
        </r>
        <r>
          <rPr>
            <b/>
            <sz val="12"/>
            <color indexed="10"/>
            <rFont val="Arial"/>
            <family val="2"/>
          </rPr>
          <t>Bold Red</t>
        </r>
        <r>
          <rPr>
            <sz val="12"/>
            <color indexed="81"/>
            <rFont val="Arial"/>
            <family val="2"/>
          </rPr>
          <t>, the name exceeds the maximum of 20 characters that will import into the design program.</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sellersrl</author>
  </authors>
  <commentList>
    <comment ref="A12" authorId="0" shapeId="0" xr:uid="{00000000-0006-0000-0900-000001000000}">
      <text>
        <r>
          <rPr>
            <b/>
            <sz val="12"/>
            <color indexed="10"/>
            <rFont val="Arial"/>
            <family val="2"/>
          </rPr>
          <t xml:space="preserve">Bold Red Mark Numbers:
</t>
        </r>
        <r>
          <rPr>
            <sz val="12"/>
            <color indexed="81"/>
            <rFont val="Arial"/>
            <family val="2"/>
          </rPr>
          <t xml:space="preserve">2 problems can cause mark numbers to become </t>
        </r>
        <r>
          <rPr>
            <b/>
            <sz val="12"/>
            <color indexed="10"/>
            <rFont val="Arial"/>
            <family val="2"/>
          </rPr>
          <t>Bold Red</t>
        </r>
        <r>
          <rPr>
            <sz val="12"/>
            <color indexed="81"/>
            <rFont val="Arial"/>
            <family val="2"/>
          </rPr>
          <t>:
1) Mark number is not found on the BOM pages
2) The joist designation for that mark number is not recognized.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Mike Camperman</author>
    <author>Rich Sellers</author>
    <author>sellersrl</author>
    <author>Sellers, Rich</author>
  </authors>
  <commentList>
    <comment ref="HC2" authorId="0" shapeId="0" xr:uid="{00000000-0006-0000-0A00-000001000000}">
      <text>
        <r>
          <rPr>
            <b/>
            <sz val="12"/>
            <color indexed="81"/>
            <rFont val="Arial"/>
            <family val="2"/>
          </rPr>
          <t>Girder Designation:</t>
        </r>
        <r>
          <rPr>
            <sz val="12"/>
            <color indexed="81"/>
            <rFont val="Arial"/>
            <family val="2"/>
          </rPr>
          <t xml:space="preserve">
If Size is </t>
        </r>
        <r>
          <rPr>
            <b/>
            <sz val="12"/>
            <color indexed="10"/>
            <rFont val="Arial"/>
            <family val="2"/>
          </rPr>
          <t>BOLD RED</t>
        </r>
        <r>
          <rPr>
            <sz val="12"/>
            <color indexed="81"/>
            <rFont val="Arial"/>
            <family val="2"/>
          </rPr>
          <t xml:space="preserve"> then this Mark will NOT import into the Design program.</t>
        </r>
      </text>
    </comment>
    <comment ref="HS2" authorId="0" shapeId="0" xr:uid="{00000000-0006-0000-0A00-000002000000}">
      <text>
        <r>
          <rPr>
            <b/>
            <sz val="12"/>
            <color indexed="81"/>
            <rFont val="Arial"/>
            <family val="2"/>
          </rPr>
          <t>HL/HR Slot Locations:</t>
        </r>
        <r>
          <rPr>
            <sz val="12"/>
            <color indexed="81"/>
            <rFont val="Arial"/>
            <family val="2"/>
          </rPr>
          <t xml:space="preserve">
If the slot location is </t>
        </r>
        <r>
          <rPr>
            <b/>
            <sz val="12"/>
            <color indexed="10"/>
            <rFont val="Arial"/>
            <family val="2"/>
          </rPr>
          <t>BOLD RED</t>
        </r>
        <r>
          <rPr>
            <sz val="12"/>
            <color indexed="81"/>
            <rFont val="Arial"/>
            <family val="2"/>
          </rPr>
          <t xml:space="preserve"> then the slot is too close to the edge.</t>
        </r>
        <r>
          <rPr>
            <sz val="14"/>
            <color indexed="81"/>
            <rFont val="Arial"/>
            <family val="2"/>
          </rPr>
          <t xml:space="preserve">
</t>
        </r>
      </text>
    </comment>
    <comment ref="IF2" authorId="1" shapeId="0" xr:uid="{00000000-0006-0000-0A00-000003000000}">
      <text>
        <r>
          <rPr>
            <b/>
            <sz val="12"/>
            <color indexed="81"/>
            <rFont val="Arial"/>
            <family val="2"/>
          </rPr>
          <t>Panel Layout (N, F, B):</t>
        </r>
        <r>
          <rPr>
            <sz val="12"/>
            <color indexed="81"/>
            <rFont val="Arial"/>
            <family val="2"/>
          </rPr>
          <t xml:space="preserve">
If the value turns </t>
        </r>
        <r>
          <rPr>
            <b/>
            <sz val="12"/>
            <color indexed="10"/>
            <rFont val="Arial"/>
            <family val="2"/>
          </rPr>
          <t>Bold Red</t>
        </r>
        <r>
          <rPr>
            <sz val="12"/>
            <color indexed="81"/>
            <rFont val="Arial"/>
            <family val="2"/>
          </rPr>
          <t>, the number of panels defined in the first line (NS/FS) listed does NOT match the number of panels in the Girder Designation.</t>
        </r>
      </text>
    </comment>
    <comment ref="IG2" authorId="1" shapeId="0" xr:uid="{00000000-0006-0000-0A00-000004000000}">
      <text>
        <r>
          <rPr>
            <b/>
            <sz val="12"/>
            <color indexed="81"/>
            <rFont val="Arial"/>
            <family val="2"/>
          </rPr>
          <t>"A" Dimension:</t>
        </r>
        <r>
          <rPr>
            <sz val="12"/>
            <color indexed="81"/>
            <rFont val="Arial"/>
            <family val="2"/>
          </rPr>
          <t xml:space="preserve">
If dimension turns </t>
        </r>
        <r>
          <rPr>
            <b/>
            <sz val="12"/>
            <color indexed="10"/>
            <rFont val="Arial"/>
            <family val="2"/>
          </rPr>
          <t>Bold Red</t>
        </r>
        <r>
          <rPr>
            <sz val="12"/>
            <color indexed="81"/>
            <rFont val="Arial"/>
            <family val="2"/>
          </rPr>
          <t>, the value is &lt; Girder Depth/1.15.</t>
        </r>
      </text>
    </comment>
    <comment ref="II2" authorId="1" shapeId="0" xr:uid="{00000000-0006-0000-0A00-000005000000}">
      <text>
        <r>
          <rPr>
            <b/>
            <sz val="12"/>
            <color indexed="81"/>
            <rFont val="Arial"/>
            <family val="2"/>
          </rPr>
          <t xml:space="preserve">"B" Dimension:
</t>
        </r>
        <r>
          <rPr>
            <sz val="12"/>
            <color indexed="81"/>
            <rFont val="Arial"/>
            <family val="2"/>
          </rPr>
          <t xml:space="preserve">If </t>
        </r>
        <r>
          <rPr>
            <b/>
            <i/>
            <u/>
            <sz val="12"/>
            <color indexed="81"/>
            <rFont val="Arial"/>
            <family val="2"/>
          </rPr>
          <t>*all*</t>
        </r>
        <r>
          <rPr>
            <sz val="12"/>
            <color indexed="81"/>
            <rFont val="Arial"/>
            <family val="2"/>
          </rPr>
          <t xml:space="preserve"> panel layout dimension turn </t>
        </r>
        <r>
          <rPr>
            <b/>
            <sz val="12"/>
            <color indexed="10"/>
            <rFont val="Arial"/>
            <family val="2"/>
          </rPr>
          <t>Bold Red</t>
        </r>
        <r>
          <rPr>
            <sz val="12"/>
            <color indexed="81"/>
            <rFont val="Arial"/>
            <family val="2"/>
          </rPr>
          <t>, the sum of the Panel Layout Dimensions does NOT equal the BL dimension of the Girder!!</t>
        </r>
      </text>
    </comment>
    <comment ref="IL2" authorId="1" shapeId="0" xr:uid="{00000000-0006-0000-0A00-000006000000}">
      <text>
        <r>
          <rPr>
            <b/>
            <sz val="12"/>
            <color indexed="81"/>
            <rFont val="Arial"/>
            <family val="2"/>
          </rPr>
          <t>"B" Dimension:</t>
        </r>
        <r>
          <rPr>
            <sz val="12"/>
            <color indexed="81"/>
            <rFont val="Arial"/>
            <family val="2"/>
          </rPr>
          <t xml:space="preserve">
If dimension turns </t>
        </r>
        <r>
          <rPr>
            <b/>
            <sz val="12"/>
            <color indexed="10"/>
            <rFont val="Arial"/>
            <family val="2"/>
          </rPr>
          <t>Bold Red</t>
        </r>
        <r>
          <rPr>
            <sz val="12"/>
            <color indexed="81"/>
            <rFont val="Arial"/>
            <family val="2"/>
          </rPr>
          <t>, the value is &lt; Girder Depth/1.15.</t>
        </r>
      </text>
    </comment>
    <comment ref="EY3" authorId="1" shapeId="0" xr:uid="{00000000-0006-0000-0A00-000007000000}">
      <text>
        <r>
          <rPr>
            <b/>
            <sz val="9"/>
            <color indexed="81"/>
            <rFont val="Tahoma"/>
            <family val="2"/>
          </rPr>
          <t>W2 Half-Width:</t>
        </r>
        <r>
          <rPr>
            <sz val="9"/>
            <color indexed="81"/>
            <rFont val="Tahoma"/>
            <family val="2"/>
          </rPr>
          <t xml:space="preserve">
For Calculating additional clear bearing at skewed supports.</t>
        </r>
      </text>
    </comment>
    <comment ref="IP3" authorId="1" shapeId="0" xr:uid="{00000000-0006-0000-0A00-000008000000}">
      <text>
        <r>
          <rPr>
            <b/>
            <sz val="12"/>
            <color indexed="81"/>
            <rFont val="Arial"/>
            <family val="2"/>
          </rPr>
          <t>Girder TC Gage:</t>
        </r>
        <r>
          <rPr>
            <sz val="12"/>
            <color indexed="81"/>
            <rFont val="Arial"/>
            <family val="2"/>
          </rPr>
          <t xml:space="preserve">
If value turns </t>
        </r>
        <r>
          <rPr>
            <b/>
            <sz val="12"/>
            <color indexed="10"/>
            <rFont val="Arial"/>
            <family val="2"/>
          </rPr>
          <t>Red</t>
        </r>
        <r>
          <rPr>
            <sz val="12"/>
            <color indexed="81"/>
            <rFont val="Arial"/>
            <family val="2"/>
          </rPr>
          <t>, TC Gage does not match std gage based on Girder TC Width.</t>
        </r>
      </text>
    </comment>
    <comment ref="IU3" authorId="1" shapeId="0" xr:uid="{00000000-0006-0000-0A00-000009000000}">
      <text>
        <r>
          <rPr>
            <b/>
            <sz val="12"/>
            <color indexed="81"/>
            <rFont val="Arial"/>
            <family val="2"/>
          </rPr>
          <t>Addn'l Joist Location:</t>
        </r>
        <r>
          <rPr>
            <sz val="12"/>
            <color indexed="81"/>
            <rFont val="Arial"/>
            <family val="2"/>
          </rPr>
          <t xml:space="preserve">
If the value is </t>
        </r>
        <r>
          <rPr>
            <b/>
            <sz val="12"/>
            <color indexed="10"/>
            <rFont val="Arial"/>
            <family val="2"/>
          </rPr>
          <t>BOLD RED</t>
        </r>
        <r>
          <rPr>
            <sz val="12"/>
            <color indexed="81"/>
            <rFont val="Arial"/>
            <family val="2"/>
          </rPr>
          <t xml:space="preserve">, there is an error in the value.
The correct format for data is:
</t>
        </r>
        <r>
          <rPr>
            <b/>
            <u/>
            <sz val="12"/>
            <color indexed="81"/>
            <rFont val="Arial"/>
            <family val="2"/>
          </rPr>
          <t>Dimensions</t>
        </r>
        <r>
          <rPr>
            <sz val="12"/>
            <color indexed="81"/>
            <rFont val="Arial"/>
            <family val="2"/>
          </rPr>
          <t xml:space="preserve"> - "foot" and "inch" columns must contain </t>
        </r>
        <r>
          <rPr>
            <sz val="12"/>
            <color indexed="10"/>
            <rFont val="Arial"/>
            <family val="2"/>
          </rPr>
          <t>NUMBERS ONLY</t>
        </r>
        <r>
          <rPr>
            <sz val="12"/>
            <color indexed="81"/>
            <rFont val="Arial"/>
            <family val="2"/>
          </rPr>
          <t xml:space="preserve"> - no foot or inch symbols or dashes.
</t>
        </r>
        <r>
          <rPr>
            <b/>
            <u/>
            <sz val="12"/>
            <color indexed="81"/>
            <rFont val="Arial"/>
            <family val="2"/>
          </rPr>
          <t>Panel Point Reference</t>
        </r>
        <r>
          <rPr>
            <sz val="12"/>
            <color indexed="81"/>
            <rFont val="Arial"/>
            <family val="2"/>
          </rPr>
          <t xml:space="preserve"> - foot column MUST contain </t>
        </r>
        <r>
          <rPr>
            <b/>
            <i/>
            <sz val="12"/>
            <color indexed="10"/>
            <rFont val="Arial"/>
            <family val="2"/>
          </rPr>
          <t>P</t>
        </r>
        <r>
          <rPr>
            <sz val="12"/>
            <color indexed="81"/>
            <rFont val="Arial"/>
            <family val="2"/>
          </rPr>
          <t xml:space="preserve"> and the inch column MUST contain </t>
        </r>
        <r>
          <rPr>
            <b/>
            <i/>
            <sz val="12"/>
            <color indexed="10"/>
            <rFont val="Arial"/>
            <family val="2"/>
          </rPr>
          <t>#xx</t>
        </r>
        <r>
          <rPr>
            <sz val="12"/>
            <color indexed="81"/>
            <rFont val="Arial"/>
            <family val="2"/>
          </rPr>
          <t xml:space="preserve">, where "xx" is the "Panel Point" location on the girder (defined by the "A, N, B" dimensions to the left).
 </t>
        </r>
        <r>
          <rPr>
            <b/>
            <i/>
            <u/>
            <sz val="12"/>
            <color indexed="10"/>
            <rFont val="Arial"/>
            <family val="2"/>
          </rPr>
          <t>&gt;&gt;NOTE</t>
        </r>
        <r>
          <rPr>
            <sz val="12"/>
            <color indexed="81"/>
            <rFont val="Arial"/>
            <family val="2"/>
          </rPr>
          <t xml:space="preserve">: PP Referenced locations are ALWAYS based on the Panel Layout listed </t>
        </r>
        <r>
          <rPr>
            <sz val="12"/>
            <color indexed="10"/>
            <rFont val="Arial"/>
            <family val="2"/>
          </rPr>
          <t>FIRST</t>
        </r>
        <r>
          <rPr>
            <sz val="12"/>
            <color indexed="81"/>
            <rFont val="Arial"/>
            <family val="2"/>
          </rPr>
          <t xml:space="preserve"> if the NS and FS panel layouts are different.</t>
        </r>
      </text>
    </comment>
    <comment ref="IA4" authorId="2" shapeId="0" xr:uid="{00000000-0006-0000-0A00-00000A000000}">
      <text>
        <r>
          <rPr>
            <b/>
            <sz val="12"/>
            <color indexed="81"/>
            <rFont val="Tahoma"/>
            <family val="2"/>
          </rPr>
          <t xml:space="preserve">Base Length Offset:
</t>
        </r>
        <r>
          <rPr>
            <sz val="12"/>
            <color indexed="81"/>
            <rFont val="Tahoma"/>
            <family val="2"/>
          </rPr>
          <t xml:space="preserve">Alters the TCX dimension.
If you want to use the additional clear bearing associated with deeper joist seats to shorten the TCX, enter a dimension here.
Enter the BL location from the Bay Length Reference (center of steel or face of masonry wall).  A positive dimension lengthens the BL, while a negative dimension shortens the BL.
</t>
        </r>
        <r>
          <rPr>
            <b/>
            <sz val="12"/>
            <color indexed="10"/>
            <rFont val="Tahoma"/>
            <family val="2"/>
          </rPr>
          <t>Red Bold</t>
        </r>
        <r>
          <rPr>
            <sz val="12"/>
            <color indexed="81"/>
            <rFont val="Tahoma"/>
            <family val="2"/>
          </rPr>
          <t xml:space="preserve"> indicates a dimension that exceeds the maximum allowable offset </t>
        </r>
        <r>
          <rPr>
            <b/>
            <i/>
            <u/>
            <sz val="12"/>
            <color indexed="81"/>
            <rFont val="Tahoma"/>
            <family val="2"/>
          </rPr>
          <t>OR</t>
        </r>
        <r>
          <rPr>
            <sz val="12"/>
            <color indexed="81"/>
            <rFont val="Tahoma"/>
            <family val="2"/>
          </rPr>
          <t xml:space="preserve"> a dimension that is less than 0".</t>
        </r>
      </text>
    </comment>
    <comment ref="IC4" authorId="2" shapeId="0" xr:uid="{00000000-0006-0000-0A00-00000B000000}">
      <text>
        <r>
          <rPr>
            <b/>
            <sz val="12"/>
            <color indexed="81"/>
            <rFont val="Tahoma"/>
            <family val="2"/>
          </rPr>
          <t xml:space="preserve">Seat Over-Ride:
</t>
        </r>
        <r>
          <rPr>
            <sz val="12"/>
            <color indexed="81"/>
            <rFont val="Tahoma"/>
            <family val="2"/>
          </rPr>
          <t>Over-rides the seat depth dimension shown in the section.
If this field is blank, the BOM uses the seat depth specified in the section.</t>
        </r>
      </text>
    </comment>
    <comment ref="EW6" authorId="3" shapeId="0" xr:uid="{00000000-0006-0000-0A00-00000C000000}">
      <text>
        <r>
          <rPr>
            <b/>
            <sz val="9"/>
            <color indexed="81"/>
            <rFont val="Tahoma"/>
            <family val="2"/>
          </rPr>
          <t>Minimum End of Slot to Edge of Material
(Min Edge Dist).</t>
        </r>
        <r>
          <rPr>
            <sz val="9"/>
            <color indexed="81"/>
            <rFont val="Tahoma"/>
            <family val="2"/>
          </rPr>
          <t xml:space="preserve">
</t>
        </r>
      </text>
    </comment>
    <comment ref="DH9" authorId="3" shapeId="0" xr:uid="{00000000-0006-0000-0A00-00000D000000}">
      <text>
        <r>
          <rPr>
            <b/>
            <sz val="12"/>
            <color indexed="81"/>
            <rFont val="Arial"/>
            <family val="2"/>
          </rPr>
          <t xml:space="preserve">Girder Mark:
</t>
        </r>
        <r>
          <rPr>
            <sz val="12"/>
            <color indexed="81"/>
            <rFont val="Arial"/>
            <family val="2"/>
          </rPr>
          <t xml:space="preserve">If the Girder Mark turns </t>
        </r>
        <r>
          <rPr>
            <b/>
            <sz val="12"/>
            <color indexed="10"/>
            <rFont val="Arial"/>
            <family val="2"/>
          </rPr>
          <t>Bold Red</t>
        </r>
        <r>
          <rPr>
            <sz val="12"/>
            <color indexed="81"/>
            <rFont val="Arial"/>
            <family val="2"/>
          </rPr>
          <t>, there is no corresponding Mark on the "Page1" of this BOM page.</t>
        </r>
      </text>
    </comment>
    <comment ref="DI9" authorId="2" shapeId="0" xr:uid="{00000000-0006-0000-0A00-00000E000000}">
      <text>
        <r>
          <rPr>
            <b/>
            <sz val="12"/>
            <color indexed="81"/>
            <rFont val="Arial"/>
            <family val="2"/>
          </rPr>
          <t>Joist Spacing:</t>
        </r>
        <r>
          <rPr>
            <sz val="12"/>
            <color indexed="81"/>
            <rFont val="Arial"/>
            <family val="2"/>
          </rPr>
          <t xml:space="preserve">
The "B" dimension is calc'd for you so the sum of the joist spacing always equals the Base Length of the Girder.</t>
        </r>
      </text>
    </comment>
    <comment ref="AB12" authorId="3" shapeId="0" xr:uid="{00000000-0006-0000-0A00-00000F000000}">
      <text>
        <r>
          <rPr>
            <b/>
            <sz val="12"/>
            <color indexed="81"/>
            <rFont val="Arial"/>
            <family val="2"/>
          </rPr>
          <t>Girder Mark</t>
        </r>
        <r>
          <rPr>
            <sz val="12"/>
            <color indexed="81"/>
            <rFont val="Arial"/>
            <family val="2"/>
          </rPr>
          <t xml:space="preserve">:
If this value turns </t>
        </r>
        <r>
          <rPr>
            <b/>
            <sz val="12"/>
            <color indexed="10"/>
            <rFont val="Arial"/>
            <family val="2"/>
          </rPr>
          <t>bold red</t>
        </r>
        <r>
          <rPr>
            <sz val="12"/>
            <color indexed="81"/>
            <rFont val="Arial"/>
            <family val="2"/>
          </rPr>
          <t>, there is no corresponding mark on Page#1.</t>
        </r>
      </text>
    </comment>
    <comment ref="AC12" authorId="1" shapeId="0" xr:uid="{00000000-0006-0000-0A00-000010000000}">
      <text>
        <r>
          <rPr>
            <b/>
            <sz val="12"/>
            <color indexed="81"/>
            <rFont val="Arial"/>
            <family val="2"/>
          </rPr>
          <t>Panel Layout (N, F, B):</t>
        </r>
        <r>
          <rPr>
            <sz val="12"/>
            <color indexed="81"/>
            <rFont val="Arial"/>
            <family val="2"/>
          </rPr>
          <t xml:space="preserve">
If the value turns </t>
        </r>
        <r>
          <rPr>
            <b/>
            <sz val="12"/>
            <color indexed="10"/>
            <rFont val="Arial"/>
            <family val="2"/>
          </rPr>
          <t>Bold Red</t>
        </r>
        <r>
          <rPr>
            <sz val="12"/>
            <color indexed="81"/>
            <rFont val="Arial"/>
            <family val="2"/>
          </rPr>
          <t>, the number of panels defined in the first line (NS/FS) listed does NOT match the number of panels in the Girder Designation.</t>
        </r>
      </text>
    </comment>
    <comment ref="AD12" authorId="1" shapeId="0" xr:uid="{00000000-0006-0000-0A00-000011000000}">
      <text>
        <r>
          <rPr>
            <b/>
            <sz val="12"/>
            <color indexed="81"/>
            <rFont val="Arial"/>
            <family val="2"/>
          </rPr>
          <t>"A" Dimension:</t>
        </r>
        <r>
          <rPr>
            <sz val="12"/>
            <color indexed="81"/>
            <rFont val="Arial"/>
            <family val="2"/>
          </rPr>
          <t xml:space="preserve">
If dimension turns </t>
        </r>
        <r>
          <rPr>
            <b/>
            <sz val="12"/>
            <color indexed="10"/>
            <rFont val="Arial"/>
            <family val="2"/>
          </rPr>
          <t>Bold Red</t>
        </r>
        <r>
          <rPr>
            <sz val="12"/>
            <color indexed="81"/>
            <rFont val="Arial"/>
            <family val="2"/>
          </rPr>
          <t>, the value is &lt; Girder Depth/1.15.</t>
        </r>
      </text>
    </comment>
    <comment ref="AF12" authorId="1" shapeId="0" xr:uid="{00000000-0006-0000-0A00-000012000000}">
      <text>
        <r>
          <rPr>
            <b/>
            <sz val="12"/>
            <color indexed="81"/>
            <rFont val="Arial"/>
            <family val="2"/>
          </rPr>
          <t xml:space="preserve">"N" Panel Spacing:
</t>
        </r>
        <r>
          <rPr>
            <sz val="12"/>
            <color indexed="81"/>
            <rFont val="Arial"/>
            <family val="2"/>
          </rPr>
          <t xml:space="preserve">If </t>
        </r>
        <r>
          <rPr>
            <b/>
            <i/>
            <u/>
            <sz val="12"/>
            <color indexed="81"/>
            <rFont val="Arial"/>
            <family val="2"/>
          </rPr>
          <t>*all*</t>
        </r>
        <r>
          <rPr>
            <sz val="12"/>
            <color indexed="81"/>
            <rFont val="Arial"/>
            <family val="2"/>
          </rPr>
          <t xml:space="preserve"> panel layout dimension turn </t>
        </r>
        <r>
          <rPr>
            <b/>
            <sz val="12"/>
            <color indexed="10"/>
            <rFont val="Arial"/>
            <family val="2"/>
          </rPr>
          <t>Bold Red</t>
        </r>
        <r>
          <rPr>
            <sz val="12"/>
            <color indexed="81"/>
            <rFont val="Arial"/>
            <family val="2"/>
          </rPr>
          <t>, the sum of the Panel Layout Dimensions does NOT equal the BL dimension of the Girder!!</t>
        </r>
      </text>
    </comment>
    <comment ref="AI12" authorId="1" shapeId="0" xr:uid="{00000000-0006-0000-0A00-000013000000}">
      <text>
        <r>
          <rPr>
            <b/>
            <sz val="12"/>
            <color indexed="81"/>
            <rFont val="Arial"/>
            <family val="2"/>
          </rPr>
          <t>"B" Dimension:</t>
        </r>
        <r>
          <rPr>
            <sz val="12"/>
            <color indexed="81"/>
            <rFont val="Arial"/>
            <family val="2"/>
          </rPr>
          <t xml:space="preserve">
If dimension turns </t>
        </r>
        <r>
          <rPr>
            <b/>
            <sz val="12"/>
            <color indexed="10"/>
            <rFont val="Arial"/>
            <family val="2"/>
          </rPr>
          <t>Bold Red</t>
        </r>
        <r>
          <rPr>
            <sz val="12"/>
            <color indexed="81"/>
            <rFont val="Arial"/>
            <family val="2"/>
          </rPr>
          <t>, the value is &lt; Girder Depth/1.15.</t>
        </r>
      </text>
    </comment>
    <comment ref="DI12" authorId="1" shapeId="0" xr:uid="{00000000-0006-0000-0A00-000014000000}">
      <text>
        <r>
          <rPr>
            <b/>
            <sz val="12"/>
            <color indexed="81"/>
            <rFont val="Arial"/>
            <family val="2"/>
          </rPr>
          <t xml:space="preserve">Panel Layout (N, F, B):
</t>
        </r>
        <r>
          <rPr>
            <sz val="12"/>
            <color indexed="81"/>
            <rFont val="Arial"/>
            <family val="2"/>
          </rPr>
          <t xml:space="preserve">If the value turns </t>
        </r>
        <r>
          <rPr>
            <b/>
            <sz val="12"/>
            <color indexed="10"/>
            <rFont val="Arial"/>
            <family val="2"/>
          </rPr>
          <t>Bold Red</t>
        </r>
        <r>
          <rPr>
            <sz val="12"/>
            <color indexed="81"/>
            <rFont val="Arial"/>
            <family val="2"/>
          </rPr>
          <t>, the number of panels defined in the first line (NS/FS) listed does NOT match the number of panels in the Girder Designation.</t>
        </r>
      </text>
    </comment>
    <comment ref="DJ12" authorId="2" shapeId="0" xr:uid="{00000000-0006-0000-0A00-000015000000}">
      <text>
        <r>
          <rPr>
            <b/>
            <sz val="12"/>
            <color indexed="81"/>
            <rFont val="Arial"/>
            <family val="2"/>
          </rPr>
          <t>"A" Dimension:</t>
        </r>
        <r>
          <rPr>
            <sz val="12"/>
            <color indexed="81"/>
            <rFont val="Arial"/>
            <family val="2"/>
          </rPr>
          <t xml:space="preserve">
If left blank, "A" will be equal to the adjacent joist space.
If value is </t>
        </r>
        <r>
          <rPr>
            <b/>
            <sz val="12"/>
            <color indexed="10"/>
            <rFont val="Arial"/>
            <family val="2"/>
          </rPr>
          <t>Bold Red</t>
        </r>
        <r>
          <rPr>
            <sz val="12"/>
            <color indexed="81"/>
            <rFont val="Arial"/>
            <family val="2"/>
          </rPr>
          <t>, the "A" dimension from BL is &lt;Girder Depth/1.15.
Gray Background means there should be no value in that cell (wrapped panel layout).</t>
        </r>
      </text>
    </comment>
    <comment ref="DL12" authorId="2" shapeId="0" xr:uid="{00000000-0006-0000-0A00-000016000000}">
      <text>
        <r>
          <rPr>
            <b/>
            <sz val="12"/>
            <color indexed="81"/>
            <rFont val="Arial"/>
            <family val="2"/>
          </rPr>
          <t xml:space="preserve">"N" Dimension:
</t>
        </r>
        <r>
          <rPr>
            <sz val="12"/>
            <color indexed="81"/>
            <rFont val="Arial"/>
            <family val="2"/>
          </rPr>
          <t xml:space="preserve">If you have equal spacing within the "Bay", you can enter the number of equal spaced and the BOM will calc the actual dimensions for you…you don't need to enter an "A" or the spacing.
If the value is </t>
        </r>
        <r>
          <rPr>
            <b/>
            <sz val="12"/>
            <color indexed="10"/>
            <rFont val="Arial"/>
            <family val="2"/>
          </rPr>
          <t>Bold Red</t>
        </r>
        <r>
          <rPr>
            <sz val="12"/>
            <color indexed="81"/>
            <rFont val="Arial"/>
            <family val="2"/>
          </rPr>
          <t>, the "B" dimension on the BOM is &lt;Girder Depth/1.15.</t>
        </r>
      </text>
    </comment>
    <comment ref="DM12" authorId="2" shapeId="0" xr:uid="{00000000-0006-0000-0A00-000017000000}">
      <text>
        <r>
          <rPr>
            <b/>
            <sz val="12"/>
            <color indexed="81"/>
            <rFont val="Arial"/>
            <family val="2"/>
          </rPr>
          <t>"Spacing":</t>
        </r>
        <r>
          <rPr>
            <sz val="12"/>
            <color indexed="81"/>
            <rFont val="Arial"/>
            <family val="2"/>
          </rPr>
          <t xml:space="preserve">
You can leave the "spacing" field blank to equally distribute the "N" number of joist spaces within the remaining space to the Right end of the "Bay".
If the value is </t>
        </r>
        <r>
          <rPr>
            <b/>
            <sz val="12"/>
            <color indexed="10"/>
            <rFont val="Arial"/>
            <family val="2"/>
          </rPr>
          <t>Bold Red</t>
        </r>
        <r>
          <rPr>
            <sz val="12"/>
            <color indexed="81"/>
            <rFont val="Arial"/>
            <family val="2"/>
          </rPr>
          <t>, the "B" dimension on the BOM is &lt;Girder Depth/1.15.
Gray Background means there should be no value in that cell (wrapped panel layout).</t>
        </r>
      </text>
    </comment>
    <comment ref="DQ12" authorId="1" shapeId="0" xr:uid="{00000000-0006-0000-0A00-000018000000}">
      <text>
        <r>
          <rPr>
            <b/>
            <sz val="12"/>
            <color indexed="81"/>
            <rFont val="Arial"/>
            <family val="2"/>
          </rPr>
          <t>Girder TC Gage:</t>
        </r>
        <r>
          <rPr>
            <sz val="12"/>
            <color indexed="81"/>
            <rFont val="Arial"/>
            <family val="2"/>
          </rPr>
          <t xml:space="preserve">
If value turns </t>
        </r>
        <r>
          <rPr>
            <b/>
            <sz val="12"/>
            <color indexed="10"/>
            <rFont val="Arial"/>
            <family val="2"/>
          </rPr>
          <t>Red</t>
        </r>
        <r>
          <rPr>
            <sz val="12"/>
            <color indexed="81"/>
            <rFont val="Arial"/>
            <family val="2"/>
          </rPr>
          <t>, TC Gage does not match std gage based on Girder TC Width.</t>
        </r>
      </text>
    </comment>
    <comment ref="AM13" authorId="1" shapeId="0" xr:uid="{00000000-0006-0000-0A00-000019000000}">
      <text>
        <r>
          <rPr>
            <b/>
            <sz val="12"/>
            <color indexed="81"/>
            <rFont val="Arial"/>
            <family val="2"/>
          </rPr>
          <t>Girder TC Gage:</t>
        </r>
        <r>
          <rPr>
            <sz val="12"/>
            <color indexed="81"/>
            <rFont val="Arial"/>
            <family val="2"/>
          </rPr>
          <t xml:space="preserve">
If value turns </t>
        </r>
        <r>
          <rPr>
            <b/>
            <sz val="12"/>
            <color indexed="10"/>
            <rFont val="Arial"/>
            <family val="2"/>
          </rPr>
          <t>Red</t>
        </r>
        <r>
          <rPr>
            <sz val="12"/>
            <color indexed="81"/>
            <rFont val="Arial"/>
            <family val="2"/>
          </rPr>
          <t>, TC Gage does not match std gage based on Girder TC Width.</t>
        </r>
      </text>
    </comment>
    <comment ref="AR13" authorId="1" shapeId="0" xr:uid="{00000000-0006-0000-0A00-00001A000000}">
      <text>
        <r>
          <rPr>
            <b/>
            <sz val="12"/>
            <color indexed="81"/>
            <rFont val="Arial"/>
            <family val="2"/>
          </rPr>
          <t>Addn'l Joist Location:</t>
        </r>
        <r>
          <rPr>
            <sz val="12"/>
            <color indexed="81"/>
            <rFont val="Arial"/>
            <family val="2"/>
          </rPr>
          <t xml:space="preserve">
If the value is </t>
        </r>
        <r>
          <rPr>
            <b/>
            <sz val="12"/>
            <color indexed="10"/>
            <rFont val="Arial"/>
            <family val="2"/>
          </rPr>
          <t>BOLD RED</t>
        </r>
        <r>
          <rPr>
            <sz val="12"/>
            <color indexed="81"/>
            <rFont val="Arial"/>
            <family val="2"/>
          </rPr>
          <t xml:space="preserve">, there is an error in the value.
The correct format for data is:
</t>
        </r>
        <r>
          <rPr>
            <b/>
            <u/>
            <sz val="12"/>
            <color indexed="81"/>
            <rFont val="Arial"/>
            <family val="2"/>
          </rPr>
          <t>Dimensions</t>
        </r>
        <r>
          <rPr>
            <sz val="12"/>
            <color indexed="81"/>
            <rFont val="Arial"/>
            <family val="2"/>
          </rPr>
          <t xml:space="preserve"> - "foot" and "inch" columns must contain </t>
        </r>
        <r>
          <rPr>
            <sz val="12"/>
            <color indexed="10"/>
            <rFont val="Arial"/>
            <family val="2"/>
          </rPr>
          <t>NUMBERS ONLY</t>
        </r>
        <r>
          <rPr>
            <sz val="12"/>
            <color indexed="81"/>
            <rFont val="Arial"/>
            <family val="2"/>
          </rPr>
          <t xml:space="preserve"> - no foot or inch symbols or dashes.
</t>
        </r>
        <r>
          <rPr>
            <b/>
            <u/>
            <sz val="12"/>
            <color indexed="81"/>
            <rFont val="Arial"/>
            <family val="2"/>
          </rPr>
          <t>Panel Point Reference</t>
        </r>
        <r>
          <rPr>
            <sz val="12"/>
            <color indexed="81"/>
            <rFont val="Arial"/>
            <family val="2"/>
          </rPr>
          <t xml:space="preserve"> - foot column MUST contain </t>
        </r>
        <r>
          <rPr>
            <b/>
            <i/>
            <sz val="12"/>
            <color indexed="10"/>
            <rFont val="Arial"/>
            <family val="2"/>
          </rPr>
          <t>P</t>
        </r>
        <r>
          <rPr>
            <sz val="12"/>
            <color indexed="81"/>
            <rFont val="Arial"/>
            <family val="2"/>
          </rPr>
          <t xml:space="preserve"> and the inch column MUST contain </t>
        </r>
        <r>
          <rPr>
            <b/>
            <i/>
            <sz val="12"/>
            <color indexed="10"/>
            <rFont val="Arial"/>
            <family val="2"/>
          </rPr>
          <t>#xx</t>
        </r>
        <r>
          <rPr>
            <sz val="12"/>
            <color indexed="81"/>
            <rFont val="Arial"/>
            <family val="2"/>
          </rPr>
          <t xml:space="preserve">, where "xx" is the "Panel Point" location on the girder (defined by the "A, N, B" dimensions to the left).
 </t>
        </r>
        <r>
          <rPr>
            <b/>
            <i/>
            <u/>
            <sz val="12"/>
            <color indexed="10"/>
            <rFont val="Arial"/>
            <family val="2"/>
          </rPr>
          <t>&gt;&gt;NOTE</t>
        </r>
        <r>
          <rPr>
            <sz val="12"/>
            <color indexed="81"/>
            <rFont val="Arial"/>
            <family val="2"/>
          </rPr>
          <t xml:space="preserve">: PP Referenced locations are ALWAYS based on the Panel Layout listed </t>
        </r>
        <r>
          <rPr>
            <sz val="12"/>
            <color indexed="10"/>
            <rFont val="Arial"/>
            <family val="2"/>
          </rPr>
          <t>FIRST</t>
        </r>
        <r>
          <rPr>
            <sz val="12"/>
            <color indexed="81"/>
            <rFont val="Arial"/>
            <family val="2"/>
          </rPr>
          <t xml:space="preserve"> if the NS and FS panel layouts are different.</t>
        </r>
      </text>
    </comment>
    <comment ref="DV13" authorId="1" shapeId="0" xr:uid="{00000000-0006-0000-0A00-00001B000000}">
      <text>
        <r>
          <rPr>
            <b/>
            <sz val="12"/>
            <color indexed="81"/>
            <rFont val="Arial"/>
            <family val="2"/>
          </rPr>
          <t>Additional Joist - "Ft":</t>
        </r>
        <r>
          <rPr>
            <b/>
            <sz val="9"/>
            <color indexed="81"/>
            <rFont val="Tahoma"/>
            <family val="2"/>
          </rPr>
          <t xml:space="preserve">
</t>
        </r>
        <r>
          <rPr>
            <sz val="12"/>
            <color indexed="81"/>
            <rFont val="Arial"/>
            <family val="2"/>
          </rPr>
          <t>Enter "P" if you are referencing a Panel Location.
Enter a positive integer if you are locating an additional joist.</t>
        </r>
      </text>
    </comment>
    <comment ref="DW13" authorId="1" shapeId="0" xr:uid="{00000000-0006-0000-0A00-00001C000000}">
      <text>
        <r>
          <rPr>
            <b/>
            <sz val="12"/>
            <color indexed="81"/>
            <rFont val="Arial"/>
            <family val="2"/>
          </rPr>
          <t>Additional Joist - "In":</t>
        </r>
        <r>
          <rPr>
            <sz val="12"/>
            <color indexed="81"/>
            <rFont val="Arial"/>
            <family val="2"/>
          </rPr>
          <t xml:space="preserve">
If referencing a Panel Location, you may enter either a number or "#xx".  The BOM will automatically put the "#" in front of the number if the "Ft" column = "P".
If locating an additional joist, enter a number.
If the number becomes </t>
        </r>
        <r>
          <rPr>
            <b/>
            <sz val="12"/>
            <color indexed="10"/>
            <rFont val="Arial"/>
            <family val="2"/>
          </rPr>
          <t>Bold Red</t>
        </r>
        <r>
          <rPr>
            <sz val="12"/>
            <color indexed="81"/>
            <rFont val="Arial"/>
            <family val="2"/>
          </rPr>
          <t>, the format is incorrect and the error will cause the Girder to not import into JEDI.</t>
        </r>
      </text>
    </comment>
    <comment ref="A26" authorId="3" shapeId="0" xr:uid="{00000000-0006-0000-0A00-00001F000000}">
      <text>
        <r>
          <rPr>
            <b/>
            <sz val="12"/>
            <color indexed="81"/>
            <rFont val="Arial"/>
            <family val="2"/>
          </rPr>
          <t>Girder Mark</t>
        </r>
        <r>
          <rPr>
            <sz val="12"/>
            <color indexed="81"/>
            <rFont val="Arial"/>
            <family val="2"/>
          </rPr>
          <t xml:space="preserve">:
If this value turns </t>
        </r>
        <r>
          <rPr>
            <b/>
            <sz val="12"/>
            <color indexed="10"/>
            <rFont val="Arial"/>
            <family val="2"/>
          </rPr>
          <t>bold red</t>
        </r>
        <r>
          <rPr>
            <sz val="12"/>
            <color indexed="81"/>
            <rFont val="Arial"/>
            <family val="2"/>
          </rPr>
          <t xml:space="preserve">, there is no corresponding mark on Page#2.
If this value turns </t>
        </r>
        <r>
          <rPr>
            <b/>
            <sz val="12"/>
            <color indexed="10"/>
            <rFont val="Arial"/>
            <family val="2"/>
          </rPr>
          <t>bold red</t>
        </r>
        <r>
          <rPr>
            <sz val="12"/>
            <color indexed="81"/>
            <rFont val="Arial"/>
            <family val="2"/>
          </rPr>
          <t xml:space="preserve"> </t>
        </r>
        <r>
          <rPr>
            <b/>
            <u/>
            <sz val="12"/>
            <color indexed="81"/>
            <rFont val="Arial"/>
            <family val="2"/>
          </rPr>
          <t>AND</t>
        </r>
        <r>
          <rPr>
            <sz val="12"/>
            <color indexed="81"/>
            <rFont val="Arial"/>
            <family val="2"/>
          </rPr>
          <t xml:space="preserve"> there is a quantity of zero, the joist the joist mark is not listed on any S(*) pages of the current BOM view.</t>
        </r>
      </text>
    </comment>
    <comment ref="C26" authorId="0" shapeId="0" xr:uid="{00000000-0006-0000-0A00-000020000000}">
      <text>
        <r>
          <rPr>
            <b/>
            <sz val="12"/>
            <color indexed="81"/>
            <rFont val="Arial"/>
            <family val="2"/>
          </rPr>
          <t>Girder Designation:</t>
        </r>
        <r>
          <rPr>
            <sz val="12"/>
            <color indexed="81"/>
            <rFont val="Arial"/>
            <family val="2"/>
          </rPr>
          <t xml:space="preserve">
If Size is </t>
        </r>
        <r>
          <rPr>
            <b/>
            <sz val="12"/>
            <color indexed="10"/>
            <rFont val="Arial"/>
            <family val="2"/>
          </rPr>
          <t>BOLD RED</t>
        </r>
        <r>
          <rPr>
            <sz val="12"/>
            <color indexed="81"/>
            <rFont val="Arial"/>
            <family val="2"/>
          </rPr>
          <t xml:space="preserve"> then this Mark will NOT import into the Design program.</t>
        </r>
      </text>
    </comment>
    <comment ref="S26" authorId="0" shapeId="0" xr:uid="{00000000-0006-0000-0A00-000021000000}">
      <text>
        <r>
          <rPr>
            <b/>
            <sz val="12"/>
            <color indexed="81"/>
            <rFont val="Arial"/>
            <family val="2"/>
          </rPr>
          <t>HL/HR Slot Locations:</t>
        </r>
        <r>
          <rPr>
            <sz val="12"/>
            <color indexed="81"/>
            <rFont val="Arial"/>
            <family val="2"/>
          </rPr>
          <t xml:space="preserve">
If the slot location is </t>
        </r>
        <r>
          <rPr>
            <b/>
            <sz val="12"/>
            <color indexed="10"/>
            <rFont val="Arial"/>
            <family val="2"/>
          </rPr>
          <t>BOLD RED</t>
        </r>
        <r>
          <rPr>
            <sz val="12"/>
            <color indexed="81"/>
            <rFont val="Arial"/>
            <family val="2"/>
          </rPr>
          <t xml:space="preserve"> then the slot is too close to the edge.</t>
        </r>
        <r>
          <rPr>
            <sz val="14"/>
            <color indexed="81"/>
            <rFont val="Arial"/>
            <family val="2"/>
          </rPr>
          <t xml:space="preserve">
</t>
        </r>
      </text>
    </comment>
    <comment ref="CB26" authorId="2" shapeId="0" xr:uid="{00000000-0006-0000-0A00-000022000000}">
      <text>
        <r>
          <rPr>
            <b/>
            <sz val="12"/>
            <color indexed="81"/>
            <rFont val="Arial"/>
            <family val="2"/>
          </rPr>
          <t xml:space="preserve">Girder Mark:
</t>
        </r>
        <r>
          <rPr>
            <sz val="12"/>
            <color indexed="81"/>
            <rFont val="Arial"/>
            <family val="2"/>
          </rPr>
          <t xml:space="preserve">If the Girder Mark turns </t>
        </r>
        <r>
          <rPr>
            <b/>
            <sz val="12"/>
            <color indexed="10"/>
            <rFont val="Arial"/>
            <family val="2"/>
          </rPr>
          <t>Bold Red</t>
        </r>
        <r>
          <rPr>
            <sz val="12"/>
            <color indexed="81"/>
            <rFont val="Arial"/>
            <family val="2"/>
          </rPr>
          <t xml:space="preserve">, there is no corresponding Mark on the "Page2" of this BOM page.
If this value turns </t>
        </r>
        <r>
          <rPr>
            <b/>
            <sz val="12"/>
            <color indexed="10"/>
            <rFont val="Arial"/>
            <family val="2"/>
          </rPr>
          <t>Bold Red</t>
        </r>
        <r>
          <rPr>
            <sz val="12"/>
            <color indexed="81"/>
            <rFont val="Arial"/>
            <family val="2"/>
          </rPr>
          <t xml:space="preserve"> AND there is a quantity of zero, the joist the joist mark is not listed on any S(*) pages of the current BOM view.</t>
        </r>
      </text>
    </comment>
    <comment ref="CD26" authorId="2" shapeId="0" xr:uid="{00000000-0006-0000-0A00-000023000000}">
      <text>
        <r>
          <rPr>
            <b/>
            <sz val="14"/>
            <color indexed="81"/>
            <rFont val="Arial"/>
            <family val="2"/>
          </rPr>
          <t xml:space="preserve">Girder Size:
</t>
        </r>
        <r>
          <rPr>
            <sz val="14"/>
            <color indexed="81"/>
            <rFont val="Arial"/>
            <family val="2"/>
          </rPr>
          <t xml:space="preserve">If this value turns </t>
        </r>
        <r>
          <rPr>
            <b/>
            <sz val="14"/>
            <color indexed="10"/>
            <rFont val="Arial"/>
            <family val="2"/>
          </rPr>
          <t>bold red</t>
        </r>
        <r>
          <rPr>
            <sz val="14"/>
            <color indexed="81"/>
            <rFont val="Arial"/>
            <family val="2"/>
          </rPr>
          <t>, the Girder designation will not import into the design program.</t>
        </r>
      </text>
    </comment>
    <comment ref="CG26" authorId="2" shapeId="0" xr:uid="{00000000-0006-0000-0A00-000024000000}">
      <text>
        <r>
          <rPr>
            <b/>
            <sz val="12"/>
            <color indexed="81"/>
            <rFont val="Arial"/>
            <family val="2"/>
          </rPr>
          <t xml:space="preserve">Section Number:
</t>
        </r>
        <r>
          <rPr>
            <sz val="12"/>
            <color indexed="81"/>
            <rFont val="Arial"/>
            <family val="2"/>
          </rPr>
          <t xml:space="preserve">If this value turns </t>
        </r>
        <r>
          <rPr>
            <b/>
            <sz val="12"/>
            <color indexed="10"/>
            <rFont val="Arial"/>
            <family val="2"/>
          </rPr>
          <t>bold red</t>
        </r>
        <r>
          <rPr>
            <sz val="12"/>
            <color indexed="81"/>
            <rFont val="Arial"/>
            <family val="2"/>
          </rPr>
          <t>, there is a Section Error.  Check for Short Bearing, Undefined Section or Undefined Support Type.</t>
        </r>
      </text>
    </comment>
    <comment ref="CH26" authorId="2" shapeId="0" xr:uid="{00000000-0006-0000-0A00-000025000000}">
      <text>
        <r>
          <rPr>
            <b/>
            <sz val="12"/>
            <color indexed="81"/>
            <rFont val="Arial"/>
            <family val="2"/>
          </rPr>
          <t xml:space="preserve">Beam Flange (or Girder TC)  Width:
</t>
        </r>
        <r>
          <rPr>
            <sz val="12"/>
            <color indexed="81"/>
            <rFont val="Arial"/>
            <family val="2"/>
          </rPr>
          <t xml:space="preserve">If the narrower of these 2 dimensions turns </t>
        </r>
        <r>
          <rPr>
            <b/>
            <sz val="12"/>
            <color indexed="10"/>
            <rFont val="Arial"/>
            <family val="2"/>
          </rPr>
          <t>bold red</t>
        </r>
        <r>
          <rPr>
            <sz val="12"/>
            <color indexed="81"/>
            <rFont val="Arial"/>
            <family val="2"/>
          </rPr>
          <t>, the joist setting on that support will have insufficient bearing.  Refer to the "Short Bearing" report to the right of the User Input area.</t>
        </r>
      </text>
    </comment>
    <comment ref="CJ26" authorId="2" shapeId="0" xr:uid="{00000000-0006-0000-0A00-000026000000}">
      <text>
        <r>
          <rPr>
            <b/>
            <sz val="12"/>
            <color indexed="81"/>
            <rFont val="Arial"/>
            <family val="2"/>
          </rPr>
          <t xml:space="preserve">Flange Gage:
</t>
        </r>
        <r>
          <rPr>
            <sz val="12"/>
            <color indexed="81"/>
            <rFont val="Arial"/>
            <family val="2"/>
          </rPr>
          <t xml:space="preserve">If the dimensions turn </t>
        </r>
        <r>
          <rPr>
            <b/>
            <sz val="12"/>
            <color indexed="10"/>
            <rFont val="Arial"/>
            <family val="2"/>
          </rPr>
          <t>bold red</t>
        </r>
        <r>
          <rPr>
            <sz val="12"/>
            <color indexed="81"/>
            <rFont val="Arial"/>
            <family val="2"/>
          </rPr>
          <t>, the slot length will not accommodate both flange gages.  Additional mark numbers are required.</t>
        </r>
      </text>
    </comment>
    <comment ref="CM26" authorId="2" shapeId="0" xr:uid="{00000000-0006-0000-0A00-000027000000}">
      <text>
        <r>
          <rPr>
            <b/>
            <sz val="12"/>
            <color indexed="81"/>
            <rFont val="Arial"/>
            <family val="2"/>
          </rPr>
          <t xml:space="preserve">Bearing Surface Slope:
</t>
        </r>
        <r>
          <rPr>
            <sz val="12"/>
            <color indexed="81"/>
            <rFont val="Arial"/>
            <family val="2"/>
          </rPr>
          <t xml:space="preserve">If background turns </t>
        </r>
        <r>
          <rPr>
            <b/>
            <sz val="12"/>
            <color indexed="10"/>
            <rFont val="Arial"/>
            <family val="2"/>
          </rPr>
          <t>Red</t>
        </r>
        <r>
          <rPr>
            <sz val="12"/>
            <color indexed="81"/>
            <rFont val="Arial"/>
            <family val="2"/>
          </rPr>
          <t>, the joist is sloping and the support is skewed.
If member is setting on a hip or valley support, enter a bearing slope!!</t>
        </r>
      </text>
    </comment>
    <comment ref="CQ26" authorId="2" shapeId="0" xr:uid="{00000000-0006-0000-0A00-000028000000}">
      <text>
        <r>
          <rPr>
            <b/>
            <sz val="12"/>
            <color indexed="81"/>
            <rFont val="Arial"/>
            <family val="2"/>
          </rPr>
          <t xml:space="preserve">Section Number:
</t>
        </r>
        <r>
          <rPr>
            <sz val="12"/>
            <color indexed="81"/>
            <rFont val="Arial"/>
            <family val="2"/>
          </rPr>
          <t xml:space="preserve">If this value turns </t>
        </r>
        <r>
          <rPr>
            <b/>
            <sz val="12"/>
            <color indexed="10"/>
            <rFont val="Arial"/>
            <family val="2"/>
          </rPr>
          <t>bold red</t>
        </r>
        <r>
          <rPr>
            <sz val="12"/>
            <color indexed="81"/>
            <rFont val="Arial"/>
            <family val="2"/>
          </rPr>
          <t>, there is a Section Error.  Check for Short Bearing, Undefined Section or Undefined Support Type.</t>
        </r>
      </text>
    </comment>
    <comment ref="CR26" authorId="2" shapeId="0" xr:uid="{00000000-0006-0000-0A00-000029000000}">
      <text>
        <r>
          <rPr>
            <b/>
            <sz val="12"/>
            <color indexed="81"/>
            <rFont val="Arial"/>
            <family val="2"/>
          </rPr>
          <t xml:space="preserve">Beam Flange (or Girder TC)  Width:
</t>
        </r>
        <r>
          <rPr>
            <sz val="12"/>
            <color indexed="81"/>
            <rFont val="Arial"/>
            <family val="2"/>
          </rPr>
          <t xml:space="preserve">If the narrower of these 2 dimensions turns </t>
        </r>
        <r>
          <rPr>
            <b/>
            <sz val="12"/>
            <color indexed="10"/>
            <rFont val="Arial"/>
            <family val="2"/>
          </rPr>
          <t>bold red</t>
        </r>
        <r>
          <rPr>
            <sz val="12"/>
            <color indexed="81"/>
            <rFont val="Arial"/>
            <family val="2"/>
          </rPr>
          <t>, the joist setting on that support will have insufficient bearing.  Refer to the "Short Bearing" report to the right of the User Input area.</t>
        </r>
      </text>
    </comment>
    <comment ref="CT26" authorId="2" shapeId="0" xr:uid="{00000000-0006-0000-0A00-00002A000000}">
      <text>
        <r>
          <rPr>
            <b/>
            <sz val="12"/>
            <color indexed="81"/>
            <rFont val="Arial"/>
            <family val="2"/>
          </rPr>
          <t xml:space="preserve">Flange Gage:
</t>
        </r>
        <r>
          <rPr>
            <sz val="12"/>
            <color indexed="81"/>
            <rFont val="Arial"/>
            <family val="2"/>
          </rPr>
          <t xml:space="preserve">If the dimensions turn </t>
        </r>
        <r>
          <rPr>
            <b/>
            <sz val="12"/>
            <color indexed="10"/>
            <rFont val="Arial"/>
            <family val="2"/>
          </rPr>
          <t>bold red</t>
        </r>
        <r>
          <rPr>
            <sz val="12"/>
            <color indexed="81"/>
            <rFont val="Arial"/>
            <family val="2"/>
          </rPr>
          <t>, the slot length will not accommodate both flange gages.  Additional mark numbers are required.</t>
        </r>
      </text>
    </comment>
    <comment ref="CW26" authorId="2" shapeId="0" xr:uid="{00000000-0006-0000-0A00-00002B000000}">
      <text>
        <r>
          <rPr>
            <b/>
            <sz val="12"/>
            <color indexed="81"/>
            <rFont val="Arial"/>
            <family val="2"/>
          </rPr>
          <t xml:space="preserve">Bearing Surface Slope:
</t>
        </r>
        <r>
          <rPr>
            <sz val="12"/>
            <color indexed="81"/>
            <rFont val="Arial"/>
            <family val="2"/>
          </rPr>
          <t xml:space="preserve">If background turns </t>
        </r>
        <r>
          <rPr>
            <b/>
            <sz val="12"/>
            <color indexed="10"/>
            <rFont val="Arial"/>
            <family val="2"/>
          </rPr>
          <t>Red</t>
        </r>
        <r>
          <rPr>
            <sz val="12"/>
            <color indexed="81"/>
            <rFont val="Arial"/>
            <family val="2"/>
          </rPr>
          <t>, the joist is sloping and the support is skewed.
If member is setting on a hip or valley support, enter a bearing slope!!</t>
        </r>
      </text>
    </comment>
    <comment ref="DA26" authorId="2" shapeId="0" xr:uid="{00000000-0006-0000-0A00-00002C000000}">
      <text>
        <r>
          <rPr>
            <b/>
            <sz val="12"/>
            <color indexed="81"/>
            <rFont val="Arial"/>
            <family val="2"/>
          </rPr>
          <t>Joist Slope:</t>
        </r>
        <r>
          <rPr>
            <sz val="12"/>
            <color indexed="81"/>
            <rFont val="Arial"/>
            <family val="2"/>
          </rPr>
          <t xml:space="preserve">
If Tag End is low, enter a "+" TC slope value.
If Tag End is high, enter a "-" TC Slope value.</t>
        </r>
      </text>
    </comment>
    <comment ref="DD26" authorId="2" shapeId="0" xr:uid="{00000000-0006-0000-0A00-00002D000000}">
      <text>
        <r>
          <rPr>
            <b/>
            <sz val="12"/>
            <color indexed="81"/>
            <rFont val="Arial"/>
            <family val="2"/>
          </rPr>
          <t xml:space="preserve"># of KB per Girder:
</t>
        </r>
        <r>
          <rPr>
            <sz val="12"/>
            <color indexed="81"/>
            <rFont val="Arial"/>
            <family val="2"/>
          </rPr>
          <t>Enter the number of KB's required per girder from the Sales Report.</t>
        </r>
      </text>
    </comment>
    <comment ref="DE26" authorId="2" shapeId="0" xr:uid="{00000000-0006-0000-0A00-00002E000000}">
      <text>
        <r>
          <rPr>
            <b/>
            <sz val="12"/>
            <color indexed="81"/>
            <rFont val="Arial"/>
            <family val="2"/>
          </rPr>
          <t xml:space="preserve">Girder TC Width:
</t>
        </r>
        <r>
          <rPr>
            <sz val="12"/>
            <color indexed="81"/>
            <rFont val="Arial"/>
            <family val="2"/>
          </rPr>
          <t xml:space="preserve">If </t>
        </r>
        <r>
          <rPr>
            <b/>
            <sz val="12"/>
            <color indexed="10"/>
            <rFont val="Arial"/>
            <family val="2"/>
          </rPr>
          <t>bold red</t>
        </r>
        <r>
          <rPr>
            <sz val="12"/>
            <color indexed="81"/>
            <rFont val="Arial"/>
            <family val="2"/>
          </rPr>
          <t>, width entered is less than the basic width calculator based on girder designation and span.  Please confirm width.</t>
        </r>
      </text>
    </comment>
    <comment ref="CN27" authorId="2" shapeId="0" xr:uid="{3AD216FE-A1ED-4BB9-9947-77DCCDC0AD6E}">
      <text>
        <r>
          <rPr>
            <b/>
            <sz val="12"/>
            <color indexed="81"/>
            <rFont val="Arial"/>
            <family val="2"/>
          </rPr>
          <t>End of Girder Over-rides:</t>
        </r>
        <r>
          <rPr>
            <sz val="12"/>
            <color indexed="81"/>
            <rFont val="Arial"/>
            <family val="2"/>
          </rPr>
          <t xml:space="preserve">
This over-rides the "End of Joist" dimension specified in the section.  Intended to be used for sections where the location of the end of joist varies - like at a curved deck/slab edge - without cutting multiple sections.
</t>
        </r>
        <r>
          <rPr>
            <b/>
            <sz val="12"/>
            <color indexed="10"/>
            <rFont val="Arial"/>
            <family val="2"/>
          </rPr>
          <t>Changing this dimension changes the joist Overall Length, thus affecting TCXs, BCXs and Slot Locations.</t>
        </r>
      </text>
    </comment>
    <comment ref="CO27" authorId="2" shapeId="0" xr:uid="{197E20A6-CD6C-40D2-9854-5C7F1FB1E103}">
      <text>
        <r>
          <rPr>
            <b/>
            <sz val="12"/>
            <color indexed="81"/>
            <rFont val="Tahoma"/>
            <family val="2"/>
          </rPr>
          <t xml:space="preserve">Base Length Over-Ride:
</t>
        </r>
        <r>
          <rPr>
            <sz val="12"/>
            <color indexed="81"/>
            <rFont val="Tahoma"/>
            <family val="2"/>
          </rPr>
          <t xml:space="preserve">Alters the Base Length and TCX dimensions.
If you want to use the additional clear bearing associated with deeper joist seats to shorten the TCX, enter a dimension here.
Enter the BL location from the Bay Length Reference (center of steel or face of masonry wall).  A positive dimension lengthens the BL, while a negative dimension shortens the BL.
</t>
        </r>
        <r>
          <rPr>
            <b/>
            <sz val="12"/>
            <color indexed="10"/>
            <rFont val="Tahoma"/>
            <family val="2"/>
          </rPr>
          <t>Red Bold</t>
        </r>
        <r>
          <rPr>
            <sz val="12"/>
            <color indexed="81"/>
            <rFont val="Tahoma"/>
            <family val="2"/>
          </rPr>
          <t xml:space="preserve"> indicates a dimension that exceeds the maximum allowable (the OL point of the joist) offset </t>
        </r>
        <r>
          <rPr>
            <b/>
            <i/>
            <u/>
            <sz val="12"/>
            <color indexed="81"/>
            <rFont val="Tahoma"/>
            <family val="2"/>
          </rPr>
          <t>OR</t>
        </r>
        <r>
          <rPr>
            <sz val="12"/>
            <color indexed="81"/>
            <rFont val="Tahoma"/>
            <family val="2"/>
          </rPr>
          <t xml:space="preserve"> a dimension that is less than 0".</t>
        </r>
      </text>
    </comment>
    <comment ref="CP27" authorId="2" shapeId="0" xr:uid="{E1EDE859-296C-424B-A7DC-CB76DD43F5E9}">
      <text>
        <r>
          <rPr>
            <b/>
            <sz val="12"/>
            <color indexed="81"/>
            <rFont val="Tahoma"/>
            <family val="2"/>
          </rPr>
          <t xml:space="preserve">Seat Depth Over-Ride:
</t>
        </r>
        <r>
          <rPr>
            <sz val="12"/>
            <color indexed="81"/>
            <rFont val="Tahoma"/>
            <family val="2"/>
          </rPr>
          <t>Over-rides the seat depth dimension shown in the section.
If this field is blank, the BOM uses the seat depth specified in the section.</t>
        </r>
      </text>
    </comment>
    <comment ref="CX27" authorId="2" shapeId="0" xr:uid="{30785832-FBCF-4C2A-B794-5CD6064BEDB3}">
      <text>
        <r>
          <rPr>
            <b/>
            <sz val="12"/>
            <color indexed="81"/>
            <rFont val="Arial"/>
            <family val="2"/>
          </rPr>
          <t>End of Girder Over-rides:</t>
        </r>
        <r>
          <rPr>
            <sz val="12"/>
            <color indexed="81"/>
            <rFont val="Arial"/>
            <family val="2"/>
          </rPr>
          <t xml:space="preserve">
This over-rides the "End of Joist" dimension specified in the section.  Intended to be used for sections where the location of the end of joist varies - like at a curved deck/slab edge - without cutting multiple sections.
</t>
        </r>
        <r>
          <rPr>
            <b/>
            <sz val="12"/>
            <color indexed="10"/>
            <rFont val="Arial"/>
            <family val="2"/>
          </rPr>
          <t>Changing this dimension changes the joist Overall Length, thus affecting TCXs, BCXs and Slot Locations.</t>
        </r>
      </text>
    </comment>
    <comment ref="CY27" authorId="2" shapeId="0" xr:uid="{78373B59-2AF3-488A-A796-5D079B79F532}">
      <text>
        <r>
          <rPr>
            <b/>
            <sz val="12"/>
            <color indexed="81"/>
            <rFont val="Tahoma"/>
            <family val="2"/>
          </rPr>
          <t xml:space="preserve">Base Length Over-Ride:
</t>
        </r>
        <r>
          <rPr>
            <sz val="12"/>
            <color indexed="81"/>
            <rFont val="Tahoma"/>
            <family val="2"/>
          </rPr>
          <t xml:space="preserve">Alters the Base Length and TCX dimensions.
If you want to use the additional clear bearing associated with deeper joist seats to shorten the TCX, enter a dimension here.
Enter the BL location from the Bay Length Reference (center of steel or face of masonry wall).  A positive dimension lengthens the BL, while a negative dimension shortens the BL.
</t>
        </r>
        <r>
          <rPr>
            <b/>
            <sz val="12"/>
            <color indexed="10"/>
            <rFont val="Tahoma"/>
            <family val="2"/>
          </rPr>
          <t>Red Bold</t>
        </r>
        <r>
          <rPr>
            <sz val="12"/>
            <color indexed="81"/>
            <rFont val="Tahoma"/>
            <family val="2"/>
          </rPr>
          <t xml:space="preserve"> indicates a dimension that exceeds the maximum allowable (the OL point of the joist) offset </t>
        </r>
        <r>
          <rPr>
            <b/>
            <i/>
            <u/>
            <sz val="12"/>
            <color indexed="81"/>
            <rFont val="Tahoma"/>
            <family val="2"/>
          </rPr>
          <t>OR</t>
        </r>
        <r>
          <rPr>
            <sz val="12"/>
            <color indexed="81"/>
            <rFont val="Tahoma"/>
            <family val="2"/>
          </rPr>
          <t xml:space="preserve"> a dimension that is less than 0".</t>
        </r>
      </text>
    </comment>
    <comment ref="CZ27" authorId="2" shapeId="0" xr:uid="{BF9E911E-C853-493E-9BE7-D743BF4713D7}">
      <text>
        <r>
          <rPr>
            <b/>
            <sz val="12"/>
            <color indexed="81"/>
            <rFont val="Tahoma"/>
            <family val="2"/>
          </rPr>
          <t xml:space="preserve">Seat Depth Over-Ride:
</t>
        </r>
        <r>
          <rPr>
            <sz val="12"/>
            <color indexed="81"/>
            <rFont val="Tahoma"/>
            <family val="2"/>
          </rPr>
          <t>Over-rides the seat depth dimension shown in the section.
If this field is blank, the BOM uses the seat depth specified in the section.</t>
        </r>
      </text>
    </comment>
    <comment ref="DC27" authorId="2" shapeId="0" xr:uid="{00000000-0006-0000-0A00-000031000000}">
      <text>
        <r>
          <rPr>
            <b/>
            <sz val="12"/>
            <color indexed="81"/>
            <rFont val="Arial"/>
            <family val="2"/>
          </rPr>
          <t xml:space="preserve">Special Notes:
</t>
        </r>
        <r>
          <rPr>
            <sz val="12"/>
            <color indexed="81"/>
            <rFont val="Arial"/>
            <family val="2"/>
          </rPr>
          <t>If background turnes</t>
        </r>
        <r>
          <rPr>
            <b/>
            <sz val="12"/>
            <color indexed="10"/>
            <rFont val="Arial"/>
            <family val="2"/>
          </rPr>
          <t xml:space="preserve"> red</t>
        </r>
        <r>
          <rPr>
            <sz val="12"/>
            <color indexed="81"/>
            <rFont val="Arial"/>
            <family val="2"/>
          </rPr>
          <t>, make sure there is a special note to address Seat Slot, Severe Skew, Short Bearing or Mimumum Clear Bearing Warnings.</t>
        </r>
      </text>
    </comment>
    <comment ref="GK53" authorId="1" shapeId="0" xr:uid="{00000000-0006-0000-0A00-000032000000}">
      <text>
        <r>
          <rPr>
            <b/>
            <sz val="9"/>
            <color indexed="81"/>
            <rFont val="Tahoma"/>
            <family val="2"/>
          </rPr>
          <t>Rich Sellers:</t>
        </r>
        <r>
          <rPr>
            <sz val="9"/>
            <color indexed="81"/>
            <rFont val="Tahoma"/>
            <family val="2"/>
          </rPr>
          <t xml:space="preserve">
A,B,AB or FALSE.
A/B = error for that value
FALSE = no error</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Sellers, Rich</author>
    <author>Mike Camperman</author>
    <author>Rich Sellers</author>
    <author>sellersrl</author>
  </authors>
  <commentList>
    <comment ref="DH9" authorId="0" shapeId="0" xr:uid="{00000000-0006-0000-0B00-000002000000}">
      <text>
        <r>
          <rPr>
            <b/>
            <sz val="12"/>
            <color indexed="81"/>
            <rFont val="Arial"/>
            <family val="2"/>
          </rPr>
          <t xml:space="preserve">Girder Mark:
</t>
        </r>
        <r>
          <rPr>
            <sz val="12"/>
            <color indexed="81"/>
            <rFont val="Arial"/>
            <family val="2"/>
          </rPr>
          <t xml:space="preserve">If the Girder Mark turns </t>
        </r>
        <r>
          <rPr>
            <b/>
            <sz val="12"/>
            <color indexed="10"/>
            <rFont val="Arial"/>
            <family val="2"/>
          </rPr>
          <t>Bold Red</t>
        </r>
        <r>
          <rPr>
            <sz val="12"/>
            <color indexed="81"/>
            <rFont val="Arial"/>
            <family val="2"/>
          </rPr>
          <t>, there is no corresponding Mark on the "Page1" of this BOM page.</t>
        </r>
      </text>
    </comment>
    <comment ref="A12" authorId="0" shapeId="0" xr:uid="{00000000-0006-0000-0B00-000004000000}">
      <text>
        <r>
          <rPr>
            <b/>
            <sz val="12"/>
            <color indexed="81"/>
            <rFont val="Arial"/>
            <family val="2"/>
          </rPr>
          <t>Girder Mark</t>
        </r>
        <r>
          <rPr>
            <sz val="12"/>
            <color indexed="81"/>
            <rFont val="Arial"/>
            <family val="2"/>
          </rPr>
          <t xml:space="preserve">:
If this value turns </t>
        </r>
        <r>
          <rPr>
            <b/>
            <sz val="12"/>
            <color indexed="10"/>
            <rFont val="Arial"/>
            <family val="2"/>
          </rPr>
          <t>bold red</t>
        </r>
        <r>
          <rPr>
            <sz val="12"/>
            <color indexed="81"/>
            <rFont val="Arial"/>
            <family val="2"/>
          </rPr>
          <t xml:space="preserve">, there is no corresponding mark on Page#2.
If this value turns </t>
        </r>
        <r>
          <rPr>
            <b/>
            <sz val="12"/>
            <color indexed="10"/>
            <rFont val="Arial"/>
            <family val="2"/>
          </rPr>
          <t>bold red</t>
        </r>
        <r>
          <rPr>
            <sz val="12"/>
            <color indexed="81"/>
            <rFont val="Arial"/>
            <family val="2"/>
          </rPr>
          <t xml:space="preserve"> </t>
        </r>
        <r>
          <rPr>
            <b/>
            <u/>
            <sz val="12"/>
            <color indexed="81"/>
            <rFont val="Arial"/>
            <family val="2"/>
          </rPr>
          <t>AND</t>
        </r>
        <r>
          <rPr>
            <sz val="12"/>
            <color indexed="81"/>
            <rFont val="Arial"/>
            <family val="2"/>
          </rPr>
          <t xml:space="preserve"> there is a quantity of zero, the joist the joist mark is not listed on any S(*) pages of the current BOM view.</t>
        </r>
      </text>
    </comment>
    <comment ref="C12" authorId="1" shapeId="0" xr:uid="{00000000-0006-0000-0B00-000005000000}">
      <text>
        <r>
          <rPr>
            <sz val="14"/>
            <color indexed="81"/>
            <rFont val="Arial"/>
            <family val="2"/>
          </rPr>
          <t xml:space="preserve">If Size is </t>
        </r>
        <r>
          <rPr>
            <b/>
            <sz val="14"/>
            <color indexed="10"/>
            <rFont val="Arial"/>
            <family val="2"/>
          </rPr>
          <t>BOLD RED</t>
        </r>
        <r>
          <rPr>
            <sz val="14"/>
            <color indexed="81"/>
            <rFont val="Arial"/>
            <family val="2"/>
          </rPr>
          <t xml:space="preserve"> then this Mark will NOT import into the Design program.</t>
        </r>
      </text>
    </comment>
    <comment ref="S12" authorId="1" shapeId="0" xr:uid="{00000000-0006-0000-0B00-000006000000}">
      <text>
        <r>
          <rPr>
            <sz val="14"/>
            <color indexed="81"/>
            <rFont val="Tahoma"/>
            <family val="2"/>
          </rPr>
          <t xml:space="preserve">If the slot location is </t>
        </r>
        <r>
          <rPr>
            <b/>
            <sz val="14"/>
            <color indexed="10"/>
            <rFont val="Arial"/>
            <family val="2"/>
          </rPr>
          <t>BOLD RED</t>
        </r>
        <r>
          <rPr>
            <sz val="14"/>
            <color indexed="81"/>
            <rFont val="Arial"/>
            <family val="2"/>
          </rPr>
          <t xml:space="preserve"> then the slot is too close to the edge.
</t>
        </r>
      </text>
    </comment>
    <comment ref="Z12" authorId="2" shapeId="0" xr:uid="{00000000-0006-0000-0B00-000007000000}">
      <text>
        <r>
          <rPr>
            <b/>
            <sz val="9"/>
            <color indexed="81"/>
            <rFont val="Tahoma"/>
            <family val="2"/>
          </rPr>
          <t>Rich Sellers:</t>
        </r>
        <r>
          <rPr>
            <sz val="9"/>
            <color indexed="81"/>
            <rFont val="Tahoma"/>
            <family val="2"/>
          </rPr>
          <t xml:space="preserve">
</t>
        </r>
      </text>
    </comment>
    <comment ref="AB12" authorId="0" shapeId="0" xr:uid="{00000000-0006-0000-0B00-000008000000}">
      <text>
        <r>
          <rPr>
            <b/>
            <sz val="12"/>
            <color indexed="81"/>
            <rFont val="Arial"/>
            <family val="2"/>
          </rPr>
          <t>Girder Mark</t>
        </r>
        <r>
          <rPr>
            <sz val="12"/>
            <color indexed="81"/>
            <rFont val="Arial"/>
            <family val="2"/>
          </rPr>
          <t xml:space="preserve">:
If this value turns </t>
        </r>
        <r>
          <rPr>
            <b/>
            <sz val="12"/>
            <color indexed="10"/>
            <rFont val="Arial"/>
            <family val="2"/>
          </rPr>
          <t>bold red</t>
        </r>
        <r>
          <rPr>
            <sz val="12"/>
            <color indexed="81"/>
            <rFont val="Arial"/>
            <family val="2"/>
          </rPr>
          <t>, there is no corresponding mark on Page#1.</t>
        </r>
      </text>
    </comment>
    <comment ref="AC12" authorId="2" shapeId="0" xr:uid="{00000000-0006-0000-0B00-000009000000}">
      <text>
        <r>
          <rPr>
            <b/>
            <sz val="12"/>
            <color indexed="81"/>
            <rFont val="Arial"/>
            <family val="2"/>
          </rPr>
          <t>Panel Layout (N, F, B):</t>
        </r>
        <r>
          <rPr>
            <sz val="12"/>
            <color indexed="81"/>
            <rFont val="Arial"/>
            <family val="2"/>
          </rPr>
          <t xml:space="preserve">
If the value turns </t>
        </r>
        <r>
          <rPr>
            <b/>
            <sz val="12"/>
            <color indexed="10"/>
            <rFont val="Arial"/>
            <family val="2"/>
          </rPr>
          <t>Bold Red</t>
        </r>
        <r>
          <rPr>
            <sz val="12"/>
            <color indexed="81"/>
            <rFont val="Arial"/>
            <family val="2"/>
          </rPr>
          <t>, the number of panels defined in the first line (NS/FS) listed does NOT match the number of panels in the Girder Designation.</t>
        </r>
      </text>
    </comment>
    <comment ref="AD12" authorId="2" shapeId="0" xr:uid="{00000000-0006-0000-0B00-00000A000000}">
      <text>
        <r>
          <rPr>
            <b/>
            <sz val="12"/>
            <color indexed="81"/>
            <rFont val="Arial"/>
            <family val="2"/>
          </rPr>
          <t>"A" Dimension:</t>
        </r>
        <r>
          <rPr>
            <sz val="12"/>
            <color indexed="81"/>
            <rFont val="Arial"/>
            <family val="2"/>
          </rPr>
          <t xml:space="preserve">
If dimension turns </t>
        </r>
        <r>
          <rPr>
            <b/>
            <sz val="12"/>
            <color indexed="10"/>
            <rFont val="Arial"/>
            <family val="2"/>
          </rPr>
          <t>Bold Red</t>
        </r>
        <r>
          <rPr>
            <sz val="12"/>
            <color indexed="81"/>
            <rFont val="Arial"/>
            <family val="2"/>
          </rPr>
          <t>, the value is &lt; Girder Depth/1.15.</t>
        </r>
      </text>
    </comment>
    <comment ref="AF12" authorId="2" shapeId="0" xr:uid="{00000000-0006-0000-0B00-00000B000000}">
      <text>
        <r>
          <rPr>
            <b/>
            <sz val="12"/>
            <color indexed="81"/>
            <rFont val="Arial"/>
            <family val="2"/>
          </rPr>
          <t xml:space="preserve">"N" Panel Spacing:
</t>
        </r>
        <r>
          <rPr>
            <sz val="12"/>
            <color indexed="81"/>
            <rFont val="Arial"/>
            <family val="2"/>
          </rPr>
          <t xml:space="preserve">If </t>
        </r>
        <r>
          <rPr>
            <b/>
            <i/>
            <u/>
            <sz val="12"/>
            <color indexed="81"/>
            <rFont val="Arial"/>
            <family val="2"/>
          </rPr>
          <t>*all*</t>
        </r>
        <r>
          <rPr>
            <sz val="12"/>
            <color indexed="81"/>
            <rFont val="Arial"/>
            <family val="2"/>
          </rPr>
          <t xml:space="preserve"> panel layout dimension turn </t>
        </r>
        <r>
          <rPr>
            <b/>
            <sz val="12"/>
            <color indexed="10"/>
            <rFont val="Arial"/>
            <family val="2"/>
          </rPr>
          <t>Bold Red</t>
        </r>
        <r>
          <rPr>
            <sz val="12"/>
            <color indexed="81"/>
            <rFont val="Arial"/>
            <family val="2"/>
          </rPr>
          <t>, the sum of the Panel Layout Dimensions does NOT equal the BL dimension of the Girder!!</t>
        </r>
      </text>
    </comment>
    <comment ref="AI12" authorId="2" shapeId="0" xr:uid="{00000000-0006-0000-0B00-00000C000000}">
      <text>
        <r>
          <rPr>
            <b/>
            <sz val="12"/>
            <color indexed="81"/>
            <rFont val="Arial"/>
            <family val="2"/>
          </rPr>
          <t>"B" Dimension:</t>
        </r>
        <r>
          <rPr>
            <sz val="12"/>
            <color indexed="81"/>
            <rFont val="Arial"/>
            <family val="2"/>
          </rPr>
          <t xml:space="preserve">
If dimension turns </t>
        </r>
        <r>
          <rPr>
            <b/>
            <sz val="12"/>
            <color indexed="10"/>
            <rFont val="Arial"/>
            <family val="2"/>
          </rPr>
          <t>Bold Red</t>
        </r>
        <r>
          <rPr>
            <sz val="12"/>
            <color indexed="81"/>
            <rFont val="Arial"/>
            <family val="2"/>
          </rPr>
          <t>, the value is &lt; Girder Depth/1.15.</t>
        </r>
      </text>
    </comment>
    <comment ref="CB12" authorId="3" shapeId="0" xr:uid="{78FC22E1-72CA-4E2E-8A0A-03FD4389172D}">
      <text>
        <r>
          <rPr>
            <b/>
            <sz val="12"/>
            <color indexed="81"/>
            <rFont val="Arial"/>
            <family val="2"/>
          </rPr>
          <t xml:space="preserve">Girder Mark:
</t>
        </r>
        <r>
          <rPr>
            <sz val="12"/>
            <color indexed="81"/>
            <rFont val="Arial"/>
            <family val="2"/>
          </rPr>
          <t xml:space="preserve">If the Girder Mark turns </t>
        </r>
        <r>
          <rPr>
            <b/>
            <sz val="12"/>
            <color indexed="10"/>
            <rFont val="Arial"/>
            <family val="2"/>
          </rPr>
          <t>Bold Red</t>
        </r>
        <r>
          <rPr>
            <sz val="12"/>
            <color indexed="81"/>
            <rFont val="Arial"/>
            <family val="2"/>
          </rPr>
          <t xml:space="preserve">, there is no corresponding Mark on the "Page2" of this BOM page.
If this value turns </t>
        </r>
        <r>
          <rPr>
            <b/>
            <sz val="12"/>
            <color indexed="10"/>
            <rFont val="Arial"/>
            <family val="2"/>
          </rPr>
          <t>Bold Red</t>
        </r>
        <r>
          <rPr>
            <sz val="12"/>
            <color indexed="81"/>
            <rFont val="Arial"/>
            <family val="2"/>
          </rPr>
          <t xml:space="preserve"> AND there is a quantity of zero, the joist the joist mark is not listed on any S(*) pages of the current BOM view.</t>
        </r>
      </text>
    </comment>
    <comment ref="CD12" authorId="3" shapeId="0" xr:uid="{C639F2D2-19A9-4D54-896C-4EFE18D822F8}">
      <text>
        <r>
          <rPr>
            <b/>
            <sz val="14"/>
            <color indexed="81"/>
            <rFont val="Arial"/>
            <family val="2"/>
          </rPr>
          <t xml:space="preserve">Girder Size:
</t>
        </r>
        <r>
          <rPr>
            <sz val="14"/>
            <color indexed="81"/>
            <rFont val="Arial"/>
            <family val="2"/>
          </rPr>
          <t xml:space="preserve">If this value turns </t>
        </r>
        <r>
          <rPr>
            <b/>
            <sz val="14"/>
            <color indexed="10"/>
            <rFont val="Arial"/>
            <family val="2"/>
          </rPr>
          <t>bold red</t>
        </r>
        <r>
          <rPr>
            <sz val="14"/>
            <color indexed="81"/>
            <rFont val="Arial"/>
            <family val="2"/>
          </rPr>
          <t>, the Girder designation will not import into the design program.</t>
        </r>
      </text>
    </comment>
    <comment ref="CG12" authorId="3" shapeId="0" xr:uid="{562C286A-6710-44D4-B803-74E4E26475C4}">
      <text>
        <r>
          <rPr>
            <b/>
            <sz val="12"/>
            <color indexed="81"/>
            <rFont val="Arial"/>
            <family val="2"/>
          </rPr>
          <t xml:space="preserve">Section Number:
</t>
        </r>
        <r>
          <rPr>
            <sz val="12"/>
            <color indexed="81"/>
            <rFont val="Arial"/>
            <family val="2"/>
          </rPr>
          <t xml:space="preserve">If this value turns </t>
        </r>
        <r>
          <rPr>
            <b/>
            <sz val="12"/>
            <color indexed="10"/>
            <rFont val="Arial"/>
            <family val="2"/>
          </rPr>
          <t>bold red</t>
        </r>
        <r>
          <rPr>
            <sz val="12"/>
            <color indexed="81"/>
            <rFont val="Arial"/>
            <family val="2"/>
          </rPr>
          <t>, there is a Section Error.  Check for Short Bearing, Undefined Section or Undefined Support Type.</t>
        </r>
      </text>
    </comment>
    <comment ref="CH12" authorId="3" shapeId="0" xr:uid="{E1AFFD3E-C910-4FD4-B6C2-2DC1816E5019}">
      <text>
        <r>
          <rPr>
            <b/>
            <sz val="12"/>
            <color indexed="81"/>
            <rFont val="Arial"/>
            <family val="2"/>
          </rPr>
          <t xml:space="preserve">Beam Flange (or Girder TC)  Width:
</t>
        </r>
        <r>
          <rPr>
            <sz val="12"/>
            <color indexed="81"/>
            <rFont val="Arial"/>
            <family val="2"/>
          </rPr>
          <t xml:space="preserve">If the narrower of these 2 dimensions turns </t>
        </r>
        <r>
          <rPr>
            <b/>
            <sz val="12"/>
            <color indexed="10"/>
            <rFont val="Arial"/>
            <family val="2"/>
          </rPr>
          <t>bold red</t>
        </r>
        <r>
          <rPr>
            <sz val="12"/>
            <color indexed="81"/>
            <rFont val="Arial"/>
            <family val="2"/>
          </rPr>
          <t>, the joist setting on that support will have insufficient bearing.  Refer to the "Short Bearing" report to the right of the User Input area.</t>
        </r>
      </text>
    </comment>
    <comment ref="CJ12" authorId="3" shapeId="0" xr:uid="{6C15EB4F-9343-405F-9253-7545311B3122}">
      <text>
        <r>
          <rPr>
            <b/>
            <sz val="12"/>
            <color indexed="81"/>
            <rFont val="Arial"/>
            <family val="2"/>
          </rPr>
          <t xml:space="preserve">Flange Gage:
</t>
        </r>
        <r>
          <rPr>
            <sz val="12"/>
            <color indexed="81"/>
            <rFont val="Arial"/>
            <family val="2"/>
          </rPr>
          <t xml:space="preserve">If the dimensions turn </t>
        </r>
        <r>
          <rPr>
            <b/>
            <sz val="12"/>
            <color indexed="10"/>
            <rFont val="Arial"/>
            <family val="2"/>
          </rPr>
          <t>bold red</t>
        </r>
        <r>
          <rPr>
            <sz val="12"/>
            <color indexed="81"/>
            <rFont val="Arial"/>
            <family val="2"/>
          </rPr>
          <t>, the slot length will not accommodate both flange gages.  Additional mark numbers are required.</t>
        </r>
      </text>
    </comment>
    <comment ref="CM12" authorId="3" shapeId="0" xr:uid="{6DC06C42-6006-4D91-A278-1EA7647AF645}">
      <text>
        <r>
          <rPr>
            <b/>
            <sz val="12"/>
            <color indexed="81"/>
            <rFont val="Arial"/>
            <family val="2"/>
          </rPr>
          <t xml:space="preserve">Bearing Surface Slope:
</t>
        </r>
        <r>
          <rPr>
            <sz val="12"/>
            <color indexed="81"/>
            <rFont val="Arial"/>
            <family val="2"/>
          </rPr>
          <t xml:space="preserve">If background turns </t>
        </r>
        <r>
          <rPr>
            <b/>
            <sz val="12"/>
            <color indexed="10"/>
            <rFont val="Arial"/>
            <family val="2"/>
          </rPr>
          <t>Red</t>
        </r>
        <r>
          <rPr>
            <sz val="12"/>
            <color indexed="81"/>
            <rFont val="Arial"/>
            <family val="2"/>
          </rPr>
          <t>, the joist is sloping and the support is skewed.
If member is setting on a hip or valley support, enter a bearing slope!!</t>
        </r>
      </text>
    </comment>
    <comment ref="CQ12" authorId="3" shapeId="0" xr:uid="{EBBC18D6-61FD-48F7-B984-661D56DE344C}">
      <text>
        <r>
          <rPr>
            <b/>
            <sz val="12"/>
            <color indexed="81"/>
            <rFont val="Arial"/>
            <family val="2"/>
          </rPr>
          <t xml:space="preserve">Section Number:
</t>
        </r>
        <r>
          <rPr>
            <sz val="12"/>
            <color indexed="81"/>
            <rFont val="Arial"/>
            <family val="2"/>
          </rPr>
          <t xml:space="preserve">If this value turns </t>
        </r>
        <r>
          <rPr>
            <b/>
            <sz val="12"/>
            <color indexed="10"/>
            <rFont val="Arial"/>
            <family val="2"/>
          </rPr>
          <t>bold red</t>
        </r>
        <r>
          <rPr>
            <sz val="12"/>
            <color indexed="81"/>
            <rFont val="Arial"/>
            <family val="2"/>
          </rPr>
          <t>, there is a Section Error.  Check for Short Bearing, Undefined Section or Undefined Support Type.</t>
        </r>
      </text>
    </comment>
    <comment ref="CR12" authorId="3" shapeId="0" xr:uid="{87431DF3-70A0-4D13-94C4-BC168FE0164A}">
      <text>
        <r>
          <rPr>
            <b/>
            <sz val="12"/>
            <color indexed="81"/>
            <rFont val="Arial"/>
            <family val="2"/>
          </rPr>
          <t xml:space="preserve">Beam Flange (or Girder TC)  Width:
</t>
        </r>
        <r>
          <rPr>
            <sz val="12"/>
            <color indexed="81"/>
            <rFont val="Arial"/>
            <family val="2"/>
          </rPr>
          <t xml:space="preserve">If the narrower of these 2 dimensions turns </t>
        </r>
        <r>
          <rPr>
            <b/>
            <sz val="12"/>
            <color indexed="10"/>
            <rFont val="Arial"/>
            <family val="2"/>
          </rPr>
          <t>bold red</t>
        </r>
        <r>
          <rPr>
            <sz val="12"/>
            <color indexed="81"/>
            <rFont val="Arial"/>
            <family val="2"/>
          </rPr>
          <t>, the joist setting on that support will have insufficient bearing.  Refer to the "Short Bearing" report to the right of the User Input area.</t>
        </r>
      </text>
    </comment>
    <comment ref="CT12" authorId="3" shapeId="0" xr:uid="{77DB0965-9EE5-42DC-AAA3-9D6704ACBD31}">
      <text>
        <r>
          <rPr>
            <b/>
            <sz val="12"/>
            <color indexed="81"/>
            <rFont val="Arial"/>
            <family val="2"/>
          </rPr>
          <t xml:space="preserve">Flange Gage:
</t>
        </r>
        <r>
          <rPr>
            <sz val="12"/>
            <color indexed="81"/>
            <rFont val="Arial"/>
            <family val="2"/>
          </rPr>
          <t xml:space="preserve">If the dimensions turn </t>
        </r>
        <r>
          <rPr>
            <b/>
            <sz val="12"/>
            <color indexed="10"/>
            <rFont val="Arial"/>
            <family val="2"/>
          </rPr>
          <t>bold red</t>
        </r>
        <r>
          <rPr>
            <sz val="12"/>
            <color indexed="81"/>
            <rFont val="Arial"/>
            <family val="2"/>
          </rPr>
          <t>, the slot length will not accommodate both flange gages.  Additional mark numbers are required.</t>
        </r>
      </text>
    </comment>
    <comment ref="CW12" authorId="3" shapeId="0" xr:uid="{495319F5-15F1-4AF7-9681-348A366D9193}">
      <text>
        <r>
          <rPr>
            <b/>
            <sz val="12"/>
            <color indexed="81"/>
            <rFont val="Arial"/>
            <family val="2"/>
          </rPr>
          <t xml:space="preserve">Bearing Surface Slope:
</t>
        </r>
        <r>
          <rPr>
            <sz val="12"/>
            <color indexed="81"/>
            <rFont val="Arial"/>
            <family val="2"/>
          </rPr>
          <t xml:space="preserve">If background turns </t>
        </r>
        <r>
          <rPr>
            <b/>
            <sz val="12"/>
            <color indexed="10"/>
            <rFont val="Arial"/>
            <family val="2"/>
          </rPr>
          <t>Red</t>
        </r>
        <r>
          <rPr>
            <sz val="12"/>
            <color indexed="81"/>
            <rFont val="Arial"/>
            <family val="2"/>
          </rPr>
          <t>, the joist is sloping and the support is skewed.
If member is setting on a hip or valley support, enter a bearing slope!!</t>
        </r>
      </text>
    </comment>
    <comment ref="DA12" authorId="3" shapeId="0" xr:uid="{169BC75F-A109-4DDF-A984-3651BE6AD428}">
      <text>
        <r>
          <rPr>
            <b/>
            <sz val="12"/>
            <color indexed="81"/>
            <rFont val="Arial"/>
            <family val="2"/>
          </rPr>
          <t>Joist Slope:</t>
        </r>
        <r>
          <rPr>
            <sz val="12"/>
            <color indexed="81"/>
            <rFont val="Arial"/>
            <family val="2"/>
          </rPr>
          <t xml:space="preserve">
If Tag End is low, enter a "+" TC slope value.
If Tag End is high, enter a "-" TC Slope value.</t>
        </r>
      </text>
    </comment>
    <comment ref="DD12" authorId="3" shapeId="0" xr:uid="{0D81682D-E4FE-4FC7-94B6-03EDB7FEB875}">
      <text>
        <r>
          <rPr>
            <b/>
            <sz val="12"/>
            <color indexed="81"/>
            <rFont val="Arial"/>
            <family val="2"/>
          </rPr>
          <t xml:space="preserve"># of KB per Girder:
</t>
        </r>
        <r>
          <rPr>
            <sz val="12"/>
            <color indexed="81"/>
            <rFont val="Arial"/>
            <family val="2"/>
          </rPr>
          <t>Enter the number of KB's required per girder from the Sales Report.</t>
        </r>
      </text>
    </comment>
    <comment ref="DE12" authorId="3" shapeId="0" xr:uid="{234CA56F-5C83-448B-83DD-7B1A2092ED63}">
      <text>
        <r>
          <rPr>
            <b/>
            <sz val="12"/>
            <color indexed="81"/>
            <rFont val="Arial"/>
            <family val="2"/>
          </rPr>
          <t xml:space="preserve">Girder TC Width:
</t>
        </r>
        <r>
          <rPr>
            <sz val="12"/>
            <color indexed="81"/>
            <rFont val="Arial"/>
            <family val="2"/>
          </rPr>
          <t xml:space="preserve">If </t>
        </r>
        <r>
          <rPr>
            <b/>
            <sz val="12"/>
            <color indexed="10"/>
            <rFont val="Arial"/>
            <family val="2"/>
          </rPr>
          <t>bold red</t>
        </r>
        <r>
          <rPr>
            <sz val="12"/>
            <color indexed="81"/>
            <rFont val="Arial"/>
            <family val="2"/>
          </rPr>
          <t>, width entered is less than the basic width calculator based on girder designation and span.  Please confirm width.</t>
        </r>
      </text>
    </comment>
    <comment ref="DI12" authorId="2" shapeId="0" xr:uid="{2DCA66A6-B2D0-456F-AE5C-8F20D7AAB67A}">
      <text>
        <r>
          <rPr>
            <b/>
            <sz val="12"/>
            <color indexed="81"/>
            <rFont val="Arial"/>
            <family val="2"/>
          </rPr>
          <t xml:space="preserve">Panel Layout (N, F, B):
</t>
        </r>
        <r>
          <rPr>
            <sz val="12"/>
            <color indexed="81"/>
            <rFont val="Arial"/>
            <family val="2"/>
          </rPr>
          <t xml:space="preserve">If the value turns </t>
        </r>
        <r>
          <rPr>
            <b/>
            <sz val="12"/>
            <color indexed="10"/>
            <rFont val="Arial"/>
            <family val="2"/>
          </rPr>
          <t>Bold Red</t>
        </r>
        <r>
          <rPr>
            <sz val="12"/>
            <color indexed="81"/>
            <rFont val="Arial"/>
            <family val="2"/>
          </rPr>
          <t>, the number of panels defined in the first line (NS/FS) listed does NOT match the number of panels in the Girder Designation.</t>
        </r>
      </text>
    </comment>
    <comment ref="DJ12" authorId="3" shapeId="0" xr:uid="{00000000-0006-0000-0B00-00001D000000}">
      <text>
        <r>
          <rPr>
            <b/>
            <sz val="12"/>
            <color indexed="81"/>
            <rFont val="Arial"/>
            <family val="2"/>
          </rPr>
          <t>"A" Dimension:</t>
        </r>
        <r>
          <rPr>
            <sz val="12"/>
            <color indexed="81"/>
            <rFont val="Arial"/>
            <family val="2"/>
          </rPr>
          <t xml:space="preserve">
If left blank, "A" will be equal to the adjacent joist space.
If value is </t>
        </r>
        <r>
          <rPr>
            <b/>
            <sz val="12"/>
            <color indexed="10"/>
            <rFont val="Arial"/>
            <family val="2"/>
          </rPr>
          <t>Bold Red</t>
        </r>
        <r>
          <rPr>
            <sz val="12"/>
            <color indexed="81"/>
            <rFont val="Arial"/>
            <family val="2"/>
          </rPr>
          <t>, the "A" dimension from BL is &lt;Girder Depth/1.15.
Gray Background means there should be no value in that cell (wrapped panel layout).</t>
        </r>
      </text>
    </comment>
    <comment ref="DL12" authorId="3" shapeId="0" xr:uid="{00000000-0006-0000-0B00-00001E000000}">
      <text>
        <r>
          <rPr>
            <b/>
            <sz val="12"/>
            <color indexed="81"/>
            <rFont val="Arial"/>
            <family val="2"/>
          </rPr>
          <t xml:space="preserve">"N" Dimension:
</t>
        </r>
        <r>
          <rPr>
            <sz val="12"/>
            <color indexed="81"/>
            <rFont val="Arial"/>
            <family val="2"/>
          </rPr>
          <t xml:space="preserve">If you have equal spacing within the "Bay", you can enter the number of equal spaced and the BOM will calc the actual dimensions for you…you don't need to enter an "A" or the spacing.
If the value is </t>
        </r>
        <r>
          <rPr>
            <b/>
            <sz val="12"/>
            <color indexed="10"/>
            <rFont val="Arial"/>
            <family val="2"/>
          </rPr>
          <t>Bold Red</t>
        </r>
        <r>
          <rPr>
            <sz val="12"/>
            <color indexed="81"/>
            <rFont val="Arial"/>
            <family val="2"/>
          </rPr>
          <t>, the "B" dimension on the BOM is &lt;Girder Depth/1.15.</t>
        </r>
      </text>
    </comment>
    <comment ref="DM12" authorId="3" shapeId="0" xr:uid="{00000000-0006-0000-0B00-00001F000000}">
      <text>
        <r>
          <rPr>
            <b/>
            <sz val="12"/>
            <color indexed="81"/>
            <rFont val="Arial"/>
            <family val="2"/>
          </rPr>
          <t>"Spacing":</t>
        </r>
        <r>
          <rPr>
            <sz val="12"/>
            <color indexed="81"/>
            <rFont val="Arial"/>
            <family val="2"/>
          </rPr>
          <t xml:space="preserve">
You can leave the "spacing" field blank to equally distribute the "N" number of joist spaces within the remaining space to the Right end of the "Bay".
If the value is </t>
        </r>
        <r>
          <rPr>
            <b/>
            <sz val="12"/>
            <color indexed="10"/>
            <rFont val="Arial"/>
            <family val="2"/>
          </rPr>
          <t>Bold Red</t>
        </r>
        <r>
          <rPr>
            <sz val="12"/>
            <color indexed="81"/>
            <rFont val="Arial"/>
            <family val="2"/>
          </rPr>
          <t>, the "B" dimension on the BOM is &lt;Girder Depth/1.15.
Gray Background means there should be no value in that cell (wrapped panel layout).</t>
        </r>
      </text>
    </comment>
    <comment ref="DQ12" authorId="2" shapeId="0" xr:uid="{6E39168D-7808-42CB-8542-FDA514A08AA6}">
      <text>
        <r>
          <rPr>
            <b/>
            <sz val="12"/>
            <color indexed="81"/>
            <rFont val="Arial"/>
            <family val="2"/>
          </rPr>
          <t>Girder TC Gage:</t>
        </r>
        <r>
          <rPr>
            <sz val="12"/>
            <color indexed="81"/>
            <rFont val="Arial"/>
            <family val="2"/>
          </rPr>
          <t xml:space="preserve">
If value turns </t>
        </r>
        <r>
          <rPr>
            <b/>
            <sz val="12"/>
            <color indexed="10"/>
            <rFont val="Arial"/>
            <family val="2"/>
          </rPr>
          <t>Red</t>
        </r>
        <r>
          <rPr>
            <sz val="12"/>
            <color indexed="81"/>
            <rFont val="Arial"/>
            <family val="2"/>
          </rPr>
          <t>, TC Gage does not match std gage based on Girder TC Width.</t>
        </r>
      </text>
    </comment>
    <comment ref="AM13" authorId="2" shapeId="0" xr:uid="{00000000-0006-0000-0B00-000021000000}">
      <text>
        <r>
          <rPr>
            <b/>
            <sz val="12"/>
            <color indexed="81"/>
            <rFont val="Arial"/>
            <family val="2"/>
          </rPr>
          <t>Girder TC Gage:</t>
        </r>
        <r>
          <rPr>
            <sz val="12"/>
            <color indexed="81"/>
            <rFont val="Arial"/>
            <family val="2"/>
          </rPr>
          <t xml:space="preserve">
If value turns </t>
        </r>
        <r>
          <rPr>
            <b/>
            <sz val="12"/>
            <color indexed="10"/>
            <rFont val="Arial"/>
            <family val="2"/>
          </rPr>
          <t>Red</t>
        </r>
        <r>
          <rPr>
            <sz val="12"/>
            <color indexed="81"/>
            <rFont val="Arial"/>
            <family val="2"/>
          </rPr>
          <t>, TC Gage does not match std gage based on Girder TC Width.</t>
        </r>
      </text>
    </comment>
    <comment ref="CN13" authorId="3" shapeId="0" xr:uid="{CE82891C-D40F-44C8-BF0F-19AD175C1849}">
      <text>
        <r>
          <rPr>
            <b/>
            <sz val="12"/>
            <color indexed="81"/>
            <rFont val="Arial"/>
            <family val="2"/>
          </rPr>
          <t>End of Girder Over-rides:</t>
        </r>
        <r>
          <rPr>
            <sz val="12"/>
            <color indexed="81"/>
            <rFont val="Arial"/>
            <family val="2"/>
          </rPr>
          <t xml:space="preserve">
This over-rides the "End of Joist" dimension specified in the section.  Intended to be used for sections where the location of the end of joist varies - like at a curved deck/slab edge - without cutting multiple sections.
</t>
        </r>
        <r>
          <rPr>
            <b/>
            <sz val="12"/>
            <color indexed="10"/>
            <rFont val="Arial"/>
            <family val="2"/>
          </rPr>
          <t>Changing this dimension changes the joist Overall Length, thus affecting TCXs, BCXs and Slot Locations.</t>
        </r>
      </text>
    </comment>
    <comment ref="CO13" authorId="3" shapeId="0" xr:uid="{57ABD6BA-74EB-4CDB-9C34-A76586861590}">
      <text>
        <r>
          <rPr>
            <b/>
            <sz val="12"/>
            <color indexed="81"/>
            <rFont val="Tahoma"/>
            <family val="2"/>
          </rPr>
          <t xml:space="preserve">Base Length Over-Ride:
</t>
        </r>
        <r>
          <rPr>
            <sz val="12"/>
            <color indexed="81"/>
            <rFont val="Tahoma"/>
            <family val="2"/>
          </rPr>
          <t xml:space="preserve">Alters the Base Length and TCX dimensions.
If you want to use the additional clear bearing associated with deeper joist seats to shorten the TCX, enter a dimension here.
Enter the BL location from the Bay Length Reference (center of steel or face of masonry wall).  A positive dimension lengthens the BL, while a negative dimension shortens the BL.
</t>
        </r>
        <r>
          <rPr>
            <b/>
            <sz val="12"/>
            <color indexed="10"/>
            <rFont val="Tahoma"/>
            <family val="2"/>
          </rPr>
          <t>Red Bold</t>
        </r>
        <r>
          <rPr>
            <sz val="12"/>
            <color indexed="81"/>
            <rFont val="Tahoma"/>
            <family val="2"/>
          </rPr>
          <t xml:space="preserve"> indicates a dimension that exceeds the maximum allowable (the OL point of the joist) offset </t>
        </r>
        <r>
          <rPr>
            <b/>
            <i/>
            <u/>
            <sz val="12"/>
            <color indexed="81"/>
            <rFont val="Tahoma"/>
            <family val="2"/>
          </rPr>
          <t>OR</t>
        </r>
        <r>
          <rPr>
            <sz val="12"/>
            <color indexed="81"/>
            <rFont val="Tahoma"/>
            <family val="2"/>
          </rPr>
          <t xml:space="preserve"> a dimension that is less than 0".</t>
        </r>
      </text>
    </comment>
    <comment ref="CP13" authorId="3" shapeId="0" xr:uid="{79D474B4-F1A2-4DD0-8BFE-11339205AAFF}">
      <text>
        <r>
          <rPr>
            <b/>
            <sz val="12"/>
            <color indexed="81"/>
            <rFont val="Tahoma"/>
            <family val="2"/>
          </rPr>
          <t xml:space="preserve">Seat Depth Over-Ride:
</t>
        </r>
        <r>
          <rPr>
            <sz val="12"/>
            <color indexed="81"/>
            <rFont val="Tahoma"/>
            <family val="2"/>
          </rPr>
          <t>Over-rides the seat depth dimension shown in the section.
If this field is blank, the BOM uses the seat depth specified in the section.</t>
        </r>
      </text>
    </comment>
    <comment ref="CX13" authorId="3" shapeId="0" xr:uid="{B4D63D61-C248-4980-981A-E96E76510011}">
      <text>
        <r>
          <rPr>
            <b/>
            <sz val="12"/>
            <color indexed="81"/>
            <rFont val="Arial"/>
            <family val="2"/>
          </rPr>
          <t>End of Girder Over-rides:</t>
        </r>
        <r>
          <rPr>
            <sz val="12"/>
            <color indexed="81"/>
            <rFont val="Arial"/>
            <family val="2"/>
          </rPr>
          <t xml:space="preserve">
This over-rides the "End of Joist" dimension specified in the section.  Intended to be used for sections where the location of the end of joist varies - like at a curved deck/slab edge - without cutting multiple sections.
</t>
        </r>
        <r>
          <rPr>
            <b/>
            <sz val="12"/>
            <color indexed="10"/>
            <rFont val="Arial"/>
            <family val="2"/>
          </rPr>
          <t>Changing this dimension changes the joist Overall Length, thus affecting TCXs, BCXs and Slot Locations.</t>
        </r>
      </text>
    </comment>
    <comment ref="CY13" authorId="3" shapeId="0" xr:uid="{15E7136B-CECC-4F9D-9F65-B026048B759D}">
      <text>
        <r>
          <rPr>
            <b/>
            <sz val="12"/>
            <color indexed="81"/>
            <rFont val="Tahoma"/>
            <family val="2"/>
          </rPr>
          <t xml:space="preserve">Base Length Over-Ride:
</t>
        </r>
        <r>
          <rPr>
            <sz val="12"/>
            <color indexed="81"/>
            <rFont val="Tahoma"/>
            <family val="2"/>
          </rPr>
          <t xml:space="preserve">Alters the Base Length and TCX dimensions.
If you want to use the additional clear bearing associated with deeper joist seats to shorten the TCX, enter a dimension here.
Enter the BL location from the Bay Length Reference (center of steel or face of masonry wall).  A positive dimension lengthens the BL, while a negative dimension shortens the BL.
</t>
        </r>
        <r>
          <rPr>
            <b/>
            <sz val="12"/>
            <color indexed="10"/>
            <rFont val="Tahoma"/>
            <family val="2"/>
          </rPr>
          <t>Red Bold</t>
        </r>
        <r>
          <rPr>
            <sz val="12"/>
            <color indexed="81"/>
            <rFont val="Tahoma"/>
            <family val="2"/>
          </rPr>
          <t xml:space="preserve"> indicates a dimension that exceeds the maximum allowable (the OL point of the joist) offset </t>
        </r>
        <r>
          <rPr>
            <b/>
            <i/>
            <u/>
            <sz val="12"/>
            <color indexed="81"/>
            <rFont val="Tahoma"/>
            <family val="2"/>
          </rPr>
          <t>OR</t>
        </r>
        <r>
          <rPr>
            <sz val="12"/>
            <color indexed="81"/>
            <rFont val="Tahoma"/>
            <family val="2"/>
          </rPr>
          <t xml:space="preserve"> a dimension that is less than 0".</t>
        </r>
      </text>
    </comment>
    <comment ref="CZ13" authorId="3" shapeId="0" xr:uid="{94AF668A-E549-47AC-807C-36FA7D2D51C3}">
      <text>
        <r>
          <rPr>
            <b/>
            <sz val="12"/>
            <color indexed="81"/>
            <rFont val="Tahoma"/>
            <family val="2"/>
          </rPr>
          <t xml:space="preserve">Seat Depth Over-Ride:
</t>
        </r>
        <r>
          <rPr>
            <sz val="12"/>
            <color indexed="81"/>
            <rFont val="Tahoma"/>
            <family val="2"/>
          </rPr>
          <t>Over-rides the seat depth dimension shown in the section.
If this field is blank, the BOM uses the seat depth specified in the section.</t>
        </r>
      </text>
    </comment>
    <comment ref="DC13" authorId="3" shapeId="0" xr:uid="{0CF270AA-6E95-4563-9CB8-ED8C23D67CE5}">
      <text>
        <r>
          <rPr>
            <b/>
            <sz val="12"/>
            <color indexed="81"/>
            <rFont val="Arial"/>
            <family val="2"/>
          </rPr>
          <t xml:space="preserve">Special Notes:
</t>
        </r>
        <r>
          <rPr>
            <sz val="12"/>
            <color indexed="81"/>
            <rFont val="Arial"/>
            <family val="2"/>
          </rPr>
          <t>If background turnes</t>
        </r>
        <r>
          <rPr>
            <b/>
            <sz val="12"/>
            <color indexed="10"/>
            <rFont val="Arial"/>
            <family val="2"/>
          </rPr>
          <t xml:space="preserve"> red</t>
        </r>
        <r>
          <rPr>
            <sz val="12"/>
            <color indexed="81"/>
            <rFont val="Arial"/>
            <family val="2"/>
          </rPr>
          <t>, make sure there is a special note to address Seat Slot, Severe Skew, Short Bearing or Mimumum Clear Bearing Warnings.</t>
        </r>
      </text>
    </comment>
    <comment ref="DV13" authorId="2" shapeId="0" xr:uid="{00000000-0006-0000-0B00-000023000000}">
      <text>
        <r>
          <rPr>
            <b/>
            <sz val="12"/>
            <color indexed="81"/>
            <rFont val="Arial"/>
            <family val="2"/>
          </rPr>
          <t>Additional Joist - "Ft":</t>
        </r>
        <r>
          <rPr>
            <b/>
            <sz val="9"/>
            <color indexed="81"/>
            <rFont val="Tahoma"/>
            <family val="2"/>
          </rPr>
          <t xml:space="preserve">
</t>
        </r>
        <r>
          <rPr>
            <sz val="12"/>
            <color indexed="81"/>
            <rFont val="Arial"/>
            <family val="2"/>
          </rPr>
          <t>Enter "P" if you are referencing a Panel Location.
Enter a positive integer if you are locating an additional joist.</t>
        </r>
      </text>
    </comment>
    <comment ref="DW13" authorId="2" shapeId="0" xr:uid="{00000000-0006-0000-0B00-000024000000}">
      <text>
        <r>
          <rPr>
            <b/>
            <sz val="12"/>
            <color indexed="81"/>
            <rFont val="Arial"/>
            <family val="2"/>
          </rPr>
          <t>Additional Joist - "In":</t>
        </r>
        <r>
          <rPr>
            <sz val="12"/>
            <color indexed="81"/>
            <rFont val="Arial"/>
            <family val="2"/>
          </rPr>
          <t xml:space="preserve">
If referencing a Panel Location, you may enter either a number or "#xx".  The BOM will automatically put the "#" in front of the number if the "Ft" column = "P".
If locating an additional joist, enter a number.
If the number becomes </t>
        </r>
        <r>
          <rPr>
            <b/>
            <sz val="12"/>
            <color indexed="10"/>
            <rFont val="Arial"/>
            <family val="2"/>
          </rPr>
          <t>Bold Red</t>
        </r>
        <r>
          <rPr>
            <sz val="12"/>
            <color indexed="81"/>
            <rFont val="Arial"/>
            <family val="2"/>
          </rPr>
          <t>, the format is incorrect and the error will cause the Girder to not import into JEDI.</t>
        </r>
      </text>
    </comment>
    <comment ref="GK53" authorId="2" shapeId="0" xr:uid="{00000000-0006-0000-0B00-000025000000}">
      <text>
        <r>
          <rPr>
            <b/>
            <sz val="9"/>
            <color indexed="81"/>
            <rFont val="Tahoma"/>
            <family val="2"/>
          </rPr>
          <t>Rich Sellers:</t>
        </r>
        <r>
          <rPr>
            <sz val="9"/>
            <color indexed="81"/>
            <rFont val="Tahoma"/>
            <family val="2"/>
          </rPr>
          <t xml:space="preserve">
A,B,AB or FALSE.
A/B = error for that value
FALSE = no error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Sellers, Rich</author>
    <author>sellersrl</author>
    <author>Rich Sellers</author>
    <author>Mike Camperman</author>
  </authors>
  <commentList>
    <comment ref="DP2" authorId="0" shapeId="0" xr:uid="{00000000-0006-0000-0C00-000001000000}">
      <text>
        <r>
          <rPr>
            <b/>
            <sz val="9"/>
            <color indexed="81"/>
            <rFont val="Tahoma"/>
            <family val="2"/>
          </rPr>
          <t>Minimum End of Slot to Edge of Material
(Min Edge Dist).</t>
        </r>
        <r>
          <rPr>
            <sz val="9"/>
            <color indexed="81"/>
            <rFont val="Tahoma"/>
            <family val="2"/>
          </rPr>
          <t xml:space="preserve">
</t>
        </r>
      </text>
    </comment>
    <comment ref="BG20" authorId="0" shapeId="0" xr:uid="{00000000-0006-0000-0C00-000002000000}">
      <text>
        <r>
          <rPr>
            <b/>
            <sz val="12"/>
            <color indexed="81"/>
            <rFont val="Arial"/>
            <family val="2"/>
          </rPr>
          <t xml:space="preserve">Left (Tag) End Information:
</t>
        </r>
        <r>
          <rPr>
            <sz val="12"/>
            <color indexed="81"/>
            <rFont val="Arial"/>
            <family val="2"/>
          </rPr>
          <t xml:space="preserve">Gray Shading indicates values not needed or permitted in these fields.
Data in Gray Shaded fields </t>
        </r>
        <r>
          <rPr>
            <b/>
            <i/>
            <sz val="12"/>
            <color indexed="10"/>
            <rFont val="Arial"/>
            <family val="2"/>
          </rPr>
          <t>*may*</t>
        </r>
        <r>
          <rPr>
            <sz val="12"/>
            <color indexed="81"/>
            <rFont val="Arial"/>
            <family val="2"/>
          </rPr>
          <t xml:space="preserve"> not be considered when calculating BOM values.</t>
        </r>
      </text>
    </comment>
    <comment ref="CE20" authorId="1" shapeId="0" xr:uid="{00000000-0006-0000-0C00-000003000000}">
      <text>
        <r>
          <rPr>
            <b/>
            <sz val="12"/>
            <color indexed="81"/>
            <rFont val="Arial"/>
            <family val="2"/>
          </rPr>
          <t>Joist TC Slope:</t>
        </r>
        <r>
          <rPr>
            <sz val="8"/>
            <color indexed="81"/>
            <rFont val="Tahoma"/>
            <family val="2"/>
          </rPr>
          <t xml:space="preserve">
</t>
        </r>
        <r>
          <rPr>
            <sz val="12"/>
            <color indexed="81"/>
            <rFont val="Arial"/>
            <family val="2"/>
          </rPr>
          <t>"+" if tag end is low, "-" if tag end is high.</t>
        </r>
      </text>
    </comment>
    <comment ref="CF20" authorId="2" shapeId="0" xr:uid="{00000000-0006-0000-0C00-000004000000}">
      <text>
        <r>
          <rPr>
            <b/>
            <sz val="12"/>
            <color indexed="81"/>
            <rFont val="Tahoma"/>
            <family val="2"/>
          </rPr>
          <t>Load/Special Notes:</t>
        </r>
        <r>
          <rPr>
            <b/>
            <sz val="9"/>
            <color indexed="81"/>
            <rFont val="Tahoma"/>
            <family val="2"/>
          </rPr>
          <t xml:space="preserve">
</t>
        </r>
        <r>
          <rPr>
            <sz val="12"/>
            <color indexed="81"/>
            <rFont val="Tahoma"/>
            <family val="2"/>
          </rPr>
          <t xml:space="preserve">If the contents turn </t>
        </r>
        <r>
          <rPr>
            <b/>
            <sz val="12"/>
            <color indexed="10"/>
            <rFont val="Tahoma"/>
            <family val="2"/>
          </rPr>
          <t>bold red</t>
        </r>
        <r>
          <rPr>
            <sz val="12"/>
            <color indexed="81"/>
            <rFont val="Tahoma"/>
            <family val="2"/>
          </rPr>
          <t xml:space="preserve">, there </t>
        </r>
        <r>
          <rPr>
            <b/>
            <sz val="12"/>
            <color indexed="81"/>
            <rFont val="Tahoma"/>
            <family val="2"/>
          </rPr>
          <t>*may*</t>
        </r>
        <r>
          <rPr>
            <sz val="12"/>
            <color indexed="81"/>
            <rFont val="Tahoma"/>
            <family val="2"/>
          </rPr>
          <t xml:space="preserve"> be too many characters to be displayed on the Printed BOM.
The detailer should ensure that all notes show up in the Printed BOM.
Consider creating a blank row immediately under the Mark and move the Special Notes to that line.</t>
        </r>
      </text>
    </comment>
    <comment ref="A21" authorId="0" shapeId="0" xr:uid="{00000000-0006-0000-0C00-000005000000}">
      <text>
        <r>
          <rPr>
            <b/>
            <sz val="12"/>
            <color indexed="81"/>
            <rFont val="Arial"/>
            <family val="2"/>
          </rPr>
          <t xml:space="preserve">Joist Mark:
</t>
        </r>
        <r>
          <rPr>
            <sz val="12"/>
            <color indexed="81"/>
            <rFont val="Arial"/>
            <family val="2"/>
          </rPr>
          <t xml:space="preserve">If this value turns </t>
        </r>
        <r>
          <rPr>
            <b/>
            <sz val="12"/>
            <color indexed="10"/>
            <rFont val="Arial"/>
            <family val="2"/>
          </rPr>
          <t>bold red</t>
        </r>
        <r>
          <rPr>
            <sz val="12"/>
            <color indexed="81"/>
            <rFont val="Arial"/>
            <family val="2"/>
          </rPr>
          <t xml:space="preserve"> (and there is a quantity of zero), the joist the joist mark is not listed on any S(*) pages of the current BOM view.</t>
        </r>
      </text>
    </comment>
    <comment ref="C21" authorId="3" shapeId="0" xr:uid="{00000000-0006-0000-0C00-000006000000}">
      <text>
        <r>
          <rPr>
            <sz val="14"/>
            <color indexed="81"/>
            <rFont val="Arial"/>
            <family val="2"/>
          </rPr>
          <t xml:space="preserve">If Size is </t>
        </r>
        <r>
          <rPr>
            <b/>
            <sz val="14"/>
            <color indexed="10"/>
            <rFont val="Arial"/>
            <family val="2"/>
          </rPr>
          <t>BOLD RED</t>
        </r>
        <r>
          <rPr>
            <sz val="14"/>
            <color indexed="81"/>
            <rFont val="Arial"/>
            <family val="2"/>
          </rPr>
          <t xml:space="preserve"> then this Mark will NOT import into the Design program.
</t>
        </r>
      </text>
    </comment>
    <comment ref="D21" authorId="2" shapeId="0" xr:uid="{00000000-0006-0000-0C00-000007000000}">
      <text>
        <r>
          <rPr>
            <b/>
            <sz val="12"/>
            <color indexed="81"/>
            <rFont val="Arial"/>
            <family val="2"/>
          </rPr>
          <t>Joist OL Length:</t>
        </r>
        <r>
          <rPr>
            <sz val="12"/>
            <color indexed="81"/>
            <rFont val="Arial"/>
            <family val="2"/>
          </rPr>
          <t xml:space="preserve">
If value turns </t>
        </r>
        <r>
          <rPr>
            <b/>
            <sz val="12"/>
            <color indexed="10"/>
            <rFont val="Arial"/>
            <family val="2"/>
          </rPr>
          <t>Red</t>
        </r>
        <r>
          <rPr>
            <sz val="12"/>
            <color indexed="81"/>
            <rFont val="Arial"/>
            <family val="2"/>
          </rPr>
          <t>, the BL of the joist exceeds the maximum span for the joist depth.</t>
        </r>
      </text>
    </comment>
    <comment ref="T21" authorId="3" shapeId="0" xr:uid="{00000000-0006-0000-0C00-000008000000}">
      <text>
        <r>
          <rPr>
            <sz val="14"/>
            <color indexed="81"/>
            <rFont val="Arial"/>
            <family val="2"/>
          </rPr>
          <t xml:space="preserve">If the slot location is </t>
        </r>
        <r>
          <rPr>
            <b/>
            <sz val="14"/>
            <color indexed="10"/>
            <rFont val="Arial"/>
            <family val="2"/>
          </rPr>
          <t>BOLD RED</t>
        </r>
        <r>
          <rPr>
            <sz val="14"/>
            <color indexed="81"/>
            <rFont val="Arial"/>
            <family val="2"/>
          </rPr>
          <t xml:space="preserve"> then the slot is too close to the edge of the seat material.</t>
        </r>
      </text>
    </comment>
    <comment ref="AA21" authorId="1" shapeId="0" xr:uid="{00000000-0006-0000-0C00-000009000000}">
      <text>
        <r>
          <rPr>
            <sz val="14"/>
            <color indexed="81"/>
            <rFont val="Arial"/>
            <family val="2"/>
          </rPr>
          <t xml:space="preserve">If Notes become </t>
        </r>
        <r>
          <rPr>
            <sz val="14"/>
            <color indexed="10"/>
            <rFont val="Arial"/>
            <family val="2"/>
          </rPr>
          <t>RED</t>
        </r>
        <r>
          <rPr>
            <sz val="14"/>
            <color indexed="81"/>
            <rFont val="Arial"/>
            <family val="2"/>
          </rPr>
          <t>, then the number of characters exceeds the printed width of the column and may not appear on the printed BOM.</t>
        </r>
      </text>
    </comment>
    <comment ref="AZ21" authorId="2" shapeId="0" xr:uid="{00000000-0006-0000-0C00-00000A000000}">
      <text>
        <r>
          <rPr>
            <b/>
            <sz val="9"/>
            <color indexed="81"/>
            <rFont val="Tahoma"/>
            <family val="2"/>
          </rPr>
          <t>Rich Sellers:</t>
        </r>
        <r>
          <rPr>
            <sz val="9"/>
            <color indexed="81"/>
            <rFont val="Tahoma"/>
            <family val="2"/>
          </rPr>
          <t xml:space="preserve">
Need to Keep This Column - Used for Over-Span Check!!</t>
        </r>
      </text>
    </comment>
    <comment ref="BD21" authorId="1" shapeId="0" xr:uid="{00000000-0006-0000-0C00-00000B000000}">
      <text>
        <r>
          <rPr>
            <b/>
            <sz val="12"/>
            <color indexed="81"/>
            <rFont val="Arial"/>
            <family val="2"/>
          </rPr>
          <t xml:space="preserve">Joist Size:
</t>
        </r>
        <r>
          <rPr>
            <sz val="12"/>
            <color indexed="81"/>
            <rFont val="Arial"/>
            <family val="2"/>
          </rPr>
          <t xml:space="preserve">If this value turns </t>
        </r>
        <r>
          <rPr>
            <b/>
            <sz val="12"/>
            <color indexed="10"/>
            <rFont val="Arial"/>
            <family val="2"/>
          </rPr>
          <t>bold red</t>
        </r>
        <r>
          <rPr>
            <sz val="12"/>
            <color indexed="81"/>
            <rFont val="Arial"/>
            <family val="2"/>
          </rPr>
          <t>, the joist designation will not import into the design program.</t>
        </r>
      </text>
    </comment>
    <comment ref="BE21" authorId="1" shapeId="0" xr:uid="{00000000-0006-0000-0C00-00000C000000}">
      <text>
        <r>
          <rPr>
            <b/>
            <sz val="12"/>
            <color indexed="81"/>
            <rFont val="Arial"/>
            <family val="2"/>
          </rPr>
          <t xml:space="preserve">Joist "Bay Length":
</t>
        </r>
        <r>
          <rPr>
            <sz val="12"/>
            <color indexed="81"/>
            <rFont val="Arial"/>
            <family val="2"/>
          </rPr>
          <t xml:space="preserve">If this dimension turns </t>
        </r>
        <r>
          <rPr>
            <b/>
            <sz val="12"/>
            <color indexed="10"/>
            <rFont val="Arial"/>
            <family val="2"/>
          </rPr>
          <t>bold red</t>
        </r>
        <r>
          <rPr>
            <sz val="12"/>
            <color indexed="81"/>
            <rFont val="Arial"/>
            <family val="2"/>
          </rPr>
          <t>, the joist is over-spanned .</t>
        </r>
      </text>
    </comment>
    <comment ref="BG21" authorId="1" shapeId="0" xr:uid="{00000000-0006-0000-0C00-00000D000000}">
      <text>
        <r>
          <rPr>
            <b/>
            <sz val="12"/>
            <color indexed="81"/>
            <rFont val="Arial"/>
            <family val="2"/>
          </rPr>
          <t xml:space="preserve">Section Number:
</t>
        </r>
        <r>
          <rPr>
            <sz val="12"/>
            <color indexed="81"/>
            <rFont val="Arial"/>
            <family val="2"/>
          </rPr>
          <t xml:space="preserve">If this value turns </t>
        </r>
        <r>
          <rPr>
            <b/>
            <sz val="12"/>
            <color indexed="10"/>
            <rFont val="Arial"/>
            <family val="2"/>
          </rPr>
          <t>bold red</t>
        </r>
        <r>
          <rPr>
            <sz val="12"/>
            <color indexed="81"/>
            <rFont val="Arial"/>
            <family val="2"/>
          </rPr>
          <t>, there is a Section Error.  Check for Short Bearing, Undefined Section or Undefined Support Type.</t>
        </r>
      </text>
    </comment>
    <comment ref="BH21" authorId="1" shapeId="0" xr:uid="{00000000-0006-0000-0C00-00000E000000}">
      <text>
        <r>
          <rPr>
            <b/>
            <sz val="12"/>
            <color indexed="81"/>
            <rFont val="Arial"/>
            <family val="2"/>
          </rPr>
          <t xml:space="preserve">Beam Flange (or Girder TC)  Width:
</t>
        </r>
        <r>
          <rPr>
            <sz val="12"/>
            <color indexed="81"/>
            <rFont val="Arial"/>
            <family val="2"/>
          </rPr>
          <t xml:space="preserve">If the narrower of these 2 dimensions turns </t>
        </r>
        <r>
          <rPr>
            <b/>
            <sz val="12"/>
            <color indexed="10"/>
            <rFont val="Arial"/>
            <family val="2"/>
          </rPr>
          <t>bold red</t>
        </r>
        <r>
          <rPr>
            <sz val="12"/>
            <color indexed="81"/>
            <rFont val="Arial"/>
            <family val="2"/>
          </rPr>
          <t>, the joist setting on that support will have insufficient bearing.  Refer to the "Short Bearing" report to the right of the User Input area.
If bold red + gray background, there is a "Clear Bearing" dimension in the SectInfo and the Beam Width values should be deleted to avoid conflicts with TCX Dimensions.</t>
        </r>
      </text>
    </comment>
    <comment ref="BJ21" authorId="1" shapeId="0" xr:uid="{00000000-0006-0000-0C00-00000F000000}">
      <text>
        <r>
          <rPr>
            <b/>
            <sz val="12"/>
            <color indexed="81"/>
            <rFont val="Arial"/>
            <family val="2"/>
          </rPr>
          <t xml:space="preserve">Bolt End "X":
</t>
        </r>
        <r>
          <rPr>
            <sz val="12"/>
            <color indexed="81"/>
            <rFont val="Arial"/>
            <family val="2"/>
          </rPr>
          <t xml:space="preserve">If the cell </t>
        </r>
        <r>
          <rPr>
            <sz val="12"/>
            <color indexed="10"/>
            <rFont val="Arial"/>
            <family val="2"/>
          </rPr>
          <t>background is red</t>
        </r>
        <r>
          <rPr>
            <sz val="12"/>
            <color indexed="81"/>
            <rFont val="Arial"/>
            <family val="2"/>
          </rPr>
          <t xml:space="preserve">, OSHA holes are required but not detailed.
If the "X" turns </t>
        </r>
        <r>
          <rPr>
            <b/>
            <sz val="12"/>
            <color indexed="10"/>
            <rFont val="Arial"/>
            <family val="2"/>
          </rPr>
          <t>bold red</t>
        </r>
        <r>
          <rPr>
            <sz val="12"/>
            <color indexed="81"/>
            <rFont val="Arial"/>
            <family val="2"/>
          </rPr>
          <t>, holes are detailed, but not required by OSHA.</t>
        </r>
      </text>
    </comment>
    <comment ref="BK21" authorId="1" shapeId="0" xr:uid="{00000000-0006-0000-0C00-000010000000}">
      <text>
        <r>
          <rPr>
            <b/>
            <sz val="12"/>
            <color indexed="81"/>
            <rFont val="Arial"/>
            <family val="2"/>
          </rPr>
          <t xml:space="preserve">Flange Gage:
</t>
        </r>
        <r>
          <rPr>
            <sz val="12"/>
            <color indexed="81"/>
            <rFont val="Arial"/>
            <family val="2"/>
          </rPr>
          <t xml:space="preserve">If the dimensions turn </t>
        </r>
        <r>
          <rPr>
            <b/>
            <sz val="12"/>
            <color indexed="10"/>
            <rFont val="Arial"/>
            <family val="2"/>
          </rPr>
          <t>bold red</t>
        </r>
        <r>
          <rPr>
            <sz val="12"/>
            <color indexed="81"/>
            <rFont val="Arial"/>
            <family val="2"/>
          </rPr>
          <t>, the slot length will not accommodate both flange gages.  Additional mark numbers are required.</t>
        </r>
      </text>
    </comment>
    <comment ref="BN21" authorId="1" shapeId="0" xr:uid="{00000000-0006-0000-0C00-000011000000}">
      <text>
        <r>
          <rPr>
            <b/>
            <sz val="12"/>
            <color indexed="81"/>
            <rFont val="Arial"/>
            <family val="2"/>
          </rPr>
          <t xml:space="preserve">Bearing Surface Slope:
</t>
        </r>
        <r>
          <rPr>
            <sz val="12"/>
            <color indexed="81"/>
            <rFont val="Arial"/>
            <family val="2"/>
          </rPr>
          <t xml:space="preserve">If background turns </t>
        </r>
        <r>
          <rPr>
            <b/>
            <sz val="12"/>
            <color indexed="10"/>
            <rFont val="Arial"/>
            <family val="2"/>
          </rPr>
          <t>Red</t>
        </r>
        <r>
          <rPr>
            <sz val="12"/>
            <color indexed="81"/>
            <rFont val="Arial"/>
            <family val="2"/>
          </rPr>
          <t>, the joist is sloping and the support is skewed.
If member is setting on a hip or valley support, enter a bearing slope!!</t>
        </r>
      </text>
    </comment>
    <comment ref="BO21" authorId="1" shapeId="0" xr:uid="{00000000-0006-0000-0C00-000012000000}">
      <text>
        <r>
          <rPr>
            <b/>
            <sz val="12"/>
            <color indexed="81"/>
            <rFont val="Tahoma"/>
            <family val="2"/>
          </rPr>
          <t xml:space="preserve">BCX Control:
</t>
        </r>
        <r>
          <rPr>
            <sz val="12"/>
            <color indexed="81"/>
            <rFont val="Tahoma"/>
            <family val="2"/>
          </rPr>
          <t xml:space="preserve">"X" indicates BCX required at the specified end of the joist.  If the cell is blank, no BCX will be shown on the BOM.
</t>
        </r>
        <r>
          <rPr>
            <b/>
            <sz val="12"/>
            <color indexed="10"/>
            <rFont val="Tahoma"/>
            <family val="2"/>
          </rPr>
          <t>Bold Red</t>
        </r>
        <r>
          <rPr>
            <sz val="12"/>
            <color indexed="81"/>
            <rFont val="Tahoma"/>
            <family val="2"/>
          </rPr>
          <t xml:space="preserve"> "X" indicates no BCX information shown in the section, so no BCX will be shown on the BOM.
</t>
        </r>
        <r>
          <rPr>
            <b/>
            <i/>
            <sz val="12"/>
            <color indexed="81"/>
            <rFont val="Tahoma"/>
            <family val="2"/>
          </rPr>
          <t>Entering a number in this field</t>
        </r>
        <r>
          <rPr>
            <sz val="12"/>
            <color indexed="81"/>
            <rFont val="Tahoma"/>
            <family val="2"/>
          </rPr>
          <t xml:space="preserve"> will "over-ride" the BCX dimension shown in the Section.  Refer to the Section sketches on the SectInfo tab for the direction of +/- dimensions.</t>
        </r>
      </text>
    </comment>
    <comment ref="BS21" authorId="1" shapeId="0" xr:uid="{00000000-0006-0000-0C00-000013000000}">
      <text>
        <r>
          <rPr>
            <b/>
            <sz val="12"/>
            <color indexed="81"/>
            <rFont val="Arial"/>
            <family val="2"/>
          </rPr>
          <t xml:space="preserve">Section Number:
</t>
        </r>
        <r>
          <rPr>
            <sz val="12"/>
            <color indexed="81"/>
            <rFont val="Arial"/>
            <family val="2"/>
          </rPr>
          <t xml:space="preserve">If this value turns </t>
        </r>
        <r>
          <rPr>
            <b/>
            <sz val="12"/>
            <color indexed="10"/>
            <rFont val="Arial"/>
            <family val="2"/>
          </rPr>
          <t>bold red</t>
        </r>
        <r>
          <rPr>
            <sz val="12"/>
            <color indexed="81"/>
            <rFont val="Arial"/>
            <family val="2"/>
          </rPr>
          <t>, there is a Section Error.  Check for Short Bearing, Undefined Section or Undefined Support Type.</t>
        </r>
      </text>
    </comment>
    <comment ref="BT21" authorId="1" shapeId="0" xr:uid="{00000000-0006-0000-0C00-000014000000}">
      <text>
        <r>
          <rPr>
            <b/>
            <sz val="12"/>
            <color indexed="81"/>
            <rFont val="Arial"/>
            <family val="2"/>
          </rPr>
          <t xml:space="preserve">Beam Flange (or Girder TC)  Width:
</t>
        </r>
        <r>
          <rPr>
            <sz val="12"/>
            <color indexed="81"/>
            <rFont val="Arial"/>
            <family val="2"/>
          </rPr>
          <t xml:space="preserve">If the narrower of these 2 dimensions turns </t>
        </r>
        <r>
          <rPr>
            <b/>
            <sz val="12"/>
            <color indexed="10"/>
            <rFont val="Arial"/>
            <family val="2"/>
          </rPr>
          <t>bold red</t>
        </r>
        <r>
          <rPr>
            <sz val="12"/>
            <color indexed="81"/>
            <rFont val="Arial"/>
            <family val="2"/>
          </rPr>
          <t>, the joist setting on that support will have insufficient bearing.  Refer to the "Short Bearing" report to the right of the User Input area.</t>
        </r>
      </text>
    </comment>
    <comment ref="BV21" authorId="1" shapeId="0" xr:uid="{00000000-0006-0000-0C00-000015000000}">
      <text>
        <r>
          <rPr>
            <b/>
            <sz val="12"/>
            <color indexed="81"/>
            <rFont val="Arial"/>
            <family val="2"/>
          </rPr>
          <t xml:space="preserve">Bolt End "X":
</t>
        </r>
        <r>
          <rPr>
            <sz val="12"/>
            <color indexed="81"/>
            <rFont val="Arial"/>
            <family val="2"/>
          </rPr>
          <t xml:space="preserve">If the cell </t>
        </r>
        <r>
          <rPr>
            <sz val="12"/>
            <color indexed="10"/>
            <rFont val="Arial"/>
            <family val="2"/>
          </rPr>
          <t>background is red</t>
        </r>
        <r>
          <rPr>
            <sz val="12"/>
            <color indexed="81"/>
            <rFont val="Arial"/>
            <family val="2"/>
          </rPr>
          <t xml:space="preserve">, OSHA holes are required but not detailed.
If the "X" turns </t>
        </r>
        <r>
          <rPr>
            <b/>
            <sz val="12"/>
            <color indexed="10"/>
            <rFont val="Arial"/>
            <family val="2"/>
          </rPr>
          <t>bold red</t>
        </r>
        <r>
          <rPr>
            <sz val="12"/>
            <color indexed="81"/>
            <rFont val="Arial"/>
            <family val="2"/>
          </rPr>
          <t>, holes are detailed, but not required by OSHA.</t>
        </r>
      </text>
    </comment>
    <comment ref="BW21" authorId="1" shapeId="0" xr:uid="{00000000-0006-0000-0C00-000016000000}">
      <text>
        <r>
          <rPr>
            <b/>
            <sz val="12"/>
            <color indexed="81"/>
            <rFont val="Arial"/>
            <family val="2"/>
          </rPr>
          <t xml:space="preserve">Flange Gage:
</t>
        </r>
        <r>
          <rPr>
            <sz val="12"/>
            <color indexed="81"/>
            <rFont val="Arial"/>
            <family val="2"/>
          </rPr>
          <t xml:space="preserve">If the dimensions turn </t>
        </r>
        <r>
          <rPr>
            <b/>
            <sz val="12"/>
            <color indexed="10"/>
            <rFont val="Arial"/>
            <family val="2"/>
          </rPr>
          <t>bold red</t>
        </r>
        <r>
          <rPr>
            <sz val="12"/>
            <color indexed="81"/>
            <rFont val="Arial"/>
            <family val="2"/>
          </rPr>
          <t>, the slot length will not accommodate both flange gages.  Additional mark numbers are required.</t>
        </r>
      </text>
    </comment>
    <comment ref="BZ21" authorId="1" shapeId="0" xr:uid="{00000000-0006-0000-0C00-000017000000}">
      <text>
        <r>
          <rPr>
            <b/>
            <sz val="12"/>
            <color indexed="81"/>
            <rFont val="Arial"/>
            <family val="2"/>
          </rPr>
          <t xml:space="preserve">Bearing Surface Slope:
</t>
        </r>
        <r>
          <rPr>
            <sz val="12"/>
            <color indexed="81"/>
            <rFont val="Arial"/>
            <family val="2"/>
          </rPr>
          <t xml:space="preserve">If background turns </t>
        </r>
        <r>
          <rPr>
            <b/>
            <sz val="12"/>
            <color indexed="10"/>
            <rFont val="Arial"/>
            <family val="2"/>
          </rPr>
          <t>Red</t>
        </r>
        <r>
          <rPr>
            <sz val="12"/>
            <color indexed="81"/>
            <rFont val="Arial"/>
            <family val="2"/>
          </rPr>
          <t>, the joist is sloping and the support is skewed.
If member is setting on a hip or valley support, enter a bearing slope!!</t>
        </r>
      </text>
    </comment>
    <comment ref="CA21" authorId="1" shapeId="0" xr:uid="{00000000-0006-0000-0C00-000018000000}">
      <text>
        <r>
          <rPr>
            <b/>
            <sz val="12"/>
            <color indexed="81"/>
            <rFont val="Tahoma"/>
            <family val="2"/>
          </rPr>
          <t xml:space="preserve">BCX Control:
</t>
        </r>
        <r>
          <rPr>
            <sz val="12"/>
            <color indexed="81"/>
            <rFont val="Tahoma"/>
            <family val="2"/>
          </rPr>
          <t xml:space="preserve">"X" indicates BCX required at the specified end of the joist.  If the cell is blank, no BCX will be shown on the BOM.
</t>
        </r>
        <r>
          <rPr>
            <b/>
            <sz val="12"/>
            <color indexed="10"/>
            <rFont val="Tahoma"/>
            <family val="2"/>
          </rPr>
          <t>Bold Red</t>
        </r>
        <r>
          <rPr>
            <sz val="12"/>
            <color indexed="81"/>
            <rFont val="Tahoma"/>
            <family val="2"/>
          </rPr>
          <t xml:space="preserve"> "X" indicates no BCX information shown in the section, so no BCX will be shown on the BOM.
</t>
        </r>
        <r>
          <rPr>
            <b/>
            <i/>
            <sz val="12"/>
            <color indexed="81"/>
            <rFont val="Tahoma"/>
            <family val="2"/>
          </rPr>
          <t>Entering a number in this field</t>
        </r>
        <r>
          <rPr>
            <sz val="12"/>
            <color indexed="81"/>
            <rFont val="Tahoma"/>
            <family val="2"/>
          </rPr>
          <t xml:space="preserve"> will "over-ride" the BCX dimension shown in the Section.  Refer to the Section sketches on the SectInfo tab for the direction of +/- dimensions.</t>
        </r>
      </text>
    </comment>
    <comment ref="CH21" authorId="2" shapeId="0" xr:uid="{00000000-0006-0000-0C00-000019000000}">
      <text>
        <r>
          <rPr>
            <b/>
            <sz val="12"/>
            <color indexed="81"/>
            <rFont val="Tahoma"/>
            <family val="2"/>
          </rPr>
          <t>Seat Slot Warnings:</t>
        </r>
        <r>
          <rPr>
            <sz val="9"/>
            <color indexed="81"/>
            <rFont val="Tahoma"/>
            <family val="2"/>
          </rPr>
          <t xml:space="preserve">
</t>
        </r>
        <r>
          <rPr>
            <sz val="12"/>
            <color indexed="81"/>
            <rFont val="Tahoma"/>
            <family val="2"/>
          </rPr>
          <t>The following rules are used to determine the locations of slots in joist seats at skewed supports:
1) find common location that works for NS and FS, if not:
2) put location furthest from OL in BOM, list location nearest OL in "Warnings".
If any slot fouls with edge of bearing seat, no slot is shown on BOM.</t>
        </r>
      </text>
    </comment>
    <comment ref="BP22" authorId="1" shapeId="0" xr:uid="{00000000-0006-0000-0C00-00001A000000}">
      <text>
        <r>
          <rPr>
            <b/>
            <sz val="12"/>
            <color indexed="81"/>
            <rFont val="Arial"/>
            <family val="2"/>
          </rPr>
          <t>TCL &amp; TCR Over-rides:</t>
        </r>
        <r>
          <rPr>
            <sz val="12"/>
            <color indexed="81"/>
            <rFont val="Arial"/>
            <family val="2"/>
          </rPr>
          <t xml:space="preserve">
This over-rides the "End of Joist" dimension specified in the section.  Intended to be used for sections where the location of the end of joist varies - like at a curved deck/slab edge - without cutting multiple sections.
</t>
        </r>
        <r>
          <rPr>
            <b/>
            <sz val="12"/>
            <color indexed="10"/>
            <rFont val="Arial"/>
            <family val="2"/>
          </rPr>
          <t>Changing this dimension changes the joist Overall Length, thus affecting TCXs, BCXs and Slot Locations.</t>
        </r>
      </text>
    </comment>
    <comment ref="BQ22" authorId="1" shapeId="0" xr:uid="{00000000-0006-0000-0C00-00001B000000}">
      <text>
        <r>
          <rPr>
            <b/>
            <sz val="12"/>
            <color indexed="81"/>
            <rFont val="Tahoma"/>
            <family val="2"/>
          </rPr>
          <t xml:space="preserve">Base Length Over-Ride:
</t>
        </r>
        <r>
          <rPr>
            <sz val="12"/>
            <color indexed="81"/>
            <rFont val="Tahoma"/>
            <family val="2"/>
          </rPr>
          <t xml:space="preserve">Alters the Base Length and TCX dimensions.
If you want to use the additional clear bearing associated with deeper joist seats to shorten the TCX, enter a dimension here.
Enter the BL location from the Bay Length Reference (center of steel or face of masonry wall).  A positive dimension lengthens the BL, while a negative dimension shortens the BL.
</t>
        </r>
        <r>
          <rPr>
            <b/>
            <sz val="12"/>
            <color indexed="10"/>
            <rFont val="Tahoma"/>
            <family val="2"/>
          </rPr>
          <t>Red Bold</t>
        </r>
        <r>
          <rPr>
            <sz val="12"/>
            <color indexed="81"/>
            <rFont val="Tahoma"/>
            <family val="2"/>
          </rPr>
          <t xml:space="preserve"> indicates a dimension that exceeds the maximum allowable (the OL point of the joist) offset </t>
        </r>
        <r>
          <rPr>
            <b/>
            <i/>
            <u/>
            <sz val="12"/>
            <color indexed="81"/>
            <rFont val="Tahoma"/>
            <family val="2"/>
          </rPr>
          <t>OR</t>
        </r>
        <r>
          <rPr>
            <sz val="12"/>
            <color indexed="81"/>
            <rFont val="Tahoma"/>
            <family val="2"/>
          </rPr>
          <t xml:space="preserve"> a dimension that is less than 0".</t>
        </r>
      </text>
    </comment>
    <comment ref="BR22" authorId="1" shapeId="0" xr:uid="{00000000-0006-0000-0C00-00001C000000}">
      <text>
        <r>
          <rPr>
            <b/>
            <sz val="12"/>
            <color indexed="81"/>
            <rFont val="Tahoma"/>
            <family val="2"/>
          </rPr>
          <t xml:space="preserve">Seat Depth Over-Ride:
</t>
        </r>
        <r>
          <rPr>
            <sz val="12"/>
            <color indexed="81"/>
            <rFont val="Tahoma"/>
            <family val="2"/>
          </rPr>
          <t>Over-rides the seat depth dimension shown in the section.
If this field is blank, the BOM uses the seat depth specified in the section.</t>
        </r>
      </text>
    </comment>
    <comment ref="CB22" authorId="1" shapeId="0" xr:uid="{00000000-0006-0000-0C00-00001D000000}">
      <text>
        <r>
          <rPr>
            <b/>
            <sz val="12"/>
            <color indexed="81"/>
            <rFont val="Arial"/>
            <family val="2"/>
          </rPr>
          <t>TCL &amp; TCR Over-rides:</t>
        </r>
        <r>
          <rPr>
            <sz val="12"/>
            <color indexed="81"/>
            <rFont val="Arial"/>
            <family val="2"/>
          </rPr>
          <t xml:space="preserve">
This over-rides the "End of Joist" dimension specified in the section.  Intended to be used for sections where the location of the end of joist varies - like at a curved deck/slab edge - without cutting multiple sections.
</t>
        </r>
        <r>
          <rPr>
            <b/>
            <sz val="12"/>
            <color indexed="10"/>
            <rFont val="Arial"/>
            <family val="2"/>
          </rPr>
          <t>Changing this dimension changes the joist Overall Length, thus affecting TCXs, BCXs and Slot Locations.</t>
        </r>
      </text>
    </comment>
    <comment ref="CC22" authorId="1" shapeId="0" xr:uid="{00000000-0006-0000-0C00-00001E000000}">
      <text>
        <r>
          <rPr>
            <b/>
            <sz val="12"/>
            <color indexed="81"/>
            <rFont val="Tahoma"/>
            <family val="2"/>
          </rPr>
          <t xml:space="preserve">Base Length Over-Ride:
</t>
        </r>
        <r>
          <rPr>
            <sz val="12"/>
            <color indexed="81"/>
            <rFont val="Tahoma"/>
            <family val="2"/>
          </rPr>
          <t xml:space="preserve">Alters the Base Length and TCX dimensions.
If you want to use the additional clear bearing associated with deeper joist seats to shorten the TCX, enter a dimension here.
Enter the BL location from the Bay Length Reference (center of steel or face of masonry wall).  A positive dimension lengthens the BL, while a negative dimension shortens the BL.
</t>
        </r>
        <r>
          <rPr>
            <b/>
            <sz val="12"/>
            <color indexed="10"/>
            <rFont val="Tahoma"/>
            <family val="2"/>
          </rPr>
          <t>Red Bold</t>
        </r>
        <r>
          <rPr>
            <sz val="12"/>
            <color indexed="81"/>
            <rFont val="Tahoma"/>
            <family val="2"/>
          </rPr>
          <t xml:space="preserve"> indicates a dimension that exceeds the maximum allowable (the OL point of the joist) offset </t>
        </r>
        <r>
          <rPr>
            <b/>
            <i/>
            <u/>
            <sz val="12"/>
            <color indexed="81"/>
            <rFont val="Tahoma"/>
            <family val="2"/>
          </rPr>
          <t>OR</t>
        </r>
        <r>
          <rPr>
            <sz val="12"/>
            <color indexed="81"/>
            <rFont val="Tahoma"/>
            <family val="2"/>
          </rPr>
          <t xml:space="preserve"> a dimension that is less than 0".</t>
        </r>
      </text>
    </comment>
    <comment ref="CD22" authorId="1" shapeId="0" xr:uid="{00000000-0006-0000-0C00-00001F000000}">
      <text>
        <r>
          <rPr>
            <b/>
            <sz val="12"/>
            <color indexed="81"/>
            <rFont val="Tahoma"/>
            <family val="2"/>
          </rPr>
          <t xml:space="preserve">Seat Depth Over-Ride:
</t>
        </r>
        <r>
          <rPr>
            <sz val="12"/>
            <color indexed="81"/>
            <rFont val="Tahoma"/>
            <family val="2"/>
          </rPr>
          <t>Over-rides the seat depth dimension shown in the section.
If this field is blank, the BOM uses the seat depth specified in the section.</t>
        </r>
      </text>
    </comment>
    <comment ref="CG22" authorId="1" shapeId="0" xr:uid="{00000000-0006-0000-0C00-000020000000}">
      <text>
        <r>
          <rPr>
            <b/>
            <sz val="12"/>
            <color indexed="81"/>
            <rFont val="Arial"/>
            <family val="2"/>
          </rPr>
          <t xml:space="preserve">Special Notes:
</t>
        </r>
        <r>
          <rPr>
            <sz val="12"/>
            <color indexed="81"/>
            <rFont val="Arial"/>
            <family val="2"/>
          </rPr>
          <t>If background turnes</t>
        </r>
        <r>
          <rPr>
            <b/>
            <sz val="12"/>
            <color indexed="10"/>
            <rFont val="Arial"/>
            <family val="2"/>
          </rPr>
          <t xml:space="preserve"> red</t>
        </r>
        <r>
          <rPr>
            <sz val="12"/>
            <color indexed="81"/>
            <rFont val="Arial"/>
            <family val="2"/>
          </rPr>
          <t>, make sure there is a special note to address Seat Slot, Severe Skew or Minimum Clear Bearing Warnings.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Sellers, Rich</author>
    <author>sellersrl</author>
    <author>Rich Sellers</author>
    <author>Mike Camperman</author>
  </authors>
  <commentList>
    <comment ref="DP2" authorId="0" shapeId="0" xr:uid="{00000000-0006-0000-0D00-000001000000}">
      <text>
        <r>
          <rPr>
            <b/>
            <sz val="9"/>
            <color indexed="81"/>
            <rFont val="Tahoma"/>
            <family val="2"/>
          </rPr>
          <t>Minimum End of Slot to Edge of Material
(Min Edge Dist).</t>
        </r>
        <r>
          <rPr>
            <sz val="9"/>
            <color indexed="81"/>
            <rFont val="Tahoma"/>
            <family val="2"/>
          </rPr>
          <t xml:space="preserve">
</t>
        </r>
      </text>
    </comment>
    <comment ref="BG13" authorId="0" shapeId="0" xr:uid="{78725470-77AE-45AA-A0AE-D8CCF6468659}">
      <text>
        <r>
          <rPr>
            <b/>
            <sz val="12"/>
            <color indexed="81"/>
            <rFont val="Arial"/>
            <family val="2"/>
          </rPr>
          <t xml:space="preserve">Left (Tag) End Information:
</t>
        </r>
        <r>
          <rPr>
            <sz val="12"/>
            <color indexed="81"/>
            <rFont val="Arial"/>
            <family val="2"/>
          </rPr>
          <t xml:space="preserve">Gray Shading indicates values not needed or permitted in these fields.
Data in Gray Shaded fields </t>
        </r>
        <r>
          <rPr>
            <b/>
            <i/>
            <sz val="12"/>
            <color indexed="10"/>
            <rFont val="Arial"/>
            <family val="2"/>
          </rPr>
          <t>*may*</t>
        </r>
        <r>
          <rPr>
            <sz val="12"/>
            <color indexed="81"/>
            <rFont val="Arial"/>
            <family val="2"/>
          </rPr>
          <t xml:space="preserve"> not be considered when calculating BOM values.</t>
        </r>
      </text>
    </comment>
    <comment ref="CE13" authorId="1" shapeId="0" xr:uid="{9E72E554-BFE3-4365-B1EE-914985B4074A}">
      <text>
        <r>
          <rPr>
            <b/>
            <sz val="12"/>
            <color indexed="81"/>
            <rFont val="Arial"/>
            <family val="2"/>
          </rPr>
          <t>Joist TC Slope:</t>
        </r>
        <r>
          <rPr>
            <sz val="8"/>
            <color indexed="81"/>
            <rFont val="Tahoma"/>
            <family val="2"/>
          </rPr>
          <t xml:space="preserve">
</t>
        </r>
        <r>
          <rPr>
            <sz val="12"/>
            <color indexed="81"/>
            <rFont val="Arial"/>
            <family val="2"/>
          </rPr>
          <t>"+" if tag end is low, "-" if tag end is high.</t>
        </r>
      </text>
    </comment>
    <comment ref="CF13" authorId="2" shapeId="0" xr:uid="{1ADFC35D-4A53-436E-86F7-6645A04A4BDD}">
      <text>
        <r>
          <rPr>
            <b/>
            <sz val="12"/>
            <color indexed="81"/>
            <rFont val="Tahoma"/>
            <family val="2"/>
          </rPr>
          <t>Load/Special Notes:</t>
        </r>
        <r>
          <rPr>
            <b/>
            <sz val="9"/>
            <color indexed="81"/>
            <rFont val="Tahoma"/>
            <family val="2"/>
          </rPr>
          <t xml:space="preserve">
</t>
        </r>
        <r>
          <rPr>
            <sz val="12"/>
            <color indexed="81"/>
            <rFont val="Tahoma"/>
            <family val="2"/>
          </rPr>
          <t xml:space="preserve">If the contents turn </t>
        </r>
        <r>
          <rPr>
            <b/>
            <sz val="12"/>
            <color indexed="10"/>
            <rFont val="Tahoma"/>
            <family val="2"/>
          </rPr>
          <t>bold red</t>
        </r>
        <r>
          <rPr>
            <sz val="12"/>
            <color indexed="81"/>
            <rFont val="Tahoma"/>
            <family val="2"/>
          </rPr>
          <t xml:space="preserve">, there </t>
        </r>
        <r>
          <rPr>
            <b/>
            <sz val="12"/>
            <color indexed="81"/>
            <rFont val="Tahoma"/>
            <family val="2"/>
          </rPr>
          <t>*may*</t>
        </r>
        <r>
          <rPr>
            <sz val="12"/>
            <color indexed="81"/>
            <rFont val="Tahoma"/>
            <family val="2"/>
          </rPr>
          <t xml:space="preserve"> be too many characters to be displayed on the Printed BOM.
The detailer should ensure that all notes show up in the Printed BOM.
Consider creating a blank row immediately under the Mark and move the Special Notes to that line.</t>
        </r>
      </text>
    </comment>
    <comment ref="A14" authorId="0" shapeId="0" xr:uid="{00000000-0006-0000-0D00-000005000000}">
      <text>
        <r>
          <rPr>
            <b/>
            <sz val="12"/>
            <color indexed="81"/>
            <rFont val="Arial"/>
            <family val="2"/>
          </rPr>
          <t xml:space="preserve">Joist Mark:
</t>
        </r>
        <r>
          <rPr>
            <sz val="12"/>
            <color indexed="81"/>
            <rFont val="Arial"/>
            <family val="2"/>
          </rPr>
          <t xml:space="preserve">If this value turns </t>
        </r>
        <r>
          <rPr>
            <b/>
            <sz val="12"/>
            <color indexed="10"/>
            <rFont val="Arial"/>
            <family val="2"/>
          </rPr>
          <t>bold red</t>
        </r>
        <r>
          <rPr>
            <sz val="12"/>
            <color indexed="81"/>
            <rFont val="Arial"/>
            <family val="2"/>
          </rPr>
          <t xml:space="preserve"> (and there is a quantity of zero), the joist the joist mark is not listed on any S(*) pages of the current BOM view.</t>
        </r>
      </text>
    </comment>
    <comment ref="C14" authorId="3" shapeId="0" xr:uid="{00000000-0006-0000-0D00-000006000000}">
      <text>
        <r>
          <rPr>
            <sz val="14"/>
            <color indexed="81"/>
            <rFont val="Arial"/>
            <family val="2"/>
          </rPr>
          <t xml:space="preserve">If Size is </t>
        </r>
        <r>
          <rPr>
            <b/>
            <sz val="14"/>
            <color indexed="10"/>
            <rFont val="Arial"/>
            <family val="2"/>
          </rPr>
          <t>BOLD RED</t>
        </r>
        <r>
          <rPr>
            <sz val="14"/>
            <color indexed="81"/>
            <rFont val="Arial"/>
            <family val="2"/>
          </rPr>
          <t xml:space="preserve"> then this Mark will NOT import into the Design program.
</t>
        </r>
      </text>
    </comment>
    <comment ref="D14" authorId="2" shapeId="0" xr:uid="{00000000-0006-0000-0D00-000007000000}">
      <text>
        <r>
          <rPr>
            <b/>
            <sz val="12"/>
            <color indexed="81"/>
            <rFont val="Arial"/>
            <family val="2"/>
          </rPr>
          <t>Joist OL Length:</t>
        </r>
        <r>
          <rPr>
            <sz val="12"/>
            <color indexed="81"/>
            <rFont val="Arial"/>
            <family val="2"/>
          </rPr>
          <t xml:space="preserve">
If the value turns</t>
        </r>
        <r>
          <rPr>
            <b/>
            <sz val="12"/>
            <color indexed="10"/>
            <rFont val="Arial"/>
            <family val="2"/>
          </rPr>
          <t xml:space="preserve"> Red</t>
        </r>
        <r>
          <rPr>
            <sz val="12"/>
            <color indexed="81"/>
            <rFont val="Arial"/>
            <family val="2"/>
          </rPr>
          <t>, the BL of the joist exceeds the maximum span for the joist depth.</t>
        </r>
      </text>
    </comment>
    <comment ref="T14" authorId="3" shapeId="0" xr:uid="{00000000-0006-0000-0D00-000008000000}">
      <text>
        <r>
          <rPr>
            <sz val="14"/>
            <color indexed="81"/>
            <rFont val="Arial"/>
            <family val="2"/>
          </rPr>
          <t xml:space="preserve">If the slot location is </t>
        </r>
        <r>
          <rPr>
            <b/>
            <sz val="14"/>
            <color indexed="10"/>
            <rFont val="Arial"/>
            <family val="2"/>
          </rPr>
          <t>BOLD RED</t>
        </r>
        <r>
          <rPr>
            <sz val="14"/>
            <color indexed="81"/>
            <rFont val="Arial"/>
            <family val="2"/>
          </rPr>
          <t xml:space="preserve"> then the slot is too close to the edge of the seat material.</t>
        </r>
      </text>
    </comment>
    <comment ref="AA14" authorId="1" shapeId="0" xr:uid="{00000000-0006-0000-0D00-000009000000}">
      <text>
        <r>
          <rPr>
            <sz val="14"/>
            <color indexed="81"/>
            <rFont val="Arial"/>
            <family val="2"/>
          </rPr>
          <t xml:space="preserve">If Notes become </t>
        </r>
        <r>
          <rPr>
            <sz val="14"/>
            <color indexed="10"/>
            <rFont val="Arial"/>
            <family val="2"/>
          </rPr>
          <t>RED</t>
        </r>
        <r>
          <rPr>
            <sz val="14"/>
            <color indexed="81"/>
            <rFont val="Arial"/>
            <family val="2"/>
          </rPr>
          <t>, then the number of characters exceeds the printed width of the column and may not appear on the printed BOM.</t>
        </r>
      </text>
    </comment>
    <comment ref="BD14" authorId="1" shapeId="0" xr:uid="{C261570D-851F-4906-BD15-8EE70E754707}">
      <text>
        <r>
          <rPr>
            <b/>
            <sz val="12"/>
            <color indexed="81"/>
            <rFont val="Arial"/>
            <family val="2"/>
          </rPr>
          <t xml:space="preserve">Joist Size:
</t>
        </r>
        <r>
          <rPr>
            <sz val="12"/>
            <color indexed="81"/>
            <rFont val="Arial"/>
            <family val="2"/>
          </rPr>
          <t xml:space="preserve">If this value turns </t>
        </r>
        <r>
          <rPr>
            <b/>
            <sz val="12"/>
            <color indexed="10"/>
            <rFont val="Arial"/>
            <family val="2"/>
          </rPr>
          <t>bold red</t>
        </r>
        <r>
          <rPr>
            <sz val="12"/>
            <color indexed="81"/>
            <rFont val="Arial"/>
            <family val="2"/>
          </rPr>
          <t>, the joist designation will not import into the design program.</t>
        </r>
      </text>
    </comment>
    <comment ref="BE14" authorId="1" shapeId="0" xr:uid="{630CED11-6EEC-4ACB-8E9C-1306CE8A431F}">
      <text>
        <r>
          <rPr>
            <b/>
            <sz val="12"/>
            <color indexed="81"/>
            <rFont val="Arial"/>
            <family val="2"/>
          </rPr>
          <t xml:space="preserve">Joist "Bay Length":
</t>
        </r>
        <r>
          <rPr>
            <sz val="12"/>
            <color indexed="81"/>
            <rFont val="Arial"/>
            <family val="2"/>
          </rPr>
          <t xml:space="preserve">If this dimension turns </t>
        </r>
        <r>
          <rPr>
            <b/>
            <sz val="12"/>
            <color indexed="10"/>
            <rFont val="Arial"/>
            <family val="2"/>
          </rPr>
          <t>bold red</t>
        </r>
        <r>
          <rPr>
            <sz val="12"/>
            <color indexed="81"/>
            <rFont val="Arial"/>
            <family val="2"/>
          </rPr>
          <t>, the joist is over-spanned .</t>
        </r>
      </text>
    </comment>
    <comment ref="BG14" authorId="1" shapeId="0" xr:uid="{DCD62DB0-3FC3-482F-A4C6-8DCEEACFA1D7}">
      <text>
        <r>
          <rPr>
            <b/>
            <sz val="12"/>
            <color indexed="81"/>
            <rFont val="Arial"/>
            <family val="2"/>
          </rPr>
          <t xml:space="preserve">Section Number:
</t>
        </r>
        <r>
          <rPr>
            <sz val="12"/>
            <color indexed="81"/>
            <rFont val="Arial"/>
            <family val="2"/>
          </rPr>
          <t xml:space="preserve">If this value turns </t>
        </r>
        <r>
          <rPr>
            <b/>
            <sz val="12"/>
            <color indexed="10"/>
            <rFont val="Arial"/>
            <family val="2"/>
          </rPr>
          <t>bold red</t>
        </r>
        <r>
          <rPr>
            <sz val="12"/>
            <color indexed="81"/>
            <rFont val="Arial"/>
            <family val="2"/>
          </rPr>
          <t>, there is a Section Error.  Check for Short Bearing, Undefined Section or Undefined Support Type.</t>
        </r>
      </text>
    </comment>
    <comment ref="BH14" authorId="1" shapeId="0" xr:uid="{7AACDB53-B21B-4F0E-8C22-972B626D600F}">
      <text>
        <r>
          <rPr>
            <b/>
            <sz val="12"/>
            <color indexed="81"/>
            <rFont val="Arial"/>
            <family val="2"/>
          </rPr>
          <t xml:space="preserve">Beam Flange (or Girder TC)  Width:
</t>
        </r>
        <r>
          <rPr>
            <sz val="12"/>
            <color indexed="81"/>
            <rFont val="Arial"/>
            <family val="2"/>
          </rPr>
          <t xml:space="preserve">If the narrower of these 2 dimensions turns </t>
        </r>
        <r>
          <rPr>
            <b/>
            <sz val="12"/>
            <color indexed="10"/>
            <rFont val="Arial"/>
            <family val="2"/>
          </rPr>
          <t>bold red</t>
        </r>
        <r>
          <rPr>
            <sz val="12"/>
            <color indexed="81"/>
            <rFont val="Arial"/>
            <family val="2"/>
          </rPr>
          <t>, the joist setting on that support will have insufficient bearing.  Refer to the "Short Bearing" report to the right of the User Input area.
If bold red + gray background, there is a "Clear Bearing" dimension in the SectInfo and the Beam Width values should be deleted to avoid conflicts with TCX Dimensions.</t>
        </r>
      </text>
    </comment>
    <comment ref="BJ14" authorId="1" shapeId="0" xr:uid="{784C5D3E-1992-4024-8949-9123CEFEC15B}">
      <text>
        <r>
          <rPr>
            <b/>
            <sz val="12"/>
            <color indexed="81"/>
            <rFont val="Arial"/>
            <family val="2"/>
          </rPr>
          <t xml:space="preserve">Bolt End "X":
</t>
        </r>
        <r>
          <rPr>
            <sz val="12"/>
            <color indexed="81"/>
            <rFont val="Arial"/>
            <family val="2"/>
          </rPr>
          <t xml:space="preserve">If the cell </t>
        </r>
        <r>
          <rPr>
            <sz val="12"/>
            <color indexed="10"/>
            <rFont val="Arial"/>
            <family val="2"/>
          </rPr>
          <t>background is red</t>
        </r>
        <r>
          <rPr>
            <sz val="12"/>
            <color indexed="81"/>
            <rFont val="Arial"/>
            <family val="2"/>
          </rPr>
          <t xml:space="preserve">, OSHA holes are required but not detailed.
If the "X" turns </t>
        </r>
        <r>
          <rPr>
            <b/>
            <sz val="12"/>
            <color indexed="10"/>
            <rFont val="Arial"/>
            <family val="2"/>
          </rPr>
          <t>bold red</t>
        </r>
        <r>
          <rPr>
            <sz val="12"/>
            <color indexed="81"/>
            <rFont val="Arial"/>
            <family val="2"/>
          </rPr>
          <t>, holes are detailed, but not required by OSHA.</t>
        </r>
      </text>
    </comment>
    <comment ref="BK14" authorId="1" shapeId="0" xr:uid="{BD3A962E-0811-4E33-A1F8-F8E7B341357B}">
      <text>
        <r>
          <rPr>
            <b/>
            <sz val="12"/>
            <color indexed="81"/>
            <rFont val="Arial"/>
            <family val="2"/>
          </rPr>
          <t xml:space="preserve">Flange Gage:
</t>
        </r>
        <r>
          <rPr>
            <sz val="12"/>
            <color indexed="81"/>
            <rFont val="Arial"/>
            <family val="2"/>
          </rPr>
          <t xml:space="preserve">If the dimensions turn </t>
        </r>
        <r>
          <rPr>
            <b/>
            <sz val="12"/>
            <color indexed="10"/>
            <rFont val="Arial"/>
            <family val="2"/>
          </rPr>
          <t>bold red</t>
        </r>
        <r>
          <rPr>
            <sz val="12"/>
            <color indexed="81"/>
            <rFont val="Arial"/>
            <family val="2"/>
          </rPr>
          <t>, the slot length will not accommodate both flange gages.  Additional mark numbers are required.</t>
        </r>
      </text>
    </comment>
    <comment ref="BN14" authorId="1" shapeId="0" xr:uid="{55086126-6FD9-408F-B5E6-37B7B90AEEDD}">
      <text>
        <r>
          <rPr>
            <b/>
            <sz val="12"/>
            <color indexed="81"/>
            <rFont val="Arial"/>
            <family val="2"/>
          </rPr>
          <t xml:space="preserve">Bearing Surface Slope:
</t>
        </r>
        <r>
          <rPr>
            <sz val="12"/>
            <color indexed="81"/>
            <rFont val="Arial"/>
            <family val="2"/>
          </rPr>
          <t xml:space="preserve">If background turns </t>
        </r>
        <r>
          <rPr>
            <b/>
            <sz val="12"/>
            <color indexed="10"/>
            <rFont val="Arial"/>
            <family val="2"/>
          </rPr>
          <t>Red</t>
        </r>
        <r>
          <rPr>
            <sz val="12"/>
            <color indexed="81"/>
            <rFont val="Arial"/>
            <family val="2"/>
          </rPr>
          <t>, the joist is sloping and the support is skewed.
If member is setting on a hip or valley support, enter a bearing slope!!</t>
        </r>
      </text>
    </comment>
    <comment ref="BO14" authorId="1" shapeId="0" xr:uid="{9DBA945C-5D4F-4888-B4E8-0AEAB5954A9E}">
      <text>
        <r>
          <rPr>
            <b/>
            <sz val="12"/>
            <color indexed="81"/>
            <rFont val="Tahoma"/>
            <family val="2"/>
          </rPr>
          <t xml:space="preserve">BCX Control:
</t>
        </r>
        <r>
          <rPr>
            <sz val="12"/>
            <color indexed="81"/>
            <rFont val="Tahoma"/>
            <family val="2"/>
          </rPr>
          <t xml:space="preserve">"X" indicates BCX required at the specified end of the joist.  If the cell is blank, no BCX will be shown on the BOM.
</t>
        </r>
        <r>
          <rPr>
            <b/>
            <sz val="12"/>
            <color indexed="10"/>
            <rFont val="Tahoma"/>
            <family val="2"/>
          </rPr>
          <t>Bold Red</t>
        </r>
        <r>
          <rPr>
            <sz val="12"/>
            <color indexed="81"/>
            <rFont val="Tahoma"/>
            <family val="2"/>
          </rPr>
          <t xml:space="preserve"> "X" indicates no BCX information shown in the section, so no BCX will be shown on the BOM.
</t>
        </r>
        <r>
          <rPr>
            <b/>
            <i/>
            <sz val="12"/>
            <color indexed="81"/>
            <rFont val="Tahoma"/>
            <family val="2"/>
          </rPr>
          <t>Entering a number in this field</t>
        </r>
        <r>
          <rPr>
            <sz val="12"/>
            <color indexed="81"/>
            <rFont val="Tahoma"/>
            <family val="2"/>
          </rPr>
          <t xml:space="preserve"> will "over-ride" the BCX dimension shown in the Section.  Refer to the Section sketches on the SectInfo tab for the direction of +/- dimensions.</t>
        </r>
      </text>
    </comment>
    <comment ref="BS14" authorId="1" shapeId="0" xr:uid="{123DB7BF-056E-4308-8C0B-948CA0B76BEF}">
      <text>
        <r>
          <rPr>
            <b/>
            <sz val="12"/>
            <color indexed="81"/>
            <rFont val="Arial"/>
            <family val="2"/>
          </rPr>
          <t xml:space="preserve">Section Number:
</t>
        </r>
        <r>
          <rPr>
            <sz val="12"/>
            <color indexed="81"/>
            <rFont val="Arial"/>
            <family val="2"/>
          </rPr>
          <t xml:space="preserve">If this value turns </t>
        </r>
        <r>
          <rPr>
            <b/>
            <sz val="12"/>
            <color indexed="10"/>
            <rFont val="Arial"/>
            <family val="2"/>
          </rPr>
          <t>bold red</t>
        </r>
        <r>
          <rPr>
            <sz val="12"/>
            <color indexed="81"/>
            <rFont val="Arial"/>
            <family val="2"/>
          </rPr>
          <t>, there is a Section Error.  Check for Short Bearing, Undefined Section or Undefined Support Type.</t>
        </r>
      </text>
    </comment>
    <comment ref="BT14" authorId="1" shapeId="0" xr:uid="{4782F35B-2ACE-4E21-8A34-A3FC54BA6B53}">
      <text>
        <r>
          <rPr>
            <b/>
            <sz val="12"/>
            <color indexed="81"/>
            <rFont val="Arial"/>
            <family val="2"/>
          </rPr>
          <t xml:space="preserve">Beam Flange (or Girder TC)  Width:
</t>
        </r>
        <r>
          <rPr>
            <sz val="12"/>
            <color indexed="81"/>
            <rFont val="Arial"/>
            <family val="2"/>
          </rPr>
          <t xml:space="preserve">If the narrower of these 2 dimensions turns </t>
        </r>
        <r>
          <rPr>
            <b/>
            <sz val="12"/>
            <color indexed="10"/>
            <rFont val="Arial"/>
            <family val="2"/>
          </rPr>
          <t>bold red</t>
        </r>
        <r>
          <rPr>
            <sz val="12"/>
            <color indexed="81"/>
            <rFont val="Arial"/>
            <family val="2"/>
          </rPr>
          <t>, the joist setting on that support will have insufficient bearing.  Refer to the "Short Bearing" report to the right of the User Input area.</t>
        </r>
      </text>
    </comment>
    <comment ref="BV14" authorId="1" shapeId="0" xr:uid="{03A9EAD4-7D68-4615-909B-BFBC1AB37D96}">
      <text>
        <r>
          <rPr>
            <b/>
            <sz val="12"/>
            <color indexed="81"/>
            <rFont val="Arial"/>
            <family val="2"/>
          </rPr>
          <t xml:space="preserve">Bolt End "X":
</t>
        </r>
        <r>
          <rPr>
            <sz val="12"/>
            <color indexed="81"/>
            <rFont val="Arial"/>
            <family val="2"/>
          </rPr>
          <t xml:space="preserve">If the cell </t>
        </r>
        <r>
          <rPr>
            <sz val="12"/>
            <color indexed="10"/>
            <rFont val="Arial"/>
            <family val="2"/>
          </rPr>
          <t>background is red</t>
        </r>
        <r>
          <rPr>
            <sz val="12"/>
            <color indexed="81"/>
            <rFont val="Arial"/>
            <family val="2"/>
          </rPr>
          <t xml:space="preserve">, OSHA holes are required but not detailed.
If the "X" turns </t>
        </r>
        <r>
          <rPr>
            <b/>
            <sz val="12"/>
            <color indexed="10"/>
            <rFont val="Arial"/>
            <family val="2"/>
          </rPr>
          <t>bold red</t>
        </r>
        <r>
          <rPr>
            <sz val="12"/>
            <color indexed="81"/>
            <rFont val="Arial"/>
            <family val="2"/>
          </rPr>
          <t>, holes are detailed, but not required by OSHA.</t>
        </r>
      </text>
    </comment>
    <comment ref="BW14" authorId="1" shapeId="0" xr:uid="{9BBE40F2-8901-4726-B184-1B75EA1921E8}">
      <text>
        <r>
          <rPr>
            <b/>
            <sz val="12"/>
            <color indexed="81"/>
            <rFont val="Arial"/>
            <family val="2"/>
          </rPr>
          <t xml:space="preserve">Flange Gage:
</t>
        </r>
        <r>
          <rPr>
            <sz val="12"/>
            <color indexed="81"/>
            <rFont val="Arial"/>
            <family val="2"/>
          </rPr>
          <t xml:space="preserve">If the dimensions turn </t>
        </r>
        <r>
          <rPr>
            <b/>
            <sz val="12"/>
            <color indexed="10"/>
            <rFont val="Arial"/>
            <family val="2"/>
          </rPr>
          <t>bold red</t>
        </r>
        <r>
          <rPr>
            <sz val="12"/>
            <color indexed="81"/>
            <rFont val="Arial"/>
            <family val="2"/>
          </rPr>
          <t>, the slot length will not accommodate both flange gages.  Additional mark numbers are required.</t>
        </r>
      </text>
    </comment>
    <comment ref="BZ14" authorId="1" shapeId="0" xr:uid="{4E23704C-70B0-4FA1-933F-B8745A77A8C0}">
      <text>
        <r>
          <rPr>
            <b/>
            <sz val="12"/>
            <color indexed="81"/>
            <rFont val="Arial"/>
            <family val="2"/>
          </rPr>
          <t xml:space="preserve">Bearing Surface Slope:
</t>
        </r>
        <r>
          <rPr>
            <sz val="12"/>
            <color indexed="81"/>
            <rFont val="Arial"/>
            <family val="2"/>
          </rPr>
          <t xml:space="preserve">If background turns </t>
        </r>
        <r>
          <rPr>
            <b/>
            <sz val="12"/>
            <color indexed="10"/>
            <rFont val="Arial"/>
            <family val="2"/>
          </rPr>
          <t>Red</t>
        </r>
        <r>
          <rPr>
            <sz val="12"/>
            <color indexed="81"/>
            <rFont val="Arial"/>
            <family val="2"/>
          </rPr>
          <t>, the joist is sloping and the support is skewed.
If member is setting on a hip or valley support, enter a bearing slope!!</t>
        </r>
      </text>
    </comment>
    <comment ref="CA14" authorId="1" shapeId="0" xr:uid="{8CBF3B2D-EFD1-48E6-8C27-05B5611E49C6}">
      <text>
        <r>
          <rPr>
            <b/>
            <sz val="12"/>
            <color indexed="81"/>
            <rFont val="Tahoma"/>
            <family val="2"/>
          </rPr>
          <t xml:space="preserve">BCX Control:
</t>
        </r>
        <r>
          <rPr>
            <sz val="12"/>
            <color indexed="81"/>
            <rFont val="Tahoma"/>
            <family val="2"/>
          </rPr>
          <t xml:space="preserve">"X" indicates BCX required at the specified end of the joist.  If the cell is blank, no BCX will be shown on the BOM.
</t>
        </r>
        <r>
          <rPr>
            <b/>
            <sz val="12"/>
            <color indexed="10"/>
            <rFont val="Tahoma"/>
            <family val="2"/>
          </rPr>
          <t>Bold Red</t>
        </r>
        <r>
          <rPr>
            <sz val="12"/>
            <color indexed="81"/>
            <rFont val="Tahoma"/>
            <family val="2"/>
          </rPr>
          <t xml:space="preserve"> "X" indicates no BCX information shown in the section, so no BCX will be shown on the BOM.
</t>
        </r>
        <r>
          <rPr>
            <b/>
            <i/>
            <sz val="12"/>
            <color indexed="81"/>
            <rFont val="Tahoma"/>
            <family val="2"/>
          </rPr>
          <t>Entering a number in this field</t>
        </r>
        <r>
          <rPr>
            <sz val="12"/>
            <color indexed="81"/>
            <rFont val="Tahoma"/>
            <family val="2"/>
          </rPr>
          <t xml:space="preserve"> will "over-ride" the BCX dimension shown in the Section.  Refer to the Section sketches on the SectInfo tab for the direction of +/- dimensions.</t>
        </r>
      </text>
    </comment>
    <comment ref="CH14" authorId="2" shapeId="0" xr:uid="{00000000-0006-0000-0D00-00001A000000}">
      <text>
        <r>
          <rPr>
            <b/>
            <sz val="12"/>
            <color indexed="81"/>
            <rFont val="Tahoma"/>
            <family val="2"/>
          </rPr>
          <t>Seat Slot Warnings:</t>
        </r>
        <r>
          <rPr>
            <sz val="9"/>
            <color indexed="81"/>
            <rFont val="Tahoma"/>
            <family val="2"/>
          </rPr>
          <t xml:space="preserve">
</t>
        </r>
        <r>
          <rPr>
            <sz val="12"/>
            <color indexed="81"/>
            <rFont val="Tahoma"/>
            <family val="2"/>
          </rPr>
          <t>The following rules are used to determine the locations of slots in joist seats at skewed supports:
1) find common location that works for NS and FS, if not:
2) put location furthest from OL in BOM, list location nearest OL in "Warnings".
If any slot fouls with edge of bearing seat, no slot is shown on BOM.</t>
        </r>
      </text>
    </comment>
    <comment ref="BP15" authorId="1" shapeId="0" xr:uid="{F678BCE0-9A6F-4478-9D87-003A91607C29}">
      <text>
        <r>
          <rPr>
            <b/>
            <sz val="12"/>
            <color indexed="81"/>
            <rFont val="Arial"/>
            <family val="2"/>
          </rPr>
          <t>TCL &amp; TCR Over-rides:</t>
        </r>
        <r>
          <rPr>
            <sz val="12"/>
            <color indexed="81"/>
            <rFont val="Arial"/>
            <family val="2"/>
          </rPr>
          <t xml:space="preserve">
This over-rides the "End of Joist" dimension specified in the section.  Intended to be used for sections where the location of the end of joist varies - like at a curved deck/slab edge - without cutting multiple sections.
</t>
        </r>
        <r>
          <rPr>
            <b/>
            <sz val="12"/>
            <color indexed="10"/>
            <rFont val="Arial"/>
            <family val="2"/>
          </rPr>
          <t>Changing this dimension changes the joist Overall Length, thus affecting TCXs, BCXs and Slot Locations.</t>
        </r>
      </text>
    </comment>
    <comment ref="BQ15" authorId="1" shapeId="0" xr:uid="{CF58B069-B46C-4C89-B07D-EC98E6310BBB}">
      <text>
        <r>
          <rPr>
            <b/>
            <sz val="12"/>
            <color indexed="81"/>
            <rFont val="Tahoma"/>
            <family val="2"/>
          </rPr>
          <t xml:space="preserve">Base Length Over-Ride:
</t>
        </r>
        <r>
          <rPr>
            <sz val="12"/>
            <color indexed="81"/>
            <rFont val="Tahoma"/>
            <family val="2"/>
          </rPr>
          <t xml:space="preserve">Alters the Base Length and TCX dimensions.
If you want to use the additional clear bearing associated with deeper joist seats to shorten the TCX, enter a dimension here.
Enter the BL location from the Bay Length Reference (center of steel or face of masonry wall).  A positive dimension lengthens the BL, while a negative dimension shortens the BL.
</t>
        </r>
        <r>
          <rPr>
            <b/>
            <sz val="12"/>
            <color indexed="10"/>
            <rFont val="Tahoma"/>
            <family val="2"/>
          </rPr>
          <t>Red Bold</t>
        </r>
        <r>
          <rPr>
            <sz val="12"/>
            <color indexed="81"/>
            <rFont val="Tahoma"/>
            <family val="2"/>
          </rPr>
          <t xml:space="preserve"> indicates a dimension that exceeds the maximum allowable (the OL point of the joist) offset </t>
        </r>
        <r>
          <rPr>
            <b/>
            <i/>
            <u/>
            <sz val="12"/>
            <color indexed="81"/>
            <rFont val="Tahoma"/>
            <family val="2"/>
          </rPr>
          <t>OR</t>
        </r>
        <r>
          <rPr>
            <sz val="12"/>
            <color indexed="81"/>
            <rFont val="Tahoma"/>
            <family val="2"/>
          </rPr>
          <t xml:space="preserve"> a dimension that is less than 0".</t>
        </r>
      </text>
    </comment>
    <comment ref="BR15" authorId="1" shapeId="0" xr:uid="{3CDEB46D-1249-4440-B8D0-F97DC1D73E39}">
      <text>
        <r>
          <rPr>
            <b/>
            <sz val="12"/>
            <color indexed="81"/>
            <rFont val="Tahoma"/>
            <family val="2"/>
          </rPr>
          <t xml:space="preserve">Seat Depth Over-Ride:
</t>
        </r>
        <r>
          <rPr>
            <sz val="12"/>
            <color indexed="81"/>
            <rFont val="Tahoma"/>
            <family val="2"/>
          </rPr>
          <t>Over-rides the seat depth dimension shown in the section.
If this field is blank, the BOM uses the seat depth specified in the section.</t>
        </r>
      </text>
    </comment>
    <comment ref="CB15" authorId="1" shapeId="0" xr:uid="{4BE56F68-45C0-4167-8F0E-61682AFF8D89}">
      <text>
        <r>
          <rPr>
            <b/>
            <sz val="12"/>
            <color indexed="81"/>
            <rFont val="Arial"/>
            <family val="2"/>
          </rPr>
          <t>TCL &amp; TCR Over-rides:</t>
        </r>
        <r>
          <rPr>
            <sz val="12"/>
            <color indexed="81"/>
            <rFont val="Arial"/>
            <family val="2"/>
          </rPr>
          <t xml:space="preserve">
This over-rides the "End of Joist" dimension specified in the section.  Intended to be used for sections where the location of the end of joist varies - like at a curved deck/slab edge - without cutting multiple sections.
</t>
        </r>
        <r>
          <rPr>
            <b/>
            <sz val="12"/>
            <color indexed="10"/>
            <rFont val="Arial"/>
            <family val="2"/>
          </rPr>
          <t>Changing this dimension changes the joist Overall Length, thus affecting TCXs, BCXs and Slot Locations.</t>
        </r>
      </text>
    </comment>
    <comment ref="CC15" authorId="1" shapeId="0" xr:uid="{63BB9115-AEE6-41AA-B0FC-3C726EE4D697}">
      <text>
        <r>
          <rPr>
            <b/>
            <sz val="12"/>
            <color indexed="81"/>
            <rFont val="Tahoma"/>
            <family val="2"/>
          </rPr>
          <t xml:space="preserve">Base Length Over-Ride:
</t>
        </r>
        <r>
          <rPr>
            <sz val="12"/>
            <color indexed="81"/>
            <rFont val="Tahoma"/>
            <family val="2"/>
          </rPr>
          <t xml:space="preserve">Alters the Base Length and TCX dimensions.
If you want to use the additional clear bearing associated with deeper joist seats to shorten the TCX, enter a dimension here.
Enter the BL location from the Bay Length Reference (center of steel or face of masonry wall).  A positive dimension lengthens the BL, while a negative dimension shortens the BL.
</t>
        </r>
        <r>
          <rPr>
            <b/>
            <sz val="12"/>
            <color indexed="10"/>
            <rFont val="Tahoma"/>
            <family val="2"/>
          </rPr>
          <t>Red Bold</t>
        </r>
        <r>
          <rPr>
            <sz val="12"/>
            <color indexed="81"/>
            <rFont val="Tahoma"/>
            <family val="2"/>
          </rPr>
          <t xml:space="preserve"> indicates a dimension that exceeds the maximum allowable (the OL point of the joist) offset </t>
        </r>
        <r>
          <rPr>
            <b/>
            <i/>
            <u/>
            <sz val="12"/>
            <color indexed="81"/>
            <rFont val="Tahoma"/>
            <family val="2"/>
          </rPr>
          <t>OR</t>
        </r>
        <r>
          <rPr>
            <sz val="12"/>
            <color indexed="81"/>
            <rFont val="Tahoma"/>
            <family val="2"/>
          </rPr>
          <t xml:space="preserve"> a dimension that is less than 0".</t>
        </r>
      </text>
    </comment>
    <comment ref="CD15" authorId="1" shapeId="0" xr:uid="{467EBCEB-B1B0-4587-A7C8-F776B92D451E}">
      <text>
        <r>
          <rPr>
            <b/>
            <sz val="12"/>
            <color indexed="81"/>
            <rFont val="Tahoma"/>
            <family val="2"/>
          </rPr>
          <t xml:space="preserve">Seat Depth Over-Ride:
</t>
        </r>
        <r>
          <rPr>
            <sz val="12"/>
            <color indexed="81"/>
            <rFont val="Tahoma"/>
            <family val="2"/>
          </rPr>
          <t>Over-rides the seat depth dimension shown in the section.
If this field is blank, the BOM uses the seat depth specified in the section.</t>
        </r>
      </text>
    </comment>
    <comment ref="CG15" authorId="1" shapeId="0" xr:uid="{B57A5E09-955C-4968-A2C9-DE4C33AE1CD6}">
      <text>
        <r>
          <rPr>
            <b/>
            <sz val="12"/>
            <color indexed="81"/>
            <rFont val="Arial"/>
            <family val="2"/>
          </rPr>
          <t xml:space="preserve">Special Notes:
</t>
        </r>
        <r>
          <rPr>
            <sz val="12"/>
            <color indexed="81"/>
            <rFont val="Arial"/>
            <family val="2"/>
          </rPr>
          <t>If background turnes</t>
        </r>
        <r>
          <rPr>
            <b/>
            <sz val="12"/>
            <color indexed="10"/>
            <rFont val="Arial"/>
            <family val="2"/>
          </rPr>
          <t xml:space="preserve"> red</t>
        </r>
        <r>
          <rPr>
            <sz val="12"/>
            <color indexed="81"/>
            <rFont val="Arial"/>
            <family val="2"/>
          </rPr>
          <t>, make sure there is a special note to address Seat Slot, Severe Skew or Minimum Clear Bearing Warnings.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Sellers, Rich</author>
    <author>sellersrl</author>
  </authors>
  <commentList>
    <comment ref="A25" authorId="0" shapeId="0" xr:uid="{00000000-0006-0000-0E00-000001000000}">
      <text>
        <r>
          <rPr>
            <b/>
            <sz val="12"/>
            <color indexed="81"/>
            <rFont val="Arial"/>
            <family val="2"/>
          </rPr>
          <t>Bridging Mark</t>
        </r>
        <r>
          <rPr>
            <sz val="12"/>
            <color indexed="81"/>
            <rFont val="Arial"/>
            <family val="2"/>
          </rPr>
          <t xml:space="preserve">:
If this value turns </t>
        </r>
        <r>
          <rPr>
            <b/>
            <sz val="12"/>
            <color indexed="10"/>
            <rFont val="Arial"/>
            <family val="2"/>
          </rPr>
          <t>bold red</t>
        </r>
        <r>
          <rPr>
            <sz val="12"/>
            <color indexed="81"/>
            <rFont val="Arial"/>
            <family val="2"/>
          </rPr>
          <t xml:space="preserve"> (and there is a quantity of zero), the joist the joist mark is not listed on any S(*) pages of the current BOM view.</t>
        </r>
      </text>
    </comment>
    <comment ref="D25" authorId="1" shapeId="0" xr:uid="{00000000-0006-0000-0E00-000002000000}">
      <text>
        <r>
          <rPr>
            <b/>
            <sz val="10"/>
            <color indexed="81"/>
            <rFont val="Arial"/>
            <family val="2"/>
          </rPr>
          <t xml:space="preserve">Material:
</t>
        </r>
        <r>
          <rPr>
            <sz val="10"/>
            <color indexed="81"/>
            <rFont val="Arial"/>
            <family val="2"/>
          </rPr>
          <t xml:space="preserve">If the information turns </t>
        </r>
        <r>
          <rPr>
            <b/>
            <sz val="10"/>
            <color indexed="10"/>
            <rFont val="Arial"/>
            <family val="2"/>
          </rPr>
          <t>Bold Red</t>
        </r>
        <r>
          <rPr>
            <sz val="10"/>
            <color indexed="81"/>
            <rFont val="Arial"/>
            <family val="2"/>
          </rPr>
          <t xml:space="preserve">, the material can't be used for bolted bridging
</t>
        </r>
        <r>
          <rPr>
            <b/>
            <sz val="10"/>
            <color indexed="81"/>
            <rFont val="Arial"/>
            <family val="2"/>
          </rPr>
          <t>-OR-</t>
        </r>
        <r>
          <rPr>
            <sz val="10"/>
            <color indexed="81"/>
            <rFont val="Arial"/>
            <family val="2"/>
          </rPr>
          <t xml:space="preserve">
the material specified is not a valid material designation.</t>
        </r>
      </text>
    </comment>
    <comment ref="E25" authorId="1" shapeId="0" xr:uid="{00000000-0006-0000-0E00-000003000000}">
      <text>
        <r>
          <rPr>
            <b/>
            <sz val="10"/>
            <color indexed="81"/>
            <rFont val="Arial"/>
            <family val="2"/>
          </rPr>
          <t xml:space="preserve">Bridging Type:
</t>
        </r>
        <r>
          <rPr>
            <sz val="10"/>
            <color indexed="81"/>
            <rFont val="Arial"/>
            <family val="2"/>
          </rPr>
          <t xml:space="preserve">If the information turns </t>
        </r>
        <r>
          <rPr>
            <b/>
            <sz val="10"/>
            <color indexed="10"/>
            <rFont val="Arial"/>
            <family val="2"/>
          </rPr>
          <t>Bold Red</t>
        </r>
        <r>
          <rPr>
            <sz val="10"/>
            <color indexed="81"/>
            <rFont val="Arial"/>
            <family val="2"/>
          </rPr>
          <t xml:space="preserve">, the information will not upload into the design program
</t>
        </r>
        <r>
          <rPr>
            <b/>
            <sz val="10"/>
            <color indexed="81"/>
            <rFont val="Arial"/>
            <family val="2"/>
          </rPr>
          <t>-OR-</t>
        </r>
        <r>
          <rPr>
            <sz val="10"/>
            <color indexed="81"/>
            <rFont val="Arial"/>
            <family val="2"/>
          </rPr>
          <t xml:space="preserve">
Bolted bridging is specified for material that is too small to punch.</t>
        </r>
      </text>
    </comment>
    <comment ref="G25" authorId="1" shapeId="0" xr:uid="{00000000-0006-0000-0E00-000004000000}">
      <text>
        <r>
          <rPr>
            <b/>
            <sz val="10"/>
            <color indexed="81"/>
            <rFont val="Arial"/>
            <family val="2"/>
          </rPr>
          <t xml:space="preserve">Joist "A":
</t>
        </r>
        <r>
          <rPr>
            <sz val="10"/>
            <color indexed="81"/>
            <rFont val="Arial"/>
            <family val="2"/>
          </rPr>
          <t xml:space="preserve">If the information turns </t>
        </r>
        <r>
          <rPr>
            <b/>
            <sz val="10"/>
            <color indexed="10"/>
            <rFont val="Arial"/>
            <family val="2"/>
          </rPr>
          <t>Bold Red</t>
        </r>
        <r>
          <rPr>
            <sz val="10"/>
            <color indexed="81"/>
            <rFont val="Arial"/>
            <family val="2"/>
          </rPr>
          <t>, it is not required and should be deleted to avoid improper importing.</t>
        </r>
      </text>
    </comment>
    <comment ref="I25" authorId="1" shapeId="0" xr:uid="{00000000-0006-0000-0E00-000005000000}">
      <text>
        <r>
          <rPr>
            <b/>
            <sz val="10"/>
            <color indexed="81"/>
            <rFont val="Arial"/>
            <family val="2"/>
          </rPr>
          <t xml:space="preserve">Member "B":
</t>
        </r>
        <r>
          <rPr>
            <sz val="10"/>
            <color indexed="81"/>
            <rFont val="Arial"/>
            <family val="2"/>
          </rPr>
          <t xml:space="preserve">If the information turns </t>
        </r>
        <r>
          <rPr>
            <b/>
            <sz val="10"/>
            <color indexed="10"/>
            <rFont val="Arial"/>
            <family val="2"/>
          </rPr>
          <t>Bold Red</t>
        </r>
        <r>
          <rPr>
            <sz val="10"/>
            <color indexed="81"/>
            <rFont val="Arial"/>
            <family val="2"/>
          </rPr>
          <t>, it is not required and should be deleted to avoid improper importing.</t>
        </r>
      </text>
    </comment>
    <comment ref="U26" authorId="1" shapeId="0" xr:uid="{00000000-0006-0000-0E00-000006000000}">
      <text>
        <r>
          <rPr>
            <b/>
            <sz val="8"/>
            <color indexed="81"/>
            <rFont val="Tahoma"/>
            <family val="2"/>
          </rPr>
          <t>sellersrl:</t>
        </r>
        <r>
          <rPr>
            <sz val="8"/>
            <color indexed="81"/>
            <rFont val="Tahoma"/>
            <family val="2"/>
          </rPr>
          <t xml:space="preserve">
Materials that can't be used for bolted bridging.</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Sellers, Rich</author>
    <author>sellersrl</author>
  </authors>
  <commentList>
    <comment ref="A12" authorId="0" shapeId="0" xr:uid="{00000000-0006-0000-0F00-000001000000}">
      <text>
        <r>
          <rPr>
            <b/>
            <sz val="12"/>
            <color indexed="81"/>
            <rFont val="Arial"/>
            <family val="2"/>
          </rPr>
          <t>Bridging Mark</t>
        </r>
        <r>
          <rPr>
            <sz val="12"/>
            <color indexed="81"/>
            <rFont val="Arial"/>
            <family val="2"/>
          </rPr>
          <t xml:space="preserve">:
If this value turns </t>
        </r>
        <r>
          <rPr>
            <b/>
            <sz val="12"/>
            <color indexed="10"/>
            <rFont val="Arial"/>
            <family val="2"/>
          </rPr>
          <t>bold red</t>
        </r>
        <r>
          <rPr>
            <sz val="12"/>
            <color indexed="81"/>
            <rFont val="Arial"/>
            <family val="2"/>
          </rPr>
          <t xml:space="preserve"> (and there is a quantity of zero), the joist the joist mark is not listed on any S(*) pages of the current BOM view.</t>
        </r>
      </text>
    </comment>
    <comment ref="D12" authorId="1" shapeId="0" xr:uid="{00000000-0006-0000-0F00-000002000000}">
      <text>
        <r>
          <rPr>
            <b/>
            <sz val="10"/>
            <color indexed="81"/>
            <rFont val="Arial"/>
            <family val="2"/>
          </rPr>
          <t xml:space="preserve">Material:
</t>
        </r>
        <r>
          <rPr>
            <sz val="10"/>
            <color indexed="81"/>
            <rFont val="Arial"/>
            <family val="2"/>
          </rPr>
          <t xml:space="preserve">If the information turns </t>
        </r>
        <r>
          <rPr>
            <b/>
            <sz val="10"/>
            <color indexed="10"/>
            <rFont val="Arial"/>
            <family val="2"/>
          </rPr>
          <t>Bold Red</t>
        </r>
        <r>
          <rPr>
            <sz val="10"/>
            <color indexed="81"/>
            <rFont val="Arial"/>
            <family val="2"/>
          </rPr>
          <t xml:space="preserve">, the material can't be used for bolted bridging
</t>
        </r>
        <r>
          <rPr>
            <b/>
            <sz val="10"/>
            <color indexed="81"/>
            <rFont val="Arial"/>
            <family val="2"/>
          </rPr>
          <t>-OR-</t>
        </r>
        <r>
          <rPr>
            <sz val="10"/>
            <color indexed="81"/>
            <rFont val="Arial"/>
            <family val="2"/>
          </rPr>
          <t xml:space="preserve">
the material specified is not a valid material designation.</t>
        </r>
      </text>
    </comment>
    <comment ref="E12" authorId="1" shapeId="0" xr:uid="{00000000-0006-0000-0F00-000003000000}">
      <text>
        <r>
          <rPr>
            <b/>
            <sz val="10"/>
            <color indexed="81"/>
            <rFont val="Arial"/>
            <family val="2"/>
          </rPr>
          <t xml:space="preserve">Material Type:
</t>
        </r>
        <r>
          <rPr>
            <sz val="10"/>
            <color indexed="81"/>
            <rFont val="Arial"/>
            <family val="2"/>
          </rPr>
          <t xml:space="preserve">If the information turns </t>
        </r>
        <r>
          <rPr>
            <b/>
            <sz val="10"/>
            <color indexed="10"/>
            <rFont val="Arial"/>
            <family val="2"/>
          </rPr>
          <t>Bold Red</t>
        </r>
        <r>
          <rPr>
            <sz val="10"/>
            <color indexed="81"/>
            <rFont val="Arial"/>
            <family val="2"/>
          </rPr>
          <t xml:space="preserve">, the information will not upload into the design program
</t>
        </r>
        <r>
          <rPr>
            <b/>
            <sz val="10"/>
            <color indexed="81"/>
            <rFont val="Arial"/>
            <family val="2"/>
          </rPr>
          <t>-OR-</t>
        </r>
        <r>
          <rPr>
            <sz val="10"/>
            <color indexed="81"/>
            <rFont val="Arial"/>
            <family val="2"/>
          </rPr>
          <t xml:space="preserve">
Bolted bridging is specified for material that is too small to punch.</t>
        </r>
      </text>
    </comment>
    <comment ref="G12" authorId="1" shapeId="0" xr:uid="{00000000-0006-0000-0F00-000004000000}">
      <text>
        <r>
          <rPr>
            <b/>
            <sz val="10"/>
            <color indexed="81"/>
            <rFont val="Arial"/>
            <family val="2"/>
          </rPr>
          <t xml:space="preserve">Joist "A":
</t>
        </r>
        <r>
          <rPr>
            <sz val="10"/>
            <color indexed="81"/>
            <rFont val="Arial"/>
            <family val="2"/>
          </rPr>
          <t xml:space="preserve">If the information turns </t>
        </r>
        <r>
          <rPr>
            <b/>
            <sz val="10"/>
            <color indexed="10"/>
            <rFont val="Arial"/>
            <family val="2"/>
          </rPr>
          <t>Bold Red</t>
        </r>
        <r>
          <rPr>
            <sz val="10"/>
            <color indexed="81"/>
            <rFont val="Arial"/>
            <family val="2"/>
          </rPr>
          <t>, it is not required and should be deleted to avoid improper importing.</t>
        </r>
      </text>
    </comment>
    <comment ref="I12" authorId="1" shapeId="0" xr:uid="{00000000-0006-0000-0F00-000005000000}">
      <text>
        <r>
          <rPr>
            <b/>
            <sz val="10"/>
            <color indexed="81"/>
            <rFont val="Arial"/>
            <family val="2"/>
          </rPr>
          <t xml:space="preserve">Member "B":
</t>
        </r>
        <r>
          <rPr>
            <sz val="10"/>
            <color indexed="81"/>
            <rFont val="Arial"/>
            <family val="2"/>
          </rPr>
          <t xml:space="preserve">If the information turns </t>
        </r>
        <r>
          <rPr>
            <b/>
            <sz val="10"/>
            <color indexed="10"/>
            <rFont val="Arial"/>
            <family val="2"/>
          </rPr>
          <t>Bold Red</t>
        </r>
        <r>
          <rPr>
            <sz val="10"/>
            <color indexed="81"/>
            <rFont val="Arial"/>
            <family val="2"/>
          </rPr>
          <t>, it is not required and should be deleted to avoid improper importing.</t>
        </r>
      </text>
    </comment>
    <comment ref="U26" authorId="1" shapeId="0" xr:uid="{00000000-0006-0000-0F00-000006000000}">
      <text>
        <r>
          <rPr>
            <b/>
            <sz val="8"/>
            <color indexed="81"/>
            <rFont val="Tahoma"/>
            <family val="2"/>
          </rPr>
          <t>sellersrl:</t>
        </r>
        <r>
          <rPr>
            <sz val="8"/>
            <color indexed="81"/>
            <rFont val="Tahoma"/>
            <family val="2"/>
          </rPr>
          <t xml:space="preserve">
Materials that can't be used for bolted bridging.</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Sellers, Rich</author>
  </authors>
  <commentList>
    <comment ref="A12" authorId="0" shapeId="0" xr:uid="{DFE823DF-994C-48E0-9AAB-16F35AD916C2}">
      <text>
        <r>
          <rPr>
            <b/>
            <sz val="12"/>
            <color indexed="81"/>
            <rFont val="Arial"/>
            <family val="2"/>
          </rPr>
          <t xml:space="preserve">Note #:
</t>
        </r>
        <r>
          <rPr>
            <sz val="12"/>
            <color indexed="81"/>
            <rFont val="Arial"/>
            <family val="2"/>
          </rPr>
          <t xml:space="preserve">If Value is </t>
        </r>
        <r>
          <rPr>
            <b/>
            <sz val="12"/>
            <color indexed="10"/>
            <rFont val="Arial"/>
            <family val="2"/>
          </rPr>
          <t>Bold Red</t>
        </r>
        <r>
          <rPr>
            <sz val="12"/>
            <color indexed="81"/>
            <rFont val="Arial"/>
            <family val="2"/>
          </rPr>
          <t>, the Special Note is not used on any Girder, Joist or Bridging mark.</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sellersrl</author>
  </authors>
  <commentList>
    <comment ref="E12" authorId="0" shapeId="0" xr:uid="{A01BEC5C-8A00-41E9-9F2C-73CDAC85BEB6}">
      <text>
        <r>
          <rPr>
            <b/>
            <sz val="12"/>
            <color indexed="81"/>
            <rFont val="Arial"/>
            <family val="2"/>
          </rPr>
          <t>Sequence Name:</t>
        </r>
        <r>
          <rPr>
            <sz val="12"/>
            <color indexed="81"/>
            <rFont val="Arial"/>
            <family val="2"/>
          </rPr>
          <t xml:space="preserve">
If the Sequence Name turns </t>
        </r>
        <r>
          <rPr>
            <b/>
            <sz val="12"/>
            <color indexed="10"/>
            <rFont val="Arial"/>
            <family val="2"/>
          </rPr>
          <t>Bold Red</t>
        </r>
        <r>
          <rPr>
            <sz val="12"/>
            <color indexed="81"/>
            <rFont val="Arial"/>
            <family val="2"/>
          </rPr>
          <t>, the name exceeds the maximum of 20 characters that will import into the design program.</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sellersrl</author>
  </authors>
  <commentList>
    <comment ref="A12" authorId="0" shapeId="0" xr:uid="{66732C1D-27F5-4916-AE95-91B573CD80D0}">
      <text>
        <r>
          <rPr>
            <b/>
            <sz val="12"/>
            <color indexed="10"/>
            <rFont val="Arial"/>
            <family val="2"/>
          </rPr>
          <t xml:space="preserve">Bold Red Mark Numbers:
</t>
        </r>
        <r>
          <rPr>
            <sz val="12"/>
            <color indexed="81"/>
            <rFont val="Arial"/>
            <family val="2"/>
          </rPr>
          <t xml:space="preserve">2 problems can cause mark numbers to become </t>
        </r>
        <r>
          <rPr>
            <b/>
            <sz val="12"/>
            <color indexed="10"/>
            <rFont val="Arial"/>
            <family val="2"/>
          </rPr>
          <t>Bold Red</t>
        </r>
        <r>
          <rPr>
            <sz val="12"/>
            <color indexed="81"/>
            <rFont val="Arial"/>
            <family val="2"/>
          </rPr>
          <t>:
1) Mark number is not found on the BOM pages
2) The joist designation for that mark number is not recognized.</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Sellers, Rich</author>
    <author>Mike Camperman</author>
    <author>Rich Sellers</author>
    <author>sellersrl</author>
  </authors>
  <commentList>
    <comment ref="DH9" authorId="0" shapeId="0" xr:uid="{861AEFD1-A78D-4F26-B3EF-8A8DC59A7F6A}">
      <text>
        <r>
          <rPr>
            <b/>
            <sz val="12"/>
            <color indexed="81"/>
            <rFont val="Arial"/>
            <family val="2"/>
          </rPr>
          <t xml:space="preserve">Girder Mark:
</t>
        </r>
        <r>
          <rPr>
            <sz val="12"/>
            <color indexed="81"/>
            <rFont val="Arial"/>
            <family val="2"/>
          </rPr>
          <t xml:space="preserve">If the Girder Mark turns </t>
        </r>
        <r>
          <rPr>
            <b/>
            <sz val="12"/>
            <color indexed="10"/>
            <rFont val="Arial"/>
            <family val="2"/>
          </rPr>
          <t>Bold Red</t>
        </r>
        <r>
          <rPr>
            <sz val="12"/>
            <color indexed="81"/>
            <rFont val="Arial"/>
            <family val="2"/>
          </rPr>
          <t>, there is no corresponding Mark on the "Page1" of this BOM page.</t>
        </r>
      </text>
    </comment>
    <comment ref="A12" authorId="0" shapeId="0" xr:uid="{EA295065-EE67-47FC-B1BF-87A2D72C8330}">
      <text>
        <r>
          <rPr>
            <b/>
            <sz val="12"/>
            <color indexed="81"/>
            <rFont val="Arial"/>
            <family val="2"/>
          </rPr>
          <t>Girder Mark</t>
        </r>
        <r>
          <rPr>
            <sz val="12"/>
            <color indexed="81"/>
            <rFont val="Arial"/>
            <family val="2"/>
          </rPr>
          <t xml:space="preserve">:
If this value turns </t>
        </r>
        <r>
          <rPr>
            <b/>
            <sz val="12"/>
            <color indexed="10"/>
            <rFont val="Arial"/>
            <family val="2"/>
          </rPr>
          <t>bold red</t>
        </r>
        <r>
          <rPr>
            <sz val="12"/>
            <color indexed="81"/>
            <rFont val="Arial"/>
            <family val="2"/>
          </rPr>
          <t xml:space="preserve">, there is no corresponding mark on Page#2.
If this value turns </t>
        </r>
        <r>
          <rPr>
            <b/>
            <sz val="12"/>
            <color indexed="10"/>
            <rFont val="Arial"/>
            <family val="2"/>
          </rPr>
          <t>bold red</t>
        </r>
        <r>
          <rPr>
            <sz val="12"/>
            <color indexed="81"/>
            <rFont val="Arial"/>
            <family val="2"/>
          </rPr>
          <t xml:space="preserve"> </t>
        </r>
        <r>
          <rPr>
            <b/>
            <u/>
            <sz val="12"/>
            <color indexed="81"/>
            <rFont val="Arial"/>
            <family val="2"/>
          </rPr>
          <t>AND</t>
        </r>
        <r>
          <rPr>
            <sz val="12"/>
            <color indexed="81"/>
            <rFont val="Arial"/>
            <family val="2"/>
          </rPr>
          <t xml:space="preserve"> there is a quantity of zero, the joist the joist mark is not listed on any S(*) pages of the current BOM view.</t>
        </r>
      </text>
    </comment>
    <comment ref="C12" authorId="1" shapeId="0" xr:uid="{A0FDC57F-5724-4315-9D8D-B6676496DA53}">
      <text>
        <r>
          <rPr>
            <sz val="14"/>
            <color indexed="81"/>
            <rFont val="Arial"/>
            <family val="2"/>
          </rPr>
          <t xml:space="preserve">If Size is </t>
        </r>
        <r>
          <rPr>
            <b/>
            <sz val="14"/>
            <color indexed="10"/>
            <rFont val="Arial"/>
            <family val="2"/>
          </rPr>
          <t>BOLD RED</t>
        </r>
        <r>
          <rPr>
            <sz val="14"/>
            <color indexed="81"/>
            <rFont val="Arial"/>
            <family val="2"/>
          </rPr>
          <t xml:space="preserve"> then this Mark will NOT import into the Design program.</t>
        </r>
      </text>
    </comment>
    <comment ref="S12" authorId="1" shapeId="0" xr:uid="{444106B1-DD16-4735-9592-5E6DCA2AB21E}">
      <text>
        <r>
          <rPr>
            <sz val="14"/>
            <color indexed="81"/>
            <rFont val="Tahoma"/>
            <family val="2"/>
          </rPr>
          <t xml:space="preserve">If the slot location is </t>
        </r>
        <r>
          <rPr>
            <b/>
            <sz val="14"/>
            <color indexed="10"/>
            <rFont val="Arial"/>
            <family val="2"/>
          </rPr>
          <t>BOLD RED</t>
        </r>
        <r>
          <rPr>
            <sz val="14"/>
            <color indexed="81"/>
            <rFont val="Arial"/>
            <family val="2"/>
          </rPr>
          <t xml:space="preserve"> then the slot is too close to the edge.
</t>
        </r>
      </text>
    </comment>
    <comment ref="Z12" authorId="2" shapeId="0" xr:uid="{C2510660-DDFD-46ED-AED4-C8622FFC7E83}">
      <text>
        <r>
          <rPr>
            <b/>
            <sz val="9"/>
            <color indexed="81"/>
            <rFont val="Tahoma"/>
            <family val="2"/>
          </rPr>
          <t>Rich Sellers:</t>
        </r>
        <r>
          <rPr>
            <sz val="9"/>
            <color indexed="81"/>
            <rFont val="Tahoma"/>
            <family val="2"/>
          </rPr>
          <t xml:space="preserve">
</t>
        </r>
      </text>
    </comment>
    <comment ref="AB12" authorId="0" shapeId="0" xr:uid="{ACA52EBB-95D6-4BE2-ABA1-E131EFD8AA7C}">
      <text>
        <r>
          <rPr>
            <b/>
            <sz val="12"/>
            <color indexed="81"/>
            <rFont val="Arial"/>
            <family val="2"/>
          </rPr>
          <t>Girder Mark</t>
        </r>
        <r>
          <rPr>
            <sz val="12"/>
            <color indexed="81"/>
            <rFont val="Arial"/>
            <family val="2"/>
          </rPr>
          <t xml:space="preserve">:
If this value turns </t>
        </r>
        <r>
          <rPr>
            <b/>
            <sz val="12"/>
            <color indexed="10"/>
            <rFont val="Arial"/>
            <family val="2"/>
          </rPr>
          <t>bold red</t>
        </r>
        <r>
          <rPr>
            <sz val="12"/>
            <color indexed="81"/>
            <rFont val="Arial"/>
            <family val="2"/>
          </rPr>
          <t>, there is no corresponding mark on Page#1.</t>
        </r>
      </text>
    </comment>
    <comment ref="AC12" authorId="2" shapeId="0" xr:uid="{CF96F5A1-422F-4697-BEC2-57E8529C4BDF}">
      <text>
        <r>
          <rPr>
            <b/>
            <sz val="12"/>
            <color indexed="81"/>
            <rFont val="Arial"/>
            <family val="2"/>
          </rPr>
          <t>Panel Layout (N, F, B):</t>
        </r>
        <r>
          <rPr>
            <sz val="12"/>
            <color indexed="81"/>
            <rFont val="Arial"/>
            <family val="2"/>
          </rPr>
          <t xml:space="preserve">
If the value turns </t>
        </r>
        <r>
          <rPr>
            <b/>
            <sz val="12"/>
            <color indexed="10"/>
            <rFont val="Arial"/>
            <family val="2"/>
          </rPr>
          <t>Bold Red</t>
        </r>
        <r>
          <rPr>
            <sz val="12"/>
            <color indexed="81"/>
            <rFont val="Arial"/>
            <family val="2"/>
          </rPr>
          <t>, the number of panels defined in the first line (NS/FS) listed does NOT match the number of panels in the Girder Designation.</t>
        </r>
      </text>
    </comment>
    <comment ref="AD12" authorId="2" shapeId="0" xr:uid="{3C6B03CF-4F98-4F5A-8925-E9DB5E49D5CE}">
      <text>
        <r>
          <rPr>
            <b/>
            <sz val="12"/>
            <color indexed="81"/>
            <rFont val="Arial"/>
            <family val="2"/>
          </rPr>
          <t>"A" Dimension:</t>
        </r>
        <r>
          <rPr>
            <sz val="12"/>
            <color indexed="81"/>
            <rFont val="Arial"/>
            <family val="2"/>
          </rPr>
          <t xml:space="preserve">
If dimension turns </t>
        </r>
        <r>
          <rPr>
            <b/>
            <sz val="12"/>
            <color indexed="10"/>
            <rFont val="Arial"/>
            <family val="2"/>
          </rPr>
          <t>Bold Red</t>
        </r>
        <r>
          <rPr>
            <sz val="12"/>
            <color indexed="81"/>
            <rFont val="Arial"/>
            <family val="2"/>
          </rPr>
          <t>, the value is &lt; Girder Depth/1.15.</t>
        </r>
      </text>
    </comment>
    <comment ref="AF12" authorId="2" shapeId="0" xr:uid="{3D523468-7163-4262-927A-54901C95CEE1}">
      <text>
        <r>
          <rPr>
            <b/>
            <sz val="12"/>
            <color indexed="81"/>
            <rFont val="Arial"/>
            <family val="2"/>
          </rPr>
          <t xml:space="preserve">"N" Panel Spacing:
</t>
        </r>
        <r>
          <rPr>
            <sz val="12"/>
            <color indexed="81"/>
            <rFont val="Arial"/>
            <family val="2"/>
          </rPr>
          <t xml:space="preserve">If </t>
        </r>
        <r>
          <rPr>
            <b/>
            <i/>
            <u/>
            <sz val="12"/>
            <color indexed="81"/>
            <rFont val="Arial"/>
            <family val="2"/>
          </rPr>
          <t>*all*</t>
        </r>
        <r>
          <rPr>
            <sz val="12"/>
            <color indexed="81"/>
            <rFont val="Arial"/>
            <family val="2"/>
          </rPr>
          <t xml:space="preserve"> panel layout dimension turn </t>
        </r>
        <r>
          <rPr>
            <b/>
            <sz val="12"/>
            <color indexed="10"/>
            <rFont val="Arial"/>
            <family val="2"/>
          </rPr>
          <t>Bold Red</t>
        </r>
        <r>
          <rPr>
            <sz val="12"/>
            <color indexed="81"/>
            <rFont val="Arial"/>
            <family val="2"/>
          </rPr>
          <t>, the sum of the Panel Layout Dimensions does NOT equal the BL dimension of the Girder!!</t>
        </r>
      </text>
    </comment>
    <comment ref="AI12" authorId="2" shapeId="0" xr:uid="{9AFA9298-1BC9-482E-9110-117DBF895B63}">
      <text>
        <r>
          <rPr>
            <b/>
            <sz val="12"/>
            <color indexed="81"/>
            <rFont val="Arial"/>
            <family val="2"/>
          </rPr>
          <t>"B" Dimension:</t>
        </r>
        <r>
          <rPr>
            <sz val="12"/>
            <color indexed="81"/>
            <rFont val="Arial"/>
            <family val="2"/>
          </rPr>
          <t xml:space="preserve">
If dimension turns </t>
        </r>
        <r>
          <rPr>
            <b/>
            <sz val="12"/>
            <color indexed="10"/>
            <rFont val="Arial"/>
            <family val="2"/>
          </rPr>
          <t>Bold Red</t>
        </r>
        <r>
          <rPr>
            <sz val="12"/>
            <color indexed="81"/>
            <rFont val="Arial"/>
            <family val="2"/>
          </rPr>
          <t>, the value is &lt; Girder Depth/1.15.</t>
        </r>
      </text>
    </comment>
    <comment ref="CB12" authorId="3" shapeId="0" xr:uid="{52A35E86-5264-4274-B811-AB3CED2A1E8F}">
      <text>
        <r>
          <rPr>
            <b/>
            <sz val="12"/>
            <color indexed="81"/>
            <rFont val="Arial"/>
            <family val="2"/>
          </rPr>
          <t xml:space="preserve">Girder Mark:
</t>
        </r>
        <r>
          <rPr>
            <sz val="12"/>
            <color indexed="81"/>
            <rFont val="Arial"/>
            <family val="2"/>
          </rPr>
          <t xml:space="preserve">If the Girder Mark turns </t>
        </r>
        <r>
          <rPr>
            <b/>
            <sz val="12"/>
            <color indexed="10"/>
            <rFont val="Arial"/>
            <family val="2"/>
          </rPr>
          <t>Bold Red</t>
        </r>
        <r>
          <rPr>
            <sz val="12"/>
            <color indexed="81"/>
            <rFont val="Arial"/>
            <family val="2"/>
          </rPr>
          <t xml:space="preserve">, there is no corresponding Mark on the "Page2" of this BOM page.
If this value turns </t>
        </r>
        <r>
          <rPr>
            <b/>
            <sz val="12"/>
            <color indexed="10"/>
            <rFont val="Arial"/>
            <family val="2"/>
          </rPr>
          <t>Bold Red</t>
        </r>
        <r>
          <rPr>
            <sz val="12"/>
            <color indexed="81"/>
            <rFont val="Arial"/>
            <family val="2"/>
          </rPr>
          <t xml:space="preserve"> AND there is a quantity of zero, the joist the joist mark is not listed on any S(*) pages of the current BOM view.</t>
        </r>
      </text>
    </comment>
    <comment ref="CD12" authorId="3" shapeId="0" xr:uid="{5EBAA0EE-33F0-42E6-8214-1230BAB5CAB9}">
      <text>
        <r>
          <rPr>
            <b/>
            <sz val="14"/>
            <color indexed="81"/>
            <rFont val="Arial"/>
            <family val="2"/>
          </rPr>
          <t xml:space="preserve">Girder Size:
</t>
        </r>
        <r>
          <rPr>
            <sz val="14"/>
            <color indexed="81"/>
            <rFont val="Arial"/>
            <family val="2"/>
          </rPr>
          <t xml:space="preserve">If this value turns </t>
        </r>
        <r>
          <rPr>
            <b/>
            <sz val="14"/>
            <color indexed="10"/>
            <rFont val="Arial"/>
            <family val="2"/>
          </rPr>
          <t>bold red</t>
        </r>
        <r>
          <rPr>
            <sz val="14"/>
            <color indexed="81"/>
            <rFont val="Arial"/>
            <family val="2"/>
          </rPr>
          <t>, the Girder designation will not import into the design program.</t>
        </r>
      </text>
    </comment>
    <comment ref="CG12" authorId="3" shapeId="0" xr:uid="{2B98AE87-F021-4E3A-9729-6287BF415028}">
      <text>
        <r>
          <rPr>
            <b/>
            <sz val="12"/>
            <color indexed="81"/>
            <rFont val="Arial"/>
            <family val="2"/>
          </rPr>
          <t xml:space="preserve">Section Number:
</t>
        </r>
        <r>
          <rPr>
            <sz val="12"/>
            <color indexed="81"/>
            <rFont val="Arial"/>
            <family val="2"/>
          </rPr>
          <t xml:space="preserve">If this value turns </t>
        </r>
        <r>
          <rPr>
            <b/>
            <sz val="12"/>
            <color indexed="10"/>
            <rFont val="Arial"/>
            <family val="2"/>
          </rPr>
          <t>bold red</t>
        </r>
        <r>
          <rPr>
            <sz val="12"/>
            <color indexed="81"/>
            <rFont val="Arial"/>
            <family val="2"/>
          </rPr>
          <t>, there is a Section Error.  Check for Short Bearing, Undefined Section or Undefined Support Type.</t>
        </r>
      </text>
    </comment>
    <comment ref="CH12" authorId="3" shapeId="0" xr:uid="{6A6CACC2-141A-45EB-8A74-C61DA291D3B4}">
      <text>
        <r>
          <rPr>
            <b/>
            <sz val="12"/>
            <color indexed="81"/>
            <rFont val="Arial"/>
            <family val="2"/>
          </rPr>
          <t xml:space="preserve">Beam Flange (or Girder TC)  Width:
</t>
        </r>
        <r>
          <rPr>
            <sz val="12"/>
            <color indexed="81"/>
            <rFont val="Arial"/>
            <family val="2"/>
          </rPr>
          <t xml:space="preserve">If the narrower of these 2 dimensions turns </t>
        </r>
        <r>
          <rPr>
            <b/>
            <sz val="12"/>
            <color indexed="10"/>
            <rFont val="Arial"/>
            <family val="2"/>
          </rPr>
          <t>bold red</t>
        </r>
        <r>
          <rPr>
            <sz val="12"/>
            <color indexed="81"/>
            <rFont val="Arial"/>
            <family val="2"/>
          </rPr>
          <t>, the joist setting on that support will have insufficient bearing.  Refer to the "Short Bearing" report to the right of the User Input area.</t>
        </r>
      </text>
    </comment>
    <comment ref="CJ12" authorId="3" shapeId="0" xr:uid="{38C68DC0-C1B7-4889-B8AA-7125AFA26D6E}">
      <text>
        <r>
          <rPr>
            <b/>
            <sz val="12"/>
            <color indexed="81"/>
            <rFont val="Arial"/>
            <family val="2"/>
          </rPr>
          <t xml:space="preserve">Flange Gage:
</t>
        </r>
        <r>
          <rPr>
            <sz val="12"/>
            <color indexed="81"/>
            <rFont val="Arial"/>
            <family val="2"/>
          </rPr>
          <t xml:space="preserve">If the dimensions turn </t>
        </r>
        <r>
          <rPr>
            <b/>
            <sz val="12"/>
            <color indexed="10"/>
            <rFont val="Arial"/>
            <family val="2"/>
          </rPr>
          <t>bold red</t>
        </r>
        <r>
          <rPr>
            <sz val="12"/>
            <color indexed="81"/>
            <rFont val="Arial"/>
            <family val="2"/>
          </rPr>
          <t>, the slot length will not accommodate both flange gages.  Additional mark numbers are required.</t>
        </r>
      </text>
    </comment>
    <comment ref="CM12" authorId="3" shapeId="0" xr:uid="{FB73E628-EB9F-4874-A250-78B92305BE3D}">
      <text>
        <r>
          <rPr>
            <b/>
            <sz val="12"/>
            <color indexed="81"/>
            <rFont val="Arial"/>
            <family val="2"/>
          </rPr>
          <t xml:space="preserve">Bearing Surface Slope:
</t>
        </r>
        <r>
          <rPr>
            <sz val="12"/>
            <color indexed="81"/>
            <rFont val="Arial"/>
            <family val="2"/>
          </rPr>
          <t xml:space="preserve">If background turns </t>
        </r>
        <r>
          <rPr>
            <b/>
            <sz val="12"/>
            <color indexed="10"/>
            <rFont val="Arial"/>
            <family val="2"/>
          </rPr>
          <t>Red</t>
        </r>
        <r>
          <rPr>
            <sz val="12"/>
            <color indexed="81"/>
            <rFont val="Arial"/>
            <family val="2"/>
          </rPr>
          <t>, the joist is sloping and the support is skewed.
If member is setting on a hip or valley support, enter a bearing slope!!</t>
        </r>
      </text>
    </comment>
    <comment ref="CQ12" authorId="3" shapeId="0" xr:uid="{1FA8F3D4-A9B1-4D1D-BB7E-E5E79B683510}">
      <text>
        <r>
          <rPr>
            <b/>
            <sz val="12"/>
            <color indexed="81"/>
            <rFont val="Arial"/>
            <family val="2"/>
          </rPr>
          <t xml:space="preserve">Section Number:
</t>
        </r>
        <r>
          <rPr>
            <sz val="12"/>
            <color indexed="81"/>
            <rFont val="Arial"/>
            <family val="2"/>
          </rPr>
          <t xml:space="preserve">If this value turns </t>
        </r>
        <r>
          <rPr>
            <b/>
            <sz val="12"/>
            <color indexed="10"/>
            <rFont val="Arial"/>
            <family val="2"/>
          </rPr>
          <t>bold red</t>
        </r>
        <r>
          <rPr>
            <sz val="12"/>
            <color indexed="81"/>
            <rFont val="Arial"/>
            <family val="2"/>
          </rPr>
          <t>, there is a Section Error.  Check for Short Bearing, Undefined Section or Undefined Support Type.</t>
        </r>
      </text>
    </comment>
    <comment ref="CR12" authorId="3" shapeId="0" xr:uid="{9AC3634F-539D-42E6-A988-E20F58F9B515}">
      <text>
        <r>
          <rPr>
            <b/>
            <sz val="12"/>
            <color indexed="81"/>
            <rFont val="Arial"/>
            <family val="2"/>
          </rPr>
          <t xml:space="preserve">Beam Flange (or Girder TC)  Width:
</t>
        </r>
        <r>
          <rPr>
            <sz val="12"/>
            <color indexed="81"/>
            <rFont val="Arial"/>
            <family val="2"/>
          </rPr>
          <t xml:space="preserve">If the narrower of these 2 dimensions turns </t>
        </r>
        <r>
          <rPr>
            <b/>
            <sz val="12"/>
            <color indexed="10"/>
            <rFont val="Arial"/>
            <family val="2"/>
          </rPr>
          <t>bold red</t>
        </r>
        <r>
          <rPr>
            <sz val="12"/>
            <color indexed="81"/>
            <rFont val="Arial"/>
            <family val="2"/>
          </rPr>
          <t>, the joist setting on that support will have insufficient bearing.  Refer to the "Short Bearing" report to the right of the User Input area.</t>
        </r>
      </text>
    </comment>
    <comment ref="CT12" authorId="3" shapeId="0" xr:uid="{DD56C0CE-56E6-40F1-AE79-A6ECFE9BBBD5}">
      <text>
        <r>
          <rPr>
            <b/>
            <sz val="12"/>
            <color indexed="81"/>
            <rFont val="Arial"/>
            <family val="2"/>
          </rPr>
          <t xml:space="preserve">Flange Gage:
</t>
        </r>
        <r>
          <rPr>
            <sz val="12"/>
            <color indexed="81"/>
            <rFont val="Arial"/>
            <family val="2"/>
          </rPr>
          <t xml:space="preserve">If the dimensions turn </t>
        </r>
        <r>
          <rPr>
            <b/>
            <sz val="12"/>
            <color indexed="10"/>
            <rFont val="Arial"/>
            <family val="2"/>
          </rPr>
          <t>bold red</t>
        </r>
        <r>
          <rPr>
            <sz val="12"/>
            <color indexed="81"/>
            <rFont val="Arial"/>
            <family val="2"/>
          </rPr>
          <t>, the slot length will not accommodate both flange gages.  Additional mark numbers are required.</t>
        </r>
      </text>
    </comment>
    <comment ref="CW12" authorId="3" shapeId="0" xr:uid="{7691F90B-54D8-47F6-82FE-3A4E9AB2CE0D}">
      <text>
        <r>
          <rPr>
            <b/>
            <sz val="12"/>
            <color indexed="81"/>
            <rFont val="Arial"/>
            <family val="2"/>
          </rPr>
          <t xml:space="preserve">Bearing Surface Slope:
</t>
        </r>
        <r>
          <rPr>
            <sz val="12"/>
            <color indexed="81"/>
            <rFont val="Arial"/>
            <family val="2"/>
          </rPr>
          <t xml:space="preserve">If background turns </t>
        </r>
        <r>
          <rPr>
            <b/>
            <sz val="12"/>
            <color indexed="10"/>
            <rFont val="Arial"/>
            <family val="2"/>
          </rPr>
          <t>Red</t>
        </r>
        <r>
          <rPr>
            <sz val="12"/>
            <color indexed="81"/>
            <rFont val="Arial"/>
            <family val="2"/>
          </rPr>
          <t>, the joist is sloping and the support is skewed.
If member is setting on a hip or valley support, enter a bearing slope!!</t>
        </r>
      </text>
    </comment>
    <comment ref="DA12" authorId="3" shapeId="0" xr:uid="{5B9E11AF-8DA0-4790-BFFB-8667C42D700B}">
      <text>
        <r>
          <rPr>
            <b/>
            <sz val="12"/>
            <color indexed="81"/>
            <rFont val="Arial"/>
            <family val="2"/>
          </rPr>
          <t>Joist Slope:</t>
        </r>
        <r>
          <rPr>
            <sz val="12"/>
            <color indexed="81"/>
            <rFont val="Arial"/>
            <family val="2"/>
          </rPr>
          <t xml:space="preserve">
If Tag End is low, enter a "+" TC slope value.
If Tag End is high, enter a "-" TC Slope value.</t>
        </r>
      </text>
    </comment>
    <comment ref="DD12" authorId="3" shapeId="0" xr:uid="{965DCA3F-0113-4A13-A781-3C911EC889DC}">
      <text>
        <r>
          <rPr>
            <b/>
            <sz val="12"/>
            <color indexed="81"/>
            <rFont val="Arial"/>
            <family val="2"/>
          </rPr>
          <t xml:space="preserve"># of KB per Girder:
</t>
        </r>
        <r>
          <rPr>
            <sz val="12"/>
            <color indexed="81"/>
            <rFont val="Arial"/>
            <family val="2"/>
          </rPr>
          <t>Enter the number of KB's required per girder from the Sales Report.</t>
        </r>
      </text>
    </comment>
    <comment ref="DE12" authorId="3" shapeId="0" xr:uid="{CB1794F9-E1B7-4E84-B497-1C9EE16C495D}">
      <text>
        <r>
          <rPr>
            <b/>
            <sz val="12"/>
            <color indexed="81"/>
            <rFont val="Arial"/>
            <family val="2"/>
          </rPr>
          <t xml:space="preserve">Girder TC Width:
</t>
        </r>
        <r>
          <rPr>
            <sz val="12"/>
            <color indexed="81"/>
            <rFont val="Arial"/>
            <family val="2"/>
          </rPr>
          <t xml:space="preserve">If </t>
        </r>
        <r>
          <rPr>
            <b/>
            <sz val="12"/>
            <color indexed="10"/>
            <rFont val="Arial"/>
            <family val="2"/>
          </rPr>
          <t>bold red</t>
        </r>
        <r>
          <rPr>
            <sz val="12"/>
            <color indexed="81"/>
            <rFont val="Arial"/>
            <family val="2"/>
          </rPr>
          <t>, width entered is less than the basic width calculator based on girder designation and span.  Please confirm width.</t>
        </r>
      </text>
    </comment>
    <comment ref="DI12" authorId="2" shapeId="0" xr:uid="{C60EDE8F-8184-4B84-A8A0-638BA9105CB8}">
      <text>
        <r>
          <rPr>
            <b/>
            <sz val="12"/>
            <color indexed="81"/>
            <rFont val="Arial"/>
            <family val="2"/>
          </rPr>
          <t xml:space="preserve">Panel Layout (N, F, B):
</t>
        </r>
        <r>
          <rPr>
            <sz val="12"/>
            <color indexed="81"/>
            <rFont val="Arial"/>
            <family val="2"/>
          </rPr>
          <t xml:space="preserve">If the value turns </t>
        </r>
        <r>
          <rPr>
            <b/>
            <sz val="12"/>
            <color indexed="10"/>
            <rFont val="Arial"/>
            <family val="2"/>
          </rPr>
          <t>Bold Red</t>
        </r>
        <r>
          <rPr>
            <sz val="12"/>
            <color indexed="81"/>
            <rFont val="Arial"/>
            <family val="2"/>
          </rPr>
          <t>, the number of panels defined in the first line (NS/FS) listed does NOT match the number of panels in the Girder Designation.</t>
        </r>
      </text>
    </comment>
    <comment ref="DJ12" authorId="3" shapeId="0" xr:uid="{8C5A2FF0-1A6D-4288-A613-6917AEE953D4}">
      <text>
        <r>
          <rPr>
            <b/>
            <sz val="12"/>
            <color indexed="81"/>
            <rFont val="Arial"/>
            <family val="2"/>
          </rPr>
          <t>"A" Dimension:</t>
        </r>
        <r>
          <rPr>
            <sz val="12"/>
            <color indexed="81"/>
            <rFont val="Arial"/>
            <family val="2"/>
          </rPr>
          <t xml:space="preserve">
If left blank, "A" will be equal to the adjacent joist space.
If value is </t>
        </r>
        <r>
          <rPr>
            <b/>
            <sz val="12"/>
            <color indexed="10"/>
            <rFont val="Arial"/>
            <family val="2"/>
          </rPr>
          <t>Bold Red</t>
        </r>
        <r>
          <rPr>
            <sz val="12"/>
            <color indexed="81"/>
            <rFont val="Arial"/>
            <family val="2"/>
          </rPr>
          <t>, the "A" dimension from BL is &lt;Girder Depth/1.15.
Gray Background means there should be no value in that cell (wrapped panel layout).</t>
        </r>
      </text>
    </comment>
    <comment ref="DL12" authorId="3" shapeId="0" xr:uid="{0C313017-18BE-47DC-9C58-799AE770431B}">
      <text>
        <r>
          <rPr>
            <b/>
            <sz val="12"/>
            <color indexed="81"/>
            <rFont val="Arial"/>
            <family val="2"/>
          </rPr>
          <t xml:space="preserve">"N" Dimension:
</t>
        </r>
        <r>
          <rPr>
            <sz val="12"/>
            <color indexed="81"/>
            <rFont val="Arial"/>
            <family val="2"/>
          </rPr>
          <t xml:space="preserve">If you have equal spacing within the "Bay", you can enter the number of equal spaced and the BOM will calc the actual dimensions for you…you don't need to enter an "A" or the spacing.
If the value is </t>
        </r>
        <r>
          <rPr>
            <b/>
            <sz val="12"/>
            <color indexed="10"/>
            <rFont val="Arial"/>
            <family val="2"/>
          </rPr>
          <t>Bold Red</t>
        </r>
        <r>
          <rPr>
            <sz val="12"/>
            <color indexed="81"/>
            <rFont val="Arial"/>
            <family val="2"/>
          </rPr>
          <t>, the "B" dimension on the BOM is &lt;Girder Depth/1.15.</t>
        </r>
      </text>
    </comment>
    <comment ref="DM12" authorId="3" shapeId="0" xr:uid="{3956A460-6873-4C44-9D3D-4F979C1F0C97}">
      <text>
        <r>
          <rPr>
            <b/>
            <sz val="12"/>
            <color indexed="81"/>
            <rFont val="Arial"/>
            <family val="2"/>
          </rPr>
          <t>"Spacing":</t>
        </r>
        <r>
          <rPr>
            <sz val="12"/>
            <color indexed="81"/>
            <rFont val="Arial"/>
            <family val="2"/>
          </rPr>
          <t xml:space="preserve">
You can leave the "spacing" field blank to equally distribute the "N" number of joist spaces within the remaining space to the Right end of the "Bay".
If the value is </t>
        </r>
        <r>
          <rPr>
            <b/>
            <sz val="12"/>
            <color indexed="10"/>
            <rFont val="Arial"/>
            <family val="2"/>
          </rPr>
          <t>Bold Red</t>
        </r>
        <r>
          <rPr>
            <sz val="12"/>
            <color indexed="81"/>
            <rFont val="Arial"/>
            <family val="2"/>
          </rPr>
          <t>, the "B" dimension on the BOM is &lt;Girder Depth/1.15.
Gray Background means there should be no value in that cell (wrapped panel layout).</t>
        </r>
      </text>
    </comment>
    <comment ref="DQ12" authorId="2" shapeId="0" xr:uid="{87B77FD1-1392-4004-A2B7-E54897AAE172}">
      <text>
        <r>
          <rPr>
            <b/>
            <sz val="12"/>
            <color indexed="81"/>
            <rFont val="Arial"/>
            <family val="2"/>
          </rPr>
          <t>Girder TC Gage:</t>
        </r>
        <r>
          <rPr>
            <sz val="12"/>
            <color indexed="81"/>
            <rFont val="Arial"/>
            <family val="2"/>
          </rPr>
          <t xml:space="preserve">
If value turns </t>
        </r>
        <r>
          <rPr>
            <b/>
            <sz val="12"/>
            <color indexed="10"/>
            <rFont val="Arial"/>
            <family val="2"/>
          </rPr>
          <t>Red</t>
        </r>
        <r>
          <rPr>
            <sz val="12"/>
            <color indexed="81"/>
            <rFont val="Arial"/>
            <family val="2"/>
          </rPr>
          <t>, TC Gage does not match std gage based on Girder TC Width.</t>
        </r>
      </text>
    </comment>
    <comment ref="AM13" authorId="2" shapeId="0" xr:uid="{05549B5E-9F64-4373-8669-3438E3F20659}">
      <text>
        <r>
          <rPr>
            <b/>
            <sz val="12"/>
            <color indexed="81"/>
            <rFont val="Arial"/>
            <family val="2"/>
          </rPr>
          <t>Girder TC Gage:</t>
        </r>
        <r>
          <rPr>
            <sz val="12"/>
            <color indexed="81"/>
            <rFont val="Arial"/>
            <family val="2"/>
          </rPr>
          <t xml:space="preserve">
If value turns </t>
        </r>
        <r>
          <rPr>
            <b/>
            <sz val="12"/>
            <color indexed="10"/>
            <rFont val="Arial"/>
            <family val="2"/>
          </rPr>
          <t>Red</t>
        </r>
        <r>
          <rPr>
            <sz val="12"/>
            <color indexed="81"/>
            <rFont val="Arial"/>
            <family val="2"/>
          </rPr>
          <t>, TC Gage does not match std gage based on Girder TC Width.</t>
        </r>
      </text>
    </comment>
    <comment ref="CN13" authorId="3" shapeId="0" xr:uid="{1BF496B4-0BAE-4828-ADB8-424E20878669}">
      <text>
        <r>
          <rPr>
            <b/>
            <sz val="12"/>
            <color indexed="81"/>
            <rFont val="Arial"/>
            <family val="2"/>
          </rPr>
          <t>End of Girder Over-rides:</t>
        </r>
        <r>
          <rPr>
            <sz val="12"/>
            <color indexed="81"/>
            <rFont val="Arial"/>
            <family val="2"/>
          </rPr>
          <t xml:space="preserve">
This over-rides the "End of Joist" dimension specified in the section.  Intended to be used for sections where the location of the end of joist varies - like at a curved deck/slab edge - without cutting multiple sections.
</t>
        </r>
        <r>
          <rPr>
            <b/>
            <sz val="12"/>
            <color indexed="10"/>
            <rFont val="Arial"/>
            <family val="2"/>
          </rPr>
          <t>Changing this dimension changes the joist Overall Length, thus affecting TCXs, BCXs and Slot Locations.</t>
        </r>
      </text>
    </comment>
    <comment ref="CO13" authorId="3" shapeId="0" xr:uid="{8A3D28CD-DDDE-4BB9-A13B-2D1F907D6DFD}">
      <text>
        <r>
          <rPr>
            <b/>
            <sz val="12"/>
            <color indexed="81"/>
            <rFont val="Tahoma"/>
            <family val="2"/>
          </rPr>
          <t xml:space="preserve">Base Length Over-Ride:
</t>
        </r>
        <r>
          <rPr>
            <sz val="12"/>
            <color indexed="81"/>
            <rFont val="Tahoma"/>
            <family val="2"/>
          </rPr>
          <t xml:space="preserve">Alters the Base Length and TCX dimensions.
If you want to use the additional clear bearing associated with deeper joist seats to shorten the TCX, enter a dimension here.
Enter the BL location from the Bay Length Reference (center of steel or face of masonry wall).  A positive dimension lengthens the BL, while a negative dimension shortens the BL.
</t>
        </r>
        <r>
          <rPr>
            <b/>
            <sz val="12"/>
            <color indexed="10"/>
            <rFont val="Tahoma"/>
            <family val="2"/>
          </rPr>
          <t>Red Bold</t>
        </r>
        <r>
          <rPr>
            <sz val="12"/>
            <color indexed="81"/>
            <rFont val="Tahoma"/>
            <family val="2"/>
          </rPr>
          <t xml:space="preserve"> indicates a dimension that exceeds the maximum allowable (the OL point of the joist) offset </t>
        </r>
        <r>
          <rPr>
            <b/>
            <i/>
            <u/>
            <sz val="12"/>
            <color indexed="81"/>
            <rFont val="Tahoma"/>
            <family val="2"/>
          </rPr>
          <t>OR</t>
        </r>
        <r>
          <rPr>
            <sz val="12"/>
            <color indexed="81"/>
            <rFont val="Tahoma"/>
            <family val="2"/>
          </rPr>
          <t xml:space="preserve"> a dimension that is less than 0".</t>
        </r>
      </text>
    </comment>
    <comment ref="CP13" authorId="3" shapeId="0" xr:uid="{EE8A76F6-357A-4C32-8C34-66FD87B3C061}">
      <text>
        <r>
          <rPr>
            <b/>
            <sz val="12"/>
            <color indexed="81"/>
            <rFont val="Tahoma"/>
            <family val="2"/>
          </rPr>
          <t xml:space="preserve">Seat Depth Over-Ride:
</t>
        </r>
        <r>
          <rPr>
            <sz val="12"/>
            <color indexed="81"/>
            <rFont val="Tahoma"/>
            <family val="2"/>
          </rPr>
          <t>Over-rides the seat depth dimension shown in the section.
If this field is blank, the BOM uses the seat depth specified in the section.</t>
        </r>
      </text>
    </comment>
    <comment ref="CX13" authorId="3" shapeId="0" xr:uid="{DA91B9B4-11F9-4029-8254-293F9745C428}">
      <text>
        <r>
          <rPr>
            <b/>
            <sz val="12"/>
            <color indexed="81"/>
            <rFont val="Arial"/>
            <family val="2"/>
          </rPr>
          <t>End of Girder Over-rides:</t>
        </r>
        <r>
          <rPr>
            <sz val="12"/>
            <color indexed="81"/>
            <rFont val="Arial"/>
            <family val="2"/>
          </rPr>
          <t xml:space="preserve">
This over-rides the "End of Joist" dimension specified in the section.  Intended to be used for sections where the location of the end of joist varies - like at a curved deck/slab edge - without cutting multiple sections.
</t>
        </r>
        <r>
          <rPr>
            <b/>
            <sz val="12"/>
            <color indexed="10"/>
            <rFont val="Arial"/>
            <family val="2"/>
          </rPr>
          <t>Changing this dimension changes the joist Overall Length, thus affecting TCXs, BCXs and Slot Locations.</t>
        </r>
      </text>
    </comment>
    <comment ref="CY13" authorId="3" shapeId="0" xr:uid="{56278793-3A27-4CE8-A203-0023831BC081}">
      <text>
        <r>
          <rPr>
            <b/>
            <sz val="12"/>
            <color indexed="81"/>
            <rFont val="Tahoma"/>
            <family val="2"/>
          </rPr>
          <t xml:space="preserve">Base Length Over-Ride:
</t>
        </r>
        <r>
          <rPr>
            <sz val="12"/>
            <color indexed="81"/>
            <rFont val="Tahoma"/>
            <family val="2"/>
          </rPr>
          <t xml:space="preserve">Alters the Base Length and TCX dimensions.
If you want to use the additional clear bearing associated with deeper joist seats to shorten the TCX, enter a dimension here.
Enter the BL location from the Bay Length Reference (center of steel or face of masonry wall).  A positive dimension lengthens the BL, while a negative dimension shortens the BL.
</t>
        </r>
        <r>
          <rPr>
            <b/>
            <sz val="12"/>
            <color indexed="10"/>
            <rFont val="Tahoma"/>
            <family val="2"/>
          </rPr>
          <t>Red Bold</t>
        </r>
        <r>
          <rPr>
            <sz val="12"/>
            <color indexed="81"/>
            <rFont val="Tahoma"/>
            <family val="2"/>
          </rPr>
          <t xml:space="preserve"> indicates a dimension that exceeds the maximum allowable (the OL point of the joist) offset </t>
        </r>
        <r>
          <rPr>
            <b/>
            <i/>
            <u/>
            <sz val="12"/>
            <color indexed="81"/>
            <rFont val="Tahoma"/>
            <family val="2"/>
          </rPr>
          <t>OR</t>
        </r>
        <r>
          <rPr>
            <sz val="12"/>
            <color indexed="81"/>
            <rFont val="Tahoma"/>
            <family val="2"/>
          </rPr>
          <t xml:space="preserve"> a dimension that is less than 0".</t>
        </r>
      </text>
    </comment>
    <comment ref="CZ13" authorId="3" shapeId="0" xr:uid="{3A68A358-634E-40A7-92B1-5B048F5AEBF9}">
      <text>
        <r>
          <rPr>
            <b/>
            <sz val="12"/>
            <color indexed="81"/>
            <rFont val="Tahoma"/>
            <family val="2"/>
          </rPr>
          <t xml:space="preserve">Seat Depth Over-Ride:
</t>
        </r>
        <r>
          <rPr>
            <sz val="12"/>
            <color indexed="81"/>
            <rFont val="Tahoma"/>
            <family val="2"/>
          </rPr>
          <t>Over-rides the seat depth dimension shown in the section.
If this field is blank, the BOM uses the seat depth specified in the section.</t>
        </r>
      </text>
    </comment>
    <comment ref="DC13" authorId="3" shapeId="0" xr:uid="{6489B13B-C2D3-4DF4-A61B-2D12E58AC98A}">
      <text>
        <r>
          <rPr>
            <b/>
            <sz val="12"/>
            <color indexed="81"/>
            <rFont val="Arial"/>
            <family val="2"/>
          </rPr>
          <t xml:space="preserve">Special Notes:
</t>
        </r>
        <r>
          <rPr>
            <sz val="12"/>
            <color indexed="81"/>
            <rFont val="Arial"/>
            <family val="2"/>
          </rPr>
          <t>If background turnes</t>
        </r>
        <r>
          <rPr>
            <b/>
            <sz val="12"/>
            <color indexed="10"/>
            <rFont val="Arial"/>
            <family val="2"/>
          </rPr>
          <t xml:space="preserve"> red</t>
        </r>
        <r>
          <rPr>
            <sz val="12"/>
            <color indexed="81"/>
            <rFont val="Arial"/>
            <family val="2"/>
          </rPr>
          <t>, make sure there is a special note to address Seat Slot, Severe Skew, Short Bearing or Mimumum Clear Bearing Warnings.</t>
        </r>
      </text>
    </comment>
    <comment ref="DV13" authorId="2" shapeId="0" xr:uid="{D65BC68B-540A-4065-9233-2A6221693D8E}">
      <text>
        <r>
          <rPr>
            <b/>
            <sz val="12"/>
            <color indexed="81"/>
            <rFont val="Arial"/>
            <family val="2"/>
          </rPr>
          <t>Additional Joist - "Ft":</t>
        </r>
        <r>
          <rPr>
            <b/>
            <sz val="9"/>
            <color indexed="81"/>
            <rFont val="Tahoma"/>
            <family val="2"/>
          </rPr>
          <t xml:space="preserve">
</t>
        </r>
        <r>
          <rPr>
            <sz val="12"/>
            <color indexed="81"/>
            <rFont val="Arial"/>
            <family val="2"/>
          </rPr>
          <t>Enter "P" if you are referencing a Panel Location.
Enter a positive integer if you are locating an additional joist.</t>
        </r>
      </text>
    </comment>
    <comment ref="DW13" authorId="2" shapeId="0" xr:uid="{CB213BA6-30A2-4EF7-9817-7426E982C19F}">
      <text>
        <r>
          <rPr>
            <b/>
            <sz val="12"/>
            <color indexed="81"/>
            <rFont val="Arial"/>
            <family val="2"/>
          </rPr>
          <t>Additional Joist - "In":</t>
        </r>
        <r>
          <rPr>
            <sz val="12"/>
            <color indexed="81"/>
            <rFont val="Arial"/>
            <family val="2"/>
          </rPr>
          <t xml:space="preserve">
If referencing a Panel Location, you may enter either a number or "#xx".  The BOM will automatically put the "#" in front of the number if the "Ft" column = "P".
If locating an additional joist, enter a number.
If the number becomes </t>
        </r>
        <r>
          <rPr>
            <b/>
            <sz val="12"/>
            <color indexed="10"/>
            <rFont val="Arial"/>
            <family val="2"/>
          </rPr>
          <t>Bold Red</t>
        </r>
        <r>
          <rPr>
            <sz val="12"/>
            <color indexed="81"/>
            <rFont val="Arial"/>
            <family val="2"/>
          </rPr>
          <t>, the format is incorrect and the error will cause the Girder to not import into JEDI.</t>
        </r>
      </text>
    </comment>
    <comment ref="GK53" authorId="2" shapeId="0" xr:uid="{ACF49800-55DE-433A-951D-DCCF09CC6FCA}">
      <text>
        <r>
          <rPr>
            <b/>
            <sz val="9"/>
            <color indexed="81"/>
            <rFont val="Tahoma"/>
            <family val="2"/>
          </rPr>
          <t>Rich Sellers:</t>
        </r>
        <r>
          <rPr>
            <sz val="9"/>
            <color indexed="81"/>
            <rFont val="Tahoma"/>
            <family val="2"/>
          </rPr>
          <t xml:space="preserve">
A,B,AB or FALSE.
A/B = error for that value
FALSE = no error</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Sellers, Rich</author>
    <author>sellersrl</author>
    <author>Rich Sellers</author>
    <author>Mike Camperman</author>
  </authors>
  <commentList>
    <comment ref="DP2" authorId="0" shapeId="0" xr:uid="{4204E6EE-5A30-4B45-AB4B-C19FF2E949A6}">
      <text>
        <r>
          <rPr>
            <b/>
            <sz val="9"/>
            <color indexed="81"/>
            <rFont val="Tahoma"/>
            <family val="2"/>
          </rPr>
          <t>Minimum End of Slot to Edge of Material
(Min Edge Dist).</t>
        </r>
        <r>
          <rPr>
            <sz val="9"/>
            <color indexed="81"/>
            <rFont val="Tahoma"/>
            <family val="2"/>
          </rPr>
          <t xml:space="preserve">
</t>
        </r>
      </text>
    </comment>
    <comment ref="BG13" authorId="0" shapeId="0" xr:uid="{D91E1453-FFD2-499A-9E23-0DF4900C8574}">
      <text>
        <r>
          <rPr>
            <b/>
            <sz val="12"/>
            <color indexed="81"/>
            <rFont val="Arial"/>
            <family val="2"/>
          </rPr>
          <t xml:space="preserve">Left (Tag) End Information:
</t>
        </r>
        <r>
          <rPr>
            <sz val="12"/>
            <color indexed="81"/>
            <rFont val="Arial"/>
            <family val="2"/>
          </rPr>
          <t xml:space="preserve">Gray Shading indicates values not needed or permitted in these fields.
Data in Gray Shaded fields </t>
        </r>
        <r>
          <rPr>
            <b/>
            <i/>
            <sz val="12"/>
            <color indexed="10"/>
            <rFont val="Arial"/>
            <family val="2"/>
          </rPr>
          <t>*may*</t>
        </r>
        <r>
          <rPr>
            <sz val="12"/>
            <color indexed="81"/>
            <rFont val="Arial"/>
            <family val="2"/>
          </rPr>
          <t xml:space="preserve"> not be considered when calculating BOM values.</t>
        </r>
      </text>
    </comment>
    <comment ref="CE13" authorId="1" shapeId="0" xr:uid="{F4B5F2E3-14CB-4002-A4D5-46A2DC1945CD}">
      <text>
        <r>
          <rPr>
            <b/>
            <sz val="12"/>
            <color indexed="81"/>
            <rFont val="Arial"/>
            <family val="2"/>
          </rPr>
          <t>Joist TC Slope:</t>
        </r>
        <r>
          <rPr>
            <sz val="8"/>
            <color indexed="81"/>
            <rFont val="Tahoma"/>
            <family val="2"/>
          </rPr>
          <t xml:space="preserve">
</t>
        </r>
        <r>
          <rPr>
            <sz val="12"/>
            <color indexed="81"/>
            <rFont val="Arial"/>
            <family val="2"/>
          </rPr>
          <t>"+" if tag end is low, "-" if tag end is high.</t>
        </r>
      </text>
    </comment>
    <comment ref="CF13" authorId="2" shapeId="0" xr:uid="{77551319-8B55-4F30-823E-CE15B1C7DA0F}">
      <text>
        <r>
          <rPr>
            <b/>
            <sz val="12"/>
            <color indexed="81"/>
            <rFont val="Tahoma"/>
            <family val="2"/>
          </rPr>
          <t>Load/Special Notes:</t>
        </r>
        <r>
          <rPr>
            <b/>
            <sz val="9"/>
            <color indexed="81"/>
            <rFont val="Tahoma"/>
            <family val="2"/>
          </rPr>
          <t xml:space="preserve">
</t>
        </r>
        <r>
          <rPr>
            <sz val="12"/>
            <color indexed="81"/>
            <rFont val="Tahoma"/>
            <family val="2"/>
          </rPr>
          <t xml:space="preserve">If the contents turn </t>
        </r>
        <r>
          <rPr>
            <b/>
            <sz val="12"/>
            <color indexed="10"/>
            <rFont val="Tahoma"/>
            <family val="2"/>
          </rPr>
          <t>bold red</t>
        </r>
        <r>
          <rPr>
            <sz val="12"/>
            <color indexed="81"/>
            <rFont val="Tahoma"/>
            <family val="2"/>
          </rPr>
          <t xml:space="preserve">, there </t>
        </r>
        <r>
          <rPr>
            <b/>
            <sz val="12"/>
            <color indexed="81"/>
            <rFont val="Tahoma"/>
            <family val="2"/>
          </rPr>
          <t>*may*</t>
        </r>
        <r>
          <rPr>
            <sz val="12"/>
            <color indexed="81"/>
            <rFont val="Tahoma"/>
            <family val="2"/>
          </rPr>
          <t xml:space="preserve"> be too many characters to be displayed on the Printed BOM.
The detailer should ensure that all notes show up in the Printed BOM.
Consider creating a blank row immediately under the Mark and move the Special Notes to that line.</t>
        </r>
      </text>
    </comment>
    <comment ref="A14" authorId="0" shapeId="0" xr:uid="{7AAFE963-9E5C-4E7A-ACFD-6107FB49AAF9}">
      <text>
        <r>
          <rPr>
            <b/>
            <sz val="12"/>
            <color indexed="81"/>
            <rFont val="Arial"/>
            <family val="2"/>
          </rPr>
          <t xml:space="preserve">Joist Mark:
</t>
        </r>
        <r>
          <rPr>
            <sz val="12"/>
            <color indexed="81"/>
            <rFont val="Arial"/>
            <family val="2"/>
          </rPr>
          <t xml:space="preserve">If this value turns </t>
        </r>
        <r>
          <rPr>
            <b/>
            <sz val="12"/>
            <color indexed="10"/>
            <rFont val="Arial"/>
            <family val="2"/>
          </rPr>
          <t>bold red</t>
        </r>
        <r>
          <rPr>
            <sz val="12"/>
            <color indexed="81"/>
            <rFont val="Arial"/>
            <family val="2"/>
          </rPr>
          <t xml:space="preserve"> (and there is a quantity of zero), the joist the joist mark is not listed on any S(*) pages of the current BOM view.</t>
        </r>
      </text>
    </comment>
    <comment ref="C14" authorId="3" shapeId="0" xr:uid="{70C8F3EC-8FD1-4E10-BB6E-AF6EB11799CD}">
      <text>
        <r>
          <rPr>
            <sz val="14"/>
            <color indexed="81"/>
            <rFont val="Arial"/>
            <family val="2"/>
          </rPr>
          <t xml:space="preserve">If Size is </t>
        </r>
        <r>
          <rPr>
            <b/>
            <sz val="14"/>
            <color indexed="10"/>
            <rFont val="Arial"/>
            <family val="2"/>
          </rPr>
          <t>BOLD RED</t>
        </r>
        <r>
          <rPr>
            <sz val="14"/>
            <color indexed="81"/>
            <rFont val="Arial"/>
            <family val="2"/>
          </rPr>
          <t xml:space="preserve"> then this Mark will NOT import into the Design program.
</t>
        </r>
      </text>
    </comment>
    <comment ref="D14" authorId="2" shapeId="0" xr:uid="{B8340452-DBBC-4693-B49C-7D92A022EE37}">
      <text>
        <r>
          <rPr>
            <b/>
            <sz val="12"/>
            <color indexed="81"/>
            <rFont val="Arial"/>
            <family val="2"/>
          </rPr>
          <t>Joist OL Length:</t>
        </r>
        <r>
          <rPr>
            <sz val="12"/>
            <color indexed="81"/>
            <rFont val="Arial"/>
            <family val="2"/>
          </rPr>
          <t xml:space="preserve">
If the value turns</t>
        </r>
        <r>
          <rPr>
            <b/>
            <sz val="12"/>
            <color indexed="10"/>
            <rFont val="Arial"/>
            <family val="2"/>
          </rPr>
          <t xml:space="preserve"> Red</t>
        </r>
        <r>
          <rPr>
            <sz val="12"/>
            <color indexed="81"/>
            <rFont val="Arial"/>
            <family val="2"/>
          </rPr>
          <t>, the BL of the joist exceeds the maximum span for the joist depth.</t>
        </r>
      </text>
    </comment>
    <comment ref="T14" authorId="3" shapeId="0" xr:uid="{FA0B0F22-C9D9-4F46-8747-52B64CB4DDA2}">
      <text>
        <r>
          <rPr>
            <sz val="14"/>
            <color indexed="81"/>
            <rFont val="Arial"/>
            <family val="2"/>
          </rPr>
          <t xml:space="preserve">If the slot location is </t>
        </r>
        <r>
          <rPr>
            <b/>
            <sz val="14"/>
            <color indexed="10"/>
            <rFont val="Arial"/>
            <family val="2"/>
          </rPr>
          <t>BOLD RED</t>
        </r>
        <r>
          <rPr>
            <sz val="14"/>
            <color indexed="81"/>
            <rFont val="Arial"/>
            <family val="2"/>
          </rPr>
          <t xml:space="preserve"> then the slot is too close to the edge of the seat material.</t>
        </r>
      </text>
    </comment>
    <comment ref="AA14" authorId="1" shapeId="0" xr:uid="{48C110D8-B507-4CCC-8959-AB86E1F97118}">
      <text>
        <r>
          <rPr>
            <sz val="14"/>
            <color indexed="81"/>
            <rFont val="Arial"/>
            <family val="2"/>
          </rPr>
          <t xml:space="preserve">If Notes become </t>
        </r>
        <r>
          <rPr>
            <sz val="14"/>
            <color indexed="10"/>
            <rFont val="Arial"/>
            <family val="2"/>
          </rPr>
          <t>RED</t>
        </r>
        <r>
          <rPr>
            <sz val="14"/>
            <color indexed="81"/>
            <rFont val="Arial"/>
            <family val="2"/>
          </rPr>
          <t>, then the number of characters exceeds the printed width of the column and may not appear on the printed BOM.</t>
        </r>
      </text>
    </comment>
    <comment ref="BD14" authorId="1" shapeId="0" xr:uid="{4E249B8A-7714-4120-AB1C-4D9530E8DA43}">
      <text>
        <r>
          <rPr>
            <b/>
            <sz val="12"/>
            <color indexed="81"/>
            <rFont val="Arial"/>
            <family val="2"/>
          </rPr>
          <t xml:space="preserve">Joist Size:
</t>
        </r>
        <r>
          <rPr>
            <sz val="12"/>
            <color indexed="81"/>
            <rFont val="Arial"/>
            <family val="2"/>
          </rPr>
          <t xml:space="preserve">If this value turns </t>
        </r>
        <r>
          <rPr>
            <b/>
            <sz val="12"/>
            <color indexed="10"/>
            <rFont val="Arial"/>
            <family val="2"/>
          </rPr>
          <t>bold red</t>
        </r>
        <r>
          <rPr>
            <sz val="12"/>
            <color indexed="81"/>
            <rFont val="Arial"/>
            <family val="2"/>
          </rPr>
          <t>, the joist designation will not import into the design program.</t>
        </r>
      </text>
    </comment>
    <comment ref="BE14" authorId="1" shapeId="0" xr:uid="{3B8CF5A0-2FC5-4AA0-9145-3130409AE90B}">
      <text>
        <r>
          <rPr>
            <b/>
            <sz val="12"/>
            <color indexed="81"/>
            <rFont val="Arial"/>
            <family val="2"/>
          </rPr>
          <t xml:space="preserve">Joist "Bay Length":
</t>
        </r>
        <r>
          <rPr>
            <sz val="12"/>
            <color indexed="81"/>
            <rFont val="Arial"/>
            <family val="2"/>
          </rPr>
          <t xml:space="preserve">If this dimension turns </t>
        </r>
        <r>
          <rPr>
            <b/>
            <sz val="12"/>
            <color indexed="10"/>
            <rFont val="Arial"/>
            <family val="2"/>
          </rPr>
          <t>bold red</t>
        </r>
        <r>
          <rPr>
            <sz val="12"/>
            <color indexed="81"/>
            <rFont val="Arial"/>
            <family val="2"/>
          </rPr>
          <t>, the joist is over-spanned .</t>
        </r>
      </text>
    </comment>
    <comment ref="BG14" authorId="1" shapeId="0" xr:uid="{6EDDC070-0AC1-4E2E-9047-8B8834125A2A}">
      <text>
        <r>
          <rPr>
            <b/>
            <sz val="12"/>
            <color indexed="81"/>
            <rFont val="Arial"/>
            <family val="2"/>
          </rPr>
          <t xml:space="preserve">Section Number:
</t>
        </r>
        <r>
          <rPr>
            <sz val="12"/>
            <color indexed="81"/>
            <rFont val="Arial"/>
            <family val="2"/>
          </rPr>
          <t xml:space="preserve">If this value turns </t>
        </r>
        <r>
          <rPr>
            <b/>
            <sz val="12"/>
            <color indexed="10"/>
            <rFont val="Arial"/>
            <family val="2"/>
          </rPr>
          <t>bold red</t>
        </r>
        <r>
          <rPr>
            <sz val="12"/>
            <color indexed="81"/>
            <rFont val="Arial"/>
            <family val="2"/>
          </rPr>
          <t>, there is a Section Error.  Check for Short Bearing, Undefined Section or Undefined Support Type.</t>
        </r>
      </text>
    </comment>
    <comment ref="BH14" authorId="1" shapeId="0" xr:uid="{0FBD3F98-B7DE-450D-B431-ED4C638A0BC3}">
      <text>
        <r>
          <rPr>
            <b/>
            <sz val="12"/>
            <color indexed="81"/>
            <rFont val="Arial"/>
            <family val="2"/>
          </rPr>
          <t xml:space="preserve">Beam Flange (or Girder TC)  Width:
</t>
        </r>
        <r>
          <rPr>
            <sz val="12"/>
            <color indexed="81"/>
            <rFont val="Arial"/>
            <family val="2"/>
          </rPr>
          <t xml:space="preserve">If the narrower of these 2 dimensions turns </t>
        </r>
        <r>
          <rPr>
            <b/>
            <sz val="12"/>
            <color indexed="10"/>
            <rFont val="Arial"/>
            <family val="2"/>
          </rPr>
          <t>bold red</t>
        </r>
        <r>
          <rPr>
            <sz val="12"/>
            <color indexed="81"/>
            <rFont val="Arial"/>
            <family val="2"/>
          </rPr>
          <t>, the joist setting on that support will have insufficient bearing.  Refer to the "Short Bearing" report to the right of the User Input area.
If bold red + gray background, there is a "Clear Bearing" dimension in the SectInfo and the Beam Width values should be deleted to avoid conflicts with TCX Dimensions.</t>
        </r>
      </text>
    </comment>
    <comment ref="BJ14" authorId="1" shapeId="0" xr:uid="{176D5264-AD13-49BD-8CAF-61E4F91FE2C7}">
      <text>
        <r>
          <rPr>
            <b/>
            <sz val="12"/>
            <color indexed="81"/>
            <rFont val="Arial"/>
            <family val="2"/>
          </rPr>
          <t xml:space="preserve">Bolt End "X":
</t>
        </r>
        <r>
          <rPr>
            <sz val="12"/>
            <color indexed="81"/>
            <rFont val="Arial"/>
            <family val="2"/>
          </rPr>
          <t xml:space="preserve">If the cell </t>
        </r>
        <r>
          <rPr>
            <sz val="12"/>
            <color indexed="10"/>
            <rFont val="Arial"/>
            <family val="2"/>
          </rPr>
          <t>background is red</t>
        </r>
        <r>
          <rPr>
            <sz val="12"/>
            <color indexed="81"/>
            <rFont val="Arial"/>
            <family val="2"/>
          </rPr>
          <t xml:space="preserve">, OSHA holes are required but not detailed.
If the "X" turns </t>
        </r>
        <r>
          <rPr>
            <b/>
            <sz val="12"/>
            <color indexed="10"/>
            <rFont val="Arial"/>
            <family val="2"/>
          </rPr>
          <t>bold red</t>
        </r>
        <r>
          <rPr>
            <sz val="12"/>
            <color indexed="81"/>
            <rFont val="Arial"/>
            <family val="2"/>
          </rPr>
          <t>, holes are detailed, but not required by OSHA.</t>
        </r>
      </text>
    </comment>
    <comment ref="BK14" authorId="1" shapeId="0" xr:uid="{A12B1B82-E5D0-4008-9666-494B0234B0A7}">
      <text>
        <r>
          <rPr>
            <b/>
            <sz val="12"/>
            <color indexed="81"/>
            <rFont val="Arial"/>
            <family val="2"/>
          </rPr>
          <t xml:space="preserve">Flange Gage:
</t>
        </r>
        <r>
          <rPr>
            <sz val="12"/>
            <color indexed="81"/>
            <rFont val="Arial"/>
            <family val="2"/>
          </rPr>
          <t xml:space="preserve">If the dimensions turn </t>
        </r>
        <r>
          <rPr>
            <b/>
            <sz val="12"/>
            <color indexed="10"/>
            <rFont val="Arial"/>
            <family val="2"/>
          </rPr>
          <t>bold red</t>
        </r>
        <r>
          <rPr>
            <sz val="12"/>
            <color indexed="81"/>
            <rFont val="Arial"/>
            <family val="2"/>
          </rPr>
          <t>, the slot length will not accommodate both flange gages.  Additional mark numbers are required.</t>
        </r>
      </text>
    </comment>
    <comment ref="BN14" authorId="1" shapeId="0" xr:uid="{08CD1650-1A94-4A15-9673-74991E632206}">
      <text>
        <r>
          <rPr>
            <b/>
            <sz val="12"/>
            <color indexed="81"/>
            <rFont val="Arial"/>
            <family val="2"/>
          </rPr>
          <t xml:space="preserve">Bearing Surface Slope:
</t>
        </r>
        <r>
          <rPr>
            <sz val="12"/>
            <color indexed="81"/>
            <rFont val="Arial"/>
            <family val="2"/>
          </rPr>
          <t xml:space="preserve">If background turns </t>
        </r>
        <r>
          <rPr>
            <b/>
            <sz val="12"/>
            <color indexed="10"/>
            <rFont val="Arial"/>
            <family val="2"/>
          </rPr>
          <t>Red</t>
        </r>
        <r>
          <rPr>
            <sz val="12"/>
            <color indexed="81"/>
            <rFont val="Arial"/>
            <family val="2"/>
          </rPr>
          <t>, the joist is sloping and the support is skewed.
If member is setting on a hip or valley support, enter a bearing slope!!</t>
        </r>
      </text>
    </comment>
    <comment ref="BO14" authorId="1" shapeId="0" xr:uid="{DA68A417-62B9-4354-9AE7-3BE0929CDACC}">
      <text>
        <r>
          <rPr>
            <b/>
            <sz val="12"/>
            <color indexed="81"/>
            <rFont val="Tahoma"/>
            <family val="2"/>
          </rPr>
          <t xml:space="preserve">BCX Control:
</t>
        </r>
        <r>
          <rPr>
            <sz val="12"/>
            <color indexed="81"/>
            <rFont val="Tahoma"/>
            <family val="2"/>
          </rPr>
          <t xml:space="preserve">"X" indicates BCX required at the specified end of the joist.  If the cell is blank, no BCX will be shown on the BOM.
</t>
        </r>
        <r>
          <rPr>
            <b/>
            <sz val="12"/>
            <color indexed="10"/>
            <rFont val="Tahoma"/>
            <family val="2"/>
          </rPr>
          <t>Bold Red</t>
        </r>
        <r>
          <rPr>
            <sz val="12"/>
            <color indexed="81"/>
            <rFont val="Tahoma"/>
            <family val="2"/>
          </rPr>
          <t xml:space="preserve"> "X" indicates no BCX information shown in the section, so no BCX will be shown on the BOM.
</t>
        </r>
        <r>
          <rPr>
            <b/>
            <i/>
            <sz val="12"/>
            <color indexed="81"/>
            <rFont val="Tahoma"/>
            <family val="2"/>
          </rPr>
          <t>Entering a number in this field</t>
        </r>
        <r>
          <rPr>
            <sz val="12"/>
            <color indexed="81"/>
            <rFont val="Tahoma"/>
            <family val="2"/>
          </rPr>
          <t xml:space="preserve"> will "over-ride" the BCX dimension shown in the Section.  Refer to the Section sketches on the SectInfo tab for the direction of +/- dimensions.</t>
        </r>
      </text>
    </comment>
    <comment ref="BS14" authorId="1" shapeId="0" xr:uid="{AD597391-9CB7-4601-813D-62F415B69F45}">
      <text>
        <r>
          <rPr>
            <b/>
            <sz val="12"/>
            <color indexed="81"/>
            <rFont val="Arial"/>
            <family val="2"/>
          </rPr>
          <t xml:space="preserve">Section Number:
</t>
        </r>
        <r>
          <rPr>
            <sz val="12"/>
            <color indexed="81"/>
            <rFont val="Arial"/>
            <family val="2"/>
          </rPr>
          <t xml:space="preserve">If this value turns </t>
        </r>
        <r>
          <rPr>
            <b/>
            <sz val="12"/>
            <color indexed="10"/>
            <rFont val="Arial"/>
            <family val="2"/>
          </rPr>
          <t>bold red</t>
        </r>
        <r>
          <rPr>
            <sz val="12"/>
            <color indexed="81"/>
            <rFont val="Arial"/>
            <family val="2"/>
          </rPr>
          <t>, there is a Section Error.  Check for Short Bearing, Undefined Section or Undefined Support Type.</t>
        </r>
      </text>
    </comment>
    <comment ref="BT14" authorId="1" shapeId="0" xr:uid="{3488A033-81C7-4649-BE33-F3E8C21DED5F}">
      <text>
        <r>
          <rPr>
            <b/>
            <sz val="12"/>
            <color indexed="81"/>
            <rFont val="Arial"/>
            <family val="2"/>
          </rPr>
          <t xml:space="preserve">Beam Flange (or Girder TC)  Width:
</t>
        </r>
        <r>
          <rPr>
            <sz val="12"/>
            <color indexed="81"/>
            <rFont val="Arial"/>
            <family val="2"/>
          </rPr>
          <t xml:space="preserve">If the narrower of these 2 dimensions turns </t>
        </r>
        <r>
          <rPr>
            <b/>
            <sz val="12"/>
            <color indexed="10"/>
            <rFont val="Arial"/>
            <family val="2"/>
          </rPr>
          <t>bold red</t>
        </r>
        <r>
          <rPr>
            <sz val="12"/>
            <color indexed="81"/>
            <rFont val="Arial"/>
            <family val="2"/>
          </rPr>
          <t>, the joist setting on that support will have insufficient bearing.  Refer to the "Short Bearing" report to the right of the User Input area.</t>
        </r>
      </text>
    </comment>
    <comment ref="BV14" authorId="1" shapeId="0" xr:uid="{F829D72A-2BC9-4B8C-A30C-8B5F0AD6C4EF}">
      <text>
        <r>
          <rPr>
            <b/>
            <sz val="12"/>
            <color indexed="81"/>
            <rFont val="Arial"/>
            <family val="2"/>
          </rPr>
          <t xml:space="preserve">Bolt End "X":
</t>
        </r>
        <r>
          <rPr>
            <sz val="12"/>
            <color indexed="81"/>
            <rFont val="Arial"/>
            <family val="2"/>
          </rPr>
          <t xml:space="preserve">If the cell </t>
        </r>
        <r>
          <rPr>
            <sz val="12"/>
            <color indexed="10"/>
            <rFont val="Arial"/>
            <family val="2"/>
          </rPr>
          <t>background is red</t>
        </r>
        <r>
          <rPr>
            <sz val="12"/>
            <color indexed="81"/>
            <rFont val="Arial"/>
            <family val="2"/>
          </rPr>
          <t xml:space="preserve">, OSHA holes are required but not detailed.
If the "X" turns </t>
        </r>
        <r>
          <rPr>
            <b/>
            <sz val="12"/>
            <color indexed="10"/>
            <rFont val="Arial"/>
            <family val="2"/>
          </rPr>
          <t>bold red</t>
        </r>
        <r>
          <rPr>
            <sz val="12"/>
            <color indexed="81"/>
            <rFont val="Arial"/>
            <family val="2"/>
          </rPr>
          <t>, holes are detailed, but not required by OSHA.</t>
        </r>
      </text>
    </comment>
    <comment ref="BW14" authorId="1" shapeId="0" xr:uid="{54523018-1D4A-49EA-9B3F-24E96B8BC043}">
      <text>
        <r>
          <rPr>
            <b/>
            <sz val="12"/>
            <color indexed="81"/>
            <rFont val="Arial"/>
            <family val="2"/>
          </rPr>
          <t xml:space="preserve">Flange Gage:
</t>
        </r>
        <r>
          <rPr>
            <sz val="12"/>
            <color indexed="81"/>
            <rFont val="Arial"/>
            <family val="2"/>
          </rPr>
          <t xml:space="preserve">If the dimensions turn </t>
        </r>
        <r>
          <rPr>
            <b/>
            <sz val="12"/>
            <color indexed="10"/>
            <rFont val="Arial"/>
            <family val="2"/>
          </rPr>
          <t>bold red</t>
        </r>
        <r>
          <rPr>
            <sz val="12"/>
            <color indexed="81"/>
            <rFont val="Arial"/>
            <family val="2"/>
          </rPr>
          <t>, the slot length will not accommodate both flange gages.  Additional mark numbers are required.</t>
        </r>
      </text>
    </comment>
    <comment ref="BZ14" authorId="1" shapeId="0" xr:uid="{400A007C-2CB7-4E27-A659-B02A3F798688}">
      <text>
        <r>
          <rPr>
            <b/>
            <sz val="12"/>
            <color indexed="81"/>
            <rFont val="Arial"/>
            <family val="2"/>
          </rPr>
          <t xml:space="preserve">Bearing Surface Slope:
</t>
        </r>
        <r>
          <rPr>
            <sz val="12"/>
            <color indexed="81"/>
            <rFont val="Arial"/>
            <family val="2"/>
          </rPr>
          <t xml:space="preserve">If background turns </t>
        </r>
        <r>
          <rPr>
            <b/>
            <sz val="12"/>
            <color indexed="10"/>
            <rFont val="Arial"/>
            <family val="2"/>
          </rPr>
          <t>Red</t>
        </r>
        <r>
          <rPr>
            <sz val="12"/>
            <color indexed="81"/>
            <rFont val="Arial"/>
            <family val="2"/>
          </rPr>
          <t>, the joist is sloping and the support is skewed.
If member is setting on a hip or valley support, enter a bearing slope!!</t>
        </r>
      </text>
    </comment>
    <comment ref="CA14" authorId="1" shapeId="0" xr:uid="{CA9F4897-0E5D-4B99-94C8-7A4B8D21C13F}">
      <text>
        <r>
          <rPr>
            <b/>
            <sz val="12"/>
            <color indexed="81"/>
            <rFont val="Tahoma"/>
            <family val="2"/>
          </rPr>
          <t xml:space="preserve">BCX Control:
</t>
        </r>
        <r>
          <rPr>
            <sz val="12"/>
            <color indexed="81"/>
            <rFont val="Tahoma"/>
            <family val="2"/>
          </rPr>
          <t xml:space="preserve">"X" indicates BCX required at the specified end of the joist.  If the cell is blank, no BCX will be shown on the BOM.
</t>
        </r>
        <r>
          <rPr>
            <b/>
            <sz val="12"/>
            <color indexed="10"/>
            <rFont val="Tahoma"/>
            <family val="2"/>
          </rPr>
          <t>Bold Red</t>
        </r>
        <r>
          <rPr>
            <sz val="12"/>
            <color indexed="81"/>
            <rFont val="Tahoma"/>
            <family val="2"/>
          </rPr>
          <t xml:space="preserve"> "X" indicates no BCX information shown in the section, so no BCX will be shown on the BOM.
</t>
        </r>
        <r>
          <rPr>
            <b/>
            <i/>
            <sz val="12"/>
            <color indexed="81"/>
            <rFont val="Tahoma"/>
            <family val="2"/>
          </rPr>
          <t>Entering a number in this field</t>
        </r>
        <r>
          <rPr>
            <sz val="12"/>
            <color indexed="81"/>
            <rFont val="Tahoma"/>
            <family val="2"/>
          </rPr>
          <t xml:space="preserve"> will "over-ride" the BCX dimension shown in the Section.  Refer to the Section sketches on the SectInfo tab for the direction of +/- dimensions.</t>
        </r>
      </text>
    </comment>
    <comment ref="CH14" authorId="2" shapeId="0" xr:uid="{9B3C1E4E-315C-4AAF-8D7C-F314328F2774}">
      <text>
        <r>
          <rPr>
            <b/>
            <sz val="12"/>
            <color indexed="81"/>
            <rFont val="Tahoma"/>
            <family val="2"/>
          </rPr>
          <t>Seat Slot Warnings:</t>
        </r>
        <r>
          <rPr>
            <sz val="9"/>
            <color indexed="81"/>
            <rFont val="Tahoma"/>
            <family val="2"/>
          </rPr>
          <t xml:space="preserve">
</t>
        </r>
        <r>
          <rPr>
            <sz val="12"/>
            <color indexed="81"/>
            <rFont val="Tahoma"/>
            <family val="2"/>
          </rPr>
          <t>The following rules are used to determine the locations of slots in joist seats at skewed supports:
1) find common location that works for NS and FS, if not:
2) put location furthest from OL in BOM, list location nearest OL in "Warnings".
If any slot fouls with edge of bearing seat, no slot is shown on BOM.</t>
        </r>
      </text>
    </comment>
    <comment ref="BP15" authorId="1" shapeId="0" xr:uid="{8C32037C-756F-4D9D-80A9-091BC2DCDCC2}">
      <text>
        <r>
          <rPr>
            <b/>
            <sz val="12"/>
            <color indexed="81"/>
            <rFont val="Arial"/>
            <family val="2"/>
          </rPr>
          <t>TCL &amp; TCR Over-rides:</t>
        </r>
        <r>
          <rPr>
            <sz val="12"/>
            <color indexed="81"/>
            <rFont val="Arial"/>
            <family val="2"/>
          </rPr>
          <t xml:space="preserve">
This over-rides the "End of Joist" dimension specified in the section.  Intended to be used for sections where the location of the end of joist varies - like at a curved deck/slab edge - without cutting multiple sections.
</t>
        </r>
        <r>
          <rPr>
            <b/>
            <sz val="12"/>
            <color indexed="10"/>
            <rFont val="Arial"/>
            <family val="2"/>
          </rPr>
          <t>Changing this dimension changes the joist Overall Length, thus affecting TCXs, BCXs and Slot Locations.</t>
        </r>
      </text>
    </comment>
    <comment ref="BQ15" authorId="1" shapeId="0" xr:uid="{E67D734B-75C0-44BE-987F-F13F99E791D6}">
      <text>
        <r>
          <rPr>
            <b/>
            <sz val="12"/>
            <color indexed="81"/>
            <rFont val="Tahoma"/>
            <family val="2"/>
          </rPr>
          <t xml:space="preserve">Base Length Over-Ride:
</t>
        </r>
        <r>
          <rPr>
            <sz val="12"/>
            <color indexed="81"/>
            <rFont val="Tahoma"/>
            <family val="2"/>
          </rPr>
          <t xml:space="preserve">Alters the Base Length and TCX dimensions.
If you want to use the additional clear bearing associated with deeper joist seats to shorten the TCX, enter a dimension here.
Enter the BL location from the Bay Length Reference (center of steel or face of masonry wall).  A positive dimension lengthens the BL, while a negative dimension shortens the BL.
</t>
        </r>
        <r>
          <rPr>
            <b/>
            <sz val="12"/>
            <color indexed="10"/>
            <rFont val="Tahoma"/>
            <family val="2"/>
          </rPr>
          <t>Red Bold</t>
        </r>
        <r>
          <rPr>
            <sz val="12"/>
            <color indexed="81"/>
            <rFont val="Tahoma"/>
            <family val="2"/>
          </rPr>
          <t xml:space="preserve"> indicates a dimension that exceeds the maximum allowable (the OL point of the joist) offset </t>
        </r>
        <r>
          <rPr>
            <b/>
            <i/>
            <u/>
            <sz val="12"/>
            <color indexed="81"/>
            <rFont val="Tahoma"/>
            <family val="2"/>
          </rPr>
          <t>OR</t>
        </r>
        <r>
          <rPr>
            <sz val="12"/>
            <color indexed="81"/>
            <rFont val="Tahoma"/>
            <family val="2"/>
          </rPr>
          <t xml:space="preserve"> a dimension that is less than 0".</t>
        </r>
      </text>
    </comment>
    <comment ref="BR15" authorId="1" shapeId="0" xr:uid="{60843668-BF02-477E-8374-62B8B145F6FD}">
      <text>
        <r>
          <rPr>
            <b/>
            <sz val="12"/>
            <color indexed="81"/>
            <rFont val="Tahoma"/>
            <family val="2"/>
          </rPr>
          <t xml:space="preserve">Seat Depth Over-Ride:
</t>
        </r>
        <r>
          <rPr>
            <sz val="12"/>
            <color indexed="81"/>
            <rFont val="Tahoma"/>
            <family val="2"/>
          </rPr>
          <t>Over-rides the seat depth dimension shown in the section.
If this field is blank, the BOM uses the seat depth specified in the section.</t>
        </r>
      </text>
    </comment>
    <comment ref="CB15" authorId="1" shapeId="0" xr:uid="{1D9831C7-AEAD-4CC0-8805-0ED7F6F8126D}">
      <text>
        <r>
          <rPr>
            <b/>
            <sz val="12"/>
            <color indexed="81"/>
            <rFont val="Arial"/>
            <family val="2"/>
          </rPr>
          <t>TCL &amp; TCR Over-rides:</t>
        </r>
        <r>
          <rPr>
            <sz val="12"/>
            <color indexed="81"/>
            <rFont val="Arial"/>
            <family val="2"/>
          </rPr>
          <t xml:space="preserve">
This over-rides the "End of Joist" dimension specified in the section.  Intended to be used for sections where the location of the end of joist varies - like at a curved deck/slab edge - without cutting multiple sections.
</t>
        </r>
        <r>
          <rPr>
            <b/>
            <sz val="12"/>
            <color indexed="10"/>
            <rFont val="Arial"/>
            <family val="2"/>
          </rPr>
          <t>Changing this dimension changes the joist Overall Length, thus affecting TCXs, BCXs and Slot Locations.</t>
        </r>
      </text>
    </comment>
    <comment ref="CC15" authorId="1" shapeId="0" xr:uid="{3A5D3FE9-D1EA-4FE8-96E3-066E25147E04}">
      <text>
        <r>
          <rPr>
            <b/>
            <sz val="12"/>
            <color indexed="81"/>
            <rFont val="Tahoma"/>
            <family val="2"/>
          </rPr>
          <t xml:space="preserve">Base Length Over-Ride:
</t>
        </r>
        <r>
          <rPr>
            <sz val="12"/>
            <color indexed="81"/>
            <rFont val="Tahoma"/>
            <family val="2"/>
          </rPr>
          <t xml:space="preserve">Alters the Base Length and TCX dimensions.
If you want to use the additional clear bearing associated with deeper joist seats to shorten the TCX, enter a dimension here.
Enter the BL location from the Bay Length Reference (center of steel or face of masonry wall).  A positive dimension lengthens the BL, while a negative dimension shortens the BL.
</t>
        </r>
        <r>
          <rPr>
            <b/>
            <sz val="12"/>
            <color indexed="10"/>
            <rFont val="Tahoma"/>
            <family val="2"/>
          </rPr>
          <t>Red Bold</t>
        </r>
        <r>
          <rPr>
            <sz val="12"/>
            <color indexed="81"/>
            <rFont val="Tahoma"/>
            <family val="2"/>
          </rPr>
          <t xml:space="preserve"> indicates a dimension that exceeds the maximum allowable (the OL point of the joist) offset </t>
        </r>
        <r>
          <rPr>
            <b/>
            <i/>
            <u/>
            <sz val="12"/>
            <color indexed="81"/>
            <rFont val="Tahoma"/>
            <family val="2"/>
          </rPr>
          <t>OR</t>
        </r>
        <r>
          <rPr>
            <sz val="12"/>
            <color indexed="81"/>
            <rFont val="Tahoma"/>
            <family val="2"/>
          </rPr>
          <t xml:space="preserve"> a dimension that is less than 0".</t>
        </r>
      </text>
    </comment>
    <comment ref="CD15" authorId="1" shapeId="0" xr:uid="{096CB083-3B3A-4B0D-AECC-8E786D231EFF}">
      <text>
        <r>
          <rPr>
            <b/>
            <sz val="12"/>
            <color indexed="81"/>
            <rFont val="Tahoma"/>
            <family val="2"/>
          </rPr>
          <t xml:space="preserve">Seat Depth Over-Ride:
</t>
        </r>
        <r>
          <rPr>
            <sz val="12"/>
            <color indexed="81"/>
            <rFont val="Tahoma"/>
            <family val="2"/>
          </rPr>
          <t>Over-rides the seat depth dimension shown in the section.
If this field is blank, the BOM uses the seat depth specified in the section.</t>
        </r>
      </text>
    </comment>
    <comment ref="CG15" authorId="1" shapeId="0" xr:uid="{909158F9-571F-404A-BF47-D81A1E9139C9}">
      <text>
        <r>
          <rPr>
            <b/>
            <sz val="12"/>
            <color indexed="81"/>
            <rFont val="Arial"/>
            <family val="2"/>
          </rPr>
          <t xml:space="preserve">Special Notes:
</t>
        </r>
        <r>
          <rPr>
            <sz val="12"/>
            <color indexed="81"/>
            <rFont val="Arial"/>
            <family val="2"/>
          </rPr>
          <t>If background turnes</t>
        </r>
        <r>
          <rPr>
            <b/>
            <sz val="12"/>
            <color indexed="10"/>
            <rFont val="Arial"/>
            <family val="2"/>
          </rPr>
          <t xml:space="preserve"> red</t>
        </r>
        <r>
          <rPr>
            <sz val="12"/>
            <color indexed="81"/>
            <rFont val="Arial"/>
            <family val="2"/>
          </rPr>
          <t>, make sure there is a special note to address Seat Slot, Severe Skew or Minimum Clear Bearing Warnings.</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Faull, Spencer</author>
    <author>Sellers, Rich</author>
    <author>Mike Camperman</author>
    <author>Rich Sellers</author>
  </authors>
  <commentList>
    <comment ref="A12" authorId="0" shapeId="0" xr:uid="{BEB1E516-55F3-4518-AAC5-B556B9E75837}">
      <text>
        <r>
          <rPr>
            <sz val="9"/>
            <color indexed="81"/>
            <rFont val="Tahoma"/>
            <family val="2"/>
          </rPr>
          <t xml:space="preserve">The TYPE, CAT, and POS cells </t>
        </r>
        <r>
          <rPr>
            <b/>
            <i/>
            <sz val="9"/>
            <color indexed="81"/>
            <rFont val="Tahoma"/>
            <family val="2"/>
          </rPr>
          <t xml:space="preserve">cannot </t>
        </r>
        <r>
          <rPr>
            <sz val="9"/>
            <color indexed="81"/>
            <rFont val="Tahoma"/>
            <family val="2"/>
          </rPr>
          <t xml:space="preserve">be left blank if there is a load value in LOAD 1 or LOAD 2 of that row.
Illegal blank cells will turn completely red.
If they are left blank, JEDI will ignore the entire row of the note.
</t>
        </r>
      </text>
    </comment>
    <comment ref="A13" authorId="1" shapeId="0" xr:uid="{34DF9830-E18D-454E-92BA-854DE275A6A2}">
      <text>
        <r>
          <rPr>
            <b/>
            <sz val="12"/>
            <color indexed="81"/>
            <rFont val="Arial"/>
            <family val="2"/>
          </rPr>
          <t xml:space="preserve">Load #:
</t>
        </r>
        <r>
          <rPr>
            <sz val="12"/>
            <color indexed="81"/>
            <rFont val="Arial"/>
            <family val="2"/>
          </rPr>
          <t xml:space="preserve">If Value is </t>
        </r>
        <r>
          <rPr>
            <b/>
            <sz val="12"/>
            <color indexed="10"/>
            <rFont val="Arial"/>
            <family val="2"/>
          </rPr>
          <t>Bold Red</t>
        </r>
        <r>
          <rPr>
            <sz val="12"/>
            <color indexed="81"/>
            <rFont val="Arial"/>
            <family val="2"/>
          </rPr>
          <t>, the Load Note is not used on any Girder, Joist or Bridging mark.</t>
        </r>
      </text>
    </comment>
    <comment ref="E13" authorId="2" shapeId="0" xr:uid="{2C399D5F-47D9-4C63-8601-B32E1376055E}">
      <text>
        <r>
          <rPr>
            <b/>
            <sz val="8"/>
            <color indexed="81"/>
            <rFont val="Tahoma"/>
            <family val="2"/>
          </rPr>
          <t xml:space="preserve">Currently NOT used.
</t>
        </r>
      </text>
    </comment>
    <comment ref="F13" authorId="3" shapeId="0" xr:uid="{DD41CBEB-CA32-47AC-981A-705ADE33A87C}">
      <text>
        <r>
          <rPr>
            <b/>
            <sz val="12"/>
            <color indexed="81"/>
            <rFont val="Arial"/>
            <family val="2"/>
          </rPr>
          <t>Load1 Value:</t>
        </r>
        <r>
          <rPr>
            <sz val="12"/>
            <color indexed="81"/>
            <rFont val="Arial"/>
            <family val="2"/>
          </rPr>
          <t xml:space="preserve">
If Load2 Value is</t>
        </r>
        <r>
          <rPr>
            <b/>
            <sz val="12"/>
            <color indexed="10"/>
            <rFont val="Arial"/>
            <family val="2"/>
          </rPr>
          <t xml:space="preserve"> Bold Red</t>
        </r>
        <r>
          <rPr>
            <sz val="12"/>
            <color indexed="81"/>
            <rFont val="Arial"/>
            <family val="2"/>
          </rPr>
          <t>, check the following things:
1) Load Type "NU" can not have a negative magnitude.</t>
        </r>
      </text>
    </comment>
    <comment ref="G13" authorId="3" shapeId="0" xr:uid="{0201C7A3-1B12-4A29-8E58-7F60E4170CD1}">
      <text>
        <r>
          <rPr>
            <b/>
            <sz val="12"/>
            <color indexed="81"/>
            <rFont val="Arial"/>
            <family val="2"/>
          </rPr>
          <t>Load Location:</t>
        </r>
        <r>
          <rPr>
            <sz val="12"/>
            <color indexed="81"/>
            <rFont val="Arial"/>
            <family val="2"/>
          </rPr>
          <t xml:space="preserve">
If the Load Locations are </t>
        </r>
        <r>
          <rPr>
            <b/>
            <sz val="12"/>
            <color indexed="10"/>
            <rFont val="Arial"/>
            <family val="2"/>
          </rPr>
          <t>RED</t>
        </r>
        <r>
          <rPr>
            <sz val="12"/>
            <color indexed="81"/>
            <rFont val="Arial"/>
            <family val="2"/>
          </rPr>
          <t>, there are 2 things that might be the problem:
1) The location of Load1 is greater than the location of Load2.  Location1 must be &lt; Location2 for JEDI to import proplery.
2) Load Types "CP", "CA", "M", "AX" and "S" do not require any location.</t>
        </r>
      </text>
    </comment>
    <comment ref="I13" authorId="3" shapeId="0" xr:uid="{5BD14B51-03B9-4630-B19B-2919E2E43518}">
      <text>
        <r>
          <rPr>
            <b/>
            <sz val="12"/>
            <color indexed="81"/>
            <rFont val="Arial"/>
            <family val="2"/>
          </rPr>
          <t xml:space="preserve">Load2 Value:
</t>
        </r>
        <r>
          <rPr>
            <sz val="12"/>
            <color indexed="81"/>
            <rFont val="Arial"/>
            <family val="2"/>
          </rPr>
          <t xml:space="preserve">If Load2 Value is </t>
        </r>
        <r>
          <rPr>
            <b/>
            <sz val="12"/>
            <color indexed="10"/>
            <rFont val="Arial"/>
            <family val="2"/>
          </rPr>
          <t>Bold Red</t>
        </r>
        <r>
          <rPr>
            <sz val="12"/>
            <color indexed="81"/>
            <rFont val="Arial"/>
            <family val="2"/>
          </rPr>
          <t xml:space="preserve">, check the following things:
1) Load Types "CZ", "CP", "CA", "M", "AX" and "S" can </t>
        </r>
        <r>
          <rPr>
            <b/>
            <u/>
            <sz val="12"/>
            <color indexed="81"/>
            <rFont val="Arial"/>
            <family val="2"/>
          </rPr>
          <t>NOT</t>
        </r>
        <r>
          <rPr>
            <sz val="12"/>
            <color indexed="81"/>
            <rFont val="Arial"/>
            <family val="2"/>
          </rPr>
          <t xml:space="preserve"> have a Load2 magnitude.
2) Load Type "NU" can not have a negative magnitude.</t>
        </r>
      </text>
    </comment>
    <comment ref="J13" authorId="3" shapeId="0" xr:uid="{8E421EAA-9C08-45BD-A1E9-8DE507649E04}">
      <text>
        <r>
          <rPr>
            <b/>
            <sz val="12"/>
            <color indexed="81"/>
            <rFont val="Arial"/>
            <family val="2"/>
          </rPr>
          <t>Load Location:</t>
        </r>
        <r>
          <rPr>
            <sz val="12"/>
            <color indexed="81"/>
            <rFont val="Arial"/>
            <family val="2"/>
          </rPr>
          <t xml:space="preserve">
If the Load Locations are </t>
        </r>
        <r>
          <rPr>
            <b/>
            <sz val="12"/>
            <color indexed="10"/>
            <rFont val="Arial"/>
            <family val="2"/>
          </rPr>
          <t>RED</t>
        </r>
        <r>
          <rPr>
            <sz val="12"/>
            <color indexed="81"/>
            <rFont val="Arial"/>
            <family val="2"/>
          </rPr>
          <t>, there are 2 things that might be the problem:
1) The location of Load1 is greater than the location of Load2.  Location1 must be &lt; Location2 for JEDI to import proplery.
2) Load Types "CP", "CA", "M", "AX" and "S" do not require any location.</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Sellers, Rich</author>
    <author>sellersrl</author>
  </authors>
  <commentList>
    <comment ref="A12" authorId="0" shapeId="0" xr:uid="{3619BD9D-A48E-4E52-A60D-DAC42E936B56}">
      <text>
        <r>
          <rPr>
            <b/>
            <sz val="12"/>
            <color indexed="81"/>
            <rFont val="Arial"/>
            <family val="2"/>
          </rPr>
          <t>Bridging Mark</t>
        </r>
        <r>
          <rPr>
            <sz val="12"/>
            <color indexed="81"/>
            <rFont val="Arial"/>
            <family val="2"/>
          </rPr>
          <t xml:space="preserve">:
If this value turns </t>
        </r>
        <r>
          <rPr>
            <b/>
            <sz val="12"/>
            <color indexed="10"/>
            <rFont val="Arial"/>
            <family val="2"/>
          </rPr>
          <t>bold red</t>
        </r>
        <r>
          <rPr>
            <sz val="12"/>
            <color indexed="81"/>
            <rFont val="Arial"/>
            <family val="2"/>
          </rPr>
          <t xml:space="preserve"> (and there is a quantity of zero), the joist the joist mark is not listed on any S(*) pages of the current BOM view.</t>
        </r>
      </text>
    </comment>
    <comment ref="D12" authorId="1" shapeId="0" xr:uid="{AE5D0EFE-A5F5-4897-A532-BF86AB1960BD}">
      <text>
        <r>
          <rPr>
            <b/>
            <sz val="10"/>
            <color indexed="81"/>
            <rFont val="Arial"/>
            <family val="2"/>
          </rPr>
          <t xml:space="preserve">Material:
</t>
        </r>
        <r>
          <rPr>
            <sz val="10"/>
            <color indexed="81"/>
            <rFont val="Arial"/>
            <family val="2"/>
          </rPr>
          <t xml:space="preserve">If the information turns </t>
        </r>
        <r>
          <rPr>
            <b/>
            <sz val="10"/>
            <color indexed="10"/>
            <rFont val="Arial"/>
            <family val="2"/>
          </rPr>
          <t>Bold Red</t>
        </r>
        <r>
          <rPr>
            <sz val="10"/>
            <color indexed="81"/>
            <rFont val="Arial"/>
            <family val="2"/>
          </rPr>
          <t xml:space="preserve">, the material can't be used for bolted bridging
</t>
        </r>
        <r>
          <rPr>
            <b/>
            <sz val="10"/>
            <color indexed="81"/>
            <rFont val="Arial"/>
            <family val="2"/>
          </rPr>
          <t>-OR-</t>
        </r>
        <r>
          <rPr>
            <sz val="10"/>
            <color indexed="81"/>
            <rFont val="Arial"/>
            <family val="2"/>
          </rPr>
          <t xml:space="preserve">
the material specified is not a valid material designation.</t>
        </r>
      </text>
    </comment>
    <comment ref="E12" authorId="1" shapeId="0" xr:uid="{9935CB91-9FC7-44E0-BFD3-7FCA4DEE320D}">
      <text>
        <r>
          <rPr>
            <b/>
            <sz val="10"/>
            <color indexed="81"/>
            <rFont val="Arial"/>
            <family val="2"/>
          </rPr>
          <t xml:space="preserve">Material Type:
</t>
        </r>
        <r>
          <rPr>
            <sz val="10"/>
            <color indexed="81"/>
            <rFont val="Arial"/>
            <family val="2"/>
          </rPr>
          <t xml:space="preserve">If the information turns </t>
        </r>
        <r>
          <rPr>
            <b/>
            <sz val="10"/>
            <color indexed="10"/>
            <rFont val="Arial"/>
            <family val="2"/>
          </rPr>
          <t>Bold Red</t>
        </r>
        <r>
          <rPr>
            <sz val="10"/>
            <color indexed="81"/>
            <rFont val="Arial"/>
            <family val="2"/>
          </rPr>
          <t xml:space="preserve">, the information will not upload into the design program
</t>
        </r>
        <r>
          <rPr>
            <b/>
            <sz val="10"/>
            <color indexed="81"/>
            <rFont val="Arial"/>
            <family val="2"/>
          </rPr>
          <t>-OR-</t>
        </r>
        <r>
          <rPr>
            <sz val="10"/>
            <color indexed="81"/>
            <rFont val="Arial"/>
            <family val="2"/>
          </rPr>
          <t xml:space="preserve">
Bolted bridging is specified for material that is too small to punch.</t>
        </r>
      </text>
    </comment>
    <comment ref="G12" authorId="1" shapeId="0" xr:uid="{DD61D270-E9E1-4416-BD74-36867DBCB492}">
      <text>
        <r>
          <rPr>
            <b/>
            <sz val="10"/>
            <color indexed="81"/>
            <rFont val="Arial"/>
            <family val="2"/>
          </rPr>
          <t xml:space="preserve">Joist "A":
</t>
        </r>
        <r>
          <rPr>
            <sz val="10"/>
            <color indexed="81"/>
            <rFont val="Arial"/>
            <family val="2"/>
          </rPr>
          <t xml:space="preserve">If the information turns </t>
        </r>
        <r>
          <rPr>
            <b/>
            <sz val="10"/>
            <color indexed="10"/>
            <rFont val="Arial"/>
            <family val="2"/>
          </rPr>
          <t>Bold Red</t>
        </r>
        <r>
          <rPr>
            <sz val="10"/>
            <color indexed="81"/>
            <rFont val="Arial"/>
            <family val="2"/>
          </rPr>
          <t>, it is not required and should be deleted to avoid improper importing.</t>
        </r>
      </text>
    </comment>
    <comment ref="I12" authorId="1" shapeId="0" xr:uid="{A13876F2-CA84-48B5-AF0C-1F5A51D3B9A5}">
      <text>
        <r>
          <rPr>
            <b/>
            <sz val="10"/>
            <color indexed="81"/>
            <rFont val="Arial"/>
            <family val="2"/>
          </rPr>
          <t xml:space="preserve">Member "B":
</t>
        </r>
        <r>
          <rPr>
            <sz val="10"/>
            <color indexed="81"/>
            <rFont val="Arial"/>
            <family val="2"/>
          </rPr>
          <t xml:space="preserve">If the information turns </t>
        </r>
        <r>
          <rPr>
            <b/>
            <sz val="10"/>
            <color indexed="10"/>
            <rFont val="Arial"/>
            <family val="2"/>
          </rPr>
          <t>Bold Red</t>
        </r>
        <r>
          <rPr>
            <sz val="10"/>
            <color indexed="81"/>
            <rFont val="Arial"/>
            <family val="2"/>
          </rPr>
          <t>, it is not required and should be deleted to avoid improper importing.</t>
        </r>
      </text>
    </comment>
    <comment ref="U26" authorId="1" shapeId="0" xr:uid="{299EA26A-96C0-430D-AA20-F52F1C96B599}">
      <text>
        <r>
          <rPr>
            <b/>
            <sz val="8"/>
            <color indexed="81"/>
            <rFont val="Tahoma"/>
            <family val="2"/>
          </rPr>
          <t>sellersrl:</t>
        </r>
        <r>
          <rPr>
            <sz val="8"/>
            <color indexed="81"/>
            <rFont val="Tahoma"/>
            <family val="2"/>
          </rPr>
          <t xml:space="preserve">
Materials that can't be used for bolted bridging.</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<sst xmlns="http://schemas.openxmlformats.org/spreadsheetml/2006/main" count="4243" uniqueCount="832">
  <si>
    <t>JOIST BILL OF MATERIALS</t>
  </si>
  <si>
    <t>JOB NAME:</t>
  </si>
  <si>
    <t>JOB #:</t>
  </si>
  <si>
    <t>LOCATION:</t>
  </si>
  <si>
    <t>NET UPLIFT =</t>
  </si>
  <si>
    <t>SSJ:</t>
  </si>
  <si>
    <t>LSJ:</t>
  </si>
  <si>
    <t>JS:</t>
  </si>
  <si>
    <t>HDR:</t>
  </si>
  <si>
    <t>TCXL</t>
  </si>
  <si>
    <t>TCXR</t>
  </si>
  <si>
    <t>SEAT DEPTH</t>
  </si>
  <si>
    <t>BCXL</t>
  </si>
  <si>
    <t>BCXR</t>
  </si>
  <si>
    <t>PUNCHED SEATS</t>
  </si>
  <si>
    <t>NOTES</t>
  </si>
  <si>
    <t>LENGTH</t>
  </si>
  <si>
    <t>TYPE</t>
  </si>
  <si>
    <t>BDL</t>
  </si>
  <si>
    <t>BDR</t>
  </si>
  <si>
    <t>DATE:</t>
  </si>
  <si>
    <t>SHEET:</t>
  </si>
  <si>
    <t>DETAILER:</t>
  </si>
  <si>
    <t>CHECKER:</t>
  </si>
  <si>
    <t>JOIST SIZE</t>
  </si>
  <si>
    <t>OVERALL LENGTH</t>
  </si>
  <si>
    <t>PAINT:</t>
  </si>
  <si>
    <t>GA.</t>
  </si>
  <si>
    <t>QTY.</t>
  </si>
  <si>
    <t>JOIST AND GIRDER SPECIAL NOTES</t>
  </si>
  <si>
    <t>NOTE #</t>
  </si>
  <si>
    <t>GIRDER SIZE</t>
  </si>
  <si>
    <t>A</t>
  </si>
  <si>
    <t>NO.</t>
  </si>
  <si>
    <t>N</t>
  </si>
  <si>
    <t>B</t>
  </si>
  <si>
    <t>BRIDGING CLIPS</t>
  </si>
  <si>
    <t>GIRDER BILL OF MATERIALS  (PART 1)</t>
  </si>
  <si>
    <t>GIRDER BILL OF MATERIALS  (PART 2)</t>
  </si>
  <si>
    <t>BRIDGING BILL OF MATERIALS</t>
  </si>
  <si>
    <t>MARK</t>
  </si>
  <si>
    <t>CAUTIONARY NOTES</t>
  </si>
  <si>
    <t>GENERAL PROJECT INFORMATION</t>
  </si>
  <si>
    <t>NMBS INTERNAL USE ONLY</t>
  </si>
  <si>
    <t>DIR.</t>
  </si>
  <si>
    <t>CAT.</t>
  </si>
  <si>
    <t>LOAD #</t>
  </si>
  <si>
    <t>VALUE</t>
  </si>
  <si>
    <t>DISTANCE</t>
  </si>
  <si>
    <t>LOAD 1</t>
  </si>
  <si>
    <t>LOAD 2</t>
  </si>
  <si>
    <t>REF.</t>
  </si>
  <si>
    <t>REMARKS</t>
  </si>
  <si>
    <t>SEQUENCE SUMMARY</t>
  </si>
  <si>
    <t>SEQ. #</t>
  </si>
  <si>
    <t>SEQUENCE KEY</t>
  </si>
  <si>
    <t xml:space="preserve">SEQUENCE </t>
  </si>
  <si>
    <t>[SPECIAL]   (LOAD)</t>
  </si>
  <si>
    <t>LOC.</t>
  </si>
  <si>
    <t>BOLT N,F,B</t>
  </si>
  <si>
    <t>JST. GA.</t>
  </si>
  <si>
    <t>GIRDERS TOTAL:</t>
  </si>
  <si>
    <t>NFB</t>
  </si>
  <si>
    <t>LOAD (KIP)</t>
  </si>
  <si>
    <t>K</t>
  </si>
  <si>
    <t>LH</t>
  </si>
  <si>
    <t>JS</t>
  </si>
  <si>
    <t>HDR</t>
  </si>
  <si>
    <t>LOAD INFORMATION</t>
  </si>
  <si>
    <t>POS.</t>
  </si>
  <si>
    <t>JOIST "A"</t>
  </si>
  <si>
    <t>HL</t>
  </si>
  <si>
    <t>HR</t>
  </si>
  <si>
    <t>ADDITIONAL JOIST LOCATIONS  (FROM O.A.L. AT LEFT END)</t>
  </si>
  <si>
    <t>T.C. WIDTH</t>
  </si>
  <si>
    <t>Total</t>
  </si>
  <si>
    <t>260-868-6000</t>
  </si>
  <si>
    <t>TELEPHONE:</t>
  </si>
  <si>
    <t>SALES FAX:</t>
  </si>
  <si>
    <t>TRAFFIC FAX:</t>
  </si>
  <si>
    <t>ENGR. FAX:</t>
  </si>
  <si>
    <t>SPACING
"C"</t>
  </si>
  <si>
    <t>ELEV.
"D"</t>
  </si>
  <si>
    <t>SLOPE
1</t>
  </si>
  <si>
    <t>SLOPE
2</t>
  </si>
  <si>
    <t>SEAT SLOPE</t>
  </si>
  <si>
    <t>L</t>
  </si>
  <si>
    <t>R</t>
  </si>
  <si>
    <t>CJ</t>
  </si>
  <si>
    <t>CJ:</t>
  </si>
  <si>
    <t/>
  </si>
  <si>
    <t>M</t>
  </si>
  <si>
    <t>COLOR TAG</t>
  </si>
  <si>
    <t>WHT</t>
  </si>
  <si>
    <t>BRN</t>
  </si>
  <si>
    <t>ORG</t>
  </si>
  <si>
    <t>BLU</t>
  </si>
  <si>
    <t>GRN</t>
  </si>
  <si>
    <t>YLW</t>
  </si>
  <si>
    <t>PRP</t>
  </si>
  <si>
    <t>RED</t>
  </si>
  <si>
    <t>BLK</t>
  </si>
  <si>
    <t>QTY</t>
  </si>
  <si>
    <t>White</t>
  </si>
  <si>
    <t>Brown</t>
  </si>
  <si>
    <t>Orange</t>
  </si>
  <si>
    <t>Blue</t>
  </si>
  <si>
    <t>Green</t>
  </si>
  <si>
    <t>Yellow</t>
  </si>
  <si>
    <t>Purple</t>
  </si>
  <si>
    <t>Red</t>
  </si>
  <si>
    <t>Black</t>
  </si>
  <si>
    <t>WL</t>
  </si>
  <si>
    <t>BE</t>
  </si>
  <si>
    <t>NU</t>
  </si>
  <si>
    <t>TC</t>
  </si>
  <si>
    <t>C3</t>
  </si>
  <si>
    <t>TL</t>
  </si>
  <si>
    <t>C</t>
  </si>
  <si>
    <t>U</t>
  </si>
  <si>
    <t>GU</t>
  </si>
  <si>
    <t>CB</t>
  </si>
  <si>
    <t>CP</t>
  </si>
  <si>
    <t>CA</t>
  </si>
  <si>
    <t>CZ</t>
  </si>
  <si>
    <t>AX</t>
  </si>
  <si>
    <t>S</t>
  </si>
  <si>
    <t>BC</t>
  </si>
  <si>
    <t>XL</t>
  </si>
  <si>
    <t>XR</t>
  </si>
  <si>
    <t>DL</t>
  </si>
  <si>
    <t>LL</t>
  </si>
  <si>
    <t>SL</t>
  </si>
  <si>
    <t>CL</t>
  </si>
  <si>
    <t>IP</t>
  </si>
  <si>
    <t>SM</t>
  </si>
  <si>
    <t>LE</t>
  </si>
  <si>
    <t>RE</t>
  </si>
  <si>
    <t>Rel?</t>
  </si>
  <si>
    <t>Depth</t>
  </si>
  <si>
    <t>Series</t>
  </si>
  <si>
    <t>Section</t>
  </si>
  <si>
    <t>HL Ok?</t>
  </si>
  <si>
    <t>BL</t>
  </si>
  <si>
    <t>BR</t>
  </si>
  <si>
    <t>HR Ok?</t>
  </si>
  <si>
    <t>Des. Ok?</t>
  </si>
  <si>
    <t>KCS</t>
  </si>
  <si>
    <t>DLH</t>
  </si>
  <si>
    <t>SLH</t>
  </si>
  <si>
    <t># of N's</t>
  </si>
  <si>
    <t>Load</t>
  </si>
  <si>
    <t>Uplift</t>
  </si>
  <si>
    <t>If This is a Master Summary sheet, These quantities are the total quanities released.
If this is a Partial Release Summary, these quantities are the maximum that can be released.</t>
  </si>
  <si>
    <t>G</t>
  </si>
  <si>
    <t>Joist Type (for discrepancy reporting)</t>
  </si>
  <si>
    <t>Series (broken down due to limitations of parenthesis nesting within Excel)</t>
  </si>
  <si>
    <t>Mem Type</t>
  </si>
  <si>
    <t>Release Error?</t>
  </si>
  <si>
    <t>Length</t>
  </si>
  <si>
    <t>(Min)</t>
  </si>
  <si>
    <t>gage</t>
  </si>
  <si>
    <t>Slot W</t>
  </si>
  <si>
    <t>Slot L</t>
  </si>
  <si>
    <t>TCX Calc Code</t>
  </si>
  <si>
    <t>Min. Seat Slope</t>
  </si>
  <si>
    <t>Left (Tag) End Information</t>
  </si>
  <si>
    <t>Right End Information</t>
  </si>
  <si>
    <t>Tag (Left) End Information</t>
  </si>
  <si>
    <t>Min. Seat Depth @ High End</t>
  </si>
  <si>
    <t>TE Seat Slope (Rad)</t>
  </si>
  <si>
    <t>TE Seat Kick</t>
  </si>
  <si>
    <t>RE Seat Slope (Rad)</t>
  </si>
  <si>
    <t>RE Seat Kick</t>
  </si>
  <si>
    <t>Length Calc for min slopes</t>
  </si>
  <si>
    <t>Girder Size</t>
  </si>
  <si>
    <t>Girder "Bay Length"</t>
  </si>
  <si>
    <t>Notes</t>
  </si>
  <si>
    <t>Girder TC Width</t>
  </si>
  <si>
    <t>Min. BDL @ Bay Length</t>
  </si>
  <si>
    <t>Min. BDR @ Bay Length</t>
  </si>
  <si>
    <t># of Lines or spacing</t>
  </si>
  <si>
    <t>PP Spacing</t>
  </si>
  <si>
    <t>Sum of Spa on Slope</t>
  </si>
  <si>
    <t>Calc'd Qty of "N"</t>
  </si>
  <si>
    <t>Skew Ang.</t>
  </si>
  <si>
    <t>SPA</t>
  </si>
  <si>
    <t>"X" TO WRAP PP DIM</t>
  </si>
  <si>
    <t>Joist Slope (radians)</t>
  </si>
  <si>
    <t>a</t>
  </si>
  <si>
    <t>n</t>
  </si>
  <si>
    <t>spa</t>
  </si>
  <si>
    <t>b</t>
  </si>
  <si>
    <t>Bay Remaining</t>
  </si>
  <si>
    <t>Bay Length</t>
  </si>
  <si>
    <t>Sect Type</t>
  </si>
  <si>
    <t>O.L. +/-</t>
  </si>
  <si>
    <t>TCXL Type</t>
  </si>
  <si>
    <t>BD</t>
  </si>
  <si>
    <t>Hole Loc.</t>
  </si>
  <si>
    <t>Edge/ Cap Pl</t>
  </si>
  <si>
    <t>Bearing Slope</t>
  </si>
  <si>
    <t>TCXR Type</t>
  </si>
  <si>
    <t>OAL</t>
  </si>
  <si>
    <t>BDL @ Base Length</t>
  </si>
  <si>
    <t>BDR @ Base Length</t>
  </si>
  <si>
    <t>L. Brg Width</t>
  </si>
  <si>
    <t>L. Clear Brg</t>
  </si>
  <si>
    <t>R. Brg Width</t>
  </si>
  <si>
    <t>R. Clear Brg</t>
  </si>
  <si>
    <t>plan TCXL</t>
  </si>
  <si>
    <t>sloping TCXL</t>
  </si>
  <si>
    <t>plan TCXR</t>
  </si>
  <si>
    <t>sloping TCXR</t>
  </si>
  <si>
    <t>Base</t>
  </si>
  <si>
    <t>TCA</t>
  </si>
  <si>
    <t>BCA</t>
  </si>
  <si>
    <t>TE</t>
  </si>
  <si>
    <t>min</t>
  </si>
  <si>
    <t>max</t>
  </si>
  <si>
    <t>Gap</t>
  </si>
  <si>
    <t>Bridging Calculations</t>
  </si>
  <si>
    <t>TE Flg Ga Min</t>
  </si>
  <si>
    <t>TE Flg Ga Max</t>
  </si>
  <si>
    <t>Avg. Flange Gage @ TE</t>
  </si>
  <si>
    <t>RE Flg Ga Min</t>
  </si>
  <si>
    <t>RE Flg Ga Max</t>
  </si>
  <si>
    <t>Avg. Flange Gage @ RE</t>
  </si>
  <si>
    <t>TE Brg Slope (Rad)</t>
  </si>
  <si>
    <t>TE Seat Slope (in/ft)</t>
  </si>
  <si>
    <t>RE Brg Slope (Rad)</t>
  </si>
  <si>
    <t>RE Seat Slope (in/ft)</t>
  </si>
  <si>
    <t>Total Rows Req'd</t>
  </si>
  <si>
    <t>Rows of EB</t>
  </si>
  <si>
    <t>Max. EB Span</t>
  </si>
  <si>
    <t>EB Reqd</t>
  </si>
  <si>
    <t>Joist Mark</t>
  </si>
  <si>
    <t>Joist Size</t>
  </si>
  <si>
    <t>Bolt "X"</t>
  </si>
  <si>
    <t>EB Span</t>
  </si>
  <si>
    <t>L. Skew Rad</t>
  </si>
  <si>
    <t>R. Skew Rad</t>
  </si>
  <si>
    <t>HL norm to support</t>
  </si>
  <si>
    <t>Calc. HL</t>
  </si>
  <si>
    <t>Logical HL</t>
  </si>
  <si>
    <t>BOM HL</t>
  </si>
  <si>
    <t>Calc. HR</t>
  </si>
  <si>
    <t>Logical HR</t>
  </si>
  <si>
    <t>BOM HR</t>
  </si>
  <si>
    <t>T.C. Slope (X"/Ft.)</t>
  </si>
  <si>
    <t>Special</t>
  </si>
  <si>
    <t>Min</t>
  </si>
  <si>
    <t>Max</t>
  </si>
  <si>
    <t>End of Joist</t>
  </si>
  <si>
    <t>BCX</t>
  </si>
  <si>
    <t>HR norm to support</t>
  </si>
  <si>
    <t>Min Brg</t>
  </si>
  <si>
    <t>BCX Type</t>
  </si>
  <si>
    <t>Hole
Ga</t>
  </si>
  <si>
    <t>BOM Hole Gage</t>
  </si>
  <si>
    <t>Std.Hole Gage</t>
  </si>
  <si>
    <t>BOM TE Seat Slope (in/ft)</t>
  </si>
  <si>
    <t>BOM RE Seat Slope (in/ft)</t>
  </si>
  <si>
    <t>Left End</t>
  </si>
  <si>
    <t>Right End</t>
  </si>
  <si>
    <t>Unequal Gage</t>
  </si>
  <si>
    <t>Seat Slot Warnings</t>
  </si>
  <si>
    <t>Severe Skew</t>
  </si>
  <si>
    <t>Brg L</t>
  </si>
  <si>
    <t>Brg R</t>
  </si>
  <si>
    <t>User Input Area</t>
  </si>
  <si>
    <t>Beam Width
Min. / Max.</t>
  </si>
  <si>
    <t>Flange Gage
Min. / Max.</t>
  </si>
  <si>
    <t>GirderMark</t>
  </si>
  <si>
    <t>Location</t>
  </si>
  <si>
    <t>Bolt
N/F/B</t>
  </si>
  <si>
    <t>Load
(Kip)</t>
  </si>
  <si>
    <t>OSHA
Holes
N/F/B</t>
  </si>
  <si>
    <t>Girder
TC GA</t>
  </si>
  <si>
    <t>TC
Hole
X/16"</t>
  </si>
  <si>
    <t>Joist
Ga</t>
  </si>
  <si>
    <t>TC End Hole</t>
  </si>
  <si>
    <t>Left</t>
  </si>
  <si>
    <t>Right</t>
  </si>
  <si>
    <t>In/"#xx"</t>
  </si>
  <si>
    <t>Load
(Kips)</t>
  </si>
  <si>
    <t>Additional Joist Locations
All Locations from Left Reference ("Bay") Point (CL Column/Beam or Face of CMU)</t>
  </si>
  <si>
    <t>Section
Number</t>
  </si>
  <si>
    <t>Brg
Slope</t>
  </si>
  <si>
    <t>Girder
Mark</t>
  </si>
  <si>
    <t>Left End Information</t>
  </si>
  <si>
    <t>Short Bearing
Warning</t>
  </si>
  <si>
    <t>CALCULATED P.P. PLAN SPACINGS
(referenced from Bay)</t>
  </si>
  <si>
    <t>Calculated spacing along slope
Sum of Spacing = Base Length</t>
  </si>
  <si>
    <t>Calc Girder TC Width</t>
  </si>
  <si>
    <t>Calc. KB Spacing</t>
  </si>
  <si>
    <t>Base Length This Mark</t>
  </si>
  <si>
    <t>Lookup JDS Data Area - looks up mark number from colum BB in the tblJoistData tab and displays JDS info so "User Input" can compare information that can be changed by the detailer with the original JDS data</t>
  </si>
  <si>
    <t>Lookup JDS Data Area - looks up mark number from colum CC in the tblGirderData tab and displays JDS info so "User Input" can compare information that can be changed by the detailer with the original JDS data</t>
  </si>
  <si>
    <t>TC
Left</t>
  </si>
  <si>
    <t>TC
Right</t>
  </si>
  <si>
    <t>+/- to calc OL</t>
  </si>
  <si>
    <t>Location
#1</t>
  </si>
  <si>
    <t>Location
#2</t>
  </si>
  <si>
    <t>Location
#3</t>
  </si>
  <si>
    <t>Location
#4</t>
  </si>
  <si>
    <t>2nd page controls</t>
  </si>
  <si>
    <t>0 if clear</t>
  </si>
  <si>
    <t>Mark</t>
  </si>
  <si>
    <t>Ft/"P"</t>
  </si>
  <si>
    <t>TC Left Override</t>
  </si>
  <si>
    <t>TC Right Override</t>
  </si>
  <si>
    <t>User Input Area - Page 1</t>
  </si>
  <si>
    <t>User Input Area - Page 2</t>
  </si>
  <si>
    <t>Joist Spacing on Girder TC
(Plan Dimensions)</t>
  </si>
  <si>
    <t>Girder TC Holes</t>
  </si>
  <si>
    <t>Rem. BL on Slope</t>
  </si>
  <si>
    <t>Base Length - Rounded Spacing = "B"</t>
  </si>
  <si>
    <t>"A" from BL (no rounding adjustment)</t>
  </si>
  <si>
    <t>"A" from BL w/ Rounding Adjustment (BOM)</t>
  </si>
  <si>
    <t>"B" from BL w/ Rounding Adjustment (BOM)</t>
  </si>
  <si>
    <t>Rounding Error/2</t>
  </si>
  <si>
    <t>Kick</t>
  </si>
  <si>
    <t>OL</t>
  </si>
  <si>
    <t>Support Width L</t>
  </si>
  <si>
    <t>Support Width R</t>
  </si>
  <si>
    <t>For Calculating Seat Gap on Sloping Joists w/o Sloping Seats</t>
  </si>
  <si>
    <t>Net Uplift=</t>
  </si>
  <si>
    <t>HW</t>
  </si>
  <si>
    <t>KB</t>
  </si>
  <si>
    <t>Type</t>
  </si>
  <si>
    <t>Mem A</t>
  </si>
  <si>
    <t>Dep A</t>
  </si>
  <si>
    <t>MemB</t>
  </si>
  <si>
    <t>DepB</t>
  </si>
  <si>
    <t>HWB</t>
  </si>
  <si>
    <t>HB</t>
  </si>
  <si>
    <t>BC1</t>
  </si>
  <si>
    <t>BC2</t>
  </si>
  <si>
    <t>BC3</t>
  </si>
  <si>
    <t>BC4</t>
  </si>
  <si>
    <t>BC5</t>
  </si>
  <si>
    <t>BC6</t>
  </si>
  <si>
    <t>MATERIAL</t>
  </si>
  <si>
    <t>BRIDGING TYPE</t>
  </si>
  <si>
    <t>MEMBER "B"</t>
  </si>
  <si>
    <t xml:space="preserve">NOTES
</t>
  </si>
  <si>
    <t>Clip</t>
  </si>
  <si>
    <t>Paint=</t>
  </si>
  <si>
    <t>Suggested Brg Slope based on Joist Slope and Support Skew</t>
  </si>
  <si>
    <t>BC Mat'l</t>
  </si>
  <si>
    <t>BCXL Kick</t>
  </si>
  <si>
    <t>BCXR Kick</t>
  </si>
  <si>
    <t>L-OAL</t>
  </si>
  <si>
    <t>L-PTP</t>
  </si>
  <si>
    <t>R-OAL</t>
  </si>
  <si>
    <t>R-PTP</t>
  </si>
  <si>
    <t>L-BL</t>
  </si>
  <si>
    <t>R-BL</t>
  </si>
  <si>
    <t>BA1</t>
  </si>
  <si>
    <t>BA2</t>
  </si>
  <si>
    <t>Bay Dimension</t>
  </si>
  <si>
    <t>Ft</t>
  </si>
  <si>
    <t>In</t>
  </si>
  <si>
    <t>TC
Slope</t>
  </si>
  <si>
    <t>JDS OAL</t>
  </si>
  <si>
    <t>P2P OAL</t>
  </si>
  <si>
    <t>Difference</t>
  </si>
  <si>
    <t>&lt;AutoCalc</t>
  </si>
  <si>
    <t>PTP&gt;</t>
  </si>
  <si>
    <t>&lt;PTP</t>
  </si>
  <si>
    <t>JDS Data&gt;</t>
  </si>
  <si>
    <t>AutoCalc&gt;</t>
  </si>
  <si>
    <t>vAutoCalc</t>
  </si>
  <si>
    <t>^AutoCalc</t>
  </si>
  <si>
    <t>Valid.&gt;</t>
  </si>
  <si>
    <t>&lt;Valid.</t>
  </si>
  <si>
    <t>&lt;Valid</t>
  </si>
  <si>
    <t>Vaild.&gt;</t>
  </si>
  <si>
    <t>&lt;Vaild.</t>
  </si>
  <si>
    <t>XW</t>
  </si>
  <si>
    <t>XWB</t>
  </si>
  <si>
    <t>XB</t>
  </si>
  <si>
    <t>User Input&gt;</t>
  </si>
  <si>
    <t>&lt;User Input</t>
  </si>
  <si>
    <t>TY</t>
  </si>
  <si>
    <t>GDR
GA.</t>
  </si>
  <si>
    <t>HOLE
X/16</t>
  </si>
  <si>
    <t>GIRDER T.C. HOLES</t>
  </si>
  <si>
    <t>OSHA
N,F,B</t>
  </si>
  <si>
    <t>L.E.</t>
  </si>
  <si>
    <t>R.E.</t>
  </si>
  <si>
    <t>LOAD CASE</t>
  </si>
  <si>
    <t>LC2</t>
  </si>
  <si>
    <t>LC3</t>
  </si>
  <si>
    <t>LC4</t>
  </si>
  <si>
    <t>LC5</t>
  </si>
  <si>
    <t>&lt;Vlaid.</t>
  </si>
  <si>
    <t>LL (CLL)</t>
  </si>
  <si>
    <t>CDL</t>
  </si>
  <si>
    <t>Min. Clear Bearing</t>
  </si>
  <si>
    <t>Max BL Offset</t>
  </si>
  <si>
    <t>White?</t>
  </si>
  <si>
    <t>Girder Mark</t>
  </si>
  <si>
    <t>Brg Slope (X"/Ft.)</t>
  </si>
  <si>
    <t>Brg Slope
(X"/Ft.)</t>
  </si>
  <si>
    <t>B Excl.</t>
  </si>
  <si>
    <t>A12</t>
  </si>
  <si>
    <t>A14</t>
  </si>
  <si>
    <t>Bolted Types</t>
  </si>
  <si>
    <t>Default BL Over-ride</t>
  </si>
  <si>
    <t>New</t>
  </si>
  <si>
    <t>Old</t>
  </si>
  <si>
    <t>Support Width
Min. / Max.</t>
  </si>
  <si>
    <t>Joist TC Slope (X"/Ft.)</t>
  </si>
  <si>
    <t>B.L. Over-ride</t>
  </si>
  <si>
    <t>Girder TC Slope (X"/Ft.)</t>
  </si>
  <si>
    <t>02</t>
  </si>
  <si>
    <t>2</t>
  </si>
  <si>
    <t>A12A</t>
  </si>
  <si>
    <t>A12B</t>
  </si>
  <si>
    <t>A13A</t>
  </si>
  <si>
    <t>A14A</t>
  </si>
  <si>
    <t>A14B</t>
  </si>
  <si>
    <t>1010</t>
  </si>
  <si>
    <t>1011</t>
  </si>
  <si>
    <t>1012</t>
  </si>
  <si>
    <t>1018</t>
  </si>
  <si>
    <t>Mat'ls</t>
  </si>
  <si>
    <t>A16A</t>
  </si>
  <si>
    <t>A16B</t>
  </si>
  <si>
    <t>A18A</t>
  </si>
  <si>
    <t>A18B</t>
  </si>
  <si>
    <t>A20A</t>
  </si>
  <si>
    <t>A20B</t>
  </si>
  <si>
    <t>A22A</t>
  </si>
  <si>
    <t>A22B</t>
  </si>
  <si>
    <t>A24A</t>
  </si>
  <si>
    <t>A24B</t>
  </si>
  <si>
    <t>A26A</t>
  </si>
  <si>
    <t>A26B</t>
  </si>
  <si>
    <t>A28A</t>
  </si>
  <si>
    <t>A28B</t>
  </si>
  <si>
    <t>A30A</t>
  </si>
  <si>
    <t>A30B</t>
  </si>
  <si>
    <t>A32A</t>
  </si>
  <si>
    <t>A32B</t>
  </si>
  <si>
    <t>A33A</t>
  </si>
  <si>
    <t>A34A</t>
  </si>
  <si>
    <t>A35A</t>
  </si>
  <si>
    <t>A36A</t>
  </si>
  <si>
    <t>A36B</t>
  </si>
  <si>
    <t>A37A</t>
  </si>
  <si>
    <t>A38A</t>
  </si>
  <si>
    <t>A38B</t>
  </si>
  <si>
    <t>A39A</t>
  </si>
  <si>
    <t>A39B</t>
  </si>
  <si>
    <t>A40A</t>
  </si>
  <si>
    <t>A40B</t>
  </si>
  <si>
    <t>A41A</t>
  </si>
  <si>
    <t>A42A</t>
  </si>
  <si>
    <t>A42B</t>
  </si>
  <si>
    <t>A43A</t>
  </si>
  <si>
    <t>A44A</t>
  </si>
  <si>
    <t>A44B</t>
  </si>
  <si>
    <t>A46A</t>
  </si>
  <si>
    <t>A48A</t>
  </si>
  <si>
    <t>A50A</t>
  </si>
  <si>
    <t>A51A</t>
  </si>
  <si>
    <t>A70A</t>
  </si>
  <si>
    <t>A71A</t>
  </si>
  <si>
    <t>A72A</t>
  </si>
  <si>
    <t>A73A</t>
  </si>
  <si>
    <t>A97A</t>
  </si>
  <si>
    <t>A98A</t>
  </si>
  <si>
    <t>A99A</t>
  </si>
  <si>
    <t>1210</t>
  </si>
  <si>
    <t>1211</t>
  </si>
  <si>
    <t>1212</t>
  </si>
  <si>
    <t>1218</t>
  </si>
  <si>
    <t>1510</t>
  </si>
  <si>
    <t>1511</t>
  </si>
  <si>
    <t>1512</t>
  </si>
  <si>
    <t>1513</t>
  </si>
  <si>
    <t>1514</t>
  </si>
  <si>
    <t>1515</t>
  </si>
  <si>
    <t>1517</t>
  </si>
  <si>
    <t>1518</t>
  </si>
  <si>
    <t>1525</t>
  </si>
  <si>
    <t>1711</t>
  </si>
  <si>
    <t>1712</t>
  </si>
  <si>
    <t>1714</t>
  </si>
  <si>
    <t>1715</t>
  </si>
  <si>
    <t>1717</t>
  </si>
  <si>
    <t>1718</t>
  </si>
  <si>
    <t>1725</t>
  </si>
  <si>
    <t>2012</t>
  </si>
  <si>
    <t>2014</t>
  </si>
  <si>
    <t>2015</t>
  </si>
  <si>
    <t>2016</t>
  </si>
  <si>
    <t>2017</t>
  </si>
  <si>
    <t>2018</t>
  </si>
  <si>
    <t>2020</t>
  </si>
  <si>
    <t>2021</t>
  </si>
  <si>
    <t>2023</t>
  </si>
  <si>
    <t>2024</t>
  </si>
  <si>
    <t>2025</t>
  </si>
  <si>
    <t>2028</t>
  </si>
  <si>
    <t>2031</t>
  </si>
  <si>
    <t>2518</t>
  </si>
  <si>
    <t>2521</t>
  </si>
  <si>
    <t>2523</t>
  </si>
  <si>
    <t>2525</t>
  </si>
  <si>
    <t>2528</t>
  </si>
  <si>
    <t>2531</t>
  </si>
  <si>
    <t>3018</t>
  </si>
  <si>
    <t>3022</t>
  </si>
  <si>
    <t>3025</t>
  </si>
  <si>
    <t>3028</t>
  </si>
  <si>
    <t>3029</t>
  </si>
  <si>
    <t>3031</t>
  </si>
  <si>
    <t>3037</t>
  </si>
  <si>
    <t>3528</t>
  </si>
  <si>
    <t>3531</t>
  </si>
  <si>
    <t>3534</t>
  </si>
  <si>
    <t>3537</t>
  </si>
  <si>
    <t>4025</t>
  </si>
  <si>
    <t>4031</t>
  </si>
  <si>
    <t>4034</t>
  </si>
  <si>
    <t>4037</t>
  </si>
  <si>
    <t>4043</t>
  </si>
  <si>
    <t>4050</t>
  </si>
  <si>
    <t>5043</t>
  </si>
  <si>
    <t>5050</t>
  </si>
  <si>
    <t>6043</t>
  </si>
  <si>
    <t>6050</t>
  </si>
  <si>
    <t>6056</t>
  </si>
  <si>
    <t>6062</t>
  </si>
  <si>
    <t>6075</t>
  </si>
  <si>
    <t>6010</t>
  </si>
  <si>
    <t>8050</t>
  </si>
  <si>
    <t>8062</t>
  </si>
  <si>
    <t>8075</t>
  </si>
  <si>
    <t>8010</t>
  </si>
  <si>
    <t>8011</t>
  </si>
  <si>
    <t>1001</t>
  </si>
  <si>
    <t>1002</t>
  </si>
  <si>
    <t>^^^^^</t>
  </si>
  <si>
    <t># KB Req'd</t>
  </si>
  <si>
    <t>Mas Skew</t>
  </si>
  <si>
    <t>W2 Width</t>
  </si>
  <si>
    <t>Input Required</t>
  </si>
  <si>
    <t>Addn'l Joist Location / P#xx validation</t>
  </si>
  <si>
    <t>"True" if error, False if no error</t>
  </si>
  <si>
    <t>AR/AS</t>
  </si>
  <si>
    <t>AV/AW</t>
  </si>
  <si>
    <t>AZ/BA</t>
  </si>
  <si>
    <t>BD/BE</t>
  </si>
  <si>
    <t>A or B
&lt; Dep/1.15</t>
  </si>
  <si>
    <t>Ft-In</t>
  </si>
  <si>
    <t>Code</t>
  </si>
  <si>
    <t>Auto-Fill Note</t>
  </si>
  <si>
    <t>SP</t>
  </si>
  <si>
    <t>DP</t>
  </si>
  <si>
    <t>TP</t>
  </si>
  <si>
    <t>Validation List</t>
  </si>
  <si>
    <t>Min Thickness of TC = 0.xxx"</t>
  </si>
  <si>
    <t>Min Thickness of BC = 0.xxx"</t>
  </si>
  <si>
    <t>Add Self-Weight to Design</t>
  </si>
  <si>
    <t>ESFR</t>
  </si>
  <si>
    <t>Note #</t>
  </si>
  <si>
    <t>TCXSup</t>
  </si>
  <si>
    <t>StgSlt</t>
  </si>
  <si>
    <t>SpSlt</t>
  </si>
  <si>
    <t>TCThk</t>
  </si>
  <si>
    <t>BCThk</t>
  </si>
  <si>
    <t>BPThk</t>
  </si>
  <si>
    <t>TCXMax</t>
  </si>
  <si>
    <t>BCBrg</t>
  </si>
  <si>
    <t>BClip</t>
  </si>
  <si>
    <t>BC7</t>
  </si>
  <si>
    <t>BC8</t>
  </si>
  <si>
    <t>(PLF - UNO)</t>
  </si>
  <si>
    <t>DefLL</t>
  </si>
  <si>
    <t>DefTL</t>
  </si>
  <si>
    <t>DefTCX</t>
  </si>
  <si>
    <t>DefSP</t>
  </si>
  <si>
    <t>##º Half(Full)-Skew, NS(FS), LE(RE)</t>
  </si>
  <si>
    <t>AC</t>
  </si>
  <si>
    <t>BW</t>
  </si>
  <si>
    <t>SC</t>
  </si>
  <si>
    <t>HS</t>
  </si>
  <si>
    <t>VS</t>
  </si>
  <si>
    <t>MS</t>
  </si>
  <si>
    <t>SSR</t>
  </si>
  <si>
    <t>##" Dia (##"H x ##"W) Duct @ #'-# from L-OAL</t>
  </si>
  <si>
    <t>#"Dia Pipes, 8" Below Top/Jst, 15" Horiz Clearance @ ##'-#,  ##'-# &amp;  ##'-# from L-OAL</t>
  </si>
  <si>
    <t>AddSlt</t>
  </si>
  <si>
    <t>ClrBrg</t>
  </si>
  <si>
    <t>Min Clear Bearing = #" @ LE(RE)(BE)</t>
  </si>
  <si>
    <t>Horiz Field Splice: See Detail on J1.xx</t>
  </si>
  <si>
    <t>Vert Field Splice: Type xx, Near Midspan</t>
  </si>
  <si>
    <t>Multiple Vert Field Splices: Type xx</t>
  </si>
  <si>
    <t>Standing Seam Roof: TC Lateral Support @ ##" Max.</t>
  </si>
  <si>
    <t>SpChd</t>
  </si>
  <si>
    <t>SpWeb</t>
  </si>
  <si>
    <t>##"^2 Min Chord Area</t>
  </si>
  <si>
    <t>##"^2 Min Web Area</t>
  </si>
  <si>
    <t>Domestic Steel Required (ARRA)</t>
  </si>
  <si>
    <t>LRFD</t>
  </si>
  <si>
    <t>**LRFD**   **LRFD**   **LRFD**</t>
  </si>
  <si>
    <t>L. Brg Width
(WF HALF-WIDTH)</t>
  </si>
  <si>
    <t>R. Brg Width
(WF HALF-WIDTH)</t>
  </si>
  <si>
    <t>P</t>
  </si>
  <si>
    <t>vValidation</t>
  </si>
  <si>
    <t>^Validation</t>
  </si>
  <si>
    <t>Seat Depth Over-ride</t>
  </si>
  <si>
    <t>SHAPES</t>
  </si>
  <si>
    <t>Single Pitch: (Ctr Depth=Designation) ##" Depth @ LBL, ##" Depth @ RBL</t>
  </si>
  <si>
    <t>Double Pitch: Ridge @ ##’-## From LBL (Depth=Designation), ##" Depth @ LBL, ##" Depth @ RBL</t>
  </si>
  <si>
    <t>Triple Pitch: Ridge Left @ ##’-## From LBL (Depth=Designation), ##" Depth @ LBL, ##" Depth @ RBL, Ridge Right @ ##'-## From LBL</t>
  </si>
  <si>
    <t>Arched Chords: (Depth=Designation) ##" TC Radius</t>
  </si>
  <si>
    <t>Bowstring: Ridge @ ##’-## From LBL (Depth=Designation), ##" Depth @ LBL, ##" TC Radius</t>
  </si>
  <si>
    <t>DEFLECTION</t>
  </si>
  <si>
    <t>LL Deflection = L/###|Deflection=L/### Due To ### PLF LL|LL Deflection=L/### (LL/TL Ratio = ##%)</t>
  </si>
  <si>
    <t>TL Deflection = L/###, Ck Std Camber Satisfies DL Def</t>
  </si>
  <si>
    <t>Special Deflection = ##" Max Due To ### PLF LL|DL|TL</t>
  </si>
  <si>
    <t>TCXL|TCXR Deflection = ##" Max Due To ### PLF LL|DL|TL</t>
  </si>
  <si>
    <t>BEARING SEATS</t>
  </si>
  <si>
    <t>Max Depth of TCXL|TCXR = ##"</t>
  </si>
  <si>
    <t>NoRein</t>
  </si>
  <si>
    <t>Rein</t>
  </si>
  <si>
    <t>KnifePL</t>
  </si>
  <si>
    <t>KickLd</t>
  </si>
  <si>
    <t>Knife Pl Provided for Load Transfer, TC/Seat Gap Clear for 1st ##” @ LE|RE|BE</t>
  </si>
  <si>
    <t>Axial Load Due To Kicker, No Rein Req’d</t>
  </si>
  <si>
    <t>Roll</t>
  </si>
  <si>
    <t>Seat Rollover Force = ##Kips @ LE|RE|BE</t>
  </si>
  <si>
    <t>Bottom Chord Bearing @ LE|RE|BE</t>
  </si>
  <si>
    <t>Stagger Seat Slots LE|RE: ##" NS, ##" FS</t>
  </si>
  <si>
    <t>Special Seat Slots: #"x#" Slots, Ga=#" @ LE|RE|BE</t>
  </si>
  <si>
    <t>Addn'l Seat Slots @ #" from L-OAL|R-OAL</t>
  </si>
  <si>
    <t>Min Thickness of Base Plate = 0.xxx" @ LE|RE|BE</t>
  </si>
  <si>
    <t>MaxWidth</t>
  </si>
  <si>
    <t>Max Width of TC &amp; Base Plate|BC for 1st ##” @ LE|RE|BE</t>
  </si>
  <si>
    <t>MISCELLANEOUS</t>
  </si>
  <si>
    <t>DomStl</t>
  </si>
  <si>
    <t>Camber = #"|Camber for DL|50% Std Camber|No Camber</t>
  </si>
  <si>
    <t>Bridging Clip(s) Required per Plan</t>
  </si>
  <si>
    <t>SpConn</t>
  </si>
  <si>
    <t>Special Connection @ (location), See Section ##</t>
  </si>
  <si>
    <t>GENERAL</t>
  </si>
  <si>
    <t>Special Note Here (special condition not matching pre-defined codes)</t>
  </si>
  <si>
    <t>Backup</t>
  </si>
  <si>
    <t>Overspan Check</t>
  </si>
  <si>
    <t>I think this is obsolete….</t>
  </si>
  <si>
    <t>Valid Panel Layout</t>
  </si>
  <si>
    <t>Panel Layout (B/N/F)</t>
  </si>
  <si>
    <t>Std TC Gage</t>
  </si>
  <si>
    <t>TC Gap</t>
  </si>
  <si>
    <t>Flg/TC Gage
Min. / Max.</t>
  </si>
  <si>
    <t>Scissor: Ridge @ ##’-## From LBL (Vert Depth=Designation), BC Rise ##” @ Ridge From LBL, ##" Vert Depth @ LBL, ##" Vert Depth @ RBL, ##" BC Elev difference @ RBL</t>
  </si>
  <si>
    <t>ShrtBrg</t>
  </si>
  <si>
    <t>Short Bearing = #” @ LE|RE|BE</t>
  </si>
  <si>
    <t>TCXL|TCXR Supported @ End</t>
  </si>
  <si>
    <t>Reinforce Seats @ LE|RE|BE for Axial Load Transfer</t>
  </si>
  <si>
    <t>Skew</t>
  </si>
  <si>
    <t>Camb</t>
  </si>
  <si>
    <t>Duct</t>
  </si>
  <si>
    <t>Self</t>
  </si>
  <si>
    <t>RndShrtSlt</t>
  </si>
  <si>
    <t>#/#" Round Holes|#/#”x1” Slots, Ga=#” @ LE|RE|BE</t>
  </si>
  <si>
    <t>ChdWdth</t>
  </si>
  <si>
    <t>Min|Max Width of TC|BC = ##”</t>
  </si>
  <si>
    <t>Vier</t>
  </si>
  <si>
    <t>AlignPnls</t>
  </si>
  <si>
    <t>SpBund</t>
  </si>
  <si>
    <t>BIM</t>
  </si>
  <si>
    <t>Calcs</t>
  </si>
  <si>
    <t>Prof</t>
  </si>
  <si>
    <t>UnDef</t>
  </si>
  <si>
    <t>Align Panels of Adjacent Jsts</t>
  </si>
  <si>
    <t>Special Bundling Req’d, See Attached Listing</t>
  </si>
  <si>
    <t>Building Information Modeling, Inform Dtlr When Design Completed</t>
  </si>
  <si>
    <t>Sealed Calcs req’d for Record|Appl</t>
  </si>
  <si>
    <t>Joist|Girder Profiles Req’d</t>
  </si>
  <si>
    <t>Vierendeel Panel, ##” W x ##” H, Bottom Left Corner of Opening @ ##” From Bot/Jst, ##’-##” From L-OAL</t>
  </si>
  <si>
    <t>Layout=BL</t>
  </si>
  <si>
    <t>Sum Layout</t>
  </si>
  <si>
    <t>Line Selected</t>
  </si>
  <si>
    <t>W2 Half-Width</t>
  </si>
  <si>
    <t>CB-L on Brg Slope</t>
  </si>
  <si>
    <t>TCXL on Brg Slope</t>
  </si>
  <si>
    <t>CB-R on Brg Slope</t>
  </si>
  <si>
    <t>TCXR on Brg Slope</t>
  </si>
  <si>
    <t>TC Gage Values (min TC width)</t>
  </si>
  <si>
    <t>OSHA Slope:</t>
  </si>
  <si>
    <t>LH&lt;7</t>
  </si>
  <si>
    <t>Ft-</t>
  </si>
  <si>
    <t>WH</t>
  </si>
  <si>
    <t>Default Color Codes
(Page "K (1)" ONLY)</t>
  </si>
  <si>
    <t>K (1)</t>
  </si>
  <si>
    <t>A/B Ratio:</t>
  </si>
  <si>
    <t>Prior to 4/13/18:</t>
  </si>
  <si>
    <t>List of Seq from K(**) Pages:</t>
  </si>
  <si>
    <t>Sht#</t>
  </si>
  <si>
    <t>Trad</t>
  </si>
  <si>
    <t>Qty</t>
  </si>
  <si>
    <t>Leg Dim</t>
  </si>
  <si>
    <t>Ck Fitup</t>
  </si>
  <si>
    <t>Max Leg</t>
  </si>
  <si>
    <t>Diag</t>
  </si>
  <si>
    <t>Hor</t>
  </si>
  <si>
    <t>Point-Point BIM Data and Graphical Load Data</t>
  </si>
  <si>
    <t>Trib Width - R</t>
  </si>
  <si>
    <t>Trib Width</t>
  </si>
  <si>
    <t>&lt;JDS Data</t>
  </si>
  <si>
    <t>Material</t>
  </si>
  <si>
    <t>Elev</t>
  </si>
  <si>
    <t>Slp 1</t>
  </si>
  <si>
    <t>Slp 2</t>
  </si>
  <si>
    <t>nil</t>
  </si>
  <si>
    <t>"A" Mark</t>
  </si>
  <si>
    <t>"A" Depth</t>
  </si>
  <si>
    <t>"B" Mark</t>
  </si>
  <si>
    <t>"B" Depth</t>
  </si>
  <si>
    <t>Spacing
Ft</t>
  </si>
  <si>
    <t>Spacing
In</t>
  </si>
  <si>
    <t># of KBs</t>
  </si>
  <si>
    <t>AC (tbl tab)</t>
  </si>
  <si>
    <t>AC (this tab)</t>
  </si>
  <si>
    <t>IsAC-Bom:</t>
  </si>
  <si>
    <t>Designation</t>
  </si>
  <si>
    <t># Rows Req</t>
  </si>
  <si>
    <t>Panel
N/F/B</t>
  </si>
  <si>
    <t>Panel "A"
Feet</t>
  </si>
  <si>
    <t>Panel "A"
Inch</t>
  </si>
  <si>
    <t># Interior Panels</t>
  </si>
  <si>
    <t>Int Pnl Sp
Inch</t>
  </si>
  <si>
    <t>Int Pnl Sp
Feet</t>
  </si>
  <si>
    <t>SpNote</t>
  </si>
  <si>
    <t>Row Counter</t>
  </si>
  <si>
    <t>B_B</t>
  </si>
  <si>
    <t>B_A</t>
  </si>
  <si>
    <t>J_B</t>
  </si>
  <si>
    <t>J_A</t>
  </si>
  <si>
    <t>G_B</t>
  </si>
  <si>
    <t>G_A</t>
  </si>
  <si>
    <t>SEQUENCE DESCRIPTION</t>
  </si>
  <si>
    <t>Mark Match on Page2</t>
  </si>
  <si>
    <t>Mark Match on Page1</t>
  </si>
  <si>
    <t>Min Slot-Edge:</t>
  </si>
  <si>
    <t>Manual Change Compare Table</t>
  </si>
  <si>
    <t>Ld Type</t>
  </si>
  <si>
    <t>Ld Cat</t>
  </si>
  <si>
    <t>Ld Pos</t>
  </si>
  <si>
    <t>Ld1 Val</t>
  </si>
  <si>
    <t>Ld2 Val</t>
  </si>
  <si>
    <t>Ref</t>
  </si>
  <si>
    <t>Ld Case</t>
  </si>
  <si>
    <t>Rem</t>
  </si>
  <si>
    <t>Assume 12" at CMU</t>
  </si>
  <si>
    <t>If R or Q…??</t>
  </si>
  <si>
    <t>Does not have "If R or Q"…</t>
  </si>
  <si>
    <t>Ld1 Feet</t>
  </si>
  <si>
    <t>Ld1 Inch</t>
  </si>
  <si>
    <t>Ld2 Feet</t>
  </si>
  <si>
    <t>Ld2 Inch</t>
  </si>
  <si>
    <t>(Not Used)</t>
  </si>
  <si>
    <t>Lines Req'd</t>
  </si>
  <si>
    <t>AddSeat</t>
  </si>
  <si>
    <t>BCBrgCant</t>
  </si>
  <si>
    <t>BPSetBk</t>
  </si>
  <si>
    <t>ContAngle</t>
  </si>
  <si>
    <t>Addn’l Bearing Seat @ LE|RE|BE, Setback = #’-##”, Depth = ##”</t>
  </si>
  <si>
    <t>Bottom Chord Bearing Cantilever @ LE|RE|BE, Ctr Line of Support = #’-##” @ LE|RE|BE</t>
  </si>
  <si>
    <t>Shorten Base Pl @ LE|RE|BE, Setback = #’-#, Max TC Depth = ##”, Ck TCX For Unrein Length, See Section ##</t>
  </si>
  <si>
    <t>Continuity Angles for Load Transfer, Hold Double Angle W2 Down for Field Install, No TC Splices within 1st ##” @ LE|RE|BE</t>
  </si>
  <si>
    <t>Tie Pl Provided for Load Transfer, No Rein Req’d (***Could Show This Note in Load Note Remarks***)</t>
  </si>
  <si>
    <t>PAINT</t>
  </si>
  <si>
    <t>NO Shop Primer|NO Shop Primer – Galv|# Shop Coats – Std Gray Primer</t>
  </si>
  <si>
    <t>DUCT</t>
  </si>
  <si>
    <t>SpBClip</t>
  </si>
  <si>
    <t>V100</t>
  </si>
  <si>
    <t xml:space="preserve">Add Vertical to Support Load On BCXL|R </t>
  </si>
  <si>
    <t>Special Bridging Clip(s) Required per Plan, See Sketch</t>
  </si>
  <si>
    <t>##" Dia|##"H x ##"W Duct @ #'-# from L-OAL</t>
  </si>
  <si>
    <t>IF(VLOOKUP(FK70,$CB$54:$CD$85,3,FALSE)="","ERR",</t>
  </si>
  <si>
    <t>Red in G-K</t>
  </si>
  <si>
    <t>Note Used</t>
  </si>
  <si>
    <t>List of Used Load Notes-&gt;</t>
  </si>
  <si>
    <t>List of Used Special Notes-&gt;</t>
  </si>
  <si>
    <t>&lt;-Number of Used Notes</t>
  </si>
  <si>
    <t>All</t>
  </si>
  <si>
    <t>Jst</t>
  </si>
  <si>
    <t>TL/LL</t>
  </si>
  <si>
    <t>Gir</t>
  </si>
  <si>
    <t>Des</t>
  </si>
  <si>
    <t>Brd</t>
  </si>
  <si>
    <t>Brid</t>
  </si>
  <si>
    <t>Joi</t>
  </si>
  <si>
    <t>BCX
"X"</t>
  </si>
  <si>
    <t>Section Over-Rides</t>
  </si>
  <si>
    <t>EOJ</t>
  </si>
  <si>
    <r>
      <t>BL</t>
    </r>
    <r>
      <rPr>
        <sz val="4"/>
        <rFont val="Arial"/>
        <family val="2"/>
      </rPr>
      <t xml:space="preserve"> (TCX)</t>
    </r>
  </si>
  <si>
    <t>JOIST AND GIRDER LOAD NOTES</t>
  </si>
  <si>
    <t>Temp Sheet that JDS fills out
**BOM uses P_B**</t>
  </si>
  <si>
    <t>Note</t>
  </si>
  <si>
    <t>Sect. Num.</t>
  </si>
  <si>
    <t>EOG</t>
  </si>
  <si>
    <t># KB
/Gir.</t>
  </si>
  <si>
    <t>TC Width</t>
  </si>
  <si>
    <t>Min. Clr Bearing</t>
  </si>
  <si>
    <t>Load
(K)</t>
  </si>
  <si>
    <r>
      <t xml:space="preserve">Bolt
</t>
    </r>
    <r>
      <rPr>
        <sz val="5"/>
        <rFont val="Arial Narrow"/>
        <family val="2"/>
      </rPr>
      <t>N/F/B</t>
    </r>
  </si>
  <si>
    <t>Panel Layout N/F/B</t>
  </si>
  <si>
    <t>Joist
"Bay Length"</t>
  </si>
  <si>
    <t>Girder
"Bay Length"</t>
  </si>
  <si>
    <t>Sect. Num</t>
  </si>
  <si>
    <t>AR</t>
  </si>
  <si>
    <t>G2</t>
  </si>
  <si>
    <t>60G9N7.9K2.1</t>
  </si>
  <si>
    <t>330</t>
  </si>
  <si>
    <t>G30</t>
  </si>
  <si>
    <t>G38</t>
  </si>
  <si>
    <t>G51</t>
  </si>
  <si>
    <t>60G9N7.9K2.0</t>
  </si>
  <si>
    <t>340</t>
  </si>
  <si>
    <t>60G9N8.0K2.0</t>
  </si>
  <si>
    <t>60G9N8.1K2.1</t>
  </si>
  <si>
    <t>(330)</t>
  </si>
  <si>
    <t>(340)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</si>
</sst>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5">
    <numFmt numFmtId="164" formatCode="mm/dd/yy"/>
    <numFmt numFmtId="165" formatCode="0\ ?/?"/>
    <numFmt numFmtId="166" formatCode="0.0"/>
    <numFmt numFmtId="167" formatCode="0.00;\&lt;0.00\&gt;"/>
    <numFmt numFmtId="168" formatCode="m/d/yy;@"/>
    <numFmt numFmtId="169" formatCode="\-\ @"/>
    <numFmt numFmtId="170" formatCode="0\ #/#;0\ #/#\&gt;"/>
    <numFmt numFmtId="171" formatCode="0\ #/#"/>
    <numFmt numFmtId="172" formatCode="0\ #/##"/>
    <numFmt numFmtId="173" formatCode="#/##"/>
    <numFmt numFmtId="174" formatCode="0\ \-;\&lt;0\ \-"/>
    <numFmt numFmtId="175" formatCode="0\ \p\l\f"/>
    <numFmt numFmtId="176" formatCode="0.000"/>
    <numFmt numFmtId="177" formatCode="0.0000"/>
    <numFmt numFmtId="178" formatCode="0\ ?/??;\-0\ ?/??"/>
    <numFmt numFmtId="179" formatCode="0.00\'"/>
    <numFmt numFmtId="180" formatCode="0\ ??/??"/>
    <numFmt numFmtId="181" formatCode="0\-"/>
    <numFmt numFmtId="182" formatCode="0\ ?/??"/>
    <numFmt numFmtId="183" formatCode="#\ #/##\'\'"/>
    <numFmt numFmtId="184" formatCode="0\ #/#;\&lt;0\ #/#\&gt;"/>
    <numFmt numFmtId="185" formatCode="#\ #/##"/>
    <numFmt numFmtId="186" formatCode="0\-;\&lt;0\-"/>
    <numFmt numFmtId="187" formatCode="0_);[Red]\(0\)"/>
    <numFmt numFmtId="188" formatCode="0;[Red]\&lt;0\&gt;"/>
  </numFmts>
  <fonts count="128" x14ac:knownFonts="1">
    <font>
      <sz val="10"/>
      <name val="Arial"/>
    </font>
    <font>
      <sz val="11"/>
      <color theme="1"/>
      <name val="Arial"/>
      <family val="2"/>
    </font>
    <font>
      <sz val="11"/>
      <color theme="1"/>
      <name val="Arial"/>
      <family val="2"/>
    </font>
    <font>
      <sz val="10"/>
      <name val="Arial"/>
      <family val="2"/>
    </font>
    <font>
      <sz val="10"/>
      <name val="Arial"/>
      <family val="2"/>
    </font>
    <font>
      <sz val="12"/>
      <name val="Arial"/>
      <family val="2"/>
    </font>
    <font>
      <sz val="11"/>
      <name val="Arial"/>
      <family val="2"/>
    </font>
    <font>
      <sz val="9"/>
      <name val="Arial"/>
      <family val="2"/>
    </font>
    <font>
      <b/>
      <sz val="10"/>
      <name val="Arial"/>
      <family val="2"/>
    </font>
    <font>
      <b/>
      <sz val="12"/>
      <name val="Arial"/>
      <family val="2"/>
    </font>
    <font>
      <b/>
      <u/>
      <sz val="10"/>
      <name val="Arial"/>
      <family val="2"/>
    </font>
    <font>
      <b/>
      <sz val="9"/>
      <name val="Arial"/>
      <family val="2"/>
    </font>
    <font>
      <b/>
      <sz val="8"/>
      <name val="Arial"/>
      <family val="2"/>
    </font>
    <font>
      <b/>
      <sz val="11"/>
      <name val="Arial"/>
      <family val="2"/>
    </font>
    <font>
      <b/>
      <sz val="14"/>
      <name val="Arial"/>
      <family val="2"/>
    </font>
    <font>
      <sz val="16"/>
      <name val="Arial"/>
      <family val="2"/>
    </font>
    <font>
      <u/>
      <sz val="11"/>
      <name val="Arial"/>
      <family val="2"/>
    </font>
    <font>
      <b/>
      <sz val="8"/>
      <color indexed="81"/>
      <name val="Tahoma"/>
      <family val="2"/>
    </font>
    <font>
      <sz val="14"/>
      <color indexed="81"/>
      <name val="Tahoma"/>
      <family val="2"/>
    </font>
    <font>
      <b/>
      <sz val="12"/>
      <color indexed="10"/>
      <name val="Arial"/>
      <family val="2"/>
    </font>
    <font>
      <sz val="6"/>
      <name val="Arial"/>
      <family val="2"/>
    </font>
    <font>
      <b/>
      <sz val="14"/>
      <color indexed="10"/>
      <name val="Arial"/>
      <family val="2"/>
    </font>
    <font>
      <sz val="8"/>
      <name val="Arial"/>
      <family val="2"/>
    </font>
    <font>
      <sz val="10"/>
      <color indexed="55"/>
      <name val="Arial"/>
      <family val="2"/>
    </font>
    <font>
      <sz val="14"/>
      <color indexed="81"/>
      <name val="Arial"/>
      <family val="2"/>
    </font>
    <font>
      <sz val="14"/>
      <color indexed="10"/>
      <name val="Arial"/>
      <family val="2"/>
    </font>
    <font>
      <sz val="9"/>
      <name val="Arial"/>
      <family val="2"/>
    </font>
    <font>
      <sz val="9"/>
      <name val="Arial Narrow"/>
      <family val="2"/>
    </font>
    <font>
      <b/>
      <sz val="10"/>
      <color indexed="10"/>
      <name val="Arial"/>
      <family val="2"/>
    </font>
    <font>
      <sz val="8"/>
      <name val="Arial Narrow"/>
      <family val="2"/>
    </font>
    <font>
      <sz val="8"/>
      <name val="Arial"/>
      <family val="2"/>
    </font>
    <font>
      <sz val="8"/>
      <color indexed="57"/>
      <name val="Arial"/>
      <family val="2"/>
    </font>
    <font>
      <sz val="10"/>
      <color indexed="55"/>
      <name val="Arial"/>
      <family val="2"/>
    </font>
    <font>
      <sz val="12"/>
      <color indexed="81"/>
      <name val="Arial"/>
      <family val="2"/>
    </font>
    <font>
      <sz val="10"/>
      <color indexed="22"/>
      <name val="Arial"/>
      <family val="2"/>
    </font>
    <font>
      <sz val="10"/>
      <color indexed="55"/>
      <name val="Arial Narrow"/>
      <family val="2"/>
    </font>
    <font>
      <sz val="12"/>
      <color indexed="10"/>
      <name val="Arial"/>
      <family val="2"/>
    </font>
    <font>
      <b/>
      <sz val="12"/>
      <color indexed="81"/>
      <name val="Arial"/>
      <family val="2"/>
    </font>
    <font>
      <b/>
      <sz val="14"/>
      <color indexed="81"/>
      <name val="Arial"/>
      <family val="2"/>
    </font>
    <font>
      <b/>
      <sz val="10"/>
      <color indexed="81"/>
      <name val="Arial"/>
      <family val="2"/>
    </font>
    <font>
      <sz val="10"/>
      <color indexed="81"/>
      <name val="Arial"/>
      <family val="2"/>
    </font>
    <font>
      <sz val="8"/>
      <color indexed="17"/>
      <name val="Arial"/>
      <family val="2"/>
    </font>
    <font>
      <b/>
      <i/>
      <sz val="8"/>
      <color indexed="17"/>
      <name val="Arial"/>
      <family val="2"/>
    </font>
    <font>
      <sz val="8"/>
      <color indexed="63"/>
      <name val="Arial"/>
      <family val="2"/>
    </font>
    <font>
      <b/>
      <sz val="8"/>
      <color indexed="10"/>
      <name val="Arial"/>
      <family val="2"/>
    </font>
    <font>
      <u/>
      <sz val="8"/>
      <color indexed="12"/>
      <name val="Arial"/>
      <family val="2"/>
    </font>
    <font>
      <u/>
      <sz val="8"/>
      <color indexed="17"/>
      <name val="Arial"/>
      <family val="2"/>
    </font>
    <font>
      <b/>
      <u/>
      <sz val="8"/>
      <name val="Arial"/>
      <family val="2"/>
    </font>
    <font>
      <b/>
      <u/>
      <sz val="8"/>
      <color indexed="10"/>
      <name val="Arial"/>
      <family val="2"/>
    </font>
    <font>
      <b/>
      <sz val="7"/>
      <name val="Arial"/>
      <family val="2"/>
    </font>
    <font>
      <sz val="7"/>
      <name val="Arial"/>
      <family val="2"/>
    </font>
    <font>
      <b/>
      <i/>
      <sz val="8"/>
      <name val="Arial"/>
      <family val="2"/>
    </font>
    <font>
      <sz val="8"/>
      <color indexed="55"/>
      <name val="Arial"/>
      <family val="2"/>
    </font>
    <font>
      <b/>
      <sz val="6"/>
      <name val="Arial Narrow"/>
      <family val="2"/>
    </font>
    <font>
      <sz val="6"/>
      <name val="Arial Narrow"/>
      <family val="2"/>
    </font>
    <font>
      <sz val="8"/>
      <color indexed="17"/>
      <name val="Arial Narrow"/>
      <family val="2"/>
    </font>
    <font>
      <b/>
      <sz val="6"/>
      <name val="Arial"/>
      <family val="2"/>
    </font>
    <font>
      <sz val="6"/>
      <name val="Arial"/>
      <family val="2"/>
    </font>
    <font>
      <sz val="5"/>
      <color indexed="63"/>
      <name val="Arial"/>
      <family val="2"/>
    </font>
    <font>
      <sz val="5"/>
      <name val="Arial"/>
      <family val="2"/>
    </font>
    <font>
      <sz val="7"/>
      <name val="Arial"/>
      <family val="2"/>
    </font>
    <font>
      <sz val="7"/>
      <name val="Arial Narrow"/>
      <family val="2"/>
    </font>
    <font>
      <b/>
      <sz val="7"/>
      <name val="Arial Narrow"/>
      <family val="2"/>
    </font>
    <font>
      <b/>
      <u/>
      <sz val="8"/>
      <color indexed="17"/>
      <name val="Arial"/>
      <family val="2"/>
    </font>
    <font>
      <sz val="8"/>
      <color indexed="23"/>
      <name val="Arial"/>
      <family val="2"/>
    </font>
    <font>
      <b/>
      <sz val="8"/>
      <color indexed="55"/>
      <name val="Arial"/>
      <family val="2"/>
    </font>
    <font>
      <u/>
      <sz val="8"/>
      <color indexed="57"/>
      <name val="Arial"/>
      <family val="2"/>
    </font>
    <font>
      <sz val="8"/>
      <color indexed="12"/>
      <name val="Arial"/>
      <family val="2"/>
    </font>
    <font>
      <b/>
      <sz val="8"/>
      <color indexed="61"/>
      <name val="Arial"/>
      <family val="2"/>
    </font>
    <font>
      <b/>
      <i/>
      <u/>
      <sz val="8"/>
      <color indexed="57"/>
      <name val="Arial"/>
      <family val="2"/>
    </font>
    <font>
      <sz val="8"/>
      <color indexed="9"/>
      <name val="Arial"/>
      <family val="2"/>
    </font>
    <font>
      <sz val="8"/>
      <color indexed="9"/>
      <name val="Arial"/>
      <family val="2"/>
    </font>
    <font>
      <sz val="8"/>
      <color indexed="10"/>
      <name val="Arial Narrow"/>
      <family val="2"/>
    </font>
    <font>
      <sz val="8"/>
      <color indexed="10"/>
      <name val="Arial"/>
      <family val="2"/>
    </font>
    <font>
      <sz val="8"/>
      <color indexed="55"/>
      <name val="Arial Narrow"/>
      <family val="2"/>
    </font>
    <font>
      <b/>
      <sz val="8"/>
      <color indexed="55"/>
      <name val="Arial Narrow"/>
      <family val="2"/>
    </font>
    <font>
      <b/>
      <sz val="12"/>
      <color indexed="81"/>
      <name val="Tahoma"/>
      <family val="2"/>
    </font>
    <font>
      <sz val="12"/>
      <color indexed="81"/>
      <name val="Tahoma"/>
      <family val="2"/>
    </font>
    <font>
      <b/>
      <sz val="12"/>
      <color indexed="10"/>
      <name val="Tahoma"/>
      <family val="2"/>
    </font>
    <font>
      <b/>
      <i/>
      <u/>
      <sz val="12"/>
      <color indexed="81"/>
      <name val="Tahoma"/>
      <family val="2"/>
    </font>
    <font>
      <sz val="11"/>
      <name val="Arial"/>
      <family val="2"/>
    </font>
    <font>
      <b/>
      <sz val="11"/>
      <name val="Arial"/>
      <family val="2"/>
    </font>
    <font>
      <b/>
      <i/>
      <sz val="16"/>
      <color indexed="10"/>
      <name val="Arial"/>
      <family val="2"/>
    </font>
    <font>
      <b/>
      <u/>
      <sz val="8"/>
      <color indexed="12"/>
      <name val="Arial"/>
      <family val="2"/>
    </font>
    <font>
      <sz val="8"/>
      <color indexed="81"/>
      <name val="Tahoma"/>
      <family val="2"/>
    </font>
    <font>
      <sz val="8"/>
      <color indexed="55"/>
      <name val="Arial"/>
      <family val="2"/>
    </font>
    <font>
      <sz val="8"/>
      <color indexed="17"/>
      <name val="Arial"/>
      <family val="2"/>
    </font>
    <font>
      <sz val="8"/>
      <color rgb="FFFF0000"/>
      <name val="Arial"/>
      <family val="2"/>
    </font>
    <font>
      <sz val="8"/>
      <color rgb="FF00B050"/>
      <name val="Arial"/>
      <family val="2"/>
    </font>
    <font>
      <sz val="8"/>
      <color rgb="FF008000"/>
      <name val="Arial"/>
      <family val="2"/>
    </font>
    <font>
      <sz val="9"/>
      <color indexed="81"/>
      <name val="Tahoma"/>
      <family val="2"/>
    </font>
    <font>
      <sz val="8"/>
      <color rgb="FFFF0000"/>
      <name val="Arial Narrow"/>
      <family val="2"/>
    </font>
    <font>
      <sz val="8"/>
      <color rgb="FF006600"/>
      <name val="Arial"/>
      <family val="2"/>
    </font>
    <font>
      <sz val="8.5"/>
      <color rgb="FF006600"/>
      <name val="Arial"/>
      <family val="2"/>
    </font>
    <font>
      <sz val="8.5"/>
      <color rgb="FF006600"/>
      <name val="Arial Narrow"/>
      <family val="2"/>
    </font>
    <font>
      <u/>
      <sz val="8"/>
      <color rgb="FF006600"/>
      <name val="Arial"/>
      <family val="2"/>
    </font>
    <font>
      <b/>
      <sz val="8"/>
      <color rgb="FF006600"/>
      <name val="Arial"/>
      <family val="2"/>
    </font>
    <font>
      <b/>
      <u/>
      <sz val="8"/>
      <color rgb="FF006600"/>
      <name val="Arial"/>
      <family val="2"/>
    </font>
    <font>
      <sz val="8"/>
      <color rgb="FF006600"/>
      <name val="Arial Narrow"/>
      <family val="2"/>
    </font>
    <font>
      <sz val="10"/>
      <color rgb="FFFF0000"/>
      <name val="Arial"/>
      <family val="2"/>
    </font>
    <font>
      <sz val="6"/>
      <color rgb="FFFF0000"/>
      <name val="Arial"/>
      <family val="2"/>
    </font>
    <font>
      <b/>
      <sz val="9"/>
      <color indexed="81"/>
      <name val="Tahoma"/>
      <family val="2"/>
    </font>
    <font>
      <sz val="8"/>
      <color rgb="FF006600"/>
      <name val="Cambria"/>
      <family val="1"/>
    </font>
    <font>
      <sz val="8"/>
      <name val="Calibri"/>
      <family val="2"/>
    </font>
    <font>
      <sz val="10"/>
      <color theme="0" tint="-0.34998626667073579"/>
      <name val="Arial"/>
      <family val="2"/>
    </font>
    <font>
      <b/>
      <sz val="8"/>
      <color rgb="FFFF0000"/>
      <name val="Arial"/>
      <family val="2"/>
    </font>
    <font>
      <sz val="8"/>
      <color theme="0"/>
      <name val="Arial"/>
      <family val="2"/>
    </font>
    <font>
      <b/>
      <u/>
      <sz val="12"/>
      <color indexed="81"/>
      <name val="Arial"/>
      <family val="2"/>
    </font>
    <font>
      <b/>
      <i/>
      <sz val="12"/>
      <color indexed="10"/>
      <name val="Arial"/>
      <family val="2"/>
    </font>
    <font>
      <b/>
      <i/>
      <u/>
      <sz val="12"/>
      <color indexed="10"/>
      <name val="Arial"/>
      <family val="2"/>
    </font>
    <font>
      <sz val="7"/>
      <color theme="0" tint="-0.499984740745262"/>
      <name val="Arial"/>
      <family val="2"/>
    </font>
    <font>
      <b/>
      <sz val="8"/>
      <name val="Arial Narrow"/>
      <family val="2"/>
    </font>
    <font>
      <sz val="8"/>
      <color theme="0" tint="-0.499984740745262"/>
      <name val="Arial"/>
      <family val="2"/>
    </font>
    <font>
      <sz val="8"/>
      <color indexed="63"/>
      <name val="Arial Narrow"/>
      <family val="2"/>
    </font>
    <font>
      <b/>
      <i/>
      <u/>
      <sz val="12"/>
      <color indexed="81"/>
      <name val="Arial"/>
      <family val="2"/>
    </font>
    <font>
      <sz val="6"/>
      <color theme="0" tint="-0.24994659260841701"/>
      <name val="Arial Narrow"/>
      <family val="2"/>
    </font>
    <font>
      <sz val="6"/>
      <color theme="0" tint="-0.499984740745262"/>
      <name val="Arial Narrow"/>
      <family val="2"/>
    </font>
    <font>
      <b/>
      <u/>
      <sz val="8"/>
      <color rgb="FFFF5050"/>
      <name val="Arial"/>
      <family val="2"/>
    </font>
    <font>
      <sz val="7"/>
      <color indexed="55"/>
      <name val="Arial"/>
      <family val="2"/>
    </font>
    <font>
      <b/>
      <sz val="7"/>
      <color theme="0" tint="-0.499984740745262"/>
      <name val="Arial"/>
      <family val="2"/>
    </font>
    <font>
      <b/>
      <i/>
      <sz val="12"/>
      <color indexed="81"/>
      <name val="Tahoma"/>
      <family val="2"/>
    </font>
    <font>
      <sz val="10"/>
      <name val="Arial Narrow"/>
      <family val="2"/>
    </font>
    <font>
      <sz val="4"/>
      <name val="Arial"/>
      <family val="2"/>
    </font>
    <font>
      <b/>
      <sz val="8"/>
      <color indexed="10"/>
      <name val="Arial Narrow"/>
      <family val="2"/>
    </font>
    <font>
      <b/>
      <sz val="8"/>
      <color rgb="FFFF0000"/>
      <name val="Arial Narrow"/>
      <family val="2"/>
    </font>
    <font>
      <sz val="5"/>
      <name val="Arial Narrow"/>
      <family val="2"/>
    </font>
    <font>
      <sz val="6"/>
      <color theme="0"/>
      <name val="Arial"/>
      <family val="2"/>
    </font>
    <font>
      <b/>
      <i/>
      <sz val="9"/>
      <color indexed="81"/>
      <name val="Tahoma"/>
      <family val="2"/>
    </font>
  </fonts>
  <fills count="24">
    <fill>
      <patternFill patternType="none"/>
    </fill>
    <fill>
      <patternFill patternType="gray125"/>
    </fill>
    <fill>
      <patternFill patternType="solid">
        <fgColor indexed="22"/>
        <bgColor indexed="64"/>
      </patternFill>
    </fill>
    <fill>
      <patternFill patternType="solid">
        <fgColor indexed="41"/>
        <bgColor indexed="64"/>
      </patternFill>
    </fill>
    <fill>
      <patternFill patternType="solid">
        <fgColor indexed="43"/>
        <bgColor indexed="64"/>
      </patternFill>
    </fill>
    <fill>
      <patternFill patternType="solid">
        <fgColor indexed="42"/>
        <bgColor indexed="64"/>
      </patternFill>
    </fill>
    <fill>
      <patternFill patternType="solid">
        <fgColor indexed="44"/>
        <bgColor indexed="64"/>
      </patternFill>
    </fill>
    <fill>
      <patternFill patternType="solid">
        <fgColor indexed="26"/>
        <bgColor indexed="64"/>
      </patternFill>
    </fill>
    <fill>
      <patternFill patternType="solid">
        <fgColor indexed="23"/>
        <bgColor indexed="64"/>
      </patternFill>
    </fill>
    <fill>
      <patternFill patternType="solid">
        <fgColor indexed="52"/>
        <bgColor indexed="64"/>
      </patternFill>
    </fill>
    <fill>
      <patternFill patternType="solid">
        <fgColor indexed="46"/>
        <bgColor indexed="64"/>
      </patternFill>
    </fill>
    <fill>
      <patternFill patternType="solid">
        <fgColor rgb="FFFFFFCC"/>
        <bgColor indexed="64"/>
      </patternFill>
    </fill>
    <fill>
      <patternFill patternType="solid">
        <fgColor rgb="FFFFFF99"/>
        <bgColor indexed="64"/>
      </patternFill>
    </fill>
    <fill>
      <patternFill patternType="solid">
        <fgColor rgb="FFFFFF00"/>
        <bgColor indexed="64"/>
      </patternFill>
    </fill>
    <fill>
      <patternFill patternType="solid">
        <fgColor theme="0" tint="-0.24994659260841701"/>
        <bgColor indexed="64"/>
      </patternFill>
    </fill>
    <fill>
      <patternFill patternType="solid">
        <fgColor rgb="FFCCFFCC"/>
        <bgColor indexed="64"/>
      </patternFill>
    </fill>
    <fill>
      <patternFill patternType="solid">
        <fgColor theme="2" tint="-0.24994659260841701"/>
        <bgColor indexed="64"/>
      </patternFill>
    </fill>
    <fill>
      <patternFill patternType="solid">
        <fgColor rgb="FFFFC000"/>
        <bgColor indexed="64"/>
      </patternFill>
    </fill>
    <fill>
      <patternFill patternType="solid">
        <fgColor rgb="FF99CCFF"/>
        <bgColor indexed="64"/>
      </patternFill>
    </fill>
    <fill>
      <gradientFill type="path" left="0.5" right="0.5" top="0.5" bottom="0.5">
        <stop position="0">
          <color theme="0"/>
        </stop>
        <stop position="1">
          <color rgb="FFFFCCCC"/>
        </stop>
      </gradientFill>
    </fill>
    <fill>
      <patternFill patternType="solid">
        <fgColor theme="0"/>
        <bgColor indexed="64"/>
      </patternFill>
    </fill>
    <fill>
      <patternFill patternType="solid">
        <fgColor rgb="FFC0C0C0"/>
        <bgColor indexed="64"/>
      </patternFill>
    </fill>
    <fill>
      <patternFill patternType="solid">
        <fgColor theme="0" tint="-0.249977111117893"/>
        <bgColor indexed="64"/>
      </patternFill>
    </fill>
    <fill>
      <patternFill patternType="solid">
        <fgColor theme="3" tint="0.79998168889431442"/>
        <bgColor indexed="64"/>
      </patternFill>
    </fill>
  </fills>
  <borders count="406">
    <border>
      <left/>
      <right/>
      <top/>
      <bottom/>
      <diagonal/>
    </border>
    <border>
      <left style="medium">
        <color indexed="64"/>
      </left>
      <right style="hair">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medium">
        <color indexed="64"/>
      </left>
      <right style="hair">
        <color indexed="64"/>
      </right>
      <top style="hair">
        <color indexed="64"/>
      </top>
      <bottom style="medium">
        <color indexed="64"/>
      </bottom>
      <diagonal/>
    </border>
    <border>
      <left style="hair">
        <color indexed="64"/>
      </left>
      <right style="medium">
        <color indexed="64"/>
      </right>
      <top style="medium">
        <color indexed="64"/>
      </top>
      <bottom style="hair">
        <color indexed="64"/>
      </bottom>
      <diagonal/>
    </border>
    <border>
      <left style="hair">
        <color indexed="64"/>
      </left>
      <right style="medium">
        <color indexed="64"/>
      </right>
      <top style="hair">
        <color indexed="64"/>
      </top>
      <bottom style="hair">
        <color indexed="64"/>
      </bottom>
      <diagonal/>
    </border>
    <border>
      <left style="hair">
        <color indexed="64"/>
      </left>
      <right style="medium">
        <color indexed="64"/>
      </right>
      <top style="hair">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style="thin">
        <color indexed="64"/>
      </bottom>
      <diagonal/>
    </border>
    <border>
      <left/>
      <right/>
      <top/>
      <bottom style="thin">
        <color indexed="64"/>
      </bottom>
      <diagonal/>
    </border>
    <border>
      <left style="thin">
        <color indexed="64"/>
      </left>
      <right style="medium">
        <color indexed="64"/>
      </right>
      <top style="thin">
        <color indexed="64"/>
      </top>
      <bottom style="double">
        <color indexed="64"/>
      </bottom>
      <diagonal/>
    </border>
    <border>
      <left style="medium">
        <color indexed="64"/>
      </left>
      <right style="thin">
        <color indexed="64"/>
      </right>
      <top style="thin">
        <color indexed="64"/>
      </top>
      <bottom style="double">
        <color indexed="64"/>
      </bottom>
      <diagonal/>
    </border>
    <border>
      <left style="thin">
        <color indexed="64"/>
      </left>
      <right style="medium">
        <color indexed="64"/>
      </right>
      <top style="double">
        <color indexed="64"/>
      </top>
      <bottom style="thin">
        <color indexed="64"/>
      </bottom>
      <diagonal/>
    </border>
    <border>
      <left style="medium">
        <color indexed="64"/>
      </left>
      <right style="thin">
        <color indexed="64"/>
      </right>
      <top style="double">
        <color indexed="64"/>
      </top>
      <bottom style="thin">
        <color indexed="64"/>
      </bottom>
      <diagonal/>
    </border>
    <border>
      <left style="thin">
        <color indexed="64"/>
      </left>
      <right style="medium">
        <color indexed="64"/>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style="double">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double">
        <color indexed="64"/>
      </left>
      <right style="thin">
        <color indexed="64"/>
      </right>
      <top style="double">
        <color indexed="64"/>
      </top>
      <bottom style="thin">
        <color indexed="64"/>
      </bottom>
      <diagonal/>
    </border>
    <border>
      <left style="thick">
        <color indexed="64"/>
      </left>
      <right style="medium">
        <color indexed="64"/>
      </right>
      <top style="thin">
        <color indexed="64"/>
      </top>
      <bottom style="thin">
        <color indexed="64"/>
      </bottom>
      <diagonal/>
    </border>
    <border>
      <left style="thick">
        <color indexed="64"/>
      </left>
      <right style="thin">
        <color indexed="64"/>
      </right>
      <top/>
      <bottom style="double">
        <color indexed="64"/>
      </bottom>
      <diagonal/>
    </border>
    <border>
      <left style="thin">
        <color indexed="64"/>
      </left>
      <right style="thick">
        <color indexed="64"/>
      </right>
      <top/>
      <bottom style="double">
        <color indexed="64"/>
      </bottom>
      <diagonal/>
    </border>
    <border>
      <left style="thin">
        <color indexed="64"/>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thin">
        <color indexed="64"/>
      </right>
      <top style="medium">
        <color indexed="64"/>
      </top>
      <bottom style="double">
        <color indexed="64"/>
      </bottom>
      <diagonal/>
    </border>
    <border>
      <left style="medium">
        <color indexed="64"/>
      </left>
      <right style="medium">
        <color indexed="64"/>
      </right>
      <top style="medium">
        <color indexed="64"/>
      </top>
      <bottom style="double">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style="thin">
        <color indexed="64"/>
      </left>
      <right style="medium">
        <color indexed="64"/>
      </right>
      <top style="medium">
        <color indexed="64"/>
      </top>
      <bottom style="double">
        <color indexed="64"/>
      </bottom>
      <diagonal/>
    </border>
    <border>
      <left style="thin">
        <color indexed="64"/>
      </left>
      <right style="medium">
        <color indexed="64"/>
      </right>
      <top/>
      <bottom style="thin">
        <color indexed="64"/>
      </bottom>
      <diagonal/>
    </border>
    <border>
      <left/>
      <right style="medium">
        <color indexed="64"/>
      </right>
      <top/>
      <bottom style="thin">
        <color indexed="64"/>
      </bottom>
      <diagonal/>
    </border>
    <border>
      <left/>
      <right style="medium">
        <color indexed="64"/>
      </right>
      <top style="thin">
        <color indexed="64"/>
      </top>
      <bottom style="thin">
        <color indexed="64"/>
      </bottom>
      <diagonal/>
    </border>
    <border>
      <left style="thin">
        <color indexed="64"/>
      </left>
      <right/>
      <top/>
      <bottom style="thin">
        <color indexed="64"/>
      </bottom>
      <diagonal/>
    </border>
    <border>
      <left/>
      <right style="thin">
        <color indexed="64"/>
      </right>
      <top style="medium">
        <color indexed="64"/>
      </top>
      <bottom style="double">
        <color indexed="64"/>
      </bottom>
      <diagonal/>
    </border>
    <border>
      <left/>
      <right style="thin">
        <color indexed="64"/>
      </right>
      <top/>
      <bottom style="thin">
        <color indexed="64"/>
      </bottom>
      <diagonal/>
    </border>
    <border>
      <left style="medium">
        <color indexed="64"/>
      </left>
      <right style="hair">
        <color indexed="64"/>
      </right>
      <top/>
      <bottom style="double">
        <color indexed="64"/>
      </bottom>
      <diagonal/>
    </border>
    <border>
      <left/>
      <right/>
      <top style="medium">
        <color indexed="64"/>
      </top>
      <bottom/>
      <diagonal/>
    </border>
    <border>
      <left/>
      <right style="thin">
        <color indexed="64"/>
      </right>
      <top/>
      <bottom/>
      <diagonal/>
    </border>
    <border>
      <left/>
      <right style="medium">
        <color indexed="64"/>
      </right>
      <top/>
      <bottom/>
      <diagonal/>
    </border>
    <border>
      <left/>
      <right style="medium">
        <color indexed="64"/>
      </right>
      <top style="medium">
        <color indexed="64"/>
      </top>
      <bottom/>
      <diagonal/>
    </border>
    <border>
      <left style="hair">
        <color indexed="64"/>
      </left>
      <right style="medium">
        <color indexed="64"/>
      </right>
      <top/>
      <bottom style="double">
        <color indexed="64"/>
      </bottom>
      <diagonal/>
    </border>
    <border>
      <left style="thick">
        <color indexed="64"/>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ck">
        <color indexed="64"/>
      </left>
      <right style="thin">
        <color indexed="64"/>
      </right>
      <top style="thin">
        <color indexed="64"/>
      </top>
      <bottom style="thin">
        <color indexed="64"/>
      </bottom>
      <diagonal/>
    </border>
    <border>
      <left style="medium">
        <color indexed="64"/>
      </left>
      <right/>
      <top style="thin">
        <color indexed="64"/>
      </top>
      <bottom style="thin">
        <color indexed="64"/>
      </bottom>
      <diagonal/>
    </border>
    <border>
      <left/>
      <right style="thick">
        <color indexed="64"/>
      </right>
      <top style="thin">
        <color indexed="64"/>
      </top>
      <bottom style="thin">
        <color indexed="64"/>
      </bottom>
      <diagonal/>
    </border>
    <border>
      <left style="thin">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ck">
        <color indexed="64"/>
      </right>
      <top style="thin">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diagonal/>
    </border>
    <border>
      <left style="medium">
        <color indexed="64"/>
      </left>
      <right/>
      <top style="double">
        <color indexed="64"/>
      </top>
      <bottom style="thin">
        <color indexed="64"/>
      </bottom>
      <diagonal/>
    </border>
    <border>
      <left/>
      <right style="thin">
        <color indexed="64"/>
      </right>
      <top style="double">
        <color indexed="64"/>
      </top>
      <bottom style="thin">
        <color indexed="64"/>
      </bottom>
      <diagonal/>
    </border>
    <border>
      <left/>
      <right/>
      <top style="double">
        <color indexed="64"/>
      </top>
      <bottom style="thin">
        <color indexed="64"/>
      </bottom>
      <diagonal/>
    </border>
    <border>
      <left/>
      <right style="medium">
        <color indexed="64"/>
      </right>
      <top style="double">
        <color indexed="64"/>
      </top>
      <bottom style="thin">
        <color indexed="64"/>
      </bottom>
      <diagonal/>
    </border>
    <border>
      <left style="medium">
        <color indexed="64"/>
      </left>
      <right style="thick">
        <color indexed="64"/>
      </right>
      <top style="double">
        <color indexed="64"/>
      </top>
      <bottom style="thin">
        <color indexed="64"/>
      </bottom>
      <diagonal/>
    </border>
    <border>
      <left style="thick">
        <color indexed="64"/>
      </left>
      <right style="medium">
        <color indexed="64"/>
      </right>
      <top style="double">
        <color indexed="64"/>
      </top>
      <bottom style="thin">
        <color indexed="64"/>
      </bottom>
      <diagonal/>
    </border>
    <border>
      <left style="medium">
        <color indexed="64"/>
      </left>
      <right style="medium">
        <color indexed="64"/>
      </right>
      <top style="double">
        <color indexed="64"/>
      </top>
      <bottom style="thin">
        <color indexed="64"/>
      </bottom>
      <diagonal/>
    </border>
    <border>
      <left/>
      <right style="hair">
        <color indexed="64"/>
      </right>
      <top style="double">
        <color indexed="64"/>
      </top>
      <bottom style="thin">
        <color indexed="64"/>
      </bottom>
      <diagonal/>
    </border>
    <border>
      <left style="hair">
        <color indexed="64"/>
      </left>
      <right style="medium">
        <color indexed="64"/>
      </right>
      <top style="double">
        <color indexed="64"/>
      </top>
      <bottom style="thin">
        <color indexed="64"/>
      </bottom>
      <diagonal/>
    </border>
    <border>
      <left style="medium">
        <color indexed="64"/>
      </left>
      <right style="hair">
        <color indexed="64"/>
      </right>
      <top style="double">
        <color indexed="64"/>
      </top>
      <bottom style="thin">
        <color indexed="64"/>
      </bottom>
      <diagonal/>
    </border>
    <border>
      <left style="hair">
        <color indexed="64"/>
      </left>
      <right style="thin">
        <color indexed="64"/>
      </right>
      <top style="double">
        <color indexed="64"/>
      </top>
      <bottom style="thin">
        <color indexed="64"/>
      </bottom>
      <diagonal/>
    </border>
    <border>
      <left/>
      <right style="hair">
        <color indexed="64"/>
      </right>
      <top style="thin">
        <color indexed="64"/>
      </top>
      <bottom style="thin">
        <color indexed="64"/>
      </bottom>
      <diagonal/>
    </border>
    <border>
      <left style="medium">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medium">
        <color indexed="64"/>
      </left>
      <right/>
      <top style="medium">
        <color indexed="64"/>
      </top>
      <bottom/>
      <diagonal/>
    </border>
    <border>
      <left style="thick">
        <color indexed="64"/>
      </left>
      <right style="medium">
        <color indexed="64"/>
      </right>
      <top style="thin">
        <color indexed="64"/>
      </top>
      <bottom style="medium">
        <color indexed="64"/>
      </bottom>
      <diagonal/>
    </border>
    <border>
      <left style="medium">
        <color indexed="64"/>
      </left>
      <right style="thick">
        <color indexed="64"/>
      </right>
      <top style="thin">
        <color indexed="64"/>
      </top>
      <bottom style="thin">
        <color indexed="64"/>
      </bottom>
      <diagonal/>
    </border>
    <border>
      <left style="hair">
        <color indexed="64"/>
      </left>
      <right style="medium">
        <color indexed="64"/>
      </right>
      <top style="thin">
        <color indexed="64"/>
      </top>
      <bottom style="thin">
        <color indexed="64"/>
      </bottom>
      <diagonal/>
    </border>
    <border>
      <left style="medium">
        <color indexed="64"/>
      </left>
      <right style="hair">
        <color indexed="64"/>
      </right>
      <top style="thin">
        <color indexed="64"/>
      </top>
      <bottom style="medium">
        <color indexed="64"/>
      </bottom>
      <diagonal/>
    </border>
    <border>
      <left/>
      <right style="hair">
        <color indexed="64"/>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double">
        <color indexed="64"/>
      </right>
      <top style="medium">
        <color indexed="64"/>
      </top>
      <bottom style="medium">
        <color indexed="64"/>
      </bottom>
      <diagonal/>
    </border>
    <border>
      <left style="double">
        <color indexed="64"/>
      </left>
      <right style="thin">
        <color indexed="64"/>
      </right>
      <top style="double">
        <color indexed="64"/>
      </top>
      <bottom style="medium">
        <color indexed="64"/>
      </bottom>
      <diagonal/>
    </border>
    <border>
      <left/>
      <right style="thin">
        <color indexed="64"/>
      </right>
      <top style="double">
        <color indexed="64"/>
      </top>
      <bottom style="medium">
        <color indexed="64"/>
      </bottom>
      <diagonal/>
    </border>
    <border>
      <left style="thin">
        <color indexed="64"/>
      </left>
      <right style="thin">
        <color indexed="64"/>
      </right>
      <top style="double">
        <color indexed="64"/>
      </top>
      <bottom style="medium">
        <color indexed="64"/>
      </bottom>
      <diagonal/>
    </border>
    <border>
      <left style="thin">
        <color indexed="64"/>
      </left>
      <right style="medium">
        <color indexed="64"/>
      </right>
      <top style="double">
        <color indexed="64"/>
      </top>
      <bottom style="medium">
        <color indexed="64"/>
      </bottom>
      <diagonal/>
    </border>
    <border>
      <left style="medium">
        <color indexed="64"/>
      </left>
      <right style="thick">
        <color indexed="64"/>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style="hair">
        <color indexed="64"/>
      </left>
      <right style="medium">
        <color indexed="64"/>
      </right>
      <top style="thin">
        <color indexed="64"/>
      </top>
      <bottom style="medium">
        <color indexed="64"/>
      </bottom>
      <diagonal/>
    </border>
    <border>
      <left style="medium">
        <color indexed="64"/>
      </left>
      <right/>
      <top/>
      <bottom/>
      <diagonal/>
    </border>
    <border>
      <left/>
      <right/>
      <top/>
      <bottom style="medium">
        <color indexed="64"/>
      </bottom>
      <diagonal/>
    </border>
    <border>
      <left/>
      <right style="thin">
        <color indexed="64"/>
      </right>
      <top/>
      <bottom style="medium">
        <color indexed="64"/>
      </bottom>
      <diagonal/>
    </border>
    <border>
      <left style="thin">
        <color indexed="64"/>
      </left>
      <right style="thin">
        <color indexed="64"/>
      </right>
      <top style="double">
        <color indexed="64"/>
      </top>
      <bottom style="double">
        <color indexed="64"/>
      </bottom>
      <diagonal/>
    </border>
    <border>
      <left style="hair">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right/>
      <top style="hair">
        <color indexed="64"/>
      </top>
      <bottom style="hair">
        <color indexed="64"/>
      </bottom>
      <diagonal/>
    </border>
    <border>
      <left style="medium">
        <color indexed="64"/>
      </left>
      <right style="double">
        <color indexed="64"/>
      </right>
      <top style="medium">
        <color indexed="64"/>
      </top>
      <bottom style="thin">
        <color indexed="64"/>
      </bottom>
      <diagonal/>
    </border>
    <border>
      <left style="thin">
        <color indexed="64"/>
      </left>
      <right/>
      <top/>
      <bottom/>
      <diagonal/>
    </border>
    <border>
      <left style="thin">
        <color indexed="64"/>
      </left>
      <right style="medium">
        <color indexed="64"/>
      </right>
      <top style="medium">
        <color indexed="64"/>
      </top>
      <bottom style="thin">
        <color indexed="64"/>
      </bottom>
      <diagonal/>
    </border>
    <border>
      <left style="hair">
        <color indexed="64"/>
      </left>
      <right style="hair">
        <color indexed="64"/>
      </right>
      <top/>
      <bottom style="double">
        <color indexed="64"/>
      </bottom>
      <diagonal/>
    </border>
    <border>
      <left style="hair">
        <color indexed="64"/>
      </left>
      <right style="thick">
        <color indexed="64"/>
      </right>
      <top/>
      <bottom style="double">
        <color indexed="64"/>
      </bottom>
      <diagonal/>
    </border>
    <border>
      <left style="thin">
        <color indexed="64"/>
      </left>
      <right style="medium">
        <color indexed="64"/>
      </right>
      <top/>
      <bottom style="double">
        <color indexed="64"/>
      </bottom>
      <diagonal/>
    </border>
    <border>
      <left style="medium">
        <color indexed="64"/>
      </left>
      <right style="thin">
        <color indexed="64"/>
      </right>
      <top/>
      <bottom style="double">
        <color indexed="64"/>
      </bottom>
      <diagonal/>
    </border>
    <border>
      <left style="medium">
        <color indexed="64"/>
      </left>
      <right style="thin">
        <color indexed="64"/>
      </right>
      <top/>
      <bottom/>
      <diagonal/>
    </border>
    <border>
      <left style="thin">
        <color indexed="64"/>
      </left>
      <right/>
      <top style="double">
        <color indexed="64"/>
      </top>
      <bottom style="thin">
        <color indexed="64"/>
      </bottom>
      <diagonal/>
    </border>
    <border>
      <left style="thin">
        <color indexed="64"/>
      </left>
      <right/>
      <top style="thin">
        <color indexed="64"/>
      </top>
      <bottom style="medium">
        <color indexed="64"/>
      </bottom>
      <diagonal/>
    </border>
    <border>
      <left style="medium">
        <color indexed="64"/>
      </left>
      <right style="thin">
        <color indexed="64"/>
      </right>
      <top style="double">
        <color indexed="64"/>
      </top>
      <bottom style="medium">
        <color indexed="64"/>
      </bottom>
      <diagonal/>
    </border>
    <border>
      <left/>
      <right/>
      <top style="thick">
        <color indexed="64"/>
      </top>
      <bottom/>
      <diagonal/>
    </border>
    <border>
      <left style="hair">
        <color indexed="64"/>
      </left>
      <right style="hair">
        <color indexed="64"/>
      </right>
      <top style="hair">
        <color indexed="64"/>
      </top>
      <bottom style="thin">
        <color indexed="64"/>
      </bottom>
      <diagonal/>
    </border>
    <border>
      <left style="hair">
        <color indexed="64"/>
      </left>
      <right style="thin">
        <color indexed="64"/>
      </right>
      <top style="hair">
        <color indexed="64"/>
      </top>
      <bottom style="thin">
        <color indexed="64"/>
      </bottom>
      <diagonal/>
    </border>
    <border>
      <left style="hair">
        <color indexed="64"/>
      </left>
      <right style="hair">
        <color indexed="64"/>
      </right>
      <top style="hair">
        <color indexed="64"/>
      </top>
      <bottom/>
      <diagonal/>
    </border>
    <border>
      <left style="hair">
        <color indexed="64"/>
      </left>
      <right style="hair">
        <color indexed="64"/>
      </right>
      <top style="thin">
        <color indexed="64"/>
      </top>
      <bottom style="hair">
        <color indexed="64"/>
      </bottom>
      <diagonal/>
    </border>
    <border>
      <left style="thin">
        <color indexed="64"/>
      </left>
      <right style="hair">
        <color indexed="64"/>
      </right>
      <top style="hair">
        <color indexed="64"/>
      </top>
      <bottom style="hair">
        <color indexed="64"/>
      </bottom>
      <diagonal/>
    </border>
    <border>
      <left style="thin">
        <color indexed="64"/>
      </left>
      <right style="hair">
        <color indexed="64"/>
      </right>
      <top style="hair">
        <color indexed="64"/>
      </top>
      <bottom style="thin">
        <color indexed="64"/>
      </bottom>
      <diagonal/>
    </border>
    <border>
      <left style="thick">
        <color indexed="64"/>
      </left>
      <right style="hair">
        <color indexed="64"/>
      </right>
      <top/>
      <bottom style="double">
        <color indexed="64"/>
      </bottom>
      <diagonal/>
    </border>
    <border>
      <left style="medium">
        <color indexed="64"/>
      </left>
      <right style="double">
        <color indexed="64"/>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style="medium">
        <color indexed="64"/>
      </left>
      <right style="double">
        <color indexed="64"/>
      </right>
      <top style="thin">
        <color indexed="64"/>
      </top>
      <bottom style="medium">
        <color indexed="64"/>
      </bottom>
      <diagonal/>
    </border>
    <border>
      <left style="double">
        <color indexed="64"/>
      </left>
      <right style="thin">
        <color indexed="64"/>
      </right>
      <top style="thin">
        <color indexed="64"/>
      </top>
      <bottom style="medium">
        <color indexed="64"/>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style="medium">
        <color indexed="64"/>
      </right>
      <top/>
      <bottom style="thin">
        <color indexed="64"/>
      </bottom>
      <diagonal/>
    </border>
    <border>
      <left style="thick">
        <color indexed="64"/>
      </left>
      <right/>
      <top/>
      <bottom style="medium">
        <color indexed="64"/>
      </bottom>
      <diagonal/>
    </border>
    <border>
      <left/>
      <right style="thick">
        <color indexed="64"/>
      </right>
      <top/>
      <bottom style="medium">
        <color indexed="64"/>
      </bottom>
      <diagonal/>
    </border>
    <border>
      <left style="thick">
        <color indexed="64"/>
      </left>
      <right style="thick">
        <color indexed="64"/>
      </right>
      <top/>
      <bottom/>
      <diagonal/>
    </border>
    <border>
      <left/>
      <right style="hair">
        <color indexed="64"/>
      </right>
      <top/>
      <bottom style="double">
        <color indexed="64"/>
      </bottom>
      <diagonal/>
    </border>
    <border>
      <left/>
      <right style="medium">
        <color indexed="64"/>
      </right>
      <top/>
      <bottom style="double">
        <color indexed="64"/>
      </bottom>
      <diagonal/>
    </border>
    <border>
      <left style="medium">
        <color indexed="64"/>
      </left>
      <right/>
      <top/>
      <bottom style="double">
        <color indexed="64"/>
      </bottom>
      <diagonal/>
    </border>
    <border>
      <left/>
      <right style="thin">
        <color indexed="64"/>
      </right>
      <top/>
      <bottom style="double">
        <color indexed="64"/>
      </bottom>
      <diagonal/>
    </border>
    <border>
      <left/>
      <right style="thin">
        <color indexed="64"/>
      </right>
      <top style="thin">
        <color indexed="64"/>
      </top>
      <bottom style="medium">
        <color indexed="64"/>
      </bottom>
      <diagonal/>
    </border>
    <border>
      <left style="medium">
        <color indexed="64"/>
      </left>
      <right/>
      <top style="double">
        <color indexed="64"/>
      </top>
      <bottom style="hair">
        <color indexed="64"/>
      </bottom>
      <diagonal/>
    </border>
    <border>
      <left style="medium">
        <color indexed="64"/>
      </left>
      <right style="medium">
        <color indexed="64"/>
      </right>
      <top style="double">
        <color indexed="64"/>
      </top>
      <bottom style="hair">
        <color indexed="64"/>
      </bottom>
      <diagonal/>
    </border>
    <border>
      <left style="medium">
        <color indexed="64"/>
      </left>
      <right/>
      <top style="hair">
        <color indexed="64"/>
      </top>
      <bottom style="hair">
        <color indexed="64"/>
      </bottom>
      <diagonal/>
    </border>
    <border>
      <left style="medium">
        <color indexed="64"/>
      </left>
      <right style="medium">
        <color indexed="64"/>
      </right>
      <top style="hair">
        <color indexed="64"/>
      </top>
      <bottom style="hair">
        <color indexed="64"/>
      </bottom>
      <diagonal/>
    </border>
    <border>
      <left/>
      <right style="thin">
        <color indexed="64"/>
      </right>
      <top style="double">
        <color indexed="64"/>
      </top>
      <bottom style="hair">
        <color indexed="64"/>
      </bottom>
      <diagonal/>
    </border>
    <border>
      <left style="thin">
        <color indexed="64"/>
      </left>
      <right style="thin">
        <color indexed="64"/>
      </right>
      <top style="double">
        <color indexed="64"/>
      </top>
      <bottom style="hair">
        <color indexed="64"/>
      </bottom>
      <diagonal/>
    </border>
    <border>
      <left/>
      <right/>
      <top style="double">
        <color indexed="64"/>
      </top>
      <bottom style="hair">
        <color indexed="64"/>
      </bottom>
      <diagonal/>
    </border>
    <border>
      <left/>
      <right style="medium">
        <color indexed="64"/>
      </right>
      <top style="double">
        <color indexed="64"/>
      </top>
      <bottom style="hair">
        <color indexed="64"/>
      </bottom>
      <diagonal/>
    </border>
    <border>
      <left style="thick">
        <color indexed="64"/>
      </left>
      <right style="thick">
        <color indexed="64"/>
      </right>
      <top style="double">
        <color indexed="64"/>
      </top>
      <bottom style="hair">
        <color indexed="64"/>
      </bottom>
      <diagonal/>
    </border>
    <border>
      <left style="thick">
        <color indexed="64"/>
      </left>
      <right style="medium">
        <color indexed="64"/>
      </right>
      <top style="double">
        <color indexed="64"/>
      </top>
      <bottom style="hair">
        <color indexed="64"/>
      </bottom>
      <diagonal/>
    </border>
    <border>
      <left/>
      <right style="hair">
        <color indexed="64"/>
      </right>
      <top style="double">
        <color indexed="64"/>
      </top>
      <bottom style="hair">
        <color indexed="64"/>
      </bottom>
      <diagonal/>
    </border>
    <border>
      <left style="hair">
        <color indexed="64"/>
      </left>
      <right style="thick">
        <color indexed="64"/>
      </right>
      <top style="double">
        <color indexed="64"/>
      </top>
      <bottom style="hair">
        <color indexed="64"/>
      </bottom>
      <diagonal/>
    </border>
    <border>
      <left style="thick">
        <color indexed="64"/>
      </left>
      <right/>
      <top style="double">
        <color indexed="64"/>
      </top>
      <bottom style="hair">
        <color indexed="64"/>
      </bottom>
      <diagonal/>
    </border>
    <border>
      <left style="thin">
        <color indexed="64"/>
      </left>
      <right style="thick">
        <color indexed="64"/>
      </right>
      <top style="double">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right style="medium">
        <color indexed="64"/>
      </right>
      <top style="hair">
        <color indexed="64"/>
      </top>
      <bottom style="hair">
        <color indexed="64"/>
      </bottom>
      <diagonal/>
    </border>
    <border>
      <left style="thick">
        <color indexed="64"/>
      </left>
      <right style="thick">
        <color indexed="64"/>
      </right>
      <top style="hair">
        <color indexed="64"/>
      </top>
      <bottom style="hair">
        <color indexed="64"/>
      </bottom>
      <diagonal/>
    </border>
    <border>
      <left style="thick">
        <color indexed="64"/>
      </left>
      <right style="medium">
        <color indexed="64"/>
      </right>
      <top style="hair">
        <color indexed="64"/>
      </top>
      <bottom style="hair">
        <color indexed="64"/>
      </bottom>
      <diagonal/>
    </border>
    <border>
      <left style="hair">
        <color indexed="64"/>
      </left>
      <right style="thick">
        <color indexed="64"/>
      </right>
      <top style="hair">
        <color indexed="64"/>
      </top>
      <bottom style="hair">
        <color indexed="64"/>
      </bottom>
      <diagonal/>
    </border>
    <border>
      <left style="thick">
        <color indexed="64"/>
      </left>
      <right/>
      <top style="hair">
        <color indexed="64"/>
      </top>
      <bottom style="hair">
        <color indexed="64"/>
      </bottom>
      <diagonal/>
    </border>
    <border>
      <left style="thin">
        <color indexed="64"/>
      </left>
      <right style="thick">
        <color indexed="64"/>
      </right>
      <top style="hair">
        <color indexed="64"/>
      </top>
      <bottom style="hair">
        <color indexed="64"/>
      </bottom>
      <diagonal/>
    </border>
    <border>
      <left style="thick">
        <color indexed="64"/>
      </left>
      <right style="thin">
        <color indexed="64"/>
      </right>
      <top style="hair">
        <color indexed="64"/>
      </top>
      <bottom style="hair">
        <color indexed="64"/>
      </bottom>
      <diagonal/>
    </border>
    <border>
      <left style="thick">
        <color indexed="64"/>
      </left>
      <right style="thin">
        <color indexed="64"/>
      </right>
      <top style="hair">
        <color indexed="64"/>
      </top>
      <bottom style="thick">
        <color indexed="64"/>
      </bottom>
      <diagonal/>
    </border>
    <border>
      <left style="medium">
        <color indexed="64"/>
      </left>
      <right/>
      <top style="hair">
        <color indexed="64"/>
      </top>
      <bottom style="thick">
        <color indexed="64"/>
      </bottom>
      <diagonal/>
    </border>
    <border>
      <left/>
      <right style="thin">
        <color indexed="64"/>
      </right>
      <top style="hair">
        <color indexed="64"/>
      </top>
      <bottom style="thick">
        <color indexed="64"/>
      </bottom>
      <diagonal/>
    </border>
    <border>
      <left style="thin">
        <color indexed="64"/>
      </left>
      <right style="thin">
        <color indexed="64"/>
      </right>
      <top style="hair">
        <color indexed="64"/>
      </top>
      <bottom style="thick">
        <color indexed="64"/>
      </bottom>
      <diagonal/>
    </border>
    <border>
      <left/>
      <right/>
      <top style="hair">
        <color indexed="64"/>
      </top>
      <bottom style="thick">
        <color indexed="64"/>
      </bottom>
      <diagonal/>
    </border>
    <border>
      <left/>
      <right style="medium">
        <color indexed="64"/>
      </right>
      <top style="hair">
        <color indexed="64"/>
      </top>
      <bottom style="thick">
        <color indexed="64"/>
      </bottom>
      <diagonal/>
    </border>
    <border>
      <left style="thick">
        <color indexed="64"/>
      </left>
      <right style="thick">
        <color indexed="64"/>
      </right>
      <top style="hair">
        <color indexed="64"/>
      </top>
      <bottom style="thick">
        <color indexed="64"/>
      </bottom>
      <diagonal/>
    </border>
    <border>
      <left style="thick">
        <color indexed="64"/>
      </left>
      <right style="medium">
        <color indexed="64"/>
      </right>
      <top style="hair">
        <color indexed="64"/>
      </top>
      <bottom style="thick">
        <color indexed="64"/>
      </bottom>
      <diagonal/>
    </border>
    <border>
      <left style="medium">
        <color indexed="64"/>
      </left>
      <right style="medium">
        <color indexed="64"/>
      </right>
      <top style="hair">
        <color indexed="64"/>
      </top>
      <bottom style="thick">
        <color indexed="64"/>
      </bottom>
      <diagonal/>
    </border>
    <border>
      <left/>
      <right style="hair">
        <color indexed="64"/>
      </right>
      <top style="hair">
        <color indexed="64"/>
      </top>
      <bottom style="thick">
        <color indexed="64"/>
      </bottom>
      <diagonal/>
    </border>
    <border>
      <left style="hair">
        <color indexed="64"/>
      </left>
      <right style="thick">
        <color indexed="64"/>
      </right>
      <top style="hair">
        <color indexed="64"/>
      </top>
      <bottom style="thick">
        <color indexed="64"/>
      </bottom>
      <diagonal/>
    </border>
    <border>
      <left style="thick">
        <color indexed="64"/>
      </left>
      <right/>
      <top style="hair">
        <color indexed="64"/>
      </top>
      <bottom style="thick">
        <color indexed="64"/>
      </bottom>
      <diagonal/>
    </border>
    <border>
      <left style="thin">
        <color indexed="64"/>
      </left>
      <right style="thick">
        <color indexed="64"/>
      </right>
      <top style="hair">
        <color indexed="64"/>
      </top>
      <bottom style="thick">
        <color indexed="64"/>
      </bottom>
      <diagonal/>
    </border>
    <border>
      <left style="thick">
        <color indexed="64"/>
      </left>
      <right style="thin">
        <color indexed="64"/>
      </right>
      <top style="double">
        <color indexed="64"/>
      </top>
      <bottom style="hair">
        <color indexed="64"/>
      </bottom>
      <diagonal/>
    </border>
    <border>
      <left style="thin">
        <color indexed="64"/>
      </left>
      <right style="medium">
        <color indexed="64"/>
      </right>
      <top style="double">
        <color indexed="64"/>
      </top>
      <bottom style="hair">
        <color indexed="64"/>
      </bottom>
      <diagonal/>
    </border>
    <border>
      <left/>
      <right style="thick">
        <color indexed="64"/>
      </right>
      <top style="double">
        <color indexed="64"/>
      </top>
      <bottom style="hair">
        <color indexed="64"/>
      </bottom>
      <diagonal/>
    </border>
    <border>
      <left style="thin">
        <color indexed="64"/>
      </left>
      <right style="hair">
        <color indexed="64"/>
      </right>
      <top style="double">
        <color indexed="64"/>
      </top>
      <bottom style="hair">
        <color indexed="64"/>
      </bottom>
      <diagonal/>
    </border>
    <border>
      <left style="hair">
        <color indexed="64"/>
      </left>
      <right style="thin">
        <color indexed="64"/>
      </right>
      <top style="double">
        <color indexed="64"/>
      </top>
      <bottom style="hair">
        <color indexed="64"/>
      </bottom>
      <diagonal/>
    </border>
    <border>
      <left style="medium">
        <color indexed="64"/>
      </left>
      <right style="hair">
        <color indexed="64"/>
      </right>
      <top style="double">
        <color indexed="64"/>
      </top>
      <bottom style="hair">
        <color indexed="64"/>
      </bottom>
      <diagonal/>
    </border>
    <border>
      <left style="hair">
        <color indexed="64"/>
      </left>
      <right style="hair">
        <color indexed="64"/>
      </right>
      <top style="double">
        <color indexed="64"/>
      </top>
      <bottom style="hair">
        <color indexed="64"/>
      </bottom>
      <diagonal/>
    </border>
    <border>
      <left style="thin">
        <color indexed="64"/>
      </left>
      <right style="medium">
        <color indexed="64"/>
      </right>
      <top style="hair">
        <color indexed="64"/>
      </top>
      <bottom style="hair">
        <color indexed="64"/>
      </bottom>
      <diagonal/>
    </border>
    <border>
      <left/>
      <right style="thick">
        <color indexed="64"/>
      </right>
      <top style="hair">
        <color indexed="64"/>
      </top>
      <bottom style="hair">
        <color indexed="64"/>
      </bottom>
      <diagonal/>
    </border>
    <border>
      <left style="thin">
        <color indexed="64"/>
      </left>
      <right style="medium">
        <color indexed="64"/>
      </right>
      <top style="hair">
        <color indexed="64"/>
      </top>
      <bottom style="thick">
        <color indexed="64"/>
      </bottom>
      <diagonal/>
    </border>
    <border>
      <left/>
      <right style="thick">
        <color indexed="64"/>
      </right>
      <top style="hair">
        <color indexed="64"/>
      </top>
      <bottom style="thick">
        <color indexed="64"/>
      </bottom>
      <diagonal/>
    </border>
    <border>
      <left style="thin">
        <color indexed="64"/>
      </left>
      <right style="hair">
        <color indexed="64"/>
      </right>
      <top style="hair">
        <color indexed="64"/>
      </top>
      <bottom style="thick">
        <color indexed="64"/>
      </bottom>
      <diagonal/>
    </border>
    <border>
      <left style="hair">
        <color indexed="64"/>
      </left>
      <right style="thin">
        <color indexed="64"/>
      </right>
      <top style="hair">
        <color indexed="64"/>
      </top>
      <bottom style="thick">
        <color indexed="64"/>
      </bottom>
      <diagonal/>
    </border>
    <border>
      <left style="thick">
        <color indexed="64"/>
      </left>
      <right style="hair">
        <color indexed="64"/>
      </right>
      <top style="hair">
        <color indexed="64"/>
      </top>
      <bottom style="thick">
        <color indexed="64"/>
      </bottom>
      <diagonal/>
    </border>
    <border>
      <left style="hair">
        <color indexed="64"/>
      </left>
      <right style="hair">
        <color indexed="64"/>
      </right>
      <top style="hair">
        <color indexed="64"/>
      </top>
      <bottom style="thick">
        <color indexed="64"/>
      </bottom>
      <diagonal/>
    </border>
    <border>
      <left style="thick">
        <color indexed="64"/>
      </left>
      <right style="hair">
        <color indexed="64"/>
      </right>
      <top style="double">
        <color indexed="64"/>
      </top>
      <bottom style="hair">
        <color indexed="64"/>
      </bottom>
      <diagonal/>
    </border>
    <border>
      <left style="medium">
        <color indexed="64"/>
      </left>
      <right style="thin">
        <color indexed="64"/>
      </right>
      <top style="double">
        <color indexed="64"/>
      </top>
      <bottom style="hair">
        <color indexed="64"/>
      </bottom>
      <diagonal/>
    </border>
    <border>
      <left style="thick">
        <color indexed="64"/>
      </left>
      <right style="hair">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style="thick">
        <color indexed="64"/>
      </left>
      <right style="thin">
        <color indexed="64"/>
      </right>
      <top style="thin">
        <color indexed="64"/>
      </top>
      <bottom style="hair">
        <color indexed="64"/>
      </bottom>
      <diagonal/>
    </border>
    <border>
      <left style="thin">
        <color indexed="64"/>
      </left>
      <right style="thick">
        <color indexed="64"/>
      </right>
      <top style="thin">
        <color indexed="64"/>
      </top>
      <bottom style="hair">
        <color indexed="64"/>
      </bottom>
      <diagonal/>
    </border>
    <border>
      <left style="thick">
        <color indexed="64"/>
      </left>
      <right style="thick">
        <color indexed="64"/>
      </right>
      <top style="thin">
        <color indexed="64"/>
      </top>
      <bottom style="hair">
        <color indexed="64"/>
      </bottom>
      <diagonal/>
    </border>
    <border>
      <left style="medium">
        <color indexed="64"/>
      </left>
      <right style="thin">
        <color indexed="64"/>
      </right>
      <top style="hair">
        <color indexed="64"/>
      </top>
      <bottom style="thick">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right/>
      <top style="thin">
        <color indexed="64"/>
      </top>
      <bottom/>
      <diagonal/>
    </border>
    <border>
      <left style="double">
        <color indexed="10"/>
      </left>
      <right/>
      <top style="double">
        <color indexed="10"/>
      </top>
      <bottom/>
      <diagonal/>
    </border>
    <border>
      <left/>
      <right/>
      <top style="double">
        <color indexed="10"/>
      </top>
      <bottom/>
      <diagonal/>
    </border>
    <border>
      <left/>
      <right style="double">
        <color indexed="10"/>
      </right>
      <top style="double">
        <color indexed="10"/>
      </top>
      <bottom/>
      <diagonal/>
    </border>
    <border>
      <left style="double">
        <color indexed="10"/>
      </left>
      <right/>
      <top/>
      <bottom/>
      <diagonal/>
    </border>
    <border>
      <left/>
      <right style="double">
        <color indexed="10"/>
      </right>
      <top/>
      <bottom/>
      <diagonal/>
    </border>
    <border>
      <left style="double">
        <color indexed="10"/>
      </left>
      <right/>
      <top/>
      <bottom style="double">
        <color indexed="10"/>
      </bottom>
      <diagonal/>
    </border>
    <border>
      <left/>
      <right/>
      <top/>
      <bottom style="double">
        <color indexed="10"/>
      </bottom>
      <diagonal/>
    </border>
    <border>
      <left/>
      <right style="double">
        <color indexed="10"/>
      </right>
      <top/>
      <bottom style="double">
        <color indexed="10"/>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top style="medium">
        <color indexed="64"/>
      </top>
      <bottom style="double">
        <color indexed="64"/>
      </bottom>
      <diagonal/>
    </border>
    <border>
      <left/>
      <right style="medium">
        <color indexed="64"/>
      </right>
      <top style="medium">
        <color indexed="64"/>
      </top>
      <bottom style="double">
        <color indexed="64"/>
      </bottom>
      <diagonal/>
    </border>
    <border>
      <left style="hair">
        <color indexed="64"/>
      </left>
      <right style="hair">
        <color indexed="64"/>
      </right>
      <top/>
      <bottom style="hair">
        <color indexed="64"/>
      </bottom>
      <diagonal/>
    </border>
    <border>
      <left style="hair">
        <color indexed="64"/>
      </left>
      <right/>
      <top/>
      <bottom style="hair">
        <color indexed="64"/>
      </bottom>
      <diagonal/>
    </border>
    <border>
      <left/>
      <right/>
      <top/>
      <bottom style="hair">
        <color indexed="64"/>
      </bottom>
      <diagonal/>
    </border>
    <border>
      <left/>
      <right style="hair">
        <color indexed="64"/>
      </right>
      <top/>
      <bottom style="hair">
        <color indexed="64"/>
      </bottom>
      <diagonal/>
    </border>
    <border>
      <left style="thin">
        <color indexed="64"/>
      </left>
      <right style="thin">
        <color indexed="64"/>
      </right>
      <top/>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top style="thick">
        <color indexed="64"/>
      </top>
      <bottom/>
      <diagonal/>
    </border>
    <border>
      <left/>
      <right style="medium">
        <color indexed="64"/>
      </right>
      <top style="thick">
        <color indexed="64"/>
      </top>
      <bottom/>
      <diagonal/>
    </border>
    <border>
      <left style="medium">
        <color indexed="64"/>
      </left>
      <right style="medium">
        <color indexed="64"/>
      </right>
      <top style="thick">
        <color indexed="64"/>
      </top>
      <bottom/>
      <diagonal/>
    </border>
    <border>
      <left style="medium">
        <color indexed="64"/>
      </left>
      <right style="medium">
        <color indexed="64"/>
      </right>
      <top/>
      <bottom/>
      <diagonal/>
    </border>
    <border>
      <left style="medium">
        <color indexed="64"/>
      </left>
      <right style="medium">
        <color indexed="64"/>
      </right>
      <top/>
      <bottom style="double">
        <color indexed="64"/>
      </bottom>
      <diagonal/>
    </border>
    <border>
      <left style="thick">
        <color indexed="64"/>
      </left>
      <right style="medium">
        <color indexed="64"/>
      </right>
      <top style="thick">
        <color indexed="64"/>
      </top>
      <bottom/>
      <diagonal/>
    </border>
    <border>
      <left style="thick">
        <color indexed="64"/>
      </left>
      <right style="medium">
        <color indexed="64"/>
      </right>
      <top/>
      <bottom/>
      <diagonal/>
    </border>
    <border>
      <left style="thick">
        <color indexed="64"/>
      </left>
      <right style="medium">
        <color indexed="64"/>
      </right>
      <top/>
      <bottom style="double">
        <color indexed="64"/>
      </bottom>
      <diagonal/>
    </border>
    <border>
      <left style="medium">
        <color indexed="64"/>
      </left>
      <right/>
      <top/>
      <bottom style="thin">
        <color indexed="64"/>
      </bottom>
      <diagonal/>
    </border>
    <border>
      <left style="thin">
        <color indexed="64"/>
      </left>
      <right style="thick">
        <color indexed="64"/>
      </right>
      <top/>
      <bottom/>
      <diagonal/>
    </border>
    <border>
      <left style="thin">
        <color indexed="64"/>
      </left>
      <right style="thin">
        <color indexed="64"/>
      </right>
      <top/>
      <bottom style="double">
        <color indexed="64"/>
      </bottom>
      <diagonal/>
    </border>
    <border>
      <left style="thin">
        <color indexed="64"/>
      </left>
      <right style="thin">
        <color indexed="64"/>
      </right>
      <top style="medium">
        <color indexed="64"/>
      </top>
      <bottom/>
      <diagonal/>
    </border>
    <border>
      <left style="medium">
        <color indexed="64"/>
      </left>
      <right style="thick">
        <color indexed="64"/>
      </right>
      <top style="thin">
        <color indexed="64"/>
      </top>
      <bottom style="double">
        <color indexed="64"/>
      </bottom>
      <diagonal/>
    </border>
    <border>
      <left style="medium">
        <color indexed="64"/>
      </left>
      <right style="thick">
        <color indexed="64"/>
      </right>
      <top style="double">
        <color indexed="64"/>
      </top>
      <bottom style="double">
        <color indexed="64"/>
      </bottom>
      <diagonal/>
    </border>
    <border>
      <left style="thin">
        <color indexed="64"/>
      </left>
      <right style="medium">
        <color indexed="64"/>
      </right>
      <top style="thin">
        <color indexed="64"/>
      </top>
      <bottom/>
      <diagonal/>
    </border>
    <border>
      <left/>
      <right style="thin">
        <color indexed="64"/>
      </right>
      <top style="thin">
        <color indexed="64"/>
      </top>
      <bottom style="double">
        <color indexed="64"/>
      </bottom>
      <diagonal/>
    </border>
    <border>
      <left/>
      <right style="thin">
        <color indexed="64"/>
      </right>
      <top style="double">
        <color indexed="64"/>
      </top>
      <bottom style="double">
        <color indexed="64"/>
      </bottom>
      <diagonal/>
    </border>
    <border>
      <left style="medium">
        <color indexed="64"/>
      </left>
      <right style="medium">
        <color indexed="64"/>
      </right>
      <top style="medium">
        <color indexed="64"/>
      </top>
      <bottom/>
      <diagonal/>
    </border>
    <border>
      <left style="thick">
        <color indexed="64"/>
      </left>
      <right/>
      <top style="medium">
        <color indexed="64"/>
      </top>
      <bottom style="double">
        <color indexed="64"/>
      </bottom>
      <diagonal/>
    </border>
    <border>
      <left style="thick">
        <color indexed="64"/>
      </left>
      <right style="thick">
        <color indexed="64"/>
      </right>
      <top style="double">
        <color indexed="64"/>
      </top>
      <bottom style="double">
        <color indexed="64"/>
      </bottom>
      <diagonal/>
    </border>
    <border>
      <left style="thick">
        <color indexed="64"/>
      </left>
      <right style="thin">
        <color indexed="64"/>
      </right>
      <top style="double">
        <color indexed="64"/>
      </top>
      <bottom style="double">
        <color indexed="64"/>
      </bottom>
      <diagonal/>
    </border>
    <border>
      <left style="thick">
        <color indexed="64"/>
      </left>
      <right style="thin">
        <color indexed="64"/>
      </right>
      <top style="medium">
        <color indexed="64"/>
      </top>
      <bottom style="double">
        <color indexed="64"/>
      </bottom>
      <diagonal/>
    </border>
    <border>
      <left style="thin">
        <color indexed="64"/>
      </left>
      <right/>
      <top style="double">
        <color indexed="64"/>
      </top>
      <bottom style="double">
        <color indexed="64"/>
      </bottom>
      <diagonal/>
    </border>
    <border>
      <left style="thick">
        <color indexed="64"/>
      </left>
      <right style="thick">
        <color indexed="64"/>
      </right>
      <top style="thick">
        <color indexed="64"/>
      </top>
      <bottom/>
      <diagonal/>
    </border>
    <border>
      <left style="thick">
        <color indexed="64"/>
      </left>
      <right style="thick">
        <color indexed="64"/>
      </right>
      <top/>
      <bottom style="double">
        <color indexed="64"/>
      </bottom>
      <diagonal/>
    </border>
    <border>
      <left style="thin">
        <color indexed="64"/>
      </left>
      <right style="thick">
        <color indexed="64"/>
      </right>
      <top style="double">
        <color indexed="64"/>
      </top>
      <bottom style="double">
        <color indexed="64"/>
      </bottom>
      <diagonal/>
    </border>
    <border>
      <left style="medium">
        <color indexed="64"/>
      </left>
      <right style="thick">
        <color indexed="64"/>
      </right>
      <top style="medium">
        <color indexed="64"/>
      </top>
      <bottom style="double">
        <color indexed="64"/>
      </bottom>
      <diagonal/>
    </border>
    <border>
      <left style="thick">
        <color indexed="64"/>
      </left>
      <right style="thick">
        <color indexed="64"/>
      </right>
      <top style="medium">
        <color indexed="64"/>
      </top>
      <bottom style="double">
        <color indexed="64"/>
      </bottom>
      <diagonal/>
    </border>
    <border>
      <left style="thin">
        <color indexed="64"/>
      </left>
      <right style="hair">
        <color indexed="64"/>
      </right>
      <top/>
      <bottom style="thin">
        <color indexed="64"/>
      </bottom>
      <diagonal/>
    </border>
    <border>
      <left style="thin">
        <color indexed="64"/>
      </left>
      <right style="hair">
        <color indexed="64"/>
      </right>
      <top style="thin">
        <color indexed="64"/>
      </top>
      <bottom/>
      <diagonal/>
    </border>
    <border>
      <left style="hair">
        <color indexed="64"/>
      </left>
      <right style="hair">
        <color indexed="64"/>
      </right>
      <top/>
      <bottom style="thin">
        <color indexed="64"/>
      </bottom>
      <diagonal/>
    </border>
    <border>
      <left style="hair">
        <color indexed="64"/>
      </left>
      <right style="hair">
        <color indexed="64"/>
      </right>
      <top style="thin">
        <color indexed="64"/>
      </top>
      <bottom/>
      <diagonal/>
    </border>
    <border>
      <left style="thin">
        <color indexed="64"/>
      </left>
      <right style="medium">
        <color indexed="64"/>
      </right>
      <top/>
      <bottom/>
      <diagonal/>
    </border>
    <border>
      <left style="medium">
        <color indexed="64"/>
      </left>
      <right style="medium">
        <color indexed="64"/>
      </right>
      <top style="double">
        <color indexed="64"/>
      </top>
      <bottom style="double">
        <color indexed="64"/>
      </bottom>
      <diagonal/>
    </border>
    <border>
      <left style="medium">
        <color indexed="64"/>
      </left>
      <right style="thin">
        <color indexed="64"/>
      </right>
      <top style="double">
        <color indexed="64"/>
      </top>
      <bottom style="double">
        <color indexed="64"/>
      </bottom>
      <diagonal/>
    </border>
    <border>
      <left style="thin">
        <color indexed="64"/>
      </left>
      <right style="medium">
        <color indexed="64"/>
      </right>
      <top style="double">
        <color indexed="64"/>
      </top>
      <bottom style="double">
        <color indexed="64"/>
      </bottom>
      <diagonal/>
    </border>
    <border>
      <left style="hair">
        <color indexed="64"/>
      </left>
      <right/>
      <top/>
      <bottom style="thin">
        <color indexed="64"/>
      </bottom>
      <diagonal/>
    </border>
    <border>
      <left style="hair">
        <color indexed="64"/>
      </left>
      <right/>
      <top style="thin">
        <color indexed="64"/>
      </top>
      <bottom/>
      <diagonal/>
    </border>
    <border>
      <left style="medium">
        <color indexed="64"/>
      </left>
      <right style="medium">
        <color indexed="64"/>
      </right>
      <top style="thick">
        <color indexed="64"/>
      </top>
      <bottom style="double">
        <color indexed="64"/>
      </bottom>
      <diagonal/>
    </border>
    <border>
      <left style="thick">
        <color indexed="64"/>
      </left>
      <right style="medium">
        <color indexed="64"/>
      </right>
      <top style="thick">
        <color indexed="64"/>
      </top>
      <bottom style="double">
        <color indexed="64"/>
      </bottom>
      <diagonal/>
    </border>
    <border>
      <left style="thick">
        <color indexed="64"/>
      </left>
      <right style="medium">
        <color indexed="64"/>
      </right>
      <top style="double">
        <color indexed="64"/>
      </top>
      <bottom style="double">
        <color indexed="64"/>
      </bottom>
      <diagonal/>
    </border>
    <border>
      <left style="thick">
        <color indexed="64"/>
      </left>
      <right/>
      <top style="medium">
        <color indexed="64"/>
      </top>
      <bottom/>
      <diagonal/>
    </border>
    <border>
      <left/>
      <right style="thick">
        <color indexed="64"/>
      </right>
      <top style="medium">
        <color indexed="64"/>
      </top>
      <bottom/>
      <diagonal/>
    </border>
    <border>
      <left style="thin">
        <color indexed="64"/>
      </left>
      <right/>
      <top style="thin">
        <color indexed="64"/>
      </top>
      <bottom style="double">
        <color indexed="64"/>
      </bottom>
      <diagonal/>
    </border>
    <border>
      <left style="thin">
        <color indexed="64"/>
      </left>
      <right style="thick">
        <color indexed="64"/>
      </right>
      <top/>
      <bottom style="thin">
        <color indexed="64"/>
      </bottom>
      <diagonal/>
    </border>
    <border>
      <left style="thin">
        <color indexed="64"/>
      </left>
      <right style="thick">
        <color indexed="64"/>
      </right>
      <top style="thin">
        <color indexed="64"/>
      </top>
      <bottom style="double">
        <color indexed="64"/>
      </bottom>
      <diagonal/>
    </border>
    <border>
      <left style="medium">
        <color indexed="64"/>
      </left>
      <right style="medium">
        <color indexed="64"/>
      </right>
      <top style="thick">
        <color indexed="64"/>
      </top>
      <bottom style="thick">
        <color indexed="64"/>
      </bottom>
      <diagonal/>
    </border>
    <border>
      <left style="thick">
        <color indexed="64"/>
      </left>
      <right style="thin">
        <color indexed="64"/>
      </right>
      <top/>
      <bottom style="thin">
        <color indexed="64"/>
      </bottom>
      <diagonal/>
    </border>
    <border>
      <left style="thick">
        <color indexed="64"/>
      </left>
      <right style="thin">
        <color indexed="64"/>
      </right>
      <top style="thin">
        <color indexed="64"/>
      </top>
      <bottom style="double">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medium">
        <color indexed="64"/>
      </right>
      <top style="double">
        <color indexed="64"/>
      </top>
      <bottom style="double">
        <color indexed="64"/>
      </bottom>
      <diagonal/>
    </border>
    <border>
      <left style="medium">
        <color indexed="64"/>
      </left>
      <right style="thick">
        <color indexed="64"/>
      </right>
      <top style="medium">
        <color indexed="64"/>
      </top>
      <bottom/>
      <diagonal/>
    </border>
    <border>
      <left style="thick">
        <color indexed="64"/>
      </left>
      <right style="thick">
        <color indexed="64"/>
      </right>
      <top style="medium">
        <color indexed="64"/>
      </top>
      <bottom/>
      <diagonal/>
    </border>
    <border>
      <left style="thick">
        <color indexed="64"/>
      </left>
      <right style="medium">
        <color indexed="64"/>
      </right>
      <top style="medium">
        <color indexed="64"/>
      </top>
      <bottom/>
      <diagonal/>
    </border>
    <border>
      <left style="thin">
        <color indexed="64"/>
      </left>
      <right/>
      <top style="medium">
        <color indexed="64"/>
      </top>
      <bottom style="medium">
        <color indexed="64"/>
      </bottom>
      <diagonal/>
    </border>
    <border>
      <left/>
      <right/>
      <top style="medium">
        <color indexed="64"/>
      </top>
      <bottom style="thin">
        <color indexed="64"/>
      </bottom>
      <diagonal/>
    </border>
    <border>
      <left/>
      <right/>
      <top style="medium">
        <color indexed="64"/>
      </top>
      <bottom style="double">
        <color indexed="64"/>
      </bottom>
      <diagonal/>
    </border>
    <border>
      <left/>
      <right/>
      <top style="double">
        <color indexed="64"/>
      </top>
      <bottom style="double">
        <color indexed="64"/>
      </bottom>
      <diagonal/>
    </border>
    <border>
      <left style="thick">
        <color indexed="64"/>
      </left>
      <right style="medium">
        <color indexed="64"/>
      </right>
      <top style="medium">
        <color indexed="64"/>
      </top>
      <bottom style="double">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hair">
        <color indexed="64"/>
      </left>
      <right style="thin">
        <color indexed="64"/>
      </right>
      <top/>
      <bottom style="hair">
        <color indexed="64"/>
      </bottom>
      <diagonal/>
    </border>
    <border>
      <left style="thin">
        <color indexed="64"/>
      </left>
      <right style="hair">
        <color indexed="64"/>
      </right>
      <top/>
      <bottom style="hair">
        <color indexed="64"/>
      </bottom>
      <diagonal/>
    </border>
    <border>
      <left style="thick">
        <color indexed="64"/>
      </left>
      <right style="thin">
        <color indexed="64"/>
      </right>
      <top/>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style="hair">
        <color indexed="64"/>
      </left>
      <right style="thin">
        <color indexed="64"/>
      </right>
      <top style="thin">
        <color indexed="64"/>
      </top>
      <bottom/>
      <diagonal/>
    </border>
    <border>
      <left style="hair">
        <color indexed="64"/>
      </left>
      <right style="thin">
        <color indexed="64"/>
      </right>
      <top/>
      <bottom style="thin">
        <color indexed="64"/>
      </bottom>
      <diagonal/>
    </border>
    <border>
      <left style="thick">
        <color indexed="64"/>
      </left>
      <right style="thin">
        <color indexed="64"/>
      </right>
      <top style="thin">
        <color indexed="64"/>
      </top>
      <bottom style="medium">
        <color indexed="64"/>
      </bottom>
      <diagonal/>
    </border>
    <border>
      <left/>
      <right/>
      <top style="thin">
        <color indexed="64"/>
      </top>
      <bottom style="medium">
        <color indexed="64"/>
      </bottom>
      <diagonal/>
    </border>
    <border>
      <left/>
      <right/>
      <top/>
      <bottom style="double">
        <color auto="1"/>
      </bottom>
      <diagonal/>
    </border>
    <border>
      <left style="double">
        <color indexed="10"/>
      </left>
      <right/>
      <top/>
      <bottom style="double">
        <color indexed="10"/>
      </bottom>
      <diagonal/>
    </border>
    <border>
      <left/>
      <right/>
      <top/>
      <bottom style="double">
        <color indexed="10"/>
      </bottom>
      <diagonal/>
    </border>
    <border>
      <left/>
      <right style="double">
        <color indexed="10"/>
      </right>
      <top/>
      <bottom style="double">
        <color indexed="10"/>
      </bottom>
      <diagonal/>
    </border>
    <border>
      <left/>
      <right style="thin">
        <color auto="1"/>
      </right>
      <top/>
      <bottom style="double">
        <color auto="1"/>
      </bottom>
      <diagonal/>
    </border>
    <border>
      <left style="thin">
        <color auto="1"/>
      </left>
      <right/>
      <top/>
      <bottom style="double">
        <color auto="1"/>
      </bottom>
      <diagonal/>
    </border>
    <border>
      <left/>
      <right style="thin">
        <color auto="1"/>
      </right>
      <top style="double">
        <color auto="1"/>
      </top>
      <bottom style="hair">
        <color auto="1"/>
      </bottom>
      <diagonal/>
    </border>
    <border>
      <left style="thin">
        <color auto="1"/>
      </left>
      <right/>
      <top style="double">
        <color auto="1"/>
      </top>
      <bottom style="hair">
        <color auto="1"/>
      </bottom>
      <diagonal/>
    </border>
    <border>
      <left style="thin">
        <color indexed="64"/>
      </left>
      <right/>
      <top style="hair">
        <color auto="1"/>
      </top>
      <bottom style="hair">
        <color auto="1"/>
      </bottom>
      <diagonal/>
    </border>
    <border>
      <left/>
      <right style="thin">
        <color indexed="64"/>
      </right>
      <top style="hair">
        <color auto="1"/>
      </top>
      <bottom style="thin">
        <color indexed="64"/>
      </bottom>
      <diagonal/>
    </border>
    <border>
      <left style="thin">
        <color indexed="64"/>
      </left>
      <right/>
      <top style="hair">
        <color auto="1"/>
      </top>
      <bottom style="thin">
        <color indexed="64"/>
      </bottom>
      <diagonal/>
    </border>
    <border>
      <left/>
      <right style="hair">
        <color indexed="64"/>
      </right>
      <top/>
      <bottom style="thin">
        <color indexed="64"/>
      </bottom>
      <diagonal/>
    </border>
    <border>
      <left/>
      <right style="hair">
        <color indexed="64"/>
      </right>
      <top style="thin">
        <color indexed="64"/>
      </top>
      <bottom/>
      <diagonal/>
    </border>
    <border>
      <left style="thin">
        <color auto="1"/>
      </left>
      <right style="thin">
        <color auto="1"/>
      </right>
      <top style="hair">
        <color auto="1"/>
      </top>
      <bottom style="thin">
        <color auto="1"/>
      </bottom>
      <diagonal/>
    </border>
    <border>
      <left/>
      <right style="thick">
        <color indexed="64"/>
      </right>
      <top/>
      <bottom style="hair">
        <color indexed="64"/>
      </bottom>
      <diagonal/>
    </border>
    <border>
      <left style="thick">
        <color indexed="64"/>
      </left>
      <right/>
      <top/>
      <bottom style="hair">
        <color indexed="64"/>
      </bottom>
      <diagonal/>
    </border>
    <border>
      <left style="double">
        <color indexed="10"/>
      </left>
      <right/>
      <top style="double">
        <color indexed="10"/>
      </top>
      <bottom/>
      <diagonal/>
    </border>
    <border>
      <left/>
      <right/>
      <top style="double">
        <color indexed="10"/>
      </top>
      <bottom/>
      <diagonal/>
    </border>
    <border>
      <left/>
      <right style="double">
        <color indexed="10"/>
      </right>
      <top style="double">
        <color indexed="10"/>
      </top>
      <bottom/>
      <diagonal/>
    </border>
    <border>
      <left style="thin">
        <color indexed="64"/>
      </left>
      <right style="thin">
        <color indexed="64"/>
      </right>
      <top/>
      <bottom style="double">
        <color auto="1"/>
      </bottom>
      <diagonal/>
    </border>
    <border>
      <left style="medium">
        <color indexed="64"/>
      </left>
      <right/>
      <top style="thin">
        <color indexed="64"/>
      </top>
      <bottom style="double">
        <color indexed="64"/>
      </bottom>
      <diagonal/>
    </border>
    <border>
      <left/>
      <right style="medium">
        <color indexed="64"/>
      </right>
      <top style="thin">
        <color indexed="64"/>
      </top>
      <bottom style="double">
        <color indexed="64"/>
      </bottom>
      <diagonal/>
    </border>
    <border>
      <left/>
      <right style="medium">
        <color indexed="64"/>
      </right>
      <top/>
      <bottom style="double">
        <color indexed="64"/>
      </bottom>
      <diagonal/>
    </border>
    <border>
      <left/>
      <right style="hair">
        <color indexed="64"/>
      </right>
      <top style="hair">
        <color indexed="64"/>
      </top>
      <bottom style="thin">
        <color indexed="64"/>
      </bottom>
      <diagonal/>
    </border>
    <border>
      <left style="thin">
        <color indexed="64"/>
      </left>
      <right style="thin">
        <color indexed="64"/>
      </right>
      <top/>
      <bottom style="hair">
        <color indexed="64"/>
      </bottom>
      <diagonal/>
    </border>
    <border>
      <left style="hair">
        <color indexed="64"/>
      </left>
      <right/>
      <top style="thin">
        <color indexed="64"/>
      </top>
      <bottom style="hair">
        <color indexed="64"/>
      </bottom>
      <diagonal/>
    </border>
    <border>
      <left/>
      <right style="hair">
        <color indexed="64"/>
      </right>
      <top style="thin">
        <color indexed="64"/>
      </top>
      <bottom style="hair">
        <color indexed="64"/>
      </bottom>
      <diagonal/>
    </border>
    <border>
      <left style="thin">
        <color indexed="64"/>
      </left>
      <right style="hair">
        <color indexed="64"/>
      </right>
      <top style="thin">
        <color indexed="64"/>
      </top>
      <bottom style="hair">
        <color indexed="64"/>
      </bottom>
      <diagonal/>
    </border>
    <border>
      <left style="hair">
        <color indexed="64"/>
      </left>
      <right style="thin">
        <color indexed="64"/>
      </right>
      <top style="thin">
        <color indexed="64"/>
      </top>
      <bottom style="hair">
        <color indexed="64"/>
      </bottom>
      <diagonal/>
    </border>
    <border>
      <left style="hair">
        <color indexed="64"/>
      </left>
      <right/>
      <top style="hair">
        <color indexed="64"/>
      </top>
      <bottom style="thin">
        <color indexed="64"/>
      </bottom>
      <diagonal/>
    </border>
    <border>
      <left style="hair">
        <color indexed="64"/>
      </left>
      <right/>
      <top style="thin">
        <color indexed="64"/>
      </top>
      <bottom style="thin">
        <color indexed="64"/>
      </bottom>
      <diagonal/>
    </border>
    <border>
      <left/>
      <right/>
      <top style="thin">
        <color indexed="64"/>
      </top>
      <bottom style="hair">
        <color indexed="64"/>
      </bottom>
      <diagonal/>
    </border>
    <border>
      <left/>
      <right/>
      <top style="hair">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right style="thin">
        <color indexed="64"/>
      </right>
      <top style="thin">
        <color indexed="64"/>
      </top>
      <bottom style="hair">
        <color indexed="64"/>
      </bottom>
      <diagonal/>
    </border>
    <border>
      <left style="double">
        <color indexed="64"/>
      </left>
      <right/>
      <top style="thin">
        <color indexed="64"/>
      </top>
      <bottom style="hair">
        <color indexed="64"/>
      </bottom>
      <diagonal/>
    </border>
    <border>
      <left/>
      <right style="double">
        <color indexed="64"/>
      </right>
      <top style="thin">
        <color indexed="64"/>
      </top>
      <bottom style="hair">
        <color indexed="64"/>
      </bottom>
      <diagonal/>
    </border>
    <border>
      <left style="double">
        <color indexed="64"/>
      </left>
      <right style="hair">
        <color indexed="64"/>
      </right>
      <top style="hair">
        <color indexed="64"/>
      </top>
      <bottom style="hair">
        <color indexed="64"/>
      </bottom>
      <diagonal/>
    </border>
    <border>
      <left style="hair">
        <color indexed="64"/>
      </left>
      <right style="double">
        <color indexed="64"/>
      </right>
      <top style="hair">
        <color indexed="64"/>
      </top>
      <bottom style="hair">
        <color indexed="64"/>
      </bottom>
      <diagonal/>
    </border>
    <border>
      <left style="double">
        <color indexed="64"/>
      </left>
      <right style="hair">
        <color indexed="64"/>
      </right>
      <top style="hair">
        <color indexed="64"/>
      </top>
      <bottom style="thin">
        <color indexed="64"/>
      </bottom>
      <diagonal/>
    </border>
    <border>
      <left style="hair">
        <color indexed="64"/>
      </left>
      <right style="double">
        <color indexed="64"/>
      </right>
      <top style="hair">
        <color indexed="64"/>
      </top>
      <bottom style="thin">
        <color indexed="64"/>
      </bottom>
      <diagonal/>
    </border>
    <border>
      <left style="double">
        <color indexed="64"/>
      </left>
      <right style="hair">
        <color indexed="64"/>
      </right>
      <top/>
      <bottom style="hair">
        <color indexed="64"/>
      </bottom>
      <diagonal/>
    </border>
    <border>
      <left style="hair">
        <color indexed="64"/>
      </left>
      <right style="double">
        <color indexed="64"/>
      </right>
      <top/>
      <bottom style="hair">
        <color indexed="64"/>
      </bottom>
      <diagonal/>
    </border>
    <border>
      <left style="thin">
        <color indexed="64"/>
      </left>
      <right/>
      <top/>
      <bottom style="hair">
        <color auto="1"/>
      </bottom>
      <diagonal/>
    </border>
    <border>
      <left/>
      <right style="thin">
        <color indexed="64"/>
      </right>
      <top/>
      <bottom style="hair">
        <color indexed="64"/>
      </bottom>
      <diagonal/>
    </border>
    <border>
      <left/>
      <right style="hair">
        <color indexed="64"/>
      </right>
      <top style="hair">
        <color indexed="64"/>
      </top>
      <bottom/>
      <diagonal/>
    </border>
    <border>
      <left style="hair">
        <color indexed="64"/>
      </left>
      <right style="thin">
        <color indexed="64"/>
      </right>
      <top style="hair">
        <color indexed="64"/>
      </top>
      <bottom/>
      <diagonal/>
    </border>
    <border>
      <left/>
      <right/>
      <top style="hair">
        <color indexed="64"/>
      </top>
      <bottom/>
      <diagonal/>
    </border>
    <border>
      <left style="medium">
        <color indexed="64"/>
      </left>
      <right/>
      <top style="hair">
        <color indexed="64"/>
      </top>
      <bottom style="medium">
        <color indexed="64"/>
      </bottom>
      <diagonal/>
    </border>
    <border>
      <left/>
      <right style="medium">
        <color indexed="64"/>
      </right>
      <top style="hair">
        <color indexed="64"/>
      </top>
      <bottom style="medium">
        <color indexed="64"/>
      </bottom>
      <diagonal/>
    </border>
    <border>
      <left style="thick">
        <color indexed="64"/>
      </left>
      <right style="hair">
        <color indexed="64"/>
      </right>
      <top style="thick">
        <color indexed="64"/>
      </top>
      <bottom style="double">
        <color indexed="64"/>
      </bottom>
      <diagonal/>
    </border>
    <border>
      <left style="hair">
        <color indexed="64"/>
      </left>
      <right style="hair">
        <color indexed="64"/>
      </right>
      <top style="thick">
        <color indexed="64"/>
      </top>
      <bottom style="double">
        <color indexed="64"/>
      </bottom>
      <diagonal/>
    </border>
    <border>
      <left style="hair">
        <color indexed="64"/>
      </left>
      <right style="thick">
        <color indexed="64"/>
      </right>
      <top style="thick">
        <color indexed="64"/>
      </top>
      <bottom style="double">
        <color indexed="64"/>
      </bottom>
      <diagonal/>
    </border>
    <border>
      <left style="thick">
        <color indexed="64"/>
      </left>
      <right style="hair">
        <color indexed="64"/>
      </right>
      <top style="double">
        <color indexed="64"/>
      </top>
      <bottom style="double">
        <color indexed="64"/>
      </bottom>
      <diagonal/>
    </border>
    <border>
      <left style="hair">
        <color indexed="64"/>
      </left>
      <right style="hair">
        <color indexed="64"/>
      </right>
      <top style="double">
        <color indexed="64"/>
      </top>
      <bottom style="double">
        <color indexed="64"/>
      </bottom>
      <diagonal/>
    </border>
    <border>
      <left style="hair">
        <color indexed="64"/>
      </left>
      <right style="thick">
        <color indexed="64"/>
      </right>
      <top style="double">
        <color indexed="64"/>
      </top>
      <bottom style="double">
        <color indexed="64"/>
      </bottom>
      <diagonal/>
    </border>
    <border>
      <left style="hair">
        <color indexed="64"/>
      </left>
      <right style="hair">
        <color indexed="64"/>
      </right>
      <top style="thick">
        <color indexed="64"/>
      </top>
      <bottom/>
      <diagonal/>
    </border>
    <border>
      <left style="hair">
        <color indexed="64"/>
      </left>
      <right style="hair">
        <color indexed="64"/>
      </right>
      <top style="medium">
        <color indexed="64"/>
      </top>
      <bottom style="hair">
        <color indexed="64"/>
      </bottom>
      <diagonal/>
    </border>
    <border>
      <left style="hair">
        <color indexed="64"/>
      </left>
      <right style="hair">
        <color indexed="64"/>
      </right>
      <top style="hair">
        <color indexed="64"/>
      </top>
      <bottom style="medium">
        <color indexed="64"/>
      </bottom>
      <diagonal/>
    </border>
    <border>
      <left style="medium">
        <color indexed="64"/>
      </left>
      <right style="hair">
        <color indexed="64"/>
      </right>
      <top/>
      <bottom style="hair">
        <color indexed="64"/>
      </bottom>
      <diagonal/>
    </border>
    <border>
      <left style="hair">
        <color indexed="64"/>
      </left>
      <right style="medium">
        <color indexed="64"/>
      </right>
      <top/>
      <bottom style="hair">
        <color indexed="64"/>
      </bottom>
      <diagonal/>
    </border>
    <border>
      <left style="medium">
        <color indexed="64"/>
      </left>
      <right style="hair">
        <color indexed="64"/>
      </right>
      <top style="hair">
        <color indexed="64"/>
      </top>
      <bottom style="double">
        <color indexed="64"/>
      </bottom>
      <diagonal/>
    </border>
    <border>
      <left style="hair">
        <color indexed="64"/>
      </left>
      <right style="hair">
        <color indexed="64"/>
      </right>
      <top style="hair">
        <color indexed="64"/>
      </top>
      <bottom style="double">
        <color indexed="64"/>
      </bottom>
      <diagonal/>
    </border>
    <border>
      <left style="hair">
        <color indexed="64"/>
      </left>
      <right style="medium">
        <color indexed="64"/>
      </right>
      <top style="hair">
        <color indexed="64"/>
      </top>
      <bottom style="double">
        <color indexed="64"/>
      </bottom>
      <diagonal/>
    </border>
    <border>
      <left style="hair">
        <color indexed="64"/>
      </left>
      <right style="medium">
        <color indexed="64"/>
      </right>
      <top style="double">
        <color indexed="64"/>
      </top>
      <bottom style="hair">
        <color indexed="64"/>
      </bottom>
      <diagonal/>
    </border>
    <border>
      <left style="medium">
        <color indexed="64"/>
      </left>
      <right style="hair">
        <color indexed="64"/>
      </right>
      <top/>
      <bottom style="medium">
        <color indexed="64"/>
      </bottom>
      <diagonal/>
    </border>
    <border>
      <left style="hair">
        <color indexed="64"/>
      </left>
      <right style="hair">
        <color indexed="64"/>
      </right>
      <top/>
      <bottom style="medium">
        <color indexed="64"/>
      </bottom>
      <diagonal/>
    </border>
    <border>
      <left style="hair">
        <color indexed="64"/>
      </left>
      <right style="medium">
        <color indexed="64"/>
      </right>
      <top/>
      <bottom style="medium">
        <color indexed="64"/>
      </bottom>
      <diagonal/>
    </border>
    <border>
      <left style="medium">
        <color auto="1"/>
      </left>
      <right style="hair">
        <color auto="1"/>
      </right>
      <top style="medium">
        <color auto="1"/>
      </top>
      <bottom/>
      <diagonal/>
    </border>
    <border>
      <left style="hair">
        <color auto="1"/>
      </left>
      <right style="hair">
        <color auto="1"/>
      </right>
      <top style="medium">
        <color auto="1"/>
      </top>
      <bottom/>
      <diagonal/>
    </border>
    <border>
      <left style="medium">
        <color auto="1"/>
      </left>
      <right style="hair">
        <color auto="1"/>
      </right>
      <top/>
      <bottom style="double">
        <color auto="1"/>
      </bottom>
      <diagonal/>
    </border>
    <border>
      <left style="hair">
        <color auto="1"/>
      </left>
      <right style="hair">
        <color auto="1"/>
      </right>
      <top/>
      <bottom style="double">
        <color auto="1"/>
      </bottom>
      <diagonal/>
    </border>
    <border>
      <left style="hair">
        <color auto="1"/>
      </left>
      <right/>
      <top style="medium">
        <color auto="1"/>
      </top>
      <bottom/>
      <diagonal/>
    </border>
    <border>
      <left style="hair">
        <color auto="1"/>
      </left>
      <right/>
      <top/>
      <bottom style="double">
        <color auto="1"/>
      </bottom>
      <diagonal/>
    </border>
    <border>
      <left style="hair">
        <color indexed="64"/>
      </left>
      <right/>
      <top style="double">
        <color indexed="64"/>
      </top>
      <bottom style="hair">
        <color indexed="64"/>
      </bottom>
      <diagonal/>
    </border>
    <border>
      <left style="hair">
        <color indexed="64"/>
      </left>
      <right/>
      <top style="hair">
        <color indexed="64"/>
      </top>
      <bottom style="medium">
        <color indexed="64"/>
      </bottom>
      <diagonal/>
    </border>
    <border>
      <left style="medium">
        <color indexed="64"/>
      </left>
      <right style="hair">
        <color indexed="64"/>
      </right>
      <top style="hair">
        <color indexed="64"/>
      </top>
      <bottom/>
      <diagonal/>
    </border>
    <border>
      <left style="medium">
        <color indexed="64"/>
      </left>
      <right style="hair">
        <color indexed="64"/>
      </right>
      <top/>
      <bottom/>
      <diagonal/>
    </border>
    <border>
      <left style="hair">
        <color auto="1"/>
      </left>
      <right style="medium">
        <color auto="1"/>
      </right>
      <top style="medium">
        <color auto="1"/>
      </top>
      <bottom/>
      <diagonal/>
    </border>
    <border>
      <left style="medium">
        <color auto="1"/>
      </left>
      <right style="hair">
        <color auto="1"/>
      </right>
      <top/>
      <bottom style="double">
        <color auto="1"/>
      </bottom>
      <diagonal/>
    </border>
    <border>
      <left style="hair">
        <color auto="1"/>
      </left>
      <right style="hair">
        <color auto="1"/>
      </right>
      <top/>
      <bottom style="double">
        <color auto="1"/>
      </bottom>
      <diagonal/>
    </border>
    <border>
      <left style="hair">
        <color auto="1"/>
      </left>
      <right style="medium">
        <color auto="1"/>
      </right>
      <top/>
      <bottom style="double">
        <color auto="1"/>
      </bottom>
      <diagonal/>
    </border>
    <border>
      <left style="double">
        <color indexed="64"/>
      </left>
      <right style="thin">
        <color indexed="64"/>
      </right>
      <top style="thin">
        <color indexed="64"/>
      </top>
      <bottom style="hair">
        <color indexed="64"/>
      </bottom>
      <diagonal/>
    </border>
    <border>
      <left/>
      <right style="thick">
        <color indexed="64"/>
      </right>
      <top style="double">
        <color indexed="64"/>
      </top>
      <bottom style="hair">
        <color indexed="64"/>
      </bottom>
      <diagonal/>
    </border>
    <border>
      <left/>
      <right style="thin">
        <color indexed="64"/>
      </right>
      <top style="double">
        <color indexed="64"/>
      </top>
      <bottom style="hair">
        <color indexed="64"/>
      </bottom>
      <diagonal/>
    </border>
    <border>
      <left style="thin">
        <color indexed="64"/>
      </left>
      <right style="thick">
        <color indexed="64"/>
      </right>
      <top/>
      <bottom style="double">
        <color indexed="64"/>
      </bottom>
      <diagonal/>
    </border>
    <border>
      <left style="medium">
        <color indexed="64"/>
      </left>
      <right/>
      <top/>
      <bottom style="double">
        <color indexed="64"/>
      </bottom>
      <diagonal/>
    </border>
    <border>
      <left style="medium">
        <color indexed="64"/>
      </left>
      <right style="thick">
        <color indexed="64"/>
      </right>
      <top/>
      <bottom style="double">
        <color indexed="64"/>
      </bottom>
      <diagonal/>
    </border>
    <border>
      <left style="thin">
        <color indexed="64"/>
      </left>
      <right style="medium">
        <color indexed="64"/>
      </right>
      <top style="thick">
        <color indexed="64"/>
      </top>
      <bottom style="double">
        <color indexed="64"/>
      </bottom>
      <diagonal/>
    </border>
    <border>
      <left style="medium">
        <color indexed="64"/>
      </left>
      <right style="medium">
        <color indexed="64"/>
      </right>
      <top style="thick">
        <color indexed="64"/>
      </top>
      <bottom style="hair">
        <color indexed="64"/>
      </bottom>
      <diagonal/>
    </border>
    <border>
      <left style="medium">
        <color indexed="64"/>
      </left>
      <right style="thin">
        <color indexed="64"/>
      </right>
      <top style="thick">
        <color indexed="64"/>
      </top>
      <bottom style="thin">
        <color indexed="64"/>
      </bottom>
      <diagonal/>
    </border>
    <border>
      <left style="thin">
        <color indexed="64"/>
      </left>
      <right style="thin">
        <color indexed="64"/>
      </right>
      <top style="thick">
        <color indexed="64"/>
      </top>
      <bottom style="thin">
        <color indexed="64"/>
      </bottom>
      <diagonal/>
    </border>
    <border>
      <left style="thin">
        <color indexed="64"/>
      </left>
      <right style="thick">
        <color indexed="64"/>
      </right>
      <top style="thick">
        <color indexed="64"/>
      </top>
      <bottom style="thin">
        <color indexed="64"/>
      </bottom>
      <diagonal/>
    </border>
    <border>
      <left style="medium">
        <color indexed="64"/>
      </left>
      <right style="medium">
        <color indexed="64"/>
      </right>
      <top style="hair">
        <color indexed="64"/>
      </top>
      <bottom style="double">
        <color indexed="64"/>
      </bottom>
      <diagonal/>
    </border>
    <border>
      <left style="thin">
        <color indexed="64"/>
      </left>
      <right style="thin">
        <color indexed="64"/>
      </right>
      <top style="thick">
        <color indexed="64"/>
      </top>
      <bottom style="double">
        <color indexed="64"/>
      </bottom>
      <diagonal/>
    </border>
    <border>
      <left style="thin">
        <color indexed="64"/>
      </left>
      <right style="medium">
        <color indexed="64"/>
      </right>
      <top style="thick">
        <color indexed="64"/>
      </top>
      <bottom style="hair">
        <color indexed="64"/>
      </bottom>
      <diagonal/>
    </border>
    <border>
      <left style="thin">
        <color indexed="64"/>
      </left>
      <right style="thin">
        <color indexed="64"/>
      </right>
      <top style="double">
        <color indexed="64"/>
      </top>
      <bottom style="double">
        <color indexed="64"/>
      </bottom>
      <diagonal/>
    </border>
    <border>
      <left style="thin">
        <color indexed="64"/>
      </left>
      <right style="medium">
        <color indexed="64"/>
      </right>
      <top style="hair">
        <color indexed="64"/>
      </top>
      <bottom style="double">
        <color indexed="64"/>
      </bottom>
      <diagonal/>
    </border>
    <border>
      <left style="thick">
        <color indexed="64"/>
      </left>
      <right style="thin">
        <color indexed="64"/>
      </right>
      <top style="thick">
        <color indexed="64"/>
      </top>
      <bottom style="double">
        <color indexed="64"/>
      </bottom>
      <diagonal/>
    </border>
    <border>
      <left style="thin">
        <color indexed="64"/>
      </left>
      <right/>
      <top style="thick">
        <color indexed="64"/>
      </top>
      <bottom style="double">
        <color indexed="64"/>
      </bottom>
      <diagonal/>
    </border>
    <border>
      <left/>
      <right style="thin">
        <color indexed="64"/>
      </right>
      <top style="thick">
        <color indexed="64"/>
      </top>
      <bottom style="double">
        <color indexed="64"/>
      </bottom>
      <diagonal/>
    </border>
    <border>
      <left style="thin">
        <color indexed="64"/>
      </left>
      <right style="thick">
        <color indexed="64"/>
      </right>
      <top style="thick">
        <color indexed="64"/>
      </top>
      <bottom style="double">
        <color indexed="64"/>
      </bottom>
      <diagonal/>
    </border>
    <border>
      <left style="thick">
        <color indexed="64"/>
      </left>
      <right style="thin">
        <color indexed="64"/>
      </right>
      <top style="double">
        <color indexed="64"/>
      </top>
      <bottom style="double">
        <color indexed="64"/>
      </bottom>
      <diagonal/>
    </border>
    <border>
      <left style="thin">
        <color indexed="64"/>
      </left>
      <right/>
      <top style="double">
        <color indexed="64"/>
      </top>
      <bottom style="double">
        <color indexed="64"/>
      </bottom>
      <diagonal/>
    </border>
    <border>
      <left/>
      <right style="thin">
        <color indexed="64"/>
      </right>
      <top style="double">
        <color indexed="64"/>
      </top>
      <bottom style="double">
        <color indexed="64"/>
      </bottom>
      <diagonal/>
    </border>
    <border>
      <left style="thin">
        <color indexed="64"/>
      </left>
      <right style="thick">
        <color indexed="64"/>
      </right>
      <top style="double">
        <color indexed="64"/>
      </top>
      <bottom style="double">
        <color indexed="64"/>
      </bottom>
      <diagonal/>
    </border>
    <border>
      <left style="thick">
        <color indexed="64"/>
      </left>
      <right style="thin">
        <color indexed="64"/>
      </right>
      <top style="double">
        <color auto="1"/>
      </top>
      <bottom style="hair">
        <color indexed="64"/>
      </bottom>
      <diagonal/>
    </border>
    <border>
      <left style="thin">
        <color indexed="64"/>
      </left>
      <right style="thin">
        <color indexed="64"/>
      </right>
      <top style="double">
        <color auto="1"/>
      </top>
      <bottom style="hair">
        <color indexed="64"/>
      </bottom>
      <diagonal/>
    </border>
    <border>
      <left style="thin">
        <color indexed="64"/>
      </left>
      <right style="thick">
        <color indexed="64"/>
      </right>
      <top style="double">
        <color auto="1"/>
      </top>
      <bottom style="hair">
        <color indexed="64"/>
      </bottom>
      <diagonal/>
    </border>
    <border>
      <left style="thick">
        <color indexed="64"/>
      </left>
      <right style="thin">
        <color indexed="64"/>
      </right>
      <top style="double">
        <color auto="1"/>
      </top>
      <bottom style="hair">
        <color indexed="64"/>
      </bottom>
      <diagonal/>
    </border>
    <border>
      <left style="thin">
        <color indexed="64"/>
      </left>
      <right style="thin">
        <color indexed="64"/>
      </right>
      <top style="double">
        <color auto="1"/>
      </top>
      <bottom style="hair">
        <color indexed="64"/>
      </bottom>
      <diagonal/>
    </border>
    <border>
      <left style="thin">
        <color indexed="64"/>
      </left>
      <right style="thick">
        <color indexed="64"/>
      </right>
      <top style="double">
        <color auto="1"/>
      </top>
      <bottom style="hair">
        <color indexed="64"/>
      </bottom>
      <diagonal/>
    </border>
    <border>
      <left style="medium">
        <color indexed="64"/>
      </left>
      <right style="hair">
        <color indexed="64"/>
      </right>
      <top style="hair">
        <color indexed="64"/>
      </top>
      <bottom style="thick">
        <color indexed="64"/>
      </bottom>
      <diagonal/>
    </border>
  </borders>
  <cellStyleXfs count="4">
    <xf numFmtId="0" fontId="0" fillId="0" borderId="0"/>
    <xf numFmtId="0" fontId="2" fillId="0" borderId="0"/>
    <xf numFmtId="0" fontId="3" fillId="0" borderId="0"/>
    <xf numFmtId="0" fontId="1" fillId="0" borderId="0"/>
  </cellStyleXfs>
  <cellXfs count="2450">
    <xf numFmtId="0" fontId="0" fillId="0" borderId="0" xfId="0"/>
    <xf numFmtId="0" fontId="4" fillId="2" borderId="0" xfId="0" applyFont="1" applyFill="1" applyProtection="1"/>
    <xf numFmtId="0" fontId="5" fillId="0" borderId="0" xfId="0" applyFont="1" applyFill="1" applyBorder="1" applyAlignment="1" applyProtection="1">
      <alignment horizontal="center"/>
    </xf>
    <xf numFmtId="0" fontId="4" fillId="2" borderId="0" xfId="0" applyFont="1" applyFill="1" applyBorder="1" applyProtection="1"/>
    <xf numFmtId="0" fontId="10" fillId="0" borderId="0" xfId="0" applyFont="1" applyFill="1" applyAlignment="1" applyProtection="1">
      <alignment horizontal="left" vertical="center" indent="4"/>
    </xf>
    <xf numFmtId="0" fontId="4" fillId="0" borderId="0" xfId="0" applyFont="1" applyFill="1" applyProtection="1"/>
    <xf numFmtId="0" fontId="4" fillId="2" borderId="0" xfId="0" applyFont="1" applyFill="1" applyAlignment="1" applyProtection="1">
      <alignment vertical="center"/>
    </xf>
    <xf numFmtId="0" fontId="4" fillId="0" borderId="0" xfId="0" applyFont="1" applyFill="1" applyAlignment="1" applyProtection="1">
      <alignment horizontal="left"/>
    </xf>
    <xf numFmtId="0" fontId="9" fillId="2" borderId="0" xfId="0" applyFont="1" applyFill="1" applyBorder="1" applyAlignment="1" applyProtection="1">
      <alignment horizontal="center" vertical="center"/>
    </xf>
    <xf numFmtId="0" fontId="6" fillId="0" borderId="0" xfId="0" applyFont="1" applyFill="1" applyBorder="1" applyAlignment="1" applyProtection="1">
      <alignment horizontal="left"/>
    </xf>
    <xf numFmtId="0" fontId="6" fillId="0" borderId="0" xfId="0" applyFont="1" applyFill="1" applyBorder="1" applyProtection="1"/>
    <xf numFmtId="0" fontId="13" fillId="0" borderId="0" xfId="0" applyFont="1" applyFill="1" applyBorder="1" applyAlignment="1" applyProtection="1">
      <alignment horizontal="center"/>
    </xf>
    <xf numFmtId="0" fontId="14" fillId="0" borderId="0" xfId="0" applyFont="1" applyFill="1" applyBorder="1" applyAlignment="1" applyProtection="1">
      <alignment horizontal="center"/>
    </xf>
    <xf numFmtId="0" fontId="4" fillId="2" borderId="0" xfId="0" applyFont="1" applyFill="1" applyBorder="1" applyAlignment="1" applyProtection="1"/>
    <xf numFmtId="49" fontId="6" fillId="0" borderId="0" xfId="0" applyNumberFormat="1" applyFont="1" applyFill="1" applyBorder="1" applyAlignment="1" applyProtection="1">
      <alignment vertical="top"/>
    </xf>
    <xf numFmtId="49" fontId="6" fillId="0" borderId="0" xfId="0" applyNumberFormat="1" applyFont="1" applyFill="1" applyBorder="1" applyAlignment="1" applyProtection="1">
      <alignment horizontal="center" vertical="top"/>
    </xf>
    <xf numFmtId="0" fontId="4" fillId="2" borderId="0" xfId="0" applyFont="1" applyFill="1" applyBorder="1" applyAlignment="1" applyProtection="1">
      <alignment horizontal="center"/>
    </xf>
    <xf numFmtId="49" fontId="12" fillId="0" borderId="0" xfId="0" applyNumberFormat="1" applyFont="1" applyFill="1" applyBorder="1" applyAlignment="1" applyProtection="1">
      <alignment horizontal="left" indent="4"/>
    </xf>
    <xf numFmtId="0" fontId="4" fillId="2" borderId="0" xfId="0" applyFont="1" applyFill="1" applyAlignment="1" applyProtection="1">
      <alignment horizontal="center"/>
    </xf>
    <xf numFmtId="1" fontId="4" fillId="2" borderId="12" xfId="0" applyNumberFormat="1" applyFont="1" applyFill="1" applyBorder="1" applyAlignment="1" applyProtection="1">
      <alignment horizontal="center"/>
      <protection locked="0"/>
    </xf>
    <xf numFmtId="1" fontId="4" fillId="2" borderId="0" xfId="0" applyNumberFormat="1" applyFont="1" applyFill="1" applyAlignment="1" applyProtection="1">
      <alignment horizontal="center"/>
    </xf>
    <xf numFmtId="0" fontId="4" fillId="2" borderId="12" xfId="0" applyNumberFormat="1" applyFont="1" applyFill="1" applyBorder="1" applyProtection="1">
      <protection locked="0"/>
    </xf>
    <xf numFmtId="49" fontId="4" fillId="2" borderId="12" xfId="0" applyNumberFormat="1" applyFont="1" applyFill="1" applyBorder="1" applyAlignment="1" applyProtection="1">
      <alignment horizontal="center"/>
      <protection locked="0"/>
    </xf>
    <xf numFmtId="0" fontId="0" fillId="2" borderId="0" xfId="0" applyFill="1" applyBorder="1" applyProtection="1">
      <protection hidden="1"/>
    </xf>
    <xf numFmtId="0" fontId="0" fillId="2" borderId="0" xfId="0" applyFill="1" applyProtection="1">
      <protection hidden="1"/>
    </xf>
    <xf numFmtId="0" fontId="0" fillId="2" borderId="0" xfId="0" applyFill="1" applyAlignment="1" applyProtection="1">
      <alignment horizontal="right"/>
      <protection hidden="1"/>
    </xf>
    <xf numFmtId="0" fontId="0" fillId="2" borderId="0" xfId="0" applyFill="1" applyAlignment="1" applyProtection="1">
      <alignment horizontal="center"/>
      <protection hidden="1"/>
    </xf>
    <xf numFmtId="0" fontId="3" fillId="2" borderId="0" xfId="0" applyFont="1" applyFill="1" applyProtection="1">
      <protection hidden="1"/>
    </xf>
    <xf numFmtId="0" fontId="0" fillId="2" borderId="0" xfId="0" applyFill="1" applyAlignment="1" applyProtection="1">
      <alignment horizontal="left"/>
      <protection hidden="1"/>
    </xf>
    <xf numFmtId="0" fontId="0" fillId="2" borderId="0" xfId="0" applyFill="1" applyBorder="1" applyAlignment="1" applyProtection="1">
      <alignment horizontal="center"/>
      <protection hidden="1"/>
    </xf>
    <xf numFmtId="178" fontId="29" fillId="2" borderId="20" xfId="0" applyNumberFormat="1" applyFont="1" applyFill="1" applyBorder="1" applyAlignment="1" applyProtection="1">
      <alignment horizontal="center"/>
      <protection hidden="1"/>
    </xf>
    <xf numFmtId="176" fontId="30" fillId="2" borderId="12" xfId="0" quotePrefix="1" applyNumberFormat="1" applyFont="1" applyFill="1" applyBorder="1" applyAlignment="1" applyProtection="1">
      <alignment horizontal="center"/>
      <protection hidden="1"/>
    </xf>
    <xf numFmtId="176" fontId="30" fillId="2" borderId="12" xfId="0" applyNumberFormat="1" applyFont="1" applyFill="1" applyBorder="1" applyAlignment="1" applyProtection="1">
      <alignment horizontal="center"/>
      <protection hidden="1"/>
    </xf>
    <xf numFmtId="2" fontId="30" fillId="2" borderId="12" xfId="0" applyNumberFormat="1" applyFont="1" applyFill="1" applyBorder="1" applyAlignment="1" applyProtection="1">
      <alignment horizontal="center"/>
      <protection hidden="1"/>
    </xf>
    <xf numFmtId="176" fontId="12" fillId="2" borderId="12" xfId="0" applyNumberFormat="1" applyFont="1" applyFill="1" applyBorder="1" applyAlignment="1" applyProtection="1">
      <alignment horizontal="center"/>
      <protection hidden="1"/>
    </xf>
    <xf numFmtId="0" fontId="30" fillId="2" borderId="12" xfId="0" applyFont="1" applyFill="1" applyBorder="1" applyAlignment="1" applyProtection="1">
      <alignment horizontal="center"/>
      <protection hidden="1"/>
    </xf>
    <xf numFmtId="165" fontId="30" fillId="2" borderId="12" xfId="0" applyNumberFormat="1" applyFont="1" applyFill="1" applyBorder="1" applyAlignment="1" applyProtection="1">
      <alignment horizontal="center"/>
      <protection hidden="1"/>
    </xf>
    <xf numFmtId="2" fontId="30" fillId="2" borderId="8" xfId="0" applyNumberFormat="1" applyFont="1" applyFill="1" applyBorder="1" applyAlignment="1" applyProtection="1">
      <alignment horizontal="center"/>
      <protection hidden="1"/>
    </xf>
    <xf numFmtId="12" fontId="29" fillId="2" borderId="12" xfId="0" applyNumberFormat="1" applyFont="1" applyFill="1" applyBorder="1" applyAlignment="1" applyProtection="1">
      <alignment horizontal="center"/>
      <protection hidden="1"/>
    </xf>
    <xf numFmtId="0" fontId="30" fillId="2" borderId="8" xfId="0" applyFont="1" applyFill="1" applyBorder="1" applyAlignment="1" applyProtection="1">
      <alignment horizontal="center"/>
      <protection hidden="1"/>
    </xf>
    <xf numFmtId="0" fontId="3" fillId="2" borderId="0" xfId="0" applyFont="1" applyFill="1" applyBorder="1" applyAlignment="1" applyProtection="1">
      <protection hidden="1"/>
    </xf>
    <xf numFmtId="0" fontId="30" fillId="2" borderId="0" xfId="0" applyFont="1" applyFill="1" applyProtection="1">
      <protection hidden="1"/>
    </xf>
    <xf numFmtId="1" fontId="29" fillId="2" borderId="12" xfId="0" applyNumberFormat="1" applyFont="1" applyFill="1" applyBorder="1" applyAlignment="1" applyProtection="1">
      <alignment horizontal="center"/>
      <protection hidden="1"/>
    </xf>
    <xf numFmtId="2" fontId="30" fillId="2" borderId="26" xfId="0" applyNumberFormat="1" applyFont="1" applyFill="1" applyBorder="1" applyAlignment="1" applyProtection="1">
      <alignment horizontal="center"/>
      <protection hidden="1"/>
    </xf>
    <xf numFmtId="0" fontId="7" fillId="0" borderId="27" xfId="0" applyFont="1" applyBorder="1" applyAlignment="1" applyProtection="1">
      <alignment horizontal="center" vertical="center" wrapText="1"/>
      <protection hidden="1"/>
    </xf>
    <xf numFmtId="0" fontId="7" fillId="0" borderId="28" xfId="0" applyFont="1" applyBorder="1" applyAlignment="1" applyProtection="1">
      <alignment horizontal="center" vertical="center" wrapText="1"/>
      <protection hidden="1"/>
    </xf>
    <xf numFmtId="0" fontId="4" fillId="2" borderId="0" xfId="0" applyFont="1" applyFill="1" applyProtection="1">
      <protection hidden="1"/>
    </xf>
    <xf numFmtId="0" fontId="4" fillId="2" borderId="0" xfId="0" applyFont="1" applyFill="1" applyAlignment="1" applyProtection="1">
      <alignment horizontal="right"/>
      <protection hidden="1"/>
    </xf>
    <xf numFmtId="0" fontId="4" fillId="2" borderId="0" xfId="0" applyFont="1" applyFill="1" applyAlignment="1" applyProtection="1">
      <alignment horizontal="left"/>
      <protection hidden="1"/>
    </xf>
    <xf numFmtId="0" fontId="0" fillId="2" borderId="43" xfId="0" applyFill="1" applyBorder="1" applyProtection="1">
      <protection hidden="1"/>
    </xf>
    <xf numFmtId="0" fontId="22" fillId="2" borderId="12" xfId="0" applyFont="1" applyFill="1" applyBorder="1" applyAlignment="1" applyProtection="1">
      <alignment horizontal="center"/>
      <protection hidden="1"/>
    </xf>
    <xf numFmtId="0" fontId="7" fillId="2" borderId="44" xfId="0" applyFont="1" applyFill="1" applyBorder="1" applyAlignment="1" applyProtection="1">
      <alignment horizontal="center" wrapText="1"/>
      <protection hidden="1"/>
    </xf>
    <xf numFmtId="0" fontId="7" fillId="2" borderId="45" xfId="0" applyFont="1" applyFill="1" applyBorder="1" applyAlignment="1" applyProtection="1">
      <alignment horizontal="center" wrapText="1"/>
      <protection hidden="1"/>
    </xf>
    <xf numFmtId="0" fontId="0" fillId="2" borderId="43" xfId="0" applyFill="1" applyBorder="1" applyAlignment="1" applyProtection="1">
      <alignment horizontal="center"/>
      <protection hidden="1"/>
    </xf>
    <xf numFmtId="0" fontId="0" fillId="2" borderId="46" xfId="0" applyFill="1" applyBorder="1" applyAlignment="1" applyProtection="1">
      <alignment horizontal="center"/>
      <protection hidden="1"/>
    </xf>
    <xf numFmtId="0" fontId="3" fillId="2" borderId="0" xfId="0" applyFont="1" applyFill="1" applyAlignment="1" applyProtection="1">
      <alignment horizontal="center"/>
      <protection hidden="1"/>
    </xf>
    <xf numFmtId="0" fontId="4" fillId="2" borderId="0" xfId="0" applyNumberFormat="1" applyFont="1" applyFill="1" applyProtection="1">
      <protection hidden="1"/>
    </xf>
    <xf numFmtId="0" fontId="4" fillId="2" borderId="0" xfId="0" applyFont="1" applyFill="1" applyAlignment="1" applyProtection="1">
      <alignment horizontal="center"/>
      <protection hidden="1"/>
    </xf>
    <xf numFmtId="0" fontId="4" fillId="0" borderId="0" xfId="0" applyFont="1" applyFill="1" applyProtection="1">
      <protection hidden="1"/>
    </xf>
    <xf numFmtId="0" fontId="4" fillId="2" borderId="0" xfId="0" applyNumberFormat="1" applyFont="1" applyFill="1" applyAlignment="1" applyProtection="1">
      <alignment horizontal="center"/>
      <protection hidden="1"/>
    </xf>
    <xf numFmtId="0" fontId="4" fillId="2" borderId="0" xfId="0" applyNumberFormat="1" applyFont="1" applyFill="1" applyAlignment="1" applyProtection="1">
      <alignment horizontal="right"/>
      <protection hidden="1"/>
    </xf>
    <xf numFmtId="0" fontId="4" fillId="2" borderId="0" xfId="0" applyNumberFormat="1" applyFont="1" applyFill="1" applyAlignment="1" applyProtection="1">
      <alignment horizontal="left"/>
      <protection hidden="1"/>
    </xf>
    <xf numFmtId="0" fontId="0" fillId="2" borderId="47" xfId="0" applyFill="1" applyBorder="1" applyAlignment="1" applyProtection="1">
      <alignment horizontal="center" wrapText="1"/>
      <protection hidden="1"/>
    </xf>
    <xf numFmtId="49" fontId="4" fillId="2" borderId="0" xfId="0" applyNumberFormat="1" applyFont="1" applyFill="1" applyProtection="1">
      <protection hidden="1"/>
    </xf>
    <xf numFmtId="0" fontId="15" fillId="2" borderId="0" xfId="0" quotePrefix="1" applyFont="1" applyFill="1" applyProtection="1">
      <protection hidden="1"/>
    </xf>
    <xf numFmtId="0" fontId="9" fillId="2" borderId="0" xfId="0" applyFont="1" applyFill="1" applyBorder="1" applyAlignment="1" applyProtection="1">
      <alignment horizontal="center" vertical="center"/>
      <protection hidden="1"/>
    </xf>
    <xf numFmtId="3" fontId="4" fillId="5" borderId="52" xfId="0" applyNumberFormat="1" applyFont="1" applyFill="1" applyBorder="1" applyAlignment="1" applyProtection="1">
      <alignment horizontal="center"/>
      <protection hidden="1"/>
    </xf>
    <xf numFmtId="1" fontId="4" fillId="2" borderId="0" xfId="0" applyNumberFormat="1" applyFont="1" applyFill="1" applyProtection="1">
      <protection hidden="1"/>
    </xf>
    <xf numFmtId="0" fontId="34" fillId="2" borderId="0" xfId="0" quotePrefix="1" applyFont="1" applyFill="1" applyAlignment="1" applyProtection="1">
      <alignment horizontal="center"/>
      <protection hidden="1"/>
    </xf>
    <xf numFmtId="0" fontId="34" fillId="2" borderId="0" xfId="0" applyNumberFormat="1" applyFont="1" applyFill="1" applyAlignment="1" applyProtection="1">
      <alignment horizontal="center"/>
      <protection hidden="1"/>
    </xf>
    <xf numFmtId="0" fontId="35" fillId="5" borderId="57" xfId="0" applyNumberFormat="1" applyFont="1" applyFill="1" applyBorder="1" applyAlignment="1" applyProtection="1">
      <alignment horizontal="center"/>
    </xf>
    <xf numFmtId="1" fontId="35" fillId="5" borderId="12" xfId="0" applyNumberFormat="1" applyFont="1" applyFill="1" applyBorder="1" applyAlignment="1" applyProtection="1">
      <alignment horizontal="center"/>
    </xf>
    <xf numFmtId="0" fontId="35" fillId="5" borderId="20" xfId="0" applyNumberFormat="1" applyFont="1" applyFill="1" applyBorder="1" applyAlignment="1" applyProtection="1">
      <alignment horizontal="center"/>
    </xf>
    <xf numFmtId="174" fontId="35" fillId="5" borderId="58" xfId="0" applyNumberFormat="1" applyFont="1" applyFill="1" applyBorder="1" applyAlignment="1" applyProtection="1">
      <alignment horizontal="right"/>
    </xf>
    <xf numFmtId="171" fontId="35" fillId="5" borderId="59" xfId="0" applyNumberFormat="1" applyFont="1" applyFill="1" applyBorder="1" applyAlignment="1" applyProtection="1">
      <alignment horizontal="left"/>
    </xf>
    <xf numFmtId="0" fontId="35" fillId="5" borderId="57" xfId="0" applyFont="1" applyFill="1" applyBorder="1" applyAlignment="1" applyProtection="1">
      <alignment horizontal="center"/>
    </xf>
    <xf numFmtId="171" fontId="35" fillId="5" borderId="60" xfId="0" applyNumberFormat="1" applyFont="1" applyFill="1" applyBorder="1" applyAlignment="1" applyProtection="1">
      <alignment horizontal="center"/>
    </xf>
    <xf numFmtId="171" fontId="35" fillId="5" borderId="61" xfId="0" applyNumberFormat="1" applyFont="1" applyFill="1" applyBorder="1" applyAlignment="1" applyProtection="1">
      <alignment horizontal="center"/>
    </xf>
    <xf numFmtId="166" fontId="35" fillId="5" borderId="12" xfId="0" applyNumberFormat="1" applyFont="1" applyFill="1" applyBorder="1" applyAlignment="1" applyProtection="1">
      <alignment horizontal="center"/>
    </xf>
    <xf numFmtId="166" fontId="35" fillId="5" borderId="62" xfId="0" applyNumberFormat="1" applyFont="1" applyFill="1" applyBorder="1" applyAlignment="1" applyProtection="1">
      <alignment horizontal="center"/>
    </xf>
    <xf numFmtId="2" fontId="35" fillId="5" borderId="63" xfId="0" applyNumberFormat="1" applyFont="1" applyFill="1" applyBorder="1" applyAlignment="1" applyProtection="1">
      <alignment horizontal="center"/>
    </xf>
    <xf numFmtId="0" fontId="35" fillId="5" borderId="62" xfId="0" applyNumberFormat="1" applyFont="1" applyFill="1" applyBorder="1" applyAlignment="1" applyProtection="1">
      <alignment horizontal="center"/>
    </xf>
    <xf numFmtId="166" fontId="35" fillId="5" borderId="63" xfId="0" applyNumberFormat="1" applyFont="1" applyFill="1" applyBorder="1" applyAlignment="1" applyProtection="1">
      <alignment horizontal="center"/>
    </xf>
    <xf numFmtId="182" fontId="35" fillId="5" borderId="63" xfId="0" applyNumberFormat="1" applyFont="1" applyFill="1" applyBorder="1" applyAlignment="1" applyProtection="1">
      <alignment horizontal="center"/>
    </xf>
    <xf numFmtId="180" fontId="23" fillId="5" borderId="66" xfId="0" applyNumberFormat="1" applyFont="1" applyFill="1" applyBorder="1" applyAlignment="1" applyProtection="1">
      <alignment horizontal="center"/>
    </xf>
    <xf numFmtId="181" fontId="35" fillId="5" borderId="66" xfId="0" applyNumberFormat="1" applyFont="1" applyFill="1" applyBorder="1" applyAlignment="1" applyProtection="1">
      <alignment horizontal="center"/>
    </xf>
    <xf numFmtId="178" fontId="35" fillId="5" borderId="67" xfId="0" applyNumberFormat="1" applyFont="1" applyFill="1" applyBorder="1" applyAlignment="1" applyProtection="1">
      <alignment horizontal="right"/>
    </xf>
    <xf numFmtId="0" fontId="35" fillId="5" borderId="14" xfId="0" applyFont="1" applyFill="1" applyBorder="1" applyAlignment="1" applyProtection="1">
      <alignment horizontal="left"/>
    </xf>
    <xf numFmtId="181" fontId="35" fillId="5" borderId="68" xfId="0" applyNumberFormat="1" applyFont="1" applyFill="1" applyBorder="1" applyAlignment="1" applyProtection="1">
      <alignment horizontal="center"/>
    </xf>
    <xf numFmtId="178" fontId="35" fillId="5" borderId="69" xfId="0" applyNumberFormat="1" applyFont="1" applyFill="1" applyBorder="1" applyAlignment="1" applyProtection="1">
      <alignment horizontal="center"/>
    </xf>
    <xf numFmtId="166" fontId="32" fillId="5" borderId="70" xfId="0" applyNumberFormat="1" applyFont="1" applyFill="1" applyBorder="1" applyAlignment="1" applyProtection="1">
      <alignment horizontal="center"/>
    </xf>
    <xf numFmtId="0" fontId="23" fillId="5" borderId="71" xfId="0" applyFont="1" applyFill="1" applyBorder="1" applyAlignment="1" applyProtection="1">
      <alignment horizontal="center"/>
    </xf>
    <xf numFmtId="0" fontId="23" fillId="5" borderId="72" xfId="0" applyFont="1" applyFill="1" applyBorder="1" applyAlignment="1" applyProtection="1">
      <alignment horizontal="center"/>
    </xf>
    <xf numFmtId="0" fontId="23" fillId="5" borderId="73" xfId="0" applyNumberFormat="1" applyFont="1" applyFill="1" applyBorder="1" applyAlignment="1" applyProtection="1">
      <alignment horizontal="center"/>
    </xf>
    <xf numFmtId="0" fontId="23" fillId="5" borderId="74" xfId="0" applyNumberFormat="1" applyFont="1" applyFill="1" applyBorder="1" applyAlignment="1" applyProtection="1">
      <alignment horizontal="center"/>
    </xf>
    <xf numFmtId="181" fontId="35" fillId="5" borderId="75" xfId="0" applyNumberFormat="1" applyFont="1" applyFill="1" applyBorder="1" applyAlignment="1" applyProtection="1">
      <alignment horizontal="center"/>
    </xf>
    <xf numFmtId="178" fontId="35" fillId="5" borderId="76" xfId="0" applyNumberFormat="1" applyFont="1" applyFill="1" applyBorder="1" applyAlignment="1" applyProtection="1">
      <alignment horizontal="center"/>
    </xf>
    <xf numFmtId="166" fontId="35" fillId="5" borderId="14" xfId="0" applyNumberFormat="1" applyFont="1" applyFill="1" applyBorder="1" applyAlignment="1" applyProtection="1">
      <alignment horizontal="center"/>
    </xf>
    <xf numFmtId="0" fontId="35" fillId="5" borderId="14" xfId="0" applyNumberFormat="1" applyFont="1" applyFill="1" applyBorder="1" applyAlignment="1" applyProtection="1">
      <alignment horizontal="center"/>
    </xf>
    <xf numFmtId="178" fontId="35" fillId="5" borderId="76" xfId="0" applyNumberFormat="1" applyFont="1" applyFill="1" applyBorder="1" applyAlignment="1" applyProtection="1">
      <alignment horizontal="left"/>
    </xf>
    <xf numFmtId="181" fontId="35" fillId="5" borderId="75" xfId="0" applyNumberFormat="1" applyFont="1" applyFill="1" applyBorder="1" applyAlignment="1" applyProtection="1">
      <alignment horizontal="right"/>
    </xf>
    <xf numFmtId="0" fontId="35" fillId="5" borderId="18" xfId="0" applyNumberFormat="1" applyFont="1" applyFill="1" applyBorder="1" applyAlignment="1" applyProtection="1">
      <alignment horizontal="center"/>
    </xf>
    <xf numFmtId="0" fontId="35" fillId="5" borderId="70" xfId="0" applyNumberFormat="1" applyFont="1" applyFill="1" applyBorder="1" applyAlignment="1" applyProtection="1">
      <alignment horizontal="center"/>
    </xf>
    <xf numFmtId="0" fontId="22" fillId="2" borderId="0" xfId="0" applyFont="1" applyFill="1" applyAlignment="1" applyProtection="1">
      <alignment horizontal="center"/>
    </xf>
    <xf numFmtId="0" fontId="3" fillId="0" borderId="0" xfId="0" applyFont="1" applyFill="1" applyProtection="1">
      <protection hidden="1"/>
    </xf>
    <xf numFmtId="0" fontId="3" fillId="0" borderId="0" xfId="0" applyFont="1" applyFill="1" applyBorder="1" applyProtection="1">
      <protection hidden="1"/>
    </xf>
    <xf numFmtId="0" fontId="29" fillId="0" borderId="0" xfId="0" applyFont="1" applyFill="1" applyBorder="1" applyAlignment="1" applyProtection="1">
      <alignment horizontal="center"/>
      <protection hidden="1"/>
    </xf>
    <xf numFmtId="165" fontId="29" fillId="0" borderId="0" xfId="0" applyNumberFormat="1" applyFont="1" applyFill="1" applyBorder="1" applyAlignment="1" applyProtection="1">
      <alignment horizontal="center"/>
      <protection hidden="1"/>
    </xf>
    <xf numFmtId="12" fontId="22" fillId="0" borderId="0" xfId="0" applyNumberFormat="1" applyFont="1" applyFill="1" applyBorder="1" applyAlignment="1" applyProtection="1">
      <alignment horizontal="center"/>
      <protection hidden="1"/>
    </xf>
    <xf numFmtId="165" fontId="22" fillId="0" borderId="0" xfId="0" applyNumberFormat="1" applyFont="1" applyFill="1" applyBorder="1" applyAlignment="1" applyProtection="1">
      <alignment horizontal="center"/>
      <protection hidden="1"/>
    </xf>
    <xf numFmtId="0" fontId="22" fillId="0" borderId="0" xfId="0" applyFont="1" applyFill="1" applyBorder="1" applyAlignment="1" applyProtection="1">
      <alignment horizontal="center"/>
      <protection hidden="1"/>
    </xf>
    <xf numFmtId="13" fontId="22" fillId="0" borderId="0" xfId="0" applyNumberFormat="1" applyFont="1" applyFill="1" applyBorder="1" applyAlignment="1" applyProtection="1">
      <alignment horizontal="center"/>
      <protection hidden="1"/>
    </xf>
    <xf numFmtId="0" fontId="3" fillId="0" borderId="0" xfId="0" applyFont="1" applyFill="1" applyBorder="1" applyAlignment="1" applyProtection="1">
      <protection hidden="1"/>
    </xf>
    <xf numFmtId="0" fontId="3" fillId="0" borderId="0" xfId="0" applyFont="1" applyFill="1" applyAlignment="1" applyProtection="1">
      <protection hidden="1"/>
    </xf>
    <xf numFmtId="0" fontId="3" fillId="0" borderId="0" xfId="0" applyFont="1" applyFill="1" applyBorder="1" applyAlignment="1" applyProtection="1">
      <alignment horizontal="center" vertical="center"/>
      <protection hidden="1"/>
    </xf>
    <xf numFmtId="0" fontId="7" fillId="0" borderId="0" xfId="0" applyFont="1" applyFill="1" applyBorder="1" applyAlignment="1" applyProtection="1">
      <alignment horizontal="center"/>
      <protection hidden="1"/>
    </xf>
    <xf numFmtId="0" fontId="0" fillId="2" borderId="80" xfId="0" applyFill="1" applyBorder="1" applyProtection="1">
      <protection hidden="1"/>
    </xf>
    <xf numFmtId="0" fontId="3" fillId="2" borderId="42" xfId="0" applyFont="1" applyFill="1" applyBorder="1" applyAlignment="1" applyProtection="1">
      <alignment horizontal="center" wrapText="1"/>
      <protection hidden="1"/>
    </xf>
    <xf numFmtId="2" fontId="30" fillId="2" borderId="9" xfId="0" applyNumberFormat="1" applyFont="1" applyFill="1" applyBorder="1" applyAlignment="1" applyProtection="1">
      <alignment horizontal="center"/>
      <protection hidden="1"/>
    </xf>
    <xf numFmtId="12" fontId="29" fillId="2" borderId="23" xfId="0" applyNumberFormat="1" applyFont="1" applyFill="1" applyBorder="1" applyAlignment="1" applyProtection="1">
      <alignment horizontal="center"/>
      <protection hidden="1"/>
    </xf>
    <xf numFmtId="0" fontId="35" fillId="5" borderId="57" xfId="0" applyNumberFormat="1" applyFont="1" applyFill="1" applyBorder="1" applyAlignment="1" applyProtection="1">
      <alignment horizontal="center"/>
      <protection locked="0"/>
    </xf>
    <xf numFmtId="1" fontId="35" fillId="5" borderId="12" xfId="0" applyNumberFormat="1" applyFont="1" applyFill="1" applyBorder="1" applyAlignment="1" applyProtection="1">
      <alignment horizontal="center"/>
      <protection locked="0"/>
    </xf>
    <xf numFmtId="0" fontId="35" fillId="5" borderId="20" xfId="0" applyNumberFormat="1" applyFont="1" applyFill="1" applyBorder="1" applyAlignment="1" applyProtection="1">
      <alignment horizontal="center"/>
      <protection locked="0"/>
    </xf>
    <xf numFmtId="174" fontId="35" fillId="5" borderId="58" xfId="0" applyNumberFormat="1" applyFont="1" applyFill="1" applyBorder="1" applyAlignment="1" applyProtection="1">
      <alignment horizontal="right"/>
      <protection locked="0"/>
    </xf>
    <xf numFmtId="171" fontId="35" fillId="5" borderId="59" xfId="0" applyNumberFormat="1" applyFont="1" applyFill="1" applyBorder="1" applyAlignment="1" applyProtection="1">
      <alignment horizontal="left"/>
      <protection locked="0"/>
    </xf>
    <xf numFmtId="0" fontId="35" fillId="5" borderId="57" xfId="0" applyFont="1" applyFill="1" applyBorder="1" applyAlignment="1" applyProtection="1">
      <alignment horizontal="center"/>
      <protection locked="0"/>
    </xf>
    <xf numFmtId="171" fontId="35" fillId="5" borderId="60" xfId="0" applyNumberFormat="1" applyFont="1" applyFill="1" applyBorder="1" applyAlignment="1" applyProtection="1">
      <alignment horizontal="center"/>
      <protection locked="0"/>
    </xf>
    <xf numFmtId="171" fontId="35" fillId="5" borderId="61" xfId="0" applyNumberFormat="1" applyFont="1" applyFill="1" applyBorder="1" applyAlignment="1" applyProtection="1">
      <alignment horizontal="center"/>
      <protection locked="0"/>
    </xf>
    <xf numFmtId="166" fontId="35" fillId="5" borderId="12" xfId="0" applyNumberFormat="1" applyFont="1" applyFill="1" applyBorder="1" applyAlignment="1" applyProtection="1">
      <alignment horizontal="center"/>
      <protection locked="0"/>
    </xf>
    <xf numFmtId="166" fontId="35" fillId="5" borderId="62" xfId="0" applyNumberFormat="1" applyFont="1" applyFill="1" applyBorder="1" applyAlignment="1" applyProtection="1">
      <alignment horizontal="center"/>
      <protection locked="0"/>
    </xf>
    <xf numFmtId="2" fontId="35" fillId="5" borderId="63" xfId="0" applyNumberFormat="1" applyFont="1" applyFill="1" applyBorder="1" applyAlignment="1" applyProtection="1">
      <alignment horizontal="center"/>
      <protection locked="0"/>
    </xf>
    <xf numFmtId="180" fontId="23" fillId="5" borderId="58" xfId="0" applyNumberFormat="1" applyFont="1" applyFill="1" applyBorder="1" applyAlignment="1" applyProtection="1">
      <alignment horizontal="center"/>
      <protection locked="0"/>
    </xf>
    <xf numFmtId="181" fontId="35" fillId="5" borderId="58" xfId="0" applyNumberFormat="1" applyFont="1" applyFill="1" applyBorder="1" applyAlignment="1" applyProtection="1">
      <alignment horizontal="center"/>
      <protection locked="0"/>
    </xf>
    <xf numFmtId="178" fontId="35" fillId="5" borderId="21" xfId="0" applyNumberFormat="1" applyFont="1" applyFill="1" applyBorder="1" applyAlignment="1" applyProtection="1">
      <alignment horizontal="right"/>
      <protection locked="0"/>
    </xf>
    <xf numFmtId="181" fontId="35" fillId="5" borderId="10" xfId="0" applyNumberFormat="1" applyFont="1" applyFill="1" applyBorder="1" applyAlignment="1" applyProtection="1">
      <alignment horizontal="center"/>
      <protection locked="0"/>
    </xf>
    <xf numFmtId="178" fontId="35" fillId="5" borderId="38" xfId="0" applyNumberFormat="1" applyFont="1" applyFill="1" applyBorder="1" applyAlignment="1" applyProtection="1">
      <alignment horizontal="center"/>
      <protection locked="0"/>
    </xf>
    <xf numFmtId="166" fontId="32" fillId="5" borderId="82" xfId="0" applyNumberFormat="1" applyFont="1" applyFill="1" applyBorder="1" applyAlignment="1" applyProtection="1">
      <alignment horizontal="center"/>
      <protection locked="0"/>
    </xf>
    <xf numFmtId="0" fontId="23" fillId="5" borderId="26" xfId="0" applyFont="1" applyFill="1" applyBorder="1" applyAlignment="1" applyProtection="1">
      <alignment horizontal="center"/>
      <protection locked="0"/>
    </xf>
    <xf numFmtId="0" fontId="35" fillId="5" borderId="62" xfId="0" applyNumberFormat="1" applyFont="1" applyFill="1" applyBorder="1" applyAlignment="1" applyProtection="1">
      <alignment horizontal="center"/>
      <protection locked="0"/>
    </xf>
    <xf numFmtId="166" fontId="35" fillId="5" borderId="63" xfId="0" applyNumberFormat="1" applyFont="1" applyFill="1" applyBorder="1" applyAlignment="1" applyProtection="1">
      <alignment horizontal="center"/>
      <protection locked="0"/>
    </xf>
    <xf numFmtId="182" fontId="35" fillId="5" borderId="63" xfId="0" applyNumberFormat="1" applyFont="1" applyFill="1" applyBorder="1" applyAlignment="1" applyProtection="1">
      <alignment horizontal="center"/>
      <protection locked="0"/>
    </xf>
    <xf numFmtId="49" fontId="12" fillId="0" borderId="0" xfId="0" applyNumberFormat="1" applyFont="1" applyFill="1" applyBorder="1" applyAlignment="1" applyProtection="1">
      <alignment horizontal="left" indent="4" shrinkToFit="1"/>
    </xf>
    <xf numFmtId="0" fontId="4" fillId="2" borderId="0" xfId="0" applyFont="1" applyFill="1" applyAlignment="1" applyProtection="1">
      <alignment horizontal="center"/>
      <protection locked="0"/>
    </xf>
    <xf numFmtId="0" fontId="30" fillId="2" borderId="12" xfId="0" applyFont="1" applyFill="1" applyBorder="1" applyAlignment="1" applyProtection="1">
      <alignment horizontal="center"/>
    </xf>
    <xf numFmtId="0" fontId="12" fillId="0" borderId="10" xfId="0" applyFont="1" applyFill="1" applyBorder="1" applyAlignment="1" applyProtection="1">
      <alignment horizontal="right" vertical="top"/>
    </xf>
    <xf numFmtId="0" fontId="30" fillId="0" borderId="10" xfId="0" applyFont="1" applyFill="1" applyBorder="1" applyProtection="1"/>
    <xf numFmtId="0" fontId="30" fillId="0" borderId="0" xfId="0" applyFont="1" applyFill="1" applyBorder="1" applyProtection="1">
      <protection hidden="1"/>
    </xf>
    <xf numFmtId="0" fontId="30" fillId="0" borderId="0" xfId="0" applyFont="1" applyFill="1" applyProtection="1">
      <protection hidden="1"/>
    </xf>
    <xf numFmtId="0" fontId="30" fillId="2" borderId="0" xfId="0" applyFont="1" applyFill="1" applyBorder="1" applyProtection="1">
      <protection hidden="1"/>
    </xf>
    <xf numFmtId="0" fontId="30" fillId="2" borderId="0" xfId="0" applyFont="1" applyFill="1" applyBorder="1" applyAlignment="1" applyProtection="1">
      <alignment horizontal="right"/>
      <protection hidden="1"/>
    </xf>
    <xf numFmtId="0" fontId="30" fillId="2" borderId="0" xfId="0" applyFont="1" applyFill="1" applyBorder="1" applyAlignment="1" applyProtection="1">
      <alignment horizontal="center"/>
      <protection hidden="1"/>
    </xf>
    <xf numFmtId="0" fontId="22" fillId="0" borderId="0" xfId="0" applyFont="1" applyFill="1" applyProtection="1">
      <protection hidden="1"/>
    </xf>
    <xf numFmtId="0" fontId="22" fillId="0" borderId="0" xfId="0" applyFont="1" applyFill="1" applyBorder="1" applyProtection="1">
      <protection hidden="1"/>
    </xf>
    <xf numFmtId="0" fontId="22" fillId="0" borderId="0" xfId="0" applyFont="1" applyFill="1" applyAlignment="1" applyProtection="1">
      <alignment horizontal="center"/>
      <protection hidden="1"/>
    </xf>
    <xf numFmtId="0" fontId="30" fillId="2" borderId="0" xfId="0" applyFont="1" applyFill="1" applyProtection="1"/>
    <xf numFmtId="0" fontId="22" fillId="2" borderId="0" xfId="0" applyFont="1" applyFill="1" applyProtection="1">
      <protection hidden="1"/>
    </xf>
    <xf numFmtId="0" fontId="30" fillId="2" borderId="0" xfId="0" applyFont="1" applyFill="1" applyAlignment="1" applyProtection="1">
      <alignment horizontal="right"/>
    </xf>
    <xf numFmtId="0" fontId="30" fillId="2" borderId="0" xfId="0" applyNumberFormat="1" applyFont="1" applyFill="1" applyProtection="1">
      <protection hidden="1"/>
    </xf>
    <xf numFmtId="0" fontId="30" fillId="2" borderId="0" xfId="0" applyFont="1" applyFill="1" applyBorder="1" applyAlignment="1" applyProtection="1">
      <alignment horizontal="left"/>
      <protection hidden="1"/>
    </xf>
    <xf numFmtId="0" fontId="22" fillId="0" borderId="0" xfId="0" applyFont="1" applyFill="1" applyBorder="1" applyAlignment="1" applyProtection="1">
      <alignment horizontal="right"/>
      <protection hidden="1"/>
    </xf>
    <xf numFmtId="0" fontId="22" fillId="2" borderId="0" xfId="0" quotePrefix="1" applyFont="1" applyFill="1" applyAlignment="1" applyProtection="1">
      <alignment horizontal="left"/>
      <protection hidden="1"/>
    </xf>
    <xf numFmtId="0" fontId="22" fillId="2" borderId="0" xfId="0" applyFont="1" applyFill="1" applyBorder="1" applyAlignment="1" applyProtection="1">
      <protection hidden="1"/>
    </xf>
    <xf numFmtId="0" fontId="22" fillId="2" borderId="0" xfId="0" applyFont="1" applyFill="1" applyAlignment="1" applyProtection="1">
      <alignment horizontal="center"/>
      <protection hidden="1"/>
    </xf>
    <xf numFmtId="0" fontId="30" fillId="2" borderId="0" xfId="0" applyNumberFormat="1" applyFont="1" applyFill="1" applyAlignment="1" applyProtection="1">
      <alignment horizontal="center"/>
      <protection hidden="1"/>
    </xf>
    <xf numFmtId="3" fontId="51" fillId="0" borderId="0" xfId="0" applyNumberFormat="1" applyFont="1" applyFill="1" applyBorder="1" applyAlignment="1" applyProtection="1">
      <alignment horizontal="center"/>
      <protection hidden="1"/>
    </xf>
    <xf numFmtId="0" fontId="22" fillId="0" borderId="0" xfId="0" applyFont="1" applyFill="1" applyBorder="1" applyAlignment="1" applyProtection="1">
      <protection hidden="1"/>
    </xf>
    <xf numFmtId="0" fontId="22" fillId="2" borderId="0" xfId="0" applyFont="1" applyFill="1" applyBorder="1" applyProtection="1">
      <protection hidden="1"/>
    </xf>
    <xf numFmtId="0" fontId="30" fillId="2" borderId="0" xfId="0" applyFont="1" applyFill="1" applyAlignment="1" applyProtection="1">
      <alignment horizontal="center"/>
      <protection hidden="1"/>
    </xf>
    <xf numFmtId="0" fontId="30" fillId="2" borderId="0" xfId="0" applyFont="1" applyFill="1" applyAlignment="1" applyProtection="1">
      <alignment horizontal="right"/>
      <protection hidden="1"/>
    </xf>
    <xf numFmtId="0" fontId="30" fillId="2" borderId="0" xfId="0" applyFont="1" applyFill="1" applyAlignment="1" applyProtection="1">
      <alignment horizontal="left"/>
      <protection hidden="1"/>
    </xf>
    <xf numFmtId="0" fontId="30" fillId="2" borderId="0" xfId="0" quotePrefix="1" applyNumberFormat="1" applyFont="1" applyFill="1" applyProtection="1">
      <protection hidden="1"/>
    </xf>
    <xf numFmtId="49" fontId="30" fillId="2" borderId="0" xfId="0" applyNumberFormat="1" applyFont="1" applyFill="1" applyAlignment="1" applyProtection="1">
      <alignment horizontal="center"/>
      <protection hidden="1"/>
    </xf>
    <xf numFmtId="0" fontId="30" fillId="2" borderId="0" xfId="0" applyNumberFormat="1" applyFont="1" applyFill="1" applyAlignment="1" applyProtection="1">
      <alignment horizontal="right"/>
      <protection hidden="1"/>
    </xf>
    <xf numFmtId="0" fontId="30" fillId="2" borderId="0" xfId="0" applyNumberFormat="1" applyFont="1" applyFill="1" applyAlignment="1" applyProtection="1">
      <alignment horizontal="left"/>
      <protection hidden="1"/>
    </xf>
    <xf numFmtId="0" fontId="52" fillId="2" borderId="0" xfId="0" applyFont="1" applyFill="1" applyAlignment="1" applyProtection="1">
      <alignment horizontal="center"/>
      <protection hidden="1"/>
    </xf>
    <xf numFmtId="0" fontId="22" fillId="2" borderId="0" xfId="0" applyFont="1" applyFill="1" applyAlignment="1" applyProtection="1">
      <alignment horizontal="right"/>
    </xf>
    <xf numFmtId="0" fontId="57" fillId="2" borderId="0" xfId="0" applyFont="1" applyFill="1" applyProtection="1">
      <protection hidden="1"/>
    </xf>
    <xf numFmtId="2" fontId="58" fillId="2" borderId="0" xfId="0" applyNumberFormat="1" applyFont="1" applyFill="1" applyAlignment="1" applyProtection="1">
      <alignment horizontal="center" vertical="center"/>
      <protection hidden="1"/>
    </xf>
    <xf numFmtId="0" fontId="59" fillId="2" borderId="0" xfId="0" applyFont="1" applyFill="1" applyProtection="1">
      <protection hidden="1"/>
    </xf>
    <xf numFmtId="2" fontId="59" fillId="2" borderId="0" xfId="0" applyNumberFormat="1" applyFont="1" applyFill="1" applyBorder="1" applyProtection="1">
      <protection hidden="1"/>
    </xf>
    <xf numFmtId="2" fontId="59" fillId="2" borderId="0" xfId="0" applyNumberFormat="1" applyFont="1" applyFill="1" applyProtection="1">
      <protection hidden="1"/>
    </xf>
    <xf numFmtId="2" fontId="59" fillId="2" borderId="0" xfId="0" applyNumberFormat="1" applyFont="1" applyFill="1" applyBorder="1" applyAlignment="1" applyProtection="1">
      <alignment horizontal="center" vertical="center"/>
      <protection hidden="1"/>
    </xf>
    <xf numFmtId="176" fontId="61" fillId="2" borderId="19" xfId="0" applyNumberFormat="1" applyFont="1" applyFill="1" applyBorder="1" applyAlignment="1" applyProtection="1">
      <alignment horizontal="center"/>
      <protection hidden="1"/>
    </xf>
    <xf numFmtId="1" fontId="61" fillId="2" borderId="14" xfId="0" applyNumberFormat="1" applyFont="1" applyFill="1" applyBorder="1" applyAlignment="1" applyProtection="1">
      <alignment horizontal="center"/>
      <protection hidden="1"/>
    </xf>
    <xf numFmtId="176" fontId="61" fillId="2" borderId="14" xfId="0" applyNumberFormat="1" applyFont="1" applyFill="1" applyBorder="1" applyAlignment="1" applyProtection="1">
      <alignment horizontal="center"/>
      <protection hidden="1"/>
    </xf>
    <xf numFmtId="0" fontId="61" fillId="2" borderId="14" xfId="0" applyFont="1" applyFill="1" applyBorder="1" applyAlignment="1" applyProtection="1">
      <alignment horizontal="center"/>
      <protection hidden="1"/>
    </xf>
    <xf numFmtId="177" fontId="61" fillId="2" borderId="14" xfId="0" applyNumberFormat="1" applyFont="1" applyFill="1" applyBorder="1" applyAlignment="1" applyProtection="1">
      <alignment horizontal="center"/>
      <protection hidden="1"/>
    </xf>
    <xf numFmtId="1" fontId="61" fillId="2" borderId="18" xfId="0" applyNumberFormat="1" applyFont="1" applyFill="1" applyBorder="1" applyAlignment="1" applyProtection="1">
      <alignment horizontal="center"/>
      <protection hidden="1"/>
    </xf>
    <xf numFmtId="2" fontId="61" fillId="2" borderId="75" xfId="0" applyNumberFormat="1" applyFont="1" applyFill="1" applyBorder="1" applyAlignment="1" applyProtection="1">
      <alignment horizontal="center"/>
      <protection hidden="1"/>
    </xf>
    <xf numFmtId="2" fontId="61" fillId="2" borderId="73" xfId="0" applyNumberFormat="1" applyFont="1" applyFill="1" applyBorder="1" applyAlignment="1" applyProtection="1">
      <alignment horizontal="center"/>
      <protection hidden="1"/>
    </xf>
    <xf numFmtId="2" fontId="61" fillId="2" borderId="69" xfId="0" applyNumberFormat="1" applyFont="1" applyFill="1" applyBorder="1" applyAlignment="1" applyProtection="1">
      <alignment horizontal="center"/>
      <protection hidden="1"/>
    </xf>
    <xf numFmtId="176" fontId="61" fillId="2" borderId="8" xfId="0" applyNumberFormat="1" applyFont="1" applyFill="1" applyBorder="1" applyAlignment="1" applyProtection="1">
      <alignment horizontal="center"/>
      <protection hidden="1"/>
    </xf>
    <xf numFmtId="1" fontId="61" fillId="2" borderId="12" xfId="0" applyNumberFormat="1" applyFont="1" applyFill="1" applyBorder="1" applyAlignment="1" applyProtection="1">
      <alignment horizontal="center"/>
      <protection hidden="1"/>
    </xf>
    <xf numFmtId="176" fontId="61" fillId="2" borderId="12" xfId="0" applyNumberFormat="1" applyFont="1" applyFill="1" applyBorder="1" applyAlignment="1" applyProtection="1">
      <alignment horizontal="center"/>
      <protection hidden="1"/>
    </xf>
    <xf numFmtId="0" fontId="61" fillId="2" borderId="12" xfId="0" applyFont="1" applyFill="1" applyBorder="1" applyAlignment="1" applyProtection="1">
      <alignment horizontal="center"/>
      <protection hidden="1"/>
    </xf>
    <xf numFmtId="177" fontId="61" fillId="2" borderId="12" xfId="0" applyNumberFormat="1" applyFont="1" applyFill="1" applyBorder="1" applyAlignment="1" applyProtection="1">
      <alignment horizontal="center"/>
      <protection hidden="1"/>
    </xf>
    <xf numFmtId="1" fontId="61" fillId="2" borderId="36" xfId="0" applyNumberFormat="1" applyFont="1" applyFill="1" applyBorder="1" applyAlignment="1" applyProtection="1">
      <alignment horizontal="center"/>
      <protection hidden="1"/>
    </xf>
    <xf numFmtId="2" fontId="61" fillId="2" borderId="78" xfId="0" applyNumberFormat="1" applyFont="1" applyFill="1" applyBorder="1" applyAlignment="1" applyProtection="1">
      <alignment horizontal="center"/>
      <protection hidden="1"/>
    </xf>
    <xf numFmtId="2" fontId="61" fillId="2" borderId="77" xfId="0" applyNumberFormat="1" applyFont="1" applyFill="1" applyBorder="1" applyAlignment="1" applyProtection="1">
      <alignment horizontal="center"/>
      <protection hidden="1"/>
    </xf>
    <xf numFmtId="2" fontId="61" fillId="2" borderId="38" xfId="0" applyNumberFormat="1" applyFont="1" applyFill="1" applyBorder="1" applyAlignment="1" applyProtection="1">
      <alignment horizontal="center"/>
      <protection hidden="1"/>
    </xf>
    <xf numFmtId="176" fontId="61" fillId="2" borderId="9" xfId="0" applyNumberFormat="1" applyFont="1" applyFill="1" applyBorder="1" applyAlignment="1" applyProtection="1">
      <alignment horizontal="center"/>
      <protection hidden="1"/>
    </xf>
    <xf numFmtId="1" fontId="61" fillId="2" borderId="23" xfId="0" applyNumberFormat="1" applyFont="1" applyFill="1" applyBorder="1" applyAlignment="1" applyProtection="1">
      <alignment horizontal="center"/>
      <protection hidden="1"/>
    </xf>
    <xf numFmtId="176" fontId="61" fillId="2" borderId="23" xfId="0" applyNumberFormat="1" applyFont="1" applyFill="1" applyBorder="1" applyAlignment="1" applyProtection="1">
      <alignment horizontal="center"/>
      <protection hidden="1"/>
    </xf>
    <xf numFmtId="0" fontId="61" fillId="2" borderId="23" xfId="0" applyFont="1" applyFill="1" applyBorder="1" applyAlignment="1" applyProtection="1">
      <alignment horizontal="center"/>
      <protection hidden="1"/>
    </xf>
    <xf numFmtId="177" fontId="61" fillId="2" borderId="23" xfId="0" applyNumberFormat="1" applyFont="1" applyFill="1" applyBorder="1" applyAlignment="1" applyProtection="1">
      <alignment horizontal="center"/>
      <protection hidden="1"/>
    </xf>
    <xf numFmtId="1" fontId="61" fillId="2" borderId="24" xfId="0" applyNumberFormat="1" applyFont="1" applyFill="1" applyBorder="1" applyAlignment="1" applyProtection="1">
      <alignment horizontal="center"/>
      <protection hidden="1"/>
    </xf>
    <xf numFmtId="2" fontId="61" fillId="2" borderId="84" xfId="0" applyNumberFormat="1" applyFont="1" applyFill="1" applyBorder="1" applyAlignment="1" applyProtection="1">
      <alignment horizontal="center"/>
      <protection hidden="1"/>
    </xf>
    <xf numFmtId="2" fontId="61" fillId="2" borderId="85" xfId="0" applyNumberFormat="1" applyFont="1" applyFill="1" applyBorder="1" applyAlignment="1" applyProtection="1">
      <alignment horizontal="center"/>
      <protection hidden="1"/>
    </xf>
    <xf numFmtId="2" fontId="61" fillId="2" borderId="86" xfId="0" applyNumberFormat="1" applyFont="1" applyFill="1" applyBorder="1" applyAlignment="1" applyProtection="1">
      <alignment horizontal="center"/>
      <protection hidden="1"/>
    </xf>
    <xf numFmtId="0" fontId="60" fillId="2" borderId="0" xfId="0" applyFont="1" applyFill="1" applyProtection="1">
      <protection hidden="1"/>
    </xf>
    <xf numFmtId="0" fontId="60" fillId="2" borderId="0" xfId="0" applyFont="1" applyFill="1" applyBorder="1" applyAlignment="1" applyProtection="1">
      <alignment horizontal="right"/>
      <protection hidden="1"/>
    </xf>
    <xf numFmtId="0" fontId="60" fillId="2" borderId="0" xfId="0" applyFont="1" applyFill="1" applyBorder="1" applyAlignment="1" applyProtection="1">
      <alignment horizontal="left"/>
      <protection hidden="1"/>
    </xf>
    <xf numFmtId="0" fontId="60" fillId="2" borderId="0" xfId="0" applyFont="1" applyFill="1" applyBorder="1" applyProtection="1">
      <protection hidden="1"/>
    </xf>
    <xf numFmtId="0" fontId="61" fillId="2" borderId="0" xfId="0" applyFont="1" applyFill="1" applyBorder="1" applyProtection="1">
      <protection hidden="1"/>
    </xf>
    <xf numFmtId="0" fontId="61" fillId="2" borderId="0" xfId="0" applyFont="1" applyFill="1" applyProtection="1">
      <protection hidden="1"/>
    </xf>
    <xf numFmtId="0" fontId="61" fillId="2" borderId="0" xfId="0" applyFont="1" applyFill="1" applyAlignment="1" applyProtection="1">
      <alignment horizontal="right"/>
      <protection hidden="1"/>
    </xf>
    <xf numFmtId="0" fontId="61" fillId="6" borderId="0" xfId="0" applyFont="1" applyFill="1" applyProtection="1">
      <protection hidden="1"/>
    </xf>
    <xf numFmtId="0" fontId="61" fillId="2" borderId="0" xfId="0" applyNumberFormat="1" applyFont="1" applyFill="1" applyProtection="1">
      <protection hidden="1"/>
    </xf>
    <xf numFmtId="185" fontId="61" fillId="6" borderId="0" xfId="0" applyNumberFormat="1" applyFont="1" applyFill="1" applyAlignment="1" applyProtection="1">
      <alignment horizontal="center"/>
      <protection hidden="1"/>
    </xf>
    <xf numFmtId="185" fontId="61" fillId="6" borderId="0" xfId="0" applyNumberFormat="1" applyFont="1" applyFill="1" applyBorder="1" applyAlignment="1" applyProtection="1">
      <alignment horizontal="center"/>
    </xf>
    <xf numFmtId="0" fontId="61" fillId="0" borderId="22" xfId="0" applyFont="1" applyFill="1" applyBorder="1" applyAlignment="1" applyProtection="1">
      <alignment horizontal="center"/>
      <protection hidden="1"/>
    </xf>
    <xf numFmtId="0" fontId="61" fillId="0" borderId="40" xfId="0" applyFont="1" applyFill="1" applyBorder="1" applyAlignment="1" applyProtection="1">
      <alignment horizontal="center"/>
      <protection hidden="1"/>
    </xf>
    <xf numFmtId="0" fontId="61" fillId="0" borderId="31" xfId="0" applyFont="1" applyFill="1" applyBorder="1" applyAlignment="1" applyProtection="1">
      <alignment horizontal="center"/>
      <protection hidden="1"/>
    </xf>
    <xf numFmtId="165" fontId="61" fillId="0" borderId="31" xfId="0" applyNumberFormat="1" applyFont="1" applyFill="1" applyBorder="1" applyAlignment="1" applyProtection="1">
      <alignment horizontal="center"/>
      <protection hidden="1"/>
    </xf>
    <xf numFmtId="0" fontId="61" fillId="0" borderId="35" xfId="0" applyFont="1" applyFill="1" applyBorder="1" applyAlignment="1" applyProtection="1">
      <alignment horizontal="center"/>
      <protection hidden="1"/>
    </xf>
    <xf numFmtId="0" fontId="61" fillId="0" borderId="87" xfId="0" applyFont="1" applyFill="1" applyBorder="1" applyAlignment="1" applyProtection="1">
      <alignment horizontal="center"/>
      <protection hidden="1"/>
    </xf>
    <xf numFmtId="171" fontId="61" fillId="6" borderId="88" xfId="0" applyNumberFormat="1" applyFont="1" applyFill="1" applyBorder="1" applyAlignment="1" applyProtection="1">
      <alignment horizontal="center"/>
      <protection hidden="1"/>
    </xf>
    <xf numFmtId="171" fontId="61" fillId="6" borderId="89" xfId="0" applyNumberFormat="1" applyFont="1" applyFill="1" applyBorder="1" applyAlignment="1" applyProtection="1">
      <alignment horizontal="center"/>
      <protection hidden="1"/>
    </xf>
    <xf numFmtId="171" fontId="61" fillId="6" borderId="90" xfId="0" applyNumberFormat="1" applyFont="1" applyFill="1" applyBorder="1" applyAlignment="1" applyProtection="1">
      <alignment horizontal="center"/>
      <protection hidden="1"/>
    </xf>
    <xf numFmtId="173" fontId="61" fillId="6" borderId="90" xfId="0" applyNumberFormat="1" applyFont="1" applyFill="1" applyBorder="1" applyAlignment="1" applyProtection="1">
      <alignment horizontal="center"/>
      <protection hidden="1"/>
    </xf>
    <xf numFmtId="171" fontId="61" fillId="6" borderId="91" xfId="0" applyNumberFormat="1" applyFont="1" applyFill="1" applyBorder="1" applyAlignment="1" applyProtection="1">
      <alignment horizontal="center"/>
      <protection hidden="1"/>
    </xf>
    <xf numFmtId="0" fontId="61" fillId="2" borderId="0" xfId="0" applyFont="1" applyFill="1" applyAlignment="1" applyProtection="1">
      <alignment horizontal="center"/>
      <protection hidden="1"/>
    </xf>
    <xf numFmtId="0" fontId="61" fillId="2" borderId="0" xfId="0" quotePrefix="1" applyFont="1" applyFill="1" applyProtection="1">
      <protection hidden="1"/>
    </xf>
    <xf numFmtId="0" fontId="61" fillId="2" borderId="29" xfId="0" applyFont="1" applyFill="1" applyBorder="1" applyProtection="1">
      <protection hidden="1"/>
    </xf>
    <xf numFmtId="181" fontId="61" fillId="2" borderId="82" xfId="0" applyNumberFormat="1" applyFont="1" applyFill="1" applyBorder="1" applyAlignment="1" applyProtection="1">
      <alignment horizontal="center"/>
      <protection hidden="1"/>
    </xf>
    <xf numFmtId="2" fontId="61" fillId="2" borderId="14" xfId="0" applyNumberFormat="1" applyFont="1" applyFill="1" applyBorder="1" applyAlignment="1" applyProtection="1">
      <alignment horizontal="center"/>
      <protection hidden="1"/>
    </xf>
    <xf numFmtId="176" fontId="61" fillId="2" borderId="18" xfId="0" applyNumberFormat="1" applyFont="1" applyFill="1" applyBorder="1" applyAlignment="1" applyProtection="1">
      <alignment horizontal="center"/>
      <protection hidden="1"/>
    </xf>
    <xf numFmtId="177" fontId="61" fillId="2" borderId="14" xfId="0" applyNumberFormat="1" applyFont="1" applyFill="1" applyBorder="1" applyProtection="1">
      <protection hidden="1"/>
    </xf>
    <xf numFmtId="176" fontId="61" fillId="2" borderId="33" xfId="0" applyNumberFormat="1" applyFont="1" applyFill="1" applyBorder="1" applyAlignment="1" applyProtection="1">
      <alignment horizontal="center"/>
      <protection hidden="1"/>
    </xf>
    <xf numFmtId="0" fontId="61" fillId="2" borderId="75" xfId="0" quotePrefix="1" applyNumberFormat="1" applyFont="1" applyFill="1" applyBorder="1" applyAlignment="1" applyProtection="1">
      <alignment horizontal="center"/>
      <protection hidden="1"/>
    </xf>
    <xf numFmtId="0" fontId="61" fillId="2" borderId="74" xfId="0" applyNumberFormat="1" applyFont="1" applyFill="1" applyBorder="1" applyAlignment="1" applyProtection="1">
      <alignment horizontal="center"/>
      <protection hidden="1"/>
    </xf>
    <xf numFmtId="177" fontId="61" fillId="2" borderId="72" xfId="0" applyNumberFormat="1" applyFont="1" applyFill="1" applyBorder="1" applyAlignment="1" applyProtection="1">
      <alignment horizontal="left"/>
      <protection hidden="1"/>
    </xf>
    <xf numFmtId="0" fontId="61" fillId="2" borderId="12" xfId="0" applyFont="1" applyFill="1" applyBorder="1" applyProtection="1">
      <protection hidden="1"/>
    </xf>
    <xf numFmtId="2" fontId="61" fillId="2" borderId="12" xfId="0" applyNumberFormat="1" applyFont="1" applyFill="1" applyBorder="1" applyAlignment="1" applyProtection="1">
      <alignment horizontal="center"/>
      <protection hidden="1"/>
    </xf>
    <xf numFmtId="176" fontId="61" fillId="2" borderId="20" xfId="0" applyNumberFormat="1" applyFont="1" applyFill="1" applyBorder="1" applyAlignment="1" applyProtection="1">
      <alignment horizontal="center"/>
      <protection hidden="1"/>
    </xf>
    <xf numFmtId="177" fontId="61" fillId="2" borderId="12" xfId="0" applyNumberFormat="1" applyFont="1" applyFill="1" applyBorder="1" applyProtection="1">
      <protection hidden="1"/>
    </xf>
    <xf numFmtId="0" fontId="61" fillId="2" borderId="78" xfId="0" quotePrefix="1" applyNumberFormat="1" applyFont="1" applyFill="1" applyBorder="1" applyAlignment="1" applyProtection="1">
      <alignment horizontal="center"/>
      <protection hidden="1"/>
    </xf>
    <xf numFmtId="0" fontId="61" fillId="2" borderId="83" xfId="0" applyNumberFormat="1" applyFont="1" applyFill="1" applyBorder="1" applyAlignment="1" applyProtection="1">
      <alignment horizontal="center"/>
      <protection hidden="1"/>
    </xf>
    <xf numFmtId="177" fontId="61" fillId="2" borderId="34" xfId="0" applyNumberFormat="1" applyFont="1" applyFill="1" applyBorder="1" applyAlignment="1" applyProtection="1">
      <alignment horizontal="left"/>
      <protection hidden="1"/>
    </xf>
    <xf numFmtId="0" fontId="61" fillId="2" borderId="23" xfId="0" applyFont="1" applyFill="1" applyBorder="1" applyProtection="1">
      <protection hidden="1"/>
    </xf>
    <xf numFmtId="181" fontId="61" fillId="2" borderId="92" xfId="0" applyNumberFormat="1" applyFont="1" applyFill="1" applyBorder="1" applyAlignment="1" applyProtection="1">
      <alignment horizontal="center"/>
      <protection hidden="1"/>
    </xf>
    <xf numFmtId="2" fontId="61" fillId="2" borderId="23" xfId="0" applyNumberFormat="1" applyFont="1" applyFill="1" applyBorder="1" applyAlignment="1" applyProtection="1">
      <alignment horizontal="center"/>
      <protection hidden="1"/>
    </xf>
    <xf numFmtId="176" fontId="61" fillId="2" borderId="24" xfId="0" applyNumberFormat="1" applyFont="1" applyFill="1" applyBorder="1" applyAlignment="1" applyProtection="1">
      <alignment horizontal="center"/>
      <protection hidden="1"/>
    </xf>
    <xf numFmtId="177" fontId="61" fillId="2" borderId="23" xfId="0" applyNumberFormat="1" applyFont="1" applyFill="1" applyBorder="1" applyProtection="1">
      <protection hidden="1"/>
    </xf>
    <xf numFmtId="176" fontId="61" fillId="2" borderId="93" xfId="0" applyNumberFormat="1" applyFont="1" applyFill="1" applyBorder="1" applyAlignment="1" applyProtection="1">
      <alignment horizontal="center"/>
      <protection hidden="1"/>
    </xf>
    <xf numFmtId="0" fontId="61" fillId="2" borderId="84" xfId="0" quotePrefix="1" applyNumberFormat="1" applyFont="1" applyFill="1" applyBorder="1" applyAlignment="1" applyProtection="1">
      <alignment horizontal="center"/>
      <protection hidden="1"/>
    </xf>
    <xf numFmtId="0" fontId="61" fillId="2" borderId="94" xfId="0" applyNumberFormat="1" applyFont="1" applyFill="1" applyBorder="1" applyAlignment="1" applyProtection="1">
      <alignment horizontal="center"/>
      <protection hidden="1"/>
    </xf>
    <xf numFmtId="177" fontId="61" fillId="2" borderId="93" xfId="0" applyNumberFormat="1" applyFont="1" applyFill="1" applyBorder="1" applyAlignment="1" applyProtection="1">
      <alignment horizontal="left"/>
      <protection hidden="1"/>
    </xf>
    <xf numFmtId="0" fontId="61" fillId="2" borderId="0" xfId="0" applyFont="1" applyFill="1" applyBorder="1" applyAlignment="1" applyProtection="1">
      <alignment horizontal="center"/>
      <protection hidden="1"/>
    </xf>
    <xf numFmtId="0" fontId="61" fillId="2" borderId="0" xfId="0" applyFont="1" applyFill="1" applyAlignment="1" applyProtection="1">
      <alignment horizontal="left"/>
      <protection hidden="1"/>
    </xf>
    <xf numFmtId="0" fontId="61" fillId="2" borderId="44" xfId="0" applyFont="1" applyFill="1" applyBorder="1" applyProtection="1">
      <protection hidden="1"/>
    </xf>
    <xf numFmtId="0" fontId="61" fillId="2" borderId="95" xfId="0" applyFont="1" applyFill="1" applyBorder="1" applyAlignment="1" applyProtection="1">
      <alignment horizontal="centerContinuous"/>
      <protection hidden="1"/>
    </xf>
    <xf numFmtId="0" fontId="61" fillId="2" borderId="96" xfId="0" applyFont="1" applyFill="1" applyBorder="1" applyAlignment="1" applyProtection="1">
      <alignment horizontal="centerContinuous"/>
      <protection hidden="1"/>
    </xf>
    <xf numFmtId="0" fontId="61" fillId="2" borderId="0" xfId="0" applyFont="1" applyFill="1" applyBorder="1" applyAlignment="1" applyProtection="1">
      <alignment horizontal="centerContinuous"/>
      <protection hidden="1"/>
    </xf>
    <xf numFmtId="0" fontId="61" fillId="2" borderId="96" xfId="0" applyFont="1" applyFill="1" applyBorder="1" applyProtection="1">
      <protection hidden="1"/>
    </xf>
    <xf numFmtId="0" fontId="61" fillId="2" borderId="97" xfId="0" applyFont="1" applyFill="1" applyBorder="1" applyProtection="1">
      <protection hidden="1"/>
    </xf>
    <xf numFmtId="0" fontId="61" fillId="2" borderId="98" xfId="0" applyFont="1" applyFill="1" applyBorder="1" applyAlignment="1" applyProtection="1">
      <alignment horizontal="center"/>
      <protection hidden="1"/>
    </xf>
    <xf numFmtId="0" fontId="61" fillId="2" borderId="31" xfId="0" applyFont="1" applyFill="1" applyBorder="1" applyAlignment="1" applyProtection="1">
      <alignment horizontal="center"/>
      <protection hidden="1"/>
    </xf>
    <xf numFmtId="0" fontId="61" fillId="8" borderId="57" xfId="0" applyNumberFormat="1" applyFont="1" applyFill="1" applyBorder="1" applyAlignment="1" applyProtection="1">
      <alignment horizontal="center"/>
      <protection hidden="1"/>
    </xf>
    <xf numFmtId="2" fontId="61" fillId="8" borderId="8" xfId="0" applyNumberFormat="1" applyFont="1" applyFill="1" applyBorder="1" applyAlignment="1" applyProtection="1">
      <alignment horizontal="center"/>
      <protection hidden="1"/>
    </xf>
    <xf numFmtId="12" fontId="61" fillId="8" borderId="12" xfId="0" applyNumberFormat="1" applyFont="1" applyFill="1" applyBorder="1" applyAlignment="1" applyProtection="1">
      <alignment horizontal="center"/>
      <protection hidden="1"/>
    </xf>
    <xf numFmtId="178" fontId="61" fillId="8" borderId="20" xfId="0" applyNumberFormat="1" applyFont="1" applyFill="1" applyBorder="1" applyAlignment="1" applyProtection="1">
      <alignment horizontal="center"/>
      <protection hidden="1"/>
    </xf>
    <xf numFmtId="177" fontId="61" fillId="8" borderId="10" xfId="0" applyNumberFormat="1" applyFont="1" applyFill="1" applyBorder="1" applyAlignment="1" applyProtection="1">
      <alignment horizontal="center"/>
      <protection hidden="1"/>
    </xf>
    <xf numFmtId="176" fontId="61" fillId="8" borderId="12" xfId="0" applyNumberFormat="1" applyFont="1" applyFill="1" applyBorder="1" applyAlignment="1" applyProtection="1">
      <alignment horizontal="center"/>
      <protection hidden="1"/>
    </xf>
    <xf numFmtId="2" fontId="61" fillId="8" borderId="12" xfId="0" applyNumberFormat="1" applyFont="1" applyFill="1" applyBorder="1" applyAlignment="1" applyProtection="1">
      <alignment horizontal="center"/>
      <protection hidden="1"/>
    </xf>
    <xf numFmtId="176" fontId="62" fillId="8" borderId="12" xfId="0" applyNumberFormat="1" applyFont="1" applyFill="1" applyBorder="1" applyAlignment="1" applyProtection="1">
      <alignment horizontal="center"/>
      <protection hidden="1"/>
    </xf>
    <xf numFmtId="0" fontId="61" fillId="8" borderId="12" xfId="0" applyFont="1" applyFill="1" applyBorder="1" applyAlignment="1" applyProtection="1">
      <alignment horizontal="center"/>
      <protection hidden="1"/>
    </xf>
    <xf numFmtId="165" fontId="61" fillId="8" borderId="12" xfId="0" applyNumberFormat="1" applyFont="1" applyFill="1" applyBorder="1" applyAlignment="1" applyProtection="1">
      <alignment horizontal="center"/>
      <protection hidden="1"/>
    </xf>
    <xf numFmtId="0" fontId="61" fillId="8" borderId="14" xfId="0" applyFont="1" applyFill="1" applyBorder="1" applyAlignment="1" applyProtection="1">
      <alignment horizontal="center"/>
      <protection hidden="1"/>
    </xf>
    <xf numFmtId="12" fontId="61" fillId="8" borderId="26" xfId="0" applyNumberFormat="1" applyFont="1" applyFill="1" applyBorder="1" applyAlignment="1" applyProtection="1">
      <alignment horizontal="center"/>
      <protection hidden="1"/>
    </xf>
    <xf numFmtId="166" fontId="61" fillId="8" borderId="72" xfId="0" applyNumberFormat="1" applyFont="1" applyFill="1" applyBorder="1" applyAlignment="1" applyProtection="1">
      <alignment horizontal="center"/>
      <protection hidden="1"/>
    </xf>
    <xf numFmtId="2" fontId="61" fillId="8" borderId="19" xfId="0" applyNumberFormat="1" applyFont="1" applyFill="1" applyBorder="1" applyAlignment="1" applyProtection="1">
      <alignment horizontal="center"/>
      <protection hidden="1"/>
    </xf>
    <xf numFmtId="2" fontId="61" fillId="8" borderId="11" xfId="0" applyNumberFormat="1" applyFont="1" applyFill="1" applyBorder="1" applyAlignment="1" applyProtection="1">
      <alignment horizontal="center"/>
      <protection hidden="1"/>
    </xf>
    <xf numFmtId="176" fontId="61" fillId="8" borderId="14" xfId="0" applyNumberFormat="1" applyFont="1" applyFill="1" applyBorder="1" applyAlignment="1" applyProtection="1">
      <alignment horizontal="center"/>
    </xf>
    <xf numFmtId="176" fontId="61" fillId="8" borderId="18" xfId="0" applyNumberFormat="1" applyFont="1" applyFill="1" applyBorder="1" applyAlignment="1" applyProtection="1">
      <alignment horizontal="center"/>
    </xf>
    <xf numFmtId="166" fontId="61" fillId="8" borderId="34" xfId="0" applyNumberFormat="1" applyFont="1" applyFill="1" applyBorder="1" applyAlignment="1" applyProtection="1">
      <alignment horizontal="center"/>
      <protection hidden="1"/>
    </xf>
    <xf numFmtId="176" fontId="61" fillId="8" borderId="12" xfId="0" applyNumberFormat="1" applyFont="1" applyFill="1" applyBorder="1" applyAlignment="1" applyProtection="1">
      <alignment horizontal="center"/>
    </xf>
    <xf numFmtId="176" fontId="61" fillId="8" borderId="20" xfId="0" applyNumberFormat="1" applyFont="1" applyFill="1" applyBorder="1" applyAlignment="1" applyProtection="1">
      <alignment horizontal="center"/>
    </xf>
    <xf numFmtId="0" fontId="61" fillId="2" borderId="0" xfId="0" applyFont="1" applyFill="1" applyBorder="1" applyAlignment="1" applyProtection="1">
      <protection hidden="1"/>
    </xf>
    <xf numFmtId="0" fontId="61" fillId="2" borderId="57" xfId="0" applyNumberFormat="1" applyFont="1" applyFill="1" applyBorder="1" applyAlignment="1" applyProtection="1">
      <alignment horizontal="center"/>
      <protection hidden="1"/>
    </xf>
    <xf numFmtId="2" fontId="61" fillId="2" borderId="8" xfId="0" applyNumberFormat="1" applyFont="1" applyFill="1" applyBorder="1" applyAlignment="1" applyProtection="1">
      <alignment horizontal="center"/>
      <protection hidden="1"/>
    </xf>
    <xf numFmtId="12" fontId="61" fillId="2" borderId="12" xfId="0" applyNumberFormat="1" applyFont="1" applyFill="1" applyBorder="1" applyAlignment="1" applyProtection="1">
      <alignment horizontal="center"/>
      <protection hidden="1"/>
    </xf>
    <xf numFmtId="178" fontId="61" fillId="2" borderId="20" xfId="0" applyNumberFormat="1" applyFont="1" applyFill="1" applyBorder="1" applyAlignment="1" applyProtection="1">
      <alignment horizontal="center"/>
      <protection hidden="1"/>
    </xf>
    <xf numFmtId="177" fontId="61" fillId="2" borderId="10" xfId="0" applyNumberFormat="1" applyFont="1" applyFill="1" applyBorder="1" applyAlignment="1" applyProtection="1">
      <alignment horizontal="center"/>
      <protection hidden="1"/>
    </xf>
    <xf numFmtId="0" fontId="12" fillId="2" borderId="12" xfId="0" applyFont="1" applyFill="1" applyBorder="1" applyAlignment="1" applyProtection="1">
      <alignment horizontal="center" vertical="center"/>
      <protection hidden="1"/>
    </xf>
    <xf numFmtId="0" fontId="12" fillId="2" borderId="12" xfId="0" applyFont="1" applyFill="1" applyBorder="1" applyAlignment="1" applyProtection="1">
      <alignment horizontal="center" vertical="center" wrapText="1"/>
    </xf>
    <xf numFmtId="0" fontId="12" fillId="2" borderId="12" xfId="0" applyFont="1" applyFill="1" applyBorder="1" applyAlignment="1" applyProtection="1">
      <alignment horizontal="center" vertical="center"/>
    </xf>
    <xf numFmtId="0" fontId="64" fillId="0" borderId="0" xfId="0" applyFont="1" applyFill="1" applyBorder="1" applyProtection="1"/>
    <xf numFmtId="0" fontId="30" fillId="0" borderId="0" xfId="0" applyFont="1" applyFill="1" applyBorder="1" applyProtection="1"/>
    <xf numFmtId="0" fontId="12" fillId="0" borderId="0" xfId="0" applyFont="1" applyFill="1" applyBorder="1" applyAlignment="1" applyProtection="1"/>
    <xf numFmtId="0" fontId="65" fillId="2" borderId="0" xfId="0" applyFont="1" applyFill="1" applyBorder="1" applyAlignment="1" applyProtection="1">
      <alignment horizontal="right" vertical="center"/>
    </xf>
    <xf numFmtId="0" fontId="22" fillId="2" borderId="0" xfId="0" applyFont="1" applyFill="1" applyAlignment="1" applyProtection="1">
      <alignment horizontal="right"/>
      <protection hidden="1"/>
    </xf>
    <xf numFmtId="0" fontId="30" fillId="2" borderId="0" xfId="0" applyFont="1" applyFill="1" applyBorder="1" applyAlignment="1" applyProtection="1">
      <alignment horizontal="center"/>
    </xf>
    <xf numFmtId="0" fontId="30" fillId="2" borderId="0" xfId="0" applyFont="1" applyFill="1" applyBorder="1" applyProtection="1"/>
    <xf numFmtId="0" fontId="65" fillId="2" borderId="0" xfId="0" applyFont="1" applyFill="1" applyBorder="1" applyAlignment="1" applyProtection="1">
      <alignment horizontal="left" vertical="center"/>
    </xf>
    <xf numFmtId="0" fontId="22" fillId="6" borderId="0" xfId="0" applyFont="1" applyFill="1" applyProtection="1">
      <protection hidden="1"/>
    </xf>
    <xf numFmtId="0" fontId="22" fillId="2" borderId="0" xfId="0" applyNumberFormat="1" applyFont="1" applyFill="1" applyProtection="1">
      <protection hidden="1"/>
    </xf>
    <xf numFmtId="0" fontId="30" fillId="2" borderId="0" xfId="0" applyFont="1" applyFill="1" applyAlignment="1" applyProtection="1">
      <alignment horizontal="left"/>
    </xf>
    <xf numFmtId="0" fontId="42" fillId="0" borderId="0" xfId="0" applyFont="1" applyFill="1" applyBorder="1" applyProtection="1"/>
    <xf numFmtId="49" fontId="12" fillId="2" borderId="0" xfId="0" applyNumberFormat="1" applyFont="1" applyFill="1" applyBorder="1" applyAlignment="1" applyProtection="1"/>
    <xf numFmtId="185" fontId="22" fillId="6" borderId="0" xfId="0" applyNumberFormat="1" applyFont="1" applyFill="1" applyAlignment="1" applyProtection="1">
      <alignment horizontal="center"/>
      <protection hidden="1"/>
    </xf>
    <xf numFmtId="185" fontId="30" fillId="6" borderId="0" xfId="0" applyNumberFormat="1" applyFont="1" applyFill="1" applyBorder="1" applyAlignment="1" applyProtection="1">
      <alignment horizontal="center"/>
    </xf>
    <xf numFmtId="0" fontId="22" fillId="0" borderId="40" xfId="0" applyFont="1" applyFill="1" applyBorder="1" applyAlignment="1" applyProtection="1">
      <alignment horizontal="center"/>
      <protection hidden="1"/>
    </xf>
    <xf numFmtId="0" fontId="22" fillId="0" borderId="31" xfId="0" applyFont="1" applyFill="1" applyBorder="1" applyAlignment="1" applyProtection="1">
      <alignment horizontal="center"/>
      <protection hidden="1"/>
    </xf>
    <xf numFmtId="165" fontId="22" fillId="0" borderId="31" xfId="0" applyNumberFormat="1" applyFont="1" applyFill="1" applyBorder="1" applyAlignment="1" applyProtection="1">
      <alignment horizontal="center"/>
      <protection hidden="1"/>
    </xf>
    <xf numFmtId="0" fontId="22" fillId="0" borderId="35" xfId="0" applyFont="1" applyFill="1" applyBorder="1" applyAlignment="1" applyProtection="1">
      <alignment horizontal="center"/>
      <protection hidden="1"/>
    </xf>
    <xf numFmtId="0" fontId="22" fillId="0" borderId="0" xfId="0" quotePrefix="1" applyFont="1" applyFill="1" applyBorder="1" applyProtection="1">
      <protection hidden="1"/>
    </xf>
    <xf numFmtId="0" fontId="22" fillId="0" borderId="0" xfId="0" applyFont="1" applyFill="1" applyBorder="1" applyAlignment="1" applyProtection="1">
      <alignment wrapText="1"/>
      <protection hidden="1"/>
    </xf>
    <xf numFmtId="0" fontId="22" fillId="0" borderId="104" xfId="0" applyFont="1" applyFill="1" applyBorder="1" applyAlignment="1" applyProtection="1">
      <alignment horizontal="center"/>
      <protection hidden="1"/>
    </xf>
    <xf numFmtId="0" fontId="12" fillId="0" borderId="0" xfId="0" applyFont="1" applyFill="1" applyBorder="1" applyAlignment="1" applyProtection="1">
      <alignment horizontal="right"/>
    </xf>
    <xf numFmtId="164" fontId="46" fillId="0" borderId="0" xfId="0" applyNumberFormat="1" applyFont="1" applyFill="1" applyBorder="1" applyAlignment="1" applyProtection="1"/>
    <xf numFmtId="0" fontId="47" fillId="0" borderId="0" xfId="0" applyFont="1" applyFill="1" applyAlignment="1" applyProtection="1">
      <alignment horizontal="left" vertical="center" indent="4"/>
    </xf>
    <xf numFmtId="0" fontId="30" fillId="0" borderId="0" xfId="0" applyFont="1" applyFill="1" applyProtection="1"/>
    <xf numFmtId="0" fontId="12" fillId="0" borderId="0" xfId="0" applyFont="1" applyFill="1" applyAlignment="1" applyProtection="1">
      <alignment horizontal="right"/>
    </xf>
    <xf numFmtId="0" fontId="30" fillId="2" borderId="0" xfId="0" applyFont="1" applyFill="1" applyAlignment="1" applyProtection="1">
      <alignment horizontal="center"/>
    </xf>
    <xf numFmtId="0" fontId="30" fillId="0" borderId="11" xfId="0" applyFont="1" applyFill="1" applyBorder="1" applyProtection="1"/>
    <xf numFmtId="49" fontId="67" fillId="0" borderId="10" xfId="0" applyNumberFormat="1" applyFont="1" applyFill="1" applyBorder="1" applyProtection="1"/>
    <xf numFmtId="0" fontId="68" fillId="0" borderId="10" xfId="0" applyFont="1" applyFill="1" applyBorder="1" applyAlignment="1" applyProtection="1">
      <alignment horizontal="left" vertical="center"/>
    </xf>
    <xf numFmtId="0" fontId="41" fillId="2" borderId="105" xfId="0" applyNumberFormat="1" applyFont="1" applyFill="1" applyBorder="1" applyAlignment="1" applyProtection="1">
      <alignment horizontal="left"/>
    </xf>
    <xf numFmtId="175" fontId="69" fillId="0" borderId="0" xfId="0" applyNumberFormat="1" applyFont="1" applyFill="1" applyBorder="1" applyAlignment="1" applyProtection="1">
      <alignment horizontal="left" vertical="center"/>
      <protection hidden="1"/>
    </xf>
    <xf numFmtId="0" fontId="30" fillId="0" borderId="39" xfId="0" applyFont="1" applyFill="1" applyBorder="1" applyProtection="1"/>
    <xf numFmtId="49" fontId="41" fillId="0" borderId="10" xfId="0" applyNumberFormat="1" applyFont="1" applyFill="1" applyBorder="1" applyAlignment="1" applyProtection="1">
      <alignment horizontal="left"/>
    </xf>
    <xf numFmtId="0" fontId="68" fillId="0" borderId="15" xfId="0" applyFont="1" applyFill="1" applyBorder="1" applyAlignment="1" applyProtection="1">
      <alignment horizontal="left" vertical="center"/>
    </xf>
    <xf numFmtId="0" fontId="22" fillId="2" borderId="0" xfId="0" applyFont="1" applyFill="1" applyAlignment="1" applyProtection="1">
      <protection hidden="1"/>
    </xf>
    <xf numFmtId="176" fontId="22" fillId="2" borderId="0" xfId="0" applyNumberFormat="1" applyFont="1" applyFill="1" applyBorder="1" applyProtection="1">
      <protection hidden="1"/>
    </xf>
    <xf numFmtId="3" fontId="52" fillId="2" borderId="0" xfId="0" applyNumberFormat="1" applyFont="1" applyFill="1" applyBorder="1" applyAlignment="1" applyProtection="1">
      <alignment horizontal="center"/>
    </xf>
    <xf numFmtId="0" fontId="70" fillId="0" borderId="0" xfId="0" applyFont="1" applyFill="1" applyBorder="1" applyProtection="1">
      <protection hidden="1"/>
    </xf>
    <xf numFmtId="0" fontId="22" fillId="0" borderId="0" xfId="0" applyFont="1" applyFill="1" applyBorder="1" applyAlignment="1" applyProtection="1">
      <alignment horizontal="centerContinuous"/>
      <protection hidden="1"/>
    </xf>
    <xf numFmtId="0" fontId="30" fillId="2" borderId="0" xfId="0" applyFont="1" applyFill="1" applyBorder="1" applyAlignment="1" applyProtection="1">
      <alignment horizontal="center" vertical="center"/>
      <protection hidden="1"/>
    </xf>
    <xf numFmtId="0" fontId="22" fillId="2" borderId="0" xfId="0" applyFont="1" applyFill="1" applyBorder="1" applyAlignment="1" applyProtection="1">
      <alignment horizontal="center"/>
      <protection hidden="1"/>
    </xf>
    <xf numFmtId="0" fontId="12" fillId="0" borderId="0" xfId="0" applyFont="1" applyFill="1" applyBorder="1" applyAlignment="1" applyProtection="1">
      <alignment horizontal="left" vertical="top" indent="1"/>
    </xf>
    <xf numFmtId="0" fontId="12" fillId="2" borderId="0" xfId="0" applyFont="1" applyFill="1" applyBorder="1" applyAlignment="1" applyProtection="1">
      <alignment horizontal="center" vertical="top"/>
    </xf>
    <xf numFmtId="176" fontId="22" fillId="2" borderId="0" xfId="0" applyNumberFormat="1" applyFont="1" applyFill="1" applyBorder="1" applyAlignment="1" applyProtection="1">
      <alignment horizontal="center"/>
      <protection hidden="1"/>
    </xf>
    <xf numFmtId="0" fontId="47" fillId="0" borderId="0" xfId="0" applyFont="1" applyFill="1" applyBorder="1" applyAlignment="1" applyProtection="1">
      <alignment horizontal="left" indent="1"/>
    </xf>
    <xf numFmtId="0" fontId="47" fillId="2" borderId="0" xfId="0" applyFont="1" applyFill="1" applyBorder="1" applyAlignment="1" applyProtection="1">
      <alignment horizontal="center"/>
    </xf>
    <xf numFmtId="3" fontId="41" fillId="2" borderId="0" xfId="0" applyNumberFormat="1" applyFont="1" applyFill="1" applyBorder="1" applyAlignment="1" applyProtection="1">
      <alignment horizontal="center"/>
    </xf>
    <xf numFmtId="0" fontId="30" fillId="2" borderId="0" xfId="0" applyFont="1" applyFill="1" applyProtection="1">
      <protection locked="0"/>
    </xf>
    <xf numFmtId="12" fontId="22" fillId="2" borderId="0" xfId="0" applyNumberFormat="1" applyFont="1" applyFill="1" applyProtection="1">
      <protection hidden="1"/>
    </xf>
    <xf numFmtId="176" fontId="22" fillId="2" borderId="0" xfId="0" applyNumberFormat="1" applyFont="1" applyFill="1" applyProtection="1">
      <protection hidden="1"/>
    </xf>
    <xf numFmtId="12" fontId="22" fillId="2" borderId="0" xfId="0" applyNumberFormat="1" applyFont="1" applyFill="1" applyAlignment="1" applyProtection="1">
      <alignment horizontal="left"/>
      <protection hidden="1"/>
    </xf>
    <xf numFmtId="0" fontId="22" fillId="2" borderId="0" xfId="0" applyFont="1" applyFill="1" applyAlignment="1" applyProtection="1">
      <alignment horizontal="left"/>
      <protection hidden="1"/>
    </xf>
    <xf numFmtId="2" fontId="22" fillId="2" borderId="0" xfId="0" applyNumberFormat="1" applyFont="1" applyFill="1" applyProtection="1">
      <protection hidden="1"/>
    </xf>
    <xf numFmtId="12" fontId="22" fillId="2" borderId="0" xfId="0" applyNumberFormat="1" applyFont="1" applyFill="1" applyAlignment="1" applyProtection="1">
      <protection hidden="1"/>
    </xf>
    <xf numFmtId="1" fontId="22" fillId="2" borderId="0" xfId="0" applyNumberFormat="1" applyFont="1" applyFill="1" applyProtection="1">
      <protection hidden="1"/>
    </xf>
    <xf numFmtId="0" fontId="12" fillId="0" borderId="0" xfId="0" applyFont="1" applyFill="1" applyBorder="1" applyAlignment="1" applyProtection="1">
      <alignment horizontal="center"/>
    </xf>
    <xf numFmtId="0" fontId="30" fillId="0" borderId="0" xfId="0" applyFont="1" applyFill="1" applyBorder="1" applyAlignment="1" applyProtection="1">
      <alignment horizontal="center"/>
    </xf>
    <xf numFmtId="0" fontId="22" fillId="2" borderId="0" xfId="0" applyFont="1" applyFill="1" applyBorder="1" applyAlignment="1" applyProtection="1">
      <alignment wrapText="1"/>
      <protection hidden="1"/>
    </xf>
    <xf numFmtId="0" fontId="22" fillId="2" borderId="96" xfId="0" applyFont="1" applyFill="1" applyBorder="1" applyAlignment="1" applyProtection="1">
      <alignment horizontal="centerContinuous"/>
      <protection hidden="1"/>
    </xf>
    <xf numFmtId="0" fontId="22" fillId="2" borderId="96" xfId="0" applyFont="1" applyFill="1" applyBorder="1" applyProtection="1">
      <protection hidden="1"/>
    </xf>
    <xf numFmtId="0" fontId="12" fillId="2" borderId="0" xfId="0" applyFont="1" applyFill="1" applyBorder="1" applyAlignment="1" applyProtection="1">
      <alignment horizontal="center" vertical="center"/>
    </xf>
    <xf numFmtId="1" fontId="12" fillId="3" borderId="7" xfId="0" applyNumberFormat="1" applyFont="1" applyFill="1" applyBorder="1" applyAlignment="1" applyProtection="1">
      <alignment horizontal="center"/>
    </xf>
    <xf numFmtId="1" fontId="12" fillId="3" borderId="64" xfId="0" applyNumberFormat="1" applyFont="1" applyFill="1" applyBorder="1" applyAlignment="1" applyProtection="1">
      <alignment horizontal="center"/>
    </xf>
    <xf numFmtId="1" fontId="12" fillId="3" borderId="106" xfId="0" applyNumberFormat="1" applyFont="1" applyFill="1" applyBorder="1" applyAlignment="1" applyProtection="1">
      <alignment horizontal="center"/>
    </xf>
    <xf numFmtId="0" fontId="12" fillId="2" borderId="8" xfId="0" applyFont="1" applyFill="1" applyBorder="1" applyAlignment="1" applyProtection="1">
      <alignment horizontal="center" vertical="center"/>
    </xf>
    <xf numFmtId="0" fontId="30" fillId="0" borderId="27" xfId="0" applyFont="1" applyBorder="1" applyAlignment="1" applyProtection="1">
      <alignment horizontal="center" vertical="center" wrapText="1"/>
      <protection hidden="1"/>
    </xf>
    <xf numFmtId="0" fontId="30" fillId="0" borderId="28" xfId="0" applyFont="1" applyBorder="1" applyAlignment="1" applyProtection="1">
      <alignment horizontal="center" vertical="center" wrapText="1"/>
      <protection hidden="1"/>
    </xf>
    <xf numFmtId="0" fontId="30" fillId="7" borderId="107" xfId="0" applyFont="1" applyFill="1" applyBorder="1" applyAlignment="1" applyProtection="1">
      <alignment horizontal="center" vertical="center" wrapText="1"/>
      <protection hidden="1"/>
    </xf>
    <xf numFmtId="0" fontId="30" fillId="7" borderId="108" xfId="0" applyFont="1" applyFill="1" applyBorder="1" applyAlignment="1" applyProtection="1">
      <alignment horizontal="center" vertical="center" wrapText="1"/>
      <protection hidden="1"/>
    </xf>
    <xf numFmtId="0" fontId="22" fillId="7" borderId="109" xfId="0" applyFont="1" applyFill="1" applyBorder="1" applyAlignment="1" applyProtection="1">
      <alignment horizontal="center"/>
      <protection hidden="1"/>
    </xf>
    <xf numFmtId="0" fontId="22" fillId="7" borderId="17" xfId="0" applyFont="1" applyFill="1" applyBorder="1" applyAlignment="1" applyProtection="1">
      <alignment horizontal="center" wrapText="1"/>
      <protection hidden="1"/>
    </xf>
    <xf numFmtId="0" fontId="22" fillId="7" borderId="16" xfId="0" applyFont="1" applyFill="1" applyBorder="1" applyAlignment="1" applyProtection="1">
      <alignment horizontal="center" wrapText="1"/>
      <protection hidden="1"/>
    </xf>
    <xf numFmtId="0" fontId="22" fillId="2" borderId="98" xfId="0" applyFont="1" applyFill="1" applyBorder="1" applyAlignment="1" applyProtection="1">
      <alignment horizontal="center"/>
      <protection hidden="1"/>
    </xf>
    <xf numFmtId="0" fontId="22" fillId="2" borderId="31" xfId="0" applyFont="1" applyFill="1" applyBorder="1" applyAlignment="1">
      <alignment horizontal="center"/>
    </xf>
    <xf numFmtId="0" fontId="22" fillId="2" borderId="31" xfId="0" applyFont="1" applyFill="1" applyBorder="1" applyAlignment="1" applyProtection="1">
      <alignment horizontal="center"/>
      <protection hidden="1"/>
    </xf>
    <xf numFmtId="1" fontId="30" fillId="4" borderId="8" xfId="0" applyNumberFormat="1" applyFont="1" applyFill="1" applyBorder="1" applyAlignment="1" applyProtection="1">
      <alignment horizontal="center"/>
    </xf>
    <xf numFmtId="1" fontId="30" fillId="4" borderId="12" xfId="0" applyNumberFormat="1" applyFont="1" applyFill="1" applyBorder="1" applyAlignment="1" applyProtection="1">
      <alignment horizontal="center"/>
    </xf>
    <xf numFmtId="1" fontId="30" fillId="4" borderId="20" xfId="0" applyNumberFormat="1" applyFont="1" applyFill="1" applyBorder="1" applyAlignment="1" applyProtection="1">
      <alignment horizontal="center"/>
    </xf>
    <xf numFmtId="0" fontId="30" fillId="2" borderId="8" xfId="0" applyFont="1" applyFill="1" applyBorder="1" applyAlignment="1" applyProtection="1">
      <alignment horizontal="center"/>
      <protection locked="0"/>
    </xf>
    <xf numFmtId="1" fontId="31" fillId="7" borderId="8" xfId="0" quotePrefix="1" applyNumberFormat="1" applyFont="1" applyFill="1" applyBorder="1" applyAlignment="1" applyProtection="1">
      <alignment horizontal="center"/>
      <protection hidden="1"/>
    </xf>
    <xf numFmtId="1" fontId="31" fillId="7" borderId="12" xfId="0" applyNumberFormat="1" applyFont="1" applyFill="1" applyBorder="1" applyAlignment="1" applyProtection="1">
      <alignment horizontal="center"/>
      <protection hidden="1"/>
    </xf>
    <xf numFmtId="179" fontId="31" fillId="7" borderId="12" xfId="0" applyNumberFormat="1" applyFont="1" applyFill="1" applyBorder="1" applyAlignment="1" applyProtection="1">
      <alignment horizontal="center"/>
      <protection hidden="1"/>
    </xf>
    <xf numFmtId="0" fontId="31" fillId="7" borderId="20" xfId="0" applyFont="1" applyFill="1" applyBorder="1" applyAlignment="1" applyProtection="1">
      <alignment horizontal="center"/>
      <protection hidden="1"/>
    </xf>
    <xf numFmtId="0" fontId="30" fillId="2" borderId="11" xfId="0" applyFont="1" applyFill="1" applyBorder="1" applyAlignment="1" applyProtection="1">
      <alignment horizontal="center"/>
    </xf>
    <xf numFmtId="176" fontId="30" fillId="2" borderId="12" xfId="0" applyNumberFormat="1" applyFont="1" applyFill="1" applyBorder="1" applyAlignment="1" applyProtection="1">
      <alignment horizontal="center"/>
    </xf>
    <xf numFmtId="176" fontId="30" fillId="2" borderId="20" xfId="0" applyNumberFormat="1" applyFont="1" applyFill="1" applyBorder="1" applyAlignment="1" applyProtection="1">
      <alignment horizontal="center"/>
    </xf>
    <xf numFmtId="1" fontId="12" fillId="5" borderId="114" xfId="0" applyNumberFormat="1" applyFont="1" applyFill="1" applyBorder="1" applyAlignment="1" applyProtection="1">
      <alignment horizontal="center"/>
    </xf>
    <xf numFmtId="1" fontId="12" fillId="5" borderId="90" xfId="0" applyNumberFormat="1" applyFont="1" applyFill="1" applyBorder="1" applyAlignment="1" applyProtection="1">
      <alignment horizontal="center"/>
    </xf>
    <xf numFmtId="1" fontId="12" fillId="5" borderId="91" xfId="0" applyNumberFormat="1" applyFont="1" applyFill="1" applyBorder="1" applyAlignment="1" applyProtection="1">
      <alignment horizontal="center"/>
    </xf>
    <xf numFmtId="0" fontId="30" fillId="2" borderId="43" xfId="0" applyFont="1" applyFill="1" applyBorder="1" applyProtection="1"/>
    <xf numFmtId="173" fontId="30" fillId="2" borderId="0" xfId="0" applyNumberFormat="1" applyFont="1" applyFill="1" applyAlignment="1" applyProtection="1">
      <alignment horizontal="center"/>
    </xf>
    <xf numFmtId="172" fontId="30" fillId="2" borderId="0" xfId="0" applyNumberFormat="1" applyFont="1" applyFill="1" applyAlignment="1" applyProtection="1">
      <alignment horizontal="center"/>
    </xf>
    <xf numFmtId="0" fontId="50" fillId="0" borderId="10" xfId="0" applyFont="1" applyFill="1" applyBorder="1" applyAlignment="1" applyProtection="1">
      <alignment horizontal="right" vertical="top"/>
    </xf>
    <xf numFmtId="0" fontId="50" fillId="0" borderId="15" xfId="0" applyFont="1" applyFill="1" applyBorder="1" applyAlignment="1" applyProtection="1">
      <alignment horizontal="right" vertical="top"/>
    </xf>
    <xf numFmtId="0" fontId="50" fillId="0" borderId="0" xfId="0" applyFont="1" applyFill="1" applyBorder="1" applyAlignment="1" applyProtection="1">
      <alignment horizontal="right"/>
    </xf>
    <xf numFmtId="0" fontId="50" fillId="0" borderId="0" xfId="0" applyFont="1" applyFill="1" applyAlignment="1" applyProtection="1">
      <alignment horizontal="right"/>
    </xf>
    <xf numFmtId="0" fontId="49" fillId="0" borderId="117" xfId="0" applyFont="1" applyFill="1" applyBorder="1" applyAlignment="1" applyProtection="1">
      <alignment horizontal="center" vertical="center"/>
    </xf>
    <xf numFmtId="0" fontId="30" fillId="0" borderId="0" xfId="0" applyFont="1" applyFill="1" applyBorder="1" applyAlignment="1" applyProtection="1">
      <alignment horizontal="right"/>
    </xf>
    <xf numFmtId="0" fontId="30" fillId="0" borderId="0" xfId="0" applyFont="1" applyFill="1" applyAlignment="1" applyProtection="1">
      <alignment horizontal="right"/>
    </xf>
    <xf numFmtId="49" fontId="12" fillId="0" borderId="0" xfId="0" applyNumberFormat="1" applyFont="1" applyFill="1" applyBorder="1" applyAlignment="1" applyProtection="1">
      <alignment horizontal="left"/>
    </xf>
    <xf numFmtId="0" fontId="30" fillId="2" borderId="12" xfId="0" applyFont="1" applyFill="1" applyBorder="1" applyProtection="1"/>
    <xf numFmtId="0" fontId="30" fillId="2" borderId="105" xfId="0" applyFont="1" applyFill="1" applyBorder="1" applyAlignment="1" applyProtection="1">
      <alignment horizontal="center"/>
    </xf>
    <xf numFmtId="0" fontId="43" fillId="0" borderId="0" xfId="0" applyFont="1" applyFill="1" applyAlignment="1" applyProtection="1">
      <alignment horizontal="left" wrapText="1"/>
    </xf>
    <xf numFmtId="0" fontId="30" fillId="0" borderId="0" xfId="0" applyFont="1" applyFill="1" applyBorder="1" applyAlignment="1" applyProtection="1"/>
    <xf numFmtId="49" fontId="66" fillId="0" borderId="0" xfId="0" applyNumberFormat="1" applyFont="1" applyFill="1" applyBorder="1" applyAlignment="1" applyProtection="1">
      <alignment horizontal="left"/>
    </xf>
    <xf numFmtId="49" fontId="67" fillId="0" borderId="10" xfId="0" applyNumberFormat="1" applyFont="1" applyFill="1" applyBorder="1" applyAlignment="1" applyProtection="1">
      <alignment horizontal="left"/>
    </xf>
    <xf numFmtId="49" fontId="41" fillId="0" borderId="11" xfId="0" applyNumberFormat="1" applyFont="1" applyFill="1" applyBorder="1" applyAlignment="1" applyProtection="1">
      <alignment horizontal="left"/>
    </xf>
    <xf numFmtId="0" fontId="30" fillId="2" borderId="12" xfId="0" applyFont="1" applyFill="1" applyBorder="1" applyProtection="1">
      <protection locked="0"/>
    </xf>
    <xf numFmtId="0" fontId="50" fillId="0" borderId="11" xfId="0" applyFont="1" applyFill="1" applyBorder="1" applyAlignment="1" applyProtection="1">
      <alignment horizontal="right" vertical="top"/>
    </xf>
    <xf numFmtId="0" fontId="12" fillId="0" borderId="0" xfId="0" applyFont="1" applyFill="1" applyBorder="1" applyAlignment="1" applyProtection="1">
      <alignment horizontal="left" indent="4"/>
    </xf>
    <xf numFmtId="49" fontId="12" fillId="0" borderId="0" xfId="0" applyNumberFormat="1" applyFont="1" applyFill="1" applyBorder="1" applyAlignment="1" applyProtection="1">
      <alignment horizontal="left" indent="2"/>
    </xf>
    <xf numFmtId="0" fontId="30" fillId="0" borderId="0" xfId="0" applyFont="1" applyFill="1" applyBorder="1" applyAlignment="1" applyProtection="1">
      <alignment horizontal="left"/>
    </xf>
    <xf numFmtId="0" fontId="30" fillId="0" borderId="0" xfId="0" applyFont="1" applyFill="1" applyAlignment="1" applyProtection="1">
      <alignment horizontal="left"/>
    </xf>
    <xf numFmtId="0" fontId="41" fillId="0" borderId="10" xfId="0" applyNumberFormat="1" applyFont="1" applyFill="1" applyBorder="1" applyAlignment="1" applyProtection="1">
      <alignment horizontal="left"/>
    </xf>
    <xf numFmtId="0" fontId="71" fillId="0" borderId="0" xfId="0" applyFont="1" applyFill="1" applyBorder="1" applyProtection="1"/>
    <xf numFmtId="49" fontId="41" fillId="0" borderId="21" xfId="0" applyNumberFormat="1" applyFont="1" applyFill="1" applyBorder="1" applyAlignment="1" applyProtection="1">
      <alignment horizontal="left"/>
    </xf>
    <xf numFmtId="0" fontId="30" fillId="2" borderId="0" xfId="0" applyFont="1" applyFill="1" applyAlignment="1" applyProtection="1">
      <alignment vertical="center"/>
    </xf>
    <xf numFmtId="0" fontId="30" fillId="2" borderId="0" xfId="0" applyFont="1" applyFill="1" applyAlignment="1" applyProtection="1">
      <alignment horizontal="center" vertical="center"/>
    </xf>
    <xf numFmtId="0" fontId="30" fillId="0" borderId="11" xfId="0" applyFont="1" applyFill="1" applyBorder="1" applyAlignment="1" applyProtection="1">
      <alignment horizontal="right" vertical="top"/>
    </xf>
    <xf numFmtId="0" fontId="30" fillId="0" borderId="0" xfId="0" applyNumberFormat="1" applyFont="1" applyFill="1" applyProtection="1"/>
    <xf numFmtId="0" fontId="41" fillId="0" borderId="11" xfId="0" applyNumberFormat="1" applyFont="1" applyFill="1" applyBorder="1" applyAlignment="1" applyProtection="1">
      <alignment horizontal="left"/>
    </xf>
    <xf numFmtId="0" fontId="30" fillId="0" borderId="10" xfId="0" applyFont="1" applyFill="1" applyBorder="1" applyAlignment="1" applyProtection="1">
      <alignment horizontal="right" vertical="top"/>
    </xf>
    <xf numFmtId="0" fontId="12" fillId="0" borderId="0" xfId="0" applyFont="1" applyFill="1" applyBorder="1" applyProtection="1"/>
    <xf numFmtId="0" fontId="30" fillId="2" borderId="12" xfId="0" applyFont="1" applyFill="1" applyBorder="1" applyAlignment="1" applyProtection="1">
      <alignment horizontal="center" vertical="center"/>
    </xf>
    <xf numFmtId="0" fontId="50" fillId="2" borderId="0" xfId="0" applyFont="1" applyFill="1" applyBorder="1" applyAlignment="1" applyProtection="1">
      <alignment horizontal="right"/>
    </xf>
    <xf numFmtId="0" fontId="50" fillId="2" borderId="0" xfId="0" quotePrefix="1" applyFont="1" applyFill="1" applyBorder="1" applyProtection="1"/>
    <xf numFmtId="0" fontId="50" fillId="2" borderId="0" xfId="0" applyFont="1" applyFill="1" applyBorder="1" applyAlignment="1" applyProtection="1">
      <alignment horizontal="left"/>
    </xf>
    <xf numFmtId="0" fontId="50" fillId="2" borderId="0" xfId="0" applyFont="1" applyFill="1" applyBorder="1" applyAlignment="1" applyProtection="1">
      <alignment horizontal="right"/>
      <protection hidden="1"/>
    </xf>
    <xf numFmtId="0" fontId="50" fillId="2" borderId="0" xfId="0" quotePrefix="1" applyFont="1" applyFill="1" applyBorder="1" applyProtection="1">
      <protection hidden="1"/>
    </xf>
    <xf numFmtId="0" fontId="50" fillId="2" borderId="0" xfId="0" quotePrefix="1" applyFont="1" applyFill="1" applyProtection="1"/>
    <xf numFmtId="0" fontId="50" fillId="2" borderId="0" xfId="0" applyFont="1" applyFill="1" applyAlignment="1" applyProtection="1">
      <alignment horizontal="right"/>
    </xf>
    <xf numFmtId="0" fontId="50" fillId="2" borderId="0" xfId="0" quotePrefix="1" applyFont="1" applyFill="1" applyAlignment="1" applyProtection="1">
      <alignment horizontal="left"/>
    </xf>
    <xf numFmtId="0" fontId="50" fillId="2" borderId="0" xfId="0" quotePrefix="1" applyFont="1" applyFill="1" applyAlignment="1" applyProtection="1">
      <alignment horizontal="left"/>
      <protection hidden="1"/>
    </xf>
    <xf numFmtId="0" fontId="60" fillId="2" borderId="0" xfId="0" applyFont="1" applyFill="1" applyAlignment="1" applyProtection="1">
      <alignment horizontal="right"/>
      <protection hidden="1"/>
    </xf>
    <xf numFmtId="0" fontId="60" fillId="2" borderId="0" xfId="0" quotePrefix="1" applyFont="1" applyFill="1" applyAlignment="1" applyProtection="1">
      <alignment horizontal="left"/>
      <protection hidden="1"/>
    </xf>
    <xf numFmtId="0" fontId="60" fillId="2" borderId="0" xfId="0" quotePrefix="1" applyFont="1" applyFill="1" applyBorder="1" applyProtection="1"/>
    <xf numFmtId="0" fontId="60" fillId="2" borderId="0" xfId="0" quotePrefix="1" applyFont="1" applyFill="1" applyProtection="1"/>
    <xf numFmtId="0" fontId="60" fillId="2" borderId="0" xfId="0" applyFont="1" applyFill="1" applyAlignment="1" applyProtection="1">
      <alignment horizontal="right"/>
    </xf>
    <xf numFmtId="0" fontId="60" fillId="2" borderId="0" xfId="0" quotePrefix="1" applyFont="1" applyFill="1" applyAlignment="1" applyProtection="1">
      <alignment horizontal="left"/>
    </xf>
    <xf numFmtId="0" fontId="22" fillId="7" borderId="110" xfId="0" applyFont="1" applyFill="1" applyBorder="1" applyAlignment="1" applyProtection="1">
      <alignment horizontal="center"/>
      <protection hidden="1"/>
    </xf>
    <xf numFmtId="0" fontId="12" fillId="0" borderId="27" xfId="0" applyFont="1" applyFill="1" applyBorder="1" applyAlignment="1" applyProtection="1">
      <alignment horizontal="center" vertical="center"/>
    </xf>
    <xf numFmtId="0" fontId="12" fillId="0" borderId="28" xfId="0" applyFont="1" applyFill="1" applyBorder="1" applyAlignment="1" applyProtection="1">
      <alignment horizontal="center" vertical="center"/>
    </xf>
    <xf numFmtId="0" fontId="30" fillId="7" borderId="122" xfId="0" applyFont="1" applyFill="1" applyBorder="1" applyAlignment="1" applyProtection="1">
      <alignment horizontal="center" vertical="center" wrapText="1"/>
      <protection hidden="1"/>
    </xf>
    <xf numFmtId="0" fontId="12" fillId="7" borderId="27" xfId="0" applyFont="1" applyFill="1" applyBorder="1" applyAlignment="1" applyProtection="1">
      <alignment horizontal="center" vertical="center"/>
    </xf>
    <xf numFmtId="0" fontId="12" fillId="7" borderId="28" xfId="0" applyFont="1" applyFill="1" applyBorder="1" applyAlignment="1" applyProtection="1">
      <alignment horizontal="center" vertical="center"/>
    </xf>
    <xf numFmtId="176" fontId="30" fillId="0" borderId="12" xfId="0" applyNumberFormat="1" applyFont="1" applyFill="1" applyBorder="1" applyAlignment="1" applyProtection="1">
      <alignment horizontal="center"/>
      <protection hidden="1"/>
    </xf>
    <xf numFmtId="0" fontId="0" fillId="2" borderId="105" xfId="0" applyFill="1" applyBorder="1" applyAlignment="1">
      <alignment horizontal="center"/>
    </xf>
    <xf numFmtId="0" fontId="22" fillId="2" borderId="12" xfId="0" applyFont="1" applyFill="1" applyBorder="1" applyAlignment="1">
      <alignment horizontal="center"/>
    </xf>
    <xf numFmtId="12" fontId="30" fillId="2" borderId="0" xfId="0" applyNumberFormat="1" applyFont="1" applyFill="1" applyProtection="1"/>
    <xf numFmtId="0" fontId="22" fillId="0" borderId="123" xfId="0" applyFont="1" applyFill="1" applyBorder="1" applyAlignment="1" applyProtection="1">
      <alignment horizontal="center"/>
      <protection hidden="1"/>
    </xf>
    <xf numFmtId="0" fontId="22" fillId="0" borderId="125" xfId="0" applyFont="1" applyFill="1" applyBorder="1" applyAlignment="1" applyProtection="1">
      <alignment horizontal="center"/>
      <protection hidden="1"/>
    </xf>
    <xf numFmtId="176" fontId="30" fillId="9" borderId="12" xfId="0" quotePrefix="1" applyNumberFormat="1" applyFont="1" applyFill="1" applyBorder="1" applyAlignment="1" applyProtection="1">
      <alignment horizontal="center"/>
      <protection hidden="1"/>
    </xf>
    <xf numFmtId="0" fontId="30" fillId="2" borderId="110" xfId="0" applyFont="1" applyFill="1" applyBorder="1" applyAlignment="1" applyProtection="1">
      <alignment horizontal="center" vertical="center"/>
    </xf>
    <xf numFmtId="0" fontId="30" fillId="2" borderId="109" xfId="0" applyFont="1" applyFill="1" applyBorder="1" applyAlignment="1" applyProtection="1">
      <alignment horizontal="center" vertical="center"/>
    </xf>
    <xf numFmtId="177" fontId="30" fillId="2" borderId="0" xfId="0" applyNumberFormat="1" applyFont="1" applyFill="1" applyProtection="1"/>
    <xf numFmtId="176" fontId="30" fillId="2" borderId="0" xfId="0" applyNumberFormat="1" applyFont="1" applyFill="1" applyProtection="1"/>
    <xf numFmtId="176" fontId="30" fillId="0" borderId="8" xfId="0" applyNumberFormat="1" applyFont="1" applyFill="1" applyBorder="1" applyAlignment="1" applyProtection="1">
      <alignment horizontal="center"/>
    </xf>
    <xf numFmtId="176" fontId="30" fillId="0" borderId="20" xfId="0" applyNumberFormat="1" applyFont="1" applyFill="1" applyBorder="1" applyAlignment="1" applyProtection="1">
      <alignment horizontal="center"/>
    </xf>
    <xf numFmtId="176" fontId="30" fillId="0" borderId="9" xfId="0" applyNumberFormat="1" applyFont="1" applyFill="1" applyBorder="1" applyAlignment="1" applyProtection="1">
      <alignment horizontal="center"/>
    </xf>
    <xf numFmtId="176" fontId="30" fillId="0" borderId="24" xfId="0" applyNumberFormat="1" applyFont="1" applyFill="1" applyBorder="1" applyAlignment="1" applyProtection="1">
      <alignment horizontal="center"/>
    </xf>
    <xf numFmtId="0" fontId="22" fillId="2" borderId="0" xfId="0" quotePrefix="1" applyFont="1" applyFill="1" applyProtection="1">
      <protection hidden="1"/>
    </xf>
    <xf numFmtId="49" fontId="4" fillId="2" borderId="12" xfId="0" applyNumberFormat="1" applyFont="1" applyFill="1" applyBorder="1" applyAlignment="1" applyProtection="1">
      <alignment horizontal="center" vertical="center"/>
      <protection hidden="1"/>
    </xf>
    <xf numFmtId="0" fontId="4" fillId="2" borderId="12" xfId="0" applyNumberFormat="1" applyFont="1" applyFill="1" applyBorder="1" applyAlignment="1" applyProtection="1">
      <alignment horizontal="center" vertical="center"/>
      <protection hidden="1"/>
    </xf>
    <xf numFmtId="0" fontId="4" fillId="2" borderId="14" xfId="0" applyFont="1" applyFill="1" applyBorder="1" applyAlignment="1" applyProtection="1">
      <alignment horizontal="center"/>
      <protection hidden="1"/>
    </xf>
    <xf numFmtId="0" fontId="22" fillId="0" borderId="134" xfId="0" applyFont="1" applyBorder="1" applyAlignment="1" applyProtection="1">
      <alignment horizontal="center"/>
      <protection hidden="1"/>
    </xf>
    <xf numFmtId="0" fontId="22" fillId="0" borderId="108" xfId="0" applyFont="1" applyBorder="1" applyAlignment="1" applyProtection="1">
      <alignment horizontal="center"/>
      <protection hidden="1"/>
    </xf>
    <xf numFmtId="0" fontId="30" fillId="7" borderId="42" xfId="0" applyFont="1" applyFill="1" applyBorder="1" applyAlignment="1" applyProtection="1">
      <alignment horizontal="center" vertical="center" wrapText="1"/>
      <protection hidden="1"/>
    </xf>
    <xf numFmtId="176" fontId="30" fillId="8" borderId="19" xfId="0" applyNumberFormat="1" applyFont="1" applyFill="1" applyBorder="1" applyAlignment="1" applyProtection="1">
      <alignment horizontal="center"/>
    </xf>
    <xf numFmtId="176" fontId="30" fillId="8" borderId="18" xfId="0" applyNumberFormat="1" applyFont="1" applyFill="1" applyBorder="1" applyAlignment="1" applyProtection="1">
      <alignment horizontal="center"/>
    </xf>
    <xf numFmtId="176" fontId="30" fillId="8" borderId="8" xfId="0" applyNumberFormat="1" applyFont="1" applyFill="1" applyBorder="1" applyAlignment="1" applyProtection="1">
      <alignment horizontal="center"/>
    </xf>
    <xf numFmtId="176" fontId="30" fillId="8" borderId="20" xfId="0" applyNumberFormat="1" applyFont="1" applyFill="1" applyBorder="1" applyAlignment="1" applyProtection="1">
      <alignment horizontal="center"/>
    </xf>
    <xf numFmtId="176" fontId="30" fillId="0" borderId="8" xfId="0" applyNumberFormat="1" applyFont="1" applyFill="1" applyBorder="1" applyAlignment="1" applyProtection="1">
      <alignment horizontal="center" vertical="center"/>
    </xf>
    <xf numFmtId="176" fontId="30" fillId="0" borderId="20" xfId="0" applyNumberFormat="1" applyFont="1" applyFill="1" applyBorder="1" applyAlignment="1" applyProtection="1">
      <alignment horizontal="center" vertical="center"/>
    </xf>
    <xf numFmtId="177" fontId="61" fillId="2" borderId="72" xfId="0" applyNumberFormat="1" applyFont="1" applyFill="1" applyBorder="1" applyAlignment="1" applyProtection="1">
      <alignment horizontal="center"/>
      <protection hidden="1"/>
    </xf>
    <xf numFmtId="177" fontId="61" fillId="2" borderId="34" xfId="0" applyNumberFormat="1" applyFont="1" applyFill="1" applyBorder="1" applyAlignment="1" applyProtection="1">
      <alignment horizontal="center"/>
      <protection hidden="1"/>
    </xf>
    <xf numFmtId="177" fontId="61" fillId="2" borderId="93" xfId="0" applyNumberFormat="1" applyFont="1" applyFill="1" applyBorder="1" applyAlignment="1" applyProtection="1">
      <alignment horizontal="center"/>
      <protection hidden="1"/>
    </xf>
    <xf numFmtId="0" fontId="4" fillId="2" borderId="19" xfId="0" applyFont="1" applyFill="1" applyBorder="1" applyAlignment="1" applyProtection="1">
      <alignment horizontal="center"/>
      <protection hidden="1"/>
    </xf>
    <xf numFmtId="0" fontId="50" fillId="2" borderId="0" xfId="0" applyFont="1" applyFill="1" applyAlignment="1" applyProtection="1">
      <alignment horizontal="center"/>
      <protection hidden="1"/>
    </xf>
    <xf numFmtId="0" fontId="11" fillId="0" borderId="0" xfId="0" applyFont="1" applyFill="1" applyBorder="1" applyAlignment="1" applyProtection="1">
      <alignment horizontal="right"/>
    </xf>
    <xf numFmtId="0" fontId="80" fillId="0" borderId="0" xfId="0" applyFont="1" applyFill="1" applyProtection="1">
      <protection hidden="1"/>
    </xf>
    <xf numFmtId="0" fontId="4" fillId="0" borderId="0" xfId="0" applyFont="1" applyFill="1" applyBorder="1" applyProtection="1">
      <protection hidden="1"/>
    </xf>
    <xf numFmtId="0" fontId="30" fillId="7" borderId="27" xfId="0" applyFont="1" applyFill="1" applyBorder="1" applyAlignment="1" applyProtection="1">
      <alignment horizontal="center" vertical="center"/>
    </xf>
    <xf numFmtId="0" fontId="30" fillId="7" borderId="28" xfId="0" applyFont="1" applyFill="1" applyBorder="1" applyAlignment="1" applyProtection="1">
      <alignment horizontal="center" vertical="center"/>
    </xf>
    <xf numFmtId="0" fontId="22" fillId="7" borderId="17" xfId="0" applyFont="1" applyFill="1" applyBorder="1" applyAlignment="1" applyProtection="1">
      <alignment horizontal="center" vertical="center" wrapText="1"/>
      <protection hidden="1"/>
    </xf>
    <xf numFmtId="0" fontId="22" fillId="7" borderId="16" xfId="0" applyFont="1" applyFill="1" applyBorder="1" applyAlignment="1" applyProtection="1">
      <alignment horizontal="center" vertical="center" wrapText="1"/>
      <protection hidden="1"/>
    </xf>
    <xf numFmtId="0" fontId="82" fillId="0" borderId="0" xfId="0" applyFont="1" applyFill="1" applyBorder="1" applyAlignment="1" applyProtection="1">
      <alignment horizontal="left" indent="4"/>
    </xf>
    <xf numFmtId="49" fontId="83" fillId="0" borderId="0" xfId="0" applyNumberFormat="1" applyFont="1" applyFill="1" applyBorder="1" applyAlignment="1" applyProtection="1">
      <alignment horizontal="center"/>
      <protection locked="0"/>
    </xf>
    <xf numFmtId="0" fontId="12" fillId="0" borderId="110" xfId="0" applyFont="1" applyBorder="1" applyAlignment="1" applyProtection="1">
      <alignment horizontal="center" vertical="center"/>
      <protection hidden="1"/>
    </xf>
    <xf numFmtId="0" fontId="12" fillId="0" borderId="135" xfId="0" applyFont="1" applyBorder="1" applyAlignment="1" applyProtection="1">
      <alignment horizontal="center" vertical="center"/>
      <protection hidden="1"/>
    </xf>
    <xf numFmtId="0" fontId="50" fillId="2" borderId="0" xfId="0" applyFont="1" applyFill="1" applyAlignment="1" applyProtection="1">
      <alignment horizontal="right"/>
      <protection hidden="1"/>
    </xf>
    <xf numFmtId="185" fontId="61" fillId="6" borderId="0" xfId="0" applyNumberFormat="1" applyFont="1" applyFill="1" applyBorder="1" applyAlignment="1" applyProtection="1">
      <alignment horizontal="center"/>
      <protection hidden="1"/>
    </xf>
    <xf numFmtId="0" fontId="22" fillId="0" borderId="0" xfId="0" applyFont="1" applyFill="1" applyAlignment="1" applyProtection="1">
      <alignment horizontal="center" vertical="top"/>
      <protection hidden="1"/>
    </xf>
    <xf numFmtId="0" fontId="30" fillId="0" borderId="136" xfId="0" applyFont="1" applyFill="1" applyBorder="1" applyAlignment="1" applyProtection="1">
      <alignment horizontal="center"/>
      <protection hidden="1"/>
    </xf>
    <xf numFmtId="0" fontId="22" fillId="0" borderId="137" xfId="0" applyFont="1" applyBorder="1" applyAlignment="1" applyProtection="1">
      <alignment horizontal="center"/>
      <protection hidden="1"/>
    </xf>
    <xf numFmtId="0" fontId="50" fillId="2" borderId="0" xfId="0" quotePrefix="1" applyFont="1" applyFill="1" applyProtection="1">
      <protection hidden="1"/>
    </xf>
    <xf numFmtId="0" fontId="22" fillId="2" borderId="0" xfId="0" applyFont="1" applyFill="1" applyBorder="1" applyAlignment="1" applyProtection="1">
      <alignment horizontal="center" vertical="center"/>
      <protection hidden="1"/>
    </xf>
    <xf numFmtId="0" fontId="22" fillId="2" borderId="0" xfId="0" applyFont="1" applyFill="1" applyBorder="1" applyAlignment="1">
      <alignment horizontal="center" vertical="center"/>
    </xf>
    <xf numFmtId="49" fontId="30" fillId="2" borderId="0" xfId="0" applyNumberFormat="1" applyFont="1" applyFill="1" applyBorder="1" applyAlignment="1" applyProtection="1">
      <alignment horizontal="left"/>
      <protection hidden="1"/>
    </xf>
    <xf numFmtId="49" fontId="30" fillId="2" borderId="0" xfId="0" applyNumberFormat="1" applyFont="1" applyFill="1" applyAlignment="1" applyProtection="1">
      <alignment horizontal="center"/>
    </xf>
    <xf numFmtId="0" fontId="35" fillId="5" borderId="12" xfId="0" applyFont="1" applyFill="1" applyBorder="1" applyAlignment="1" applyProtection="1">
      <alignment horizontal="center"/>
      <protection locked="0"/>
    </xf>
    <xf numFmtId="0" fontId="35" fillId="5" borderId="14" xfId="0" applyFont="1" applyFill="1" applyBorder="1" applyAlignment="1" applyProtection="1">
      <alignment horizontal="center"/>
    </xf>
    <xf numFmtId="0" fontId="30" fillId="7" borderId="12" xfId="0" applyFont="1" applyFill="1" applyBorder="1" applyAlignment="1" applyProtection="1">
      <alignment horizontal="center"/>
    </xf>
    <xf numFmtId="176" fontId="30" fillId="10" borderId="12" xfId="0" applyNumberFormat="1" applyFont="1" applyFill="1" applyBorder="1" applyAlignment="1" applyProtection="1">
      <alignment horizontal="center"/>
    </xf>
    <xf numFmtId="176" fontId="30" fillId="10" borderId="20" xfId="0" applyNumberFormat="1" applyFont="1" applyFill="1" applyBorder="1" applyAlignment="1" applyProtection="1">
      <alignment horizontal="center"/>
    </xf>
    <xf numFmtId="176" fontId="30" fillId="10" borderId="8" xfId="0" applyNumberFormat="1" applyFont="1" applyFill="1" applyBorder="1" applyAlignment="1" applyProtection="1">
      <alignment horizontal="center" vertical="center"/>
    </xf>
    <xf numFmtId="176" fontId="30" fillId="10" borderId="20" xfId="0" applyNumberFormat="1" applyFont="1" applyFill="1" applyBorder="1" applyAlignment="1" applyProtection="1">
      <alignment horizontal="center" vertical="center"/>
    </xf>
    <xf numFmtId="12" fontId="30" fillId="2" borderId="0" xfId="0" applyNumberFormat="1" applyFont="1" applyFill="1" applyAlignment="1" applyProtection="1">
      <alignment horizontal="center"/>
    </xf>
    <xf numFmtId="0" fontId="30" fillId="3" borderId="0" xfId="0" applyFont="1" applyFill="1" applyProtection="1"/>
    <xf numFmtId="0" fontId="30" fillId="3" borderId="0" xfId="0" applyFont="1" applyFill="1" applyAlignment="1" applyProtection="1">
      <alignment horizontal="center"/>
    </xf>
    <xf numFmtId="0" fontId="30" fillId="3" borderId="0" xfId="0" applyFont="1" applyFill="1" applyAlignment="1" applyProtection="1">
      <alignment horizontal="right"/>
    </xf>
    <xf numFmtId="0" fontId="30" fillId="3" borderId="0" xfId="0" applyFont="1" applyFill="1" applyAlignment="1" applyProtection="1">
      <alignment horizontal="left"/>
    </xf>
    <xf numFmtId="184" fontId="41" fillId="10" borderId="57" xfId="0" applyNumberFormat="1" applyFont="1" applyFill="1" applyBorder="1" applyAlignment="1" applyProtection="1">
      <alignment horizontal="center"/>
      <protection locked="0"/>
    </xf>
    <xf numFmtId="184" fontId="41" fillId="10" borderId="62" xfId="0" applyNumberFormat="1" applyFont="1" applyFill="1" applyBorder="1" applyAlignment="1" applyProtection="1">
      <alignment horizontal="center"/>
      <protection locked="0"/>
    </xf>
    <xf numFmtId="184" fontId="41" fillId="5" borderId="57" xfId="0" applyNumberFormat="1" applyFont="1" applyFill="1" applyBorder="1" applyAlignment="1" applyProtection="1">
      <alignment horizontal="center"/>
      <protection locked="0"/>
    </xf>
    <xf numFmtId="184" fontId="41" fillId="5" borderId="62" xfId="0" applyNumberFormat="1" applyFont="1" applyFill="1" applyBorder="1" applyAlignment="1" applyProtection="1">
      <alignment horizontal="center"/>
      <protection locked="0"/>
    </xf>
    <xf numFmtId="0" fontId="85" fillId="2" borderId="0" xfId="0" applyFont="1" applyFill="1" applyProtection="1">
      <protection hidden="1"/>
    </xf>
    <xf numFmtId="0" fontId="74" fillId="2" borderId="22" xfId="0" applyFont="1" applyFill="1" applyBorder="1" applyAlignment="1" applyProtection="1">
      <alignment horizontal="center"/>
      <protection hidden="1"/>
    </xf>
    <xf numFmtId="0" fontId="85" fillId="2" borderId="40" xfId="0" applyFont="1" applyFill="1" applyBorder="1" applyAlignment="1" applyProtection="1">
      <alignment horizontal="center"/>
      <protection hidden="1"/>
    </xf>
    <xf numFmtId="0" fontId="85" fillId="2" borderId="31" xfId="0" applyFont="1" applyFill="1" applyBorder="1" applyAlignment="1" applyProtection="1">
      <alignment horizontal="center"/>
      <protection hidden="1"/>
    </xf>
    <xf numFmtId="165" fontId="85" fillId="2" borderId="31" xfId="0" applyNumberFormat="1" applyFont="1" applyFill="1" applyBorder="1" applyAlignment="1" applyProtection="1">
      <alignment horizontal="center"/>
      <protection hidden="1"/>
    </xf>
    <xf numFmtId="0" fontId="85" fillId="2" borderId="35" xfId="0" applyFont="1" applyFill="1" applyBorder="1" applyAlignment="1" applyProtection="1">
      <alignment horizontal="center"/>
      <protection hidden="1"/>
    </xf>
    <xf numFmtId="0" fontId="85" fillId="2" borderId="104" xfId="0" applyFont="1" applyFill="1" applyBorder="1" applyAlignment="1" applyProtection="1">
      <alignment horizontal="center"/>
      <protection hidden="1"/>
    </xf>
    <xf numFmtId="0" fontId="85" fillId="2" borderId="123" xfId="0" applyFont="1" applyFill="1" applyBorder="1" applyAlignment="1" applyProtection="1">
      <alignment horizontal="center"/>
      <protection hidden="1"/>
    </xf>
    <xf numFmtId="0" fontId="85" fillId="2" borderId="125" xfId="0" applyFont="1" applyFill="1" applyBorder="1" applyAlignment="1" applyProtection="1">
      <alignment horizontal="center"/>
      <protection hidden="1"/>
    </xf>
    <xf numFmtId="0" fontId="30" fillId="5" borderId="0" xfId="0" applyFont="1" applyFill="1" applyAlignment="1" applyProtection="1">
      <alignment horizontal="center"/>
    </xf>
    <xf numFmtId="181" fontId="55" fillId="0" borderId="141" xfId="0" applyNumberFormat="1" applyFont="1" applyBorder="1" applyAlignment="1" applyProtection="1">
      <alignment horizontal="right" vertical="center"/>
    </xf>
    <xf numFmtId="0" fontId="55" fillId="0" borderId="142" xfId="0" applyNumberFormat="1" applyFont="1" applyFill="1" applyBorder="1" applyAlignment="1" applyProtection="1">
      <alignment horizontal="center" vertical="center"/>
    </xf>
    <xf numFmtId="0" fontId="72" fillId="7" borderId="190" xfId="0" applyNumberFormat="1" applyFont="1" applyFill="1" applyBorder="1" applyAlignment="1" applyProtection="1">
      <alignment horizontal="left"/>
      <protection hidden="1"/>
    </xf>
    <xf numFmtId="0" fontId="72" fillId="7" borderId="181" xfId="0" applyNumberFormat="1" applyFont="1" applyFill="1" applyBorder="1" applyAlignment="1" applyProtection="1">
      <alignment horizontal="left"/>
      <protection hidden="1"/>
    </xf>
    <xf numFmtId="0" fontId="72" fillId="7" borderId="150" xfId="0" applyNumberFormat="1" applyFont="1" applyFill="1" applyBorder="1" applyAlignment="1" applyProtection="1">
      <alignment horizontal="left"/>
      <protection hidden="1"/>
    </xf>
    <xf numFmtId="0" fontId="72" fillId="7" borderId="147" xfId="0" applyNumberFormat="1" applyFont="1" applyFill="1" applyBorder="1" applyAlignment="1" applyProtection="1">
      <alignment horizontal="left"/>
      <protection hidden="1"/>
    </xf>
    <xf numFmtId="184" fontId="44" fillId="7" borderId="175" xfId="0" applyNumberFormat="1" applyFont="1" applyFill="1" applyBorder="1" applyAlignment="1" applyProtection="1">
      <alignment horizontal="center"/>
    </xf>
    <xf numFmtId="184" fontId="44" fillId="7" borderId="152" xfId="0" applyNumberFormat="1" applyFont="1" applyFill="1" applyBorder="1" applyAlignment="1" applyProtection="1">
      <alignment horizontal="center"/>
    </xf>
    <xf numFmtId="2" fontId="73" fillId="7" borderId="191" xfId="0" applyNumberFormat="1" applyFont="1" applyFill="1" applyBorder="1" applyAlignment="1" applyProtection="1">
      <alignment horizontal="center"/>
      <protection hidden="1"/>
    </xf>
    <xf numFmtId="2" fontId="73" fillId="7" borderId="176" xfId="0" applyNumberFormat="1" applyFont="1" applyFill="1" applyBorder="1" applyAlignment="1" applyProtection="1">
      <alignment horizontal="center"/>
      <protection hidden="1"/>
    </xf>
    <xf numFmtId="0" fontId="72" fillId="7" borderId="192" xfId="0" applyNumberFormat="1" applyFont="1" applyFill="1" applyBorder="1" applyAlignment="1" applyProtection="1">
      <alignment horizontal="left"/>
      <protection hidden="1"/>
    </xf>
    <xf numFmtId="0" fontId="72" fillId="7" borderId="99" xfId="0" applyNumberFormat="1" applyFont="1" applyFill="1" applyBorder="1" applyAlignment="1" applyProtection="1">
      <alignment horizontal="left"/>
      <protection hidden="1"/>
    </xf>
    <xf numFmtId="0" fontId="72" fillId="7" borderId="158" xfId="0" applyNumberFormat="1" applyFont="1" applyFill="1" applyBorder="1" applyAlignment="1" applyProtection="1">
      <alignment horizontal="left"/>
      <protection hidden="1"/>
    </xf>
    <xf numFmtId="0" fontId="72" fillId="7" borderId="156" xfId="0" applyNumberFormat="1" applyFont="1" applyFill="1" applyBorder="1" applyAlignment="1" applyProtection="1">
      <alignment horizontal="left"/>
      <protection hidden="1"/>
    </xf>
    <xf numFmtId="184" fontId="44" fillId="7" borderId="161" xfId="0" applyNumberFormat="1" applyFont="1" applyFill="1" applyBorder="1" applyAlignment="1" applyProtection="1">
      <alignment horizontal="center"/>
    </xf>
    <xf numFmtId="184" fontId="44" fillId="7" borderId="160" xfId="0" applyNumberFormat="1" applyFont="1" applyFill="1" applyBorder="1" applyAlignment="1" applyProtection="1">
      <alignment horizontal="center"/>
    </xf>
    <xf numFmtId="2" fontId="73" fillId="7" borderId="193" xfId="0" applyNumberFormat="1" applyFont="1" applyFill="1" applyBorder="1" applyAlignment="1" applyProtection="1">
      <alignment horizontal="center"/>
      <protection hidden="1"/>
    </xf>
    <xf numFmtId="2" fontId="73" fillId="7" borderId="182" xfId="0" applyNumberFormat="1" applyFont="1" applyFill="1" applyBorder="1" applyAlignment="1" applyProtection="1">
      <alignment horizontal="center"/>
      <protection hidden="1"/>
    </xf>
    <xf numFmtId="181" fontId="41" fillId="0" borderId="141" xfId="0" applyNumberFormat="1" applyFont="1" applyBorder="1" applyAlignment="1" applyProtection="1">
      <alignment horizontal="right"/>
    </xf>
    <xf numFmtId="0" fontId="41" fillId="0" borderId="142" xfId="0" applyNumberFormat="1" applyFont="1" applyFill="1" applyBorder="1" applyAlignment="1" applyProtection="1">
      <alignment horizontal="center"/>
    </xf>
    <xf numFmtId="0" fontId="72" fillId="7" borderId="188" xfId="0" applyNumberFormat="1" applyFont="1" applyFill="1" applyBorder="1" applyAlignment="1" applyProtection="1">
      <alignment horizontal="left"/>
      <protection hidden="1"/>
    </xf>
    <xf numFmtId="0" fontId="72" fillId="7" borderId="189" xfId="0" applyNumberFormat="1" applyFont="1" applyFill="1" applyBorder="1" applyAlignment="1" applyProtection="1">
      <alignment horizontal="left"/>
      <protection hidden="1"/>
    </xf>
    <xf numFmtId="0" fontId="72" fillId="7" borderId="172" xfId="0" applyNumberFormat="1" applyFont="1" applyFill="1" applyBorder="1" applyAlignment="1" applyProtection="1">
      <alignment horizontal="left"/>
      <protection hidden="1"/>
    </xf>
    <xf numFmtId="0" fontId="72" fillId="7" borderId="168" xfId="0" applyNumberFormat="1" applyFont="1" applyFill="1" applyBorder="1" applyAlignment="1" applyProtection="1">
      <alignment horizontal="left"/>
      <protection hidden="1"/>
    </xf>
    <xf numFmtId="184" fontId="44" fillId="7" borderId="162" xfId="0" applyNumberFormat="1" applyFont="1" applyFill="1" applyBorder="1" applyAlignment="1" applyProtection="1">
      <alignment horizontal="center"/>
    </xf>
    <xf numFmtId="184" fontId="44" fillId="7" borderId="174" xfId="0" applyNumberFormat="1" applyFont="1" applyFill="1" applyBorder="1" applyAlignment="1" applyProtection="1">
      <alignment horizontal="center"/>
    </xf>
    <xf numFmtId="2" fontId="73" fillId="7" borderId="197" xfId="0" applyNumberFormat="1" applyFont="1" applyFill="1" applyBorder="1" applyAlignment="1" applyProtection="1">
      <alignment horizontal="center"/>
      <protection hidden="1"/>
    </xf>
    <xf numFmtId="2" fontId="73" fillId="7" borderId="184" xfId="0" applyNumberFormat="1" applyFont="1" applyFill="1" applyBorder="1" applyAlignment="1" applyProtection="1">
      <alignment horizontal="center"/>
      <protection hidden="1"/>
    </xf>
    <xf numFmtId="2" fontId="86" fillId="7" borderId="191" xfId="0" applyNumberFormat="1" applyFont="1" applyFill="1" applyBorder="1" applyAlignment="1" applyProtection="1">
      <alignment horizontal="center"/>
      <protection hidden="1"/>
    </xf>
    <xf numFmtId="2" fontId="86" fillId="7" borderId="176" xfId="0" applyNumberFormat="1" applyFont="1" applyFill="1" applyBorder="1" applyAlignment="1" applyProtection="1">
      <alignment horizontal="center"/>
      <protection hidden="1"/>
    </xf>
    <xf numFmtId="2" fontId="86" fillId="7" borderId="193" xfId="0" applyNumberFormat="1" applyFont="1" applyFill="1" applyBorder="1" applyAlignment="1" applyProtection="1">
      <alignment horizontal="center"/>
      <protection hidden="1"/>
    </xf>
    <xf numFmtId="2" fontId="86" fillId="7" borderId="182" xfId="0" applyNumberFormat="1" applyFont="1" applyFill="1" applyBorder="1" applyAlignment="1" applyProtection="1">
      <alignment horizontal="center"/>
      <protection hidden="1"/>
    </xf>
    <xf numFmtId="166" fontId="44" fillId="7" borderId="191" xfId="0" applyNumberFormat="1" applyFont="1" applyFill="1" applyBorder="1" applyAlignment="1" applyProtection="1">
      <alignment horizontal="center"/>
      <protection hidden="1"/>
    </xf>
    <xf numFmtId="166" fontId="44" fillId="7" borderId="176" xfId="0" applyNumberFormat="1" applyFont="1" applyFill="1" applyBorder="1" applyAlignment="1" applyProtection="1">
      <alignment horizontal="center"/>
      <protection hidden="1"/>
    </xf>
    <xf numFmtId="166" fontId="44" fillId="7" borderId="193" xfId="0" applyNumberFormat="1" applyFont="1" applyFill="1" applyBorder="1" applyAlignment="1" applyProtection="1">
      <alignment horizontal="center"/>
      <protection hidden="1"/>
    </xf>
    <xf numFmtId="166" fontId="44" fillId="7" borderId="182" xfId="0" applyNumberFormat="1" applyFont="1" applyFill="1" applyBorder="1" applyAlignment="1" applyProtection="1">
      <alignment horizontal="center"/>
      <protection hidden="1"/>
    </xf>
    <xf numFmtId="166" fontId="44" fillId="7" borderId="197" xfId="0" applyNumberFormat="1" applyFont="1" applyFill="1" applyBorder="1" applyAlignment="1" applyProtection="1">
      <alignment horizontal="center"/>
      <protection hidden="1"/>
    </xf>
    <xf numFmtId="166" fontId="44" fillId="7" borderId="184" xfId="0" applyNumberFormat="1" applyFont="1" applyFill="1" applyBorder="1" applyAlignment="1" applyProtection="1">
      <alignment horizontal="center"/>
      <protection hidden="1"/>
    </xf>
    <xf numFmtId="184" fontId="41" fillId="0" borderId="103" xfId="0" applyNumberFormat="1" applyFont="1" applyBorder="1" applyAlignment="1" applyProtection="1">
      <alignment horizontal="left"/>
    </xf>
    <xf numFmtId="2" fontId="41" fillId="0" borderId="155" xfId="0" applyNumberFormat="1" applyFont="1" applyFill="1" applyBorder="1" applyAlignment="1" applyProtection="1">
      <alignment horizontal="center"/>
    </xf>
    <xf numFmtId="184" fontId="41" fillId="0" borderId="193" xfId="0" applyNumberFormat="1" applyFont="1" applyBorder="1" applyAlignment="1" applyProtection="1">
      <alignment horizontal="center"/>
    </xf>
    <xf numFmtId="184" fontId="41" fillId="0" borderId="182" xfId="0" applyNumberFormat="1" applyFont="1" applyBorder="1" applyAlignment="1" applyProtection="1">
      <alignment horizontal="center"/>
    </xf>
    <xf numFmtId="184" fontId="55" fillId="0" borderId="103" xfId="0" applyNumberFormat="1" applyFont="1" applyBorder="1" applyAlignment="1" applyProtection="1">
      <alignment horizontal="left" vertical="center"/>
    </xf>
    <xf numFmtId="2" fontId="55" fillId="0" borderId="155" xfId="0" applyNumberFormat="1" applyFont="1" applyFill="1" applyBorder="1" applyAlignment="1" applyProtection="1">
      <alignment horizontal="center" vertical="center"/>
    </xf>
    <xf numFmtId="184" fontId="55" fillId="0" borderId="193" xfId="0" applyNumberFormat="1" applyFont="1" applyBorder="1" applyAlignment="1" applyProtection="1">
      <alignment horizontal="center" vertical="center"/>
    </xf>
    <xf numFmtId="184" fontId="55" fillId="0" borderId="182" xfId="0" applyNumberFormat="1" applyFont="1" applyBorder="1" applyAlignment="1" applyProtection="1">
      <alignment horizontal="center" vertical="center"/>
    </xf>
    <xf numFmtId="171" fontId="22" fillId="2" borderId="0" xfId="0" applyNumberFormat="1" applyFont="1" applyFill="1" applyAlignment="1" applyProtection="1">
      <alignment horizontal="center"/>
      <protection hidden="1"/>
    </xf>
    <xf numFmtId="49" fontId="22" fillId="2" borderId="0" xfId="0" applyNumberFormat="1" applyFont="1" applyFill="1" applyAlignment="1" applyProtection="1">
      <alignment horizontal="center"/>
    </xf>
    <xf numFmtId="0" fontId="3" fillId="2" borderId="115" xfId="0" applyFont="1" applyFill="1" applyBorder="1" applyAlignment="1" applyProtection="1">
      <alignment horizontal="center"/>
      <protection hidden="1"/>
    </xf>
    <xf numFmtId="0" fontId="87" fillId="2" borderId="0" xfId="0" applyFont="1" applyFill="1" applyProtection="1"/>
    <xf numFmtId="0" fontId="88" fillId="2" borderId="0" xfId="0" applyFont="1" applyFill="1" applyProtection="1"/>
    <xf numFmtId="0" fontId="89" fillId="2" borderId="0" xfId="0" applyFont="1" applyFill="1" applyProtection="1"/>
    <xf numFmtId="0" fontId="22" fillId="2" borderId="0" xfId="0" applyFont="1" applyFill="1" applyBorder="1" applyProtection="1"/>
    <xf numFmtId="0" fontId="22" fillId="2" borderId="0" xfId="0" applyFont="1" applyFill="1" applyBorder="1" applyAlignment="1" applyProtection="1">
      <alignment horizontal="center"/>
    </xf>
    <xf numFmtId="0" fontId="22" fillId="2" borderId="0" xfId="0" quotePrefix="1" applyFont="1" applyFill="1" applyAlignment="1" applyProtection="1">
      <alignment horizontal="center"/>
    </xf>
    <xf numFmtId="0" fontId="61" fillId="2" borderId="290" xfId="0" applyNumberFormat="1" applyFont="1" applyFill="1" applyBorder="1" applyAlignment="1" applyProtection="1">
      <alignment horizontal="center"/>
      <protection hidden="1"/>
    </xf>
    <xf numFmtId="12" fontId="61" fillId="2" borderId="23" xfId="0" applyNumberFormat="1" applyFont="1" applyFill="1" applyBorder="1" applyAlignment="1" applyProtection="1">
      <alignment horizontal="center"/>
      <protection hidden="1"/>
    </xf>
    <xf numFmtId="178" fontId="61" fillId="2" borderId="24" xfId="0" applyNumberFormat="1" applyFont="1" applyFill="1" applyBorder="1" applyAlignment="1" applyProtection="1">
      <alignment horizontal="center"/>
      <protection hidden="1"/>
    </xf>
    <xf numFmtId="177" fontId="61" fillId="2" borderId="291" xfId="0" applyNumberFormat="1" applyFont="1" applyFill="1" applyBorder="1" applyAlignment="1" applyProtection="1">
      <alignment horizontal="center"/>
      <protection hidden="1"/>
    </xf>
    <xf numFmtId="0" fontId="91" fillId="7" borderId="190" xfId="0" applyNumberFormat="1" applyFont="1" applyFill="1" applyBorder="1" applyAlignment="1" applyProtection="1">
      <alignment horizontal="left"/>
      <protection hidden="1"/>
    </xf>
    <xf numFmtId="0" fontId="91" fillId="7" borderId="181" xfId="0" applyNumberFormat="1" applyFont="1" applyFill="1" applyBorder="1" applyAlignment="1" applyProtection="1">
      <alignment horizontal="left"/>
      <protection hidden="1"/>
    </xf>
    <xf numFmtId="0" fontId="91" fillId="7" borderId="150" xfId="0" applyNumberFormat="1" applyFont="1" applyFill="1" applyBorder="1" applyAlignment="1" applyProtection="1">
      <alignment horizontal="left"/>
      <protection hidden="1"/>
    </xf>
    <xf numFmtId="0" fontId="91" fillId="7" borderId="192" xfId="0" applyNumberFormat="1" applyFont="1" applyFill="1" applyBorder="1" applyAlignment="1" applyProtection="1">
      <alignment horizontal="left"/>
      <protection hidden="1"/>
    </xf>
    <xf numFmtId="0" fontId="91" fillId="7" borderId="99" xfId="0" applyNumberFormat="1" applyFont="1" applyFill="1" applyBorder="1" applyAlignment="1" applyProtection="1">
      <alignment horizontal="left"/>
      <protection hidden="1"/>
    </xf>
    <xf numFmtId="0" fontId="91" fillId="7" borderId="158" xfId="0" applyNumberFormat="1" applyFont="1" applyFill="1" applyBorder="1" applyAlignment="1" applyProtection="1">
      <alignment horizontal="left"/>
      <protection hidden="1"/>
    </xf>
    <xf numFmtId="0" fontId="91" fillId="7" borderId="181" xfId="0" applyNumberFormat="1" applyFont="1" applyFill="1" applyBorder="1" applyAlignment="1" applyProtection="1">
      <alignment horizontal="left" vertical="center"/>
    </xf>
    <xf numFmtId="0" fontId="91" fillId="7" borderId="150" xfId="0" applyNumberFormat="1" applyFont="1" applyFill="1" applyBorder="1" applyAlignment="1" applyProtection="1">
      <alignment horizontal="left" vertical="center"/>
    </xf>
    <xf numFmtId="0" fontId="91" fillId="7" borderId="99" xfId="0" applyNumberFormat="1" applyFont="1" applyFill="1" applyBorder="1" applyAlignment="1" applyProtection="1">
      <alignment horizontal="left" vertical="center"/>
    </xf>
    <xf numFmtId="0" fontId="91" fillId="7" borderId="158" xfId="0" applyNumberFormat="1" applyFont="1" applyFill="1" applyBorder="1" applyAlignment="1" applyProtection="1">
      <alignment horizontal="left" vertical="center"/>
    </xf>
    <xf numFmtId="0" fontId="91" fillId="7" borderId="189" xfId="0" applyNumberFormat="1" applyFont="1" applyFill="1" applyBorder="1" applyAlignment="1" applyProtection="1">
      <alignment horizontal="left" vertical="center"/>
    </xf>
    <xf numFmtId="0" fontId="91" fillId="7" borderId="172" xfId="0" applyNumberFormat="1" applyFont="1" applyFill="1" applyBorder="1" applyAlignment="1" applyProtection="1">
      <alignment horizontal="left" vertical="center"/>
    </xf>
    <xf numFmtId="169" fontId="94" fillId="0" borderId="103" xfId="0" applyNumberFormat="1" applyFont="1" applyFill="1" applyBorder="1" applyAlignment="1" applyProtection="1">
      <alignment horizontal="center" vertical="center"/>
      <protection locked="0"/>
    </xf>
    <xf numFmtId="49" fontId="95" fillId="0" borderId="0" xfId="0" applyNumberFormat="1" applyFont="1" applyFill="1" applyBorder="1" applyAlignment="1" applyProtection="1">
      <alignment horizontal="center" vertical="center"/>
    </xf>
    <xf numFmtId="3" fontId="92" fillId="0" borderId="0" xfId="0" applyNumberFormat="1" applyFont="1" applyFill="1" applyBorder="1" applyAlignment="1" applyProtection="1">
      <alignment horizontal="center" vertical="center"/>
    </xf>
    <xf numFmtId="0" fontId="92" fillId="0" borderId="0" xfId="0" applyFont="1" applyFill="1" applyAlignment="1" applyProtection="1">
      <alignment horizontal="left"/>
    </xf>
    <xf numFmtId="49" fontId="95" fillId="0" borderId="0" xfId="0" applyNumberFormat="1" applyFont="1" applyFill="1" applyBorder="1" applyAlignment="1" applyProtection="1">
      <alignment horizontal="left"/>
    </xf>
    <xf numFmtId="3" fontId="92" fillId="0" borderId="0" xfId="0" applyNumberFormat="1" applyFont="1" applyFill="1" applyBorder="1" applyAlignment="1" applyProtection="1">
      <alignment horizontal="left"/>
    </xf>
    <xf numFmtId="0" fontId="97" fillId="0" borderId="0" xfId="0" applyNumberFormat="1" applyFont="1" applyFill="1" applyBorder="1" applyAlignment="1" applyProtection="1">
      <alignment horizontal="center"/>
    </xf>
    <xf numFmtId="0" fontId="96" fillId="0" borderId="10" xfId="0" applyNumberFormat="1" applyFont="1" applyFill="1" applyBorder="1" applyAlignment="1" applyProtection="1">
      <alignment horizontal="left"/>
    </xf>
    <xf numFmtId="0" fontId="96" fillId="0" borderId="10" xfId="0" applyNumberFormat="1" applyFont="1" applyFill="1" applyBorder="1" applyProtection="1"/>
    <xf numFmtId="0" fontId="96" fillId="0" borderId="21" xfId="0" applyNumberFormat="1" applyFont="1" applyFill="1" applyBorder="1" applyAlignment="1" applyProtection="1">
      <alignment horizontal="left"/>
    </xf>
    <xf numFmtId="0" fontId="97" fillId="0" borderId="0" xfId="0" applyNumberFormat="1" applyFont="1" applyFill="1" applyBorder="1" applyAlignment="1" applyProtection="1">
      <alignment horizontal="left" indent="1"/>
    </xf>
    <xf numFmtId="3" fontId="96" fillId="0" borderId="0" xfId="0" applyNumberFormat="1" applyFont="1" applyFill="1" applyBorder="1" applyAlignment="1" applyProtection="1">
      <alignment horizontal="left" indent="2"/>
    </xf>
    <xf numFmtId="0" fontId="92" fillId="0" borderId="175" xfId="0" applyNumberFormat="1" applyFont="1" applyFill="1" applyBorder="1" applyAlignment="1" applyProtection="1">
      <alignment horizontal="center" vertical="center"/>
      <protection locked="0"/>
    </xf>
    <xf numFmtId="180" fontId="92" fillId="0" borderId="139" xfId="0" applyNumberFormat="1" applyFont="1" applyFill="1" applyBorder="1" applyAlignment="1" applyProtection="1">
      <alignment horizontal="center" vertical="center"/>
      <protection locked="0"/>
    </xf>
    <xf numFmtId="0" fontId="92" fillId="0" borderId="144" xfId="0" applyFont="1" applyFill="1" applyBorder="1" applyAlignment="1" applyProtection="1">
      <alignment horizontal="center" vertical="center"/>
      <protection locked="0"/>
    </xf>
    <xf numFmtId="0" fontId="92" fillId="0" borderId="147" xfId="0" applyFont="1" applyFill="1" applyBorder="1" applyAlignment="1" applyProtection="1">
      <alignment horizontal="center" vertical="center"/>
      <protection locked="0"/>
    </xf>
    <xf numFmtId="0" fontId="92" fillId="0" borderId="148" xfId="0" applyFont="1" applyFill="1" applyBorder="1" applyAlignment="1" applyProtection="1">
      <alignment horizontal="center" vertical="center"/>
      <protection locked="0"/>
    </xf>
    <xf numFmtId="0" fontId="92" fillId="0" borderId="140" xfId="0" applyFont="1" applyFill="1" applyBorder="1" applyAlignment="1" applyProtection="1">
      <alignment horizontal="center" vertical="center"/>
      <protection locked="0"/>
    </xf>
    <xf numFmtId="166" fontId="92" fillId="0" borderId="144" xfId="0" applyNumberFormat="1" applyFont="1" applyFill="1" applyBorder="1" applyAlignment="1" applyProtection="1">
      <alignment horizontal="center" vertical="center"/>
      <protection locked="0"/>
    </xf>
    <xf numFmtId="0" fontId="92" fillId="0" borderId="144" xfId="0" applyNumberFormat="1" applyFont="1" applyFill="1" applyBorder="1" applyAlignment="1" applyProtection="1">
      <alignment horizontal="center" vertical="center"/>
      <protection locked="0"/>
    </xf>
    <xf numFmtId="0" fontId="92" fillId="0" borderId="152" xfId="0" applyNumberFormat="1" applyFont="1" applyFill="1" applyBorder="1" applyAlignment="1" applyProtection="1">
      <alignment horizontal="center" vertical="center"/>
      <protection locked="0"/>
    </xf>
    <xf numFmtId="0" fontId="92" fillId="0" borderId="161" xfId="0" applyNumberFormat="1" applyFont="1" applyFill="1" applyBorder="1" applyAlignment="1" applyProtection="1">
      <alignment horizontal="center" vertical="center"/>
      <protection locked="0"/>
    </xf>
    <xf numFmtId="180" fontId="92" fillId="0" borderId="141" xfId="0" applyNumberFormat="1" applyFont="1" applyFill="1" applyBorder="1" applyAlignment="1" applyProtection="1">
      <alignment horizontal="center" vertical="center"/>
      <protection locked="0"/>
    </xf>
    <xf numFmtId="0" fontId="92" fillId="0" borderId="154" xfId="0" applyFont="1" applyFill="1" applyBorder="1" applyAlignment="1" applyProtection="1">
      <alignment horizontal="center" vertical="center"/>
      <protection locked="0"/>
    </xf>
    <xf numFmtId="0" fontId="92" fillId="0" borderId="156" xfId="0" applyFont="1" applyFill="1" applyBorder="1" applyAlignment="1" applyProtection="1">
      <alignment horizontal="center" vertical="center"/>
      <protection locked="0"/>
    </xf>
    <xf numFmtId="0" fontId="92" fillId="0" borderId="157" xfId="0" applyFont="1" applyFill="1" applyBorder="1" applyAlignment="1" applyProtection="1">
      <alignment horizontal="center" vertical="center"/>
      <protection locked="0"/>
    </xf>
    <xf numFmtId="0" fontId="92" fillId="0" borderId="142" xfId="0" applyFont="1" applyFill="1" applyBorder="1" applyAlignment="1" applyProtection="1">
      <alignment horizontal="center" vertical="center"/>
      <protection locked="0"/>
    </xf>
    <xf numFmtId="181" fontId="92" fillId="0" borderId="159" xfId="0" applyNumberFormat="1" applyFont="1" applyFill="1" applyBorder="1" applyAlignment="1" applyProtection="1">
      <alignment horizontal="right" vertical="center"/>
      <protection locked="0"/>
    </xf>
    <xf numFmtId="166" fontId="92" fillId="0" borderId="154" xfId="0" applyNumberFormat="1" applyFont="1" applyFill="1" applyBorder="1" applyAlignment="1" applyProtection="1">
      <alignment horizontal="center" vertical="center"/>
      <protection locked="0"/>
    </xf>
    <xf numFmtId="0" fontId="92" fillId="0" borderId="154" xfId="0" applyNumberFormat="1" applyFont="1" applyFill="1" applyBorder="1" applyAlignment="1" applyProtection="1">
      <alignment horizontal="center" vertical="center"/>
      <protection locked="0"/>
    </xf>
    <xf numFmtId="0" fontId="92" fillId="0" borderId="160" xfId="0" applyNumberFormat="1" applyFont="1" applyFill="1" applyBorder="1" applyAlignment="1" applyProtection="1">
      <alignment horizontal="center" vertical="center"/>
      <protection locked="0"/>
    </xf>
    <xf numFmtId="0" fontId="92" fillId="0" borderId="162" xfId="0" applyNumberFormat="1" applyFont="1" applyFill="1" applyBorder="1" applyAlignment="1" applyProtection="1">
      <alignment horizontal="center" vertical="center"/>
      <protection locked="0"/>
    </xf>
    <xf numFmtId="180" fontId="92" fillId="0" borderId="163" xfId="0" applyNumberFormat="1" applyFont="1" applyFill="1" applyBorder="1" applyAlignment="1" applyProtection="1">
      <alignment horizontal="center" vertical="center"/>
      <protection locked="0"/>
    </xf>
    <xf numFmtId="0" fontId="92" fillId="0" borderId="165" xfId="0" applyFont="1" applyFill="1" applyBorder="1" applyAlignment="1" applyProtection="1">
      <alignment horizontal="center" vertical="center"/>
      <protection locked="0"/>
    </xf>
    <xf numFmtId="0" fontId="92" fillId="0" borderId="168" xfId="0" applyFont="1" applyFill="1" applyBorder="1" applyAlignment="1" applyProtection="1">
      <alignment horizontal="center" vertical="center"/>
      <protection locked="0"/>
    </xf>
    <xf numFmtId="0" fontId="92" fillId="0" borderId="169" xfId="0" applyFont="1" applyFill="1" applyBorder="1" applyAlignment="1" applyProtection="1">
      <alignment horizontal="center" vertical="center"/>
      <protection locked="0"/>
    </xf>
    <xf numFmtId="0" fontId="92" fillId="0" borderId="170" xfId="0" applyFont="1" applyFill="1" applyBorder="1" applyAlignment="1" applyProtection="1">
      <alignment horizontal="center" vertical="center"/>
      <protection locked="0"/>
    </xf>
    <xf numFmtId="181" fontId="92" fillId="0" borderId="173" xfId="0" applyNumberFormat="1" applyFont="1" applyFill="1" applyBorder="1" applyAlignment="1" applyProtection="1">
      <alignment horizontal="right" vertical="center"/>
      <protection locked="0"/>
    </xf>
    <xf numFmtId="166" fontId="92" fillId="0" borderId="165" xfId="0" applyNumberFormat="1" applyFont="1" applyFill="1" applyBorder="1" applyAlignment="1" applyProtection="1">
      <alignment horizontal="center" vertical="center"/>
      <protection locked="0"/>
    </xf>
    <xf numFmtId="0" fontId="92" fillId="0" borderId="165" xfId="0" applyNumberFormat="1" applyFont="1" applyFill="1" applyBorder="1" applyAlignment="1" applyProtection="1">
      <alignment horizontal="center" vertical="center"/>
      <protection locked="0"/>
    </xf>
    <xf numFmtId="0" fontId="92" fillId="0" borderId="174" xfId="0" applyNumberFormat="1" applyFont="1" applyFill="1" applyBorder="1" applyAlignment="1" applyProtection="1">
      <alignment horizontal="center" vertical="center"/>
      <protection locked="0"/>
    </xf>
    <xf numFmtId="181" fontId="98" fillId="0" borderId="139" xfId="0" applyNumberFormat="1" applyFont="1" applyFill="1" applyBorder="1" applyAlignment="1" applyProtection="1">
      <alignment horizontal="right" vertical="center"/>
      <protection locked="0"/>
    </xf>
    <xf numFmtId="181" fontId="98" fillId="0" borderId="145" xfId="0" applyNumberFormat="1" applyFont="1" applyFill="1" applyBorder="1" applyAlignment="1" applyProtection="1">
      <alignment horizontal="right" vertical="center"/>
      <protection locked="0"/>
    </xf>
    <xf numFmtId="181" fontId="98" fillId="0" borderId="141" xfId="0" applyNumberFormat="1" applyFont="1" applyFill="1" applyBorder="1" applyAlignment="1" applyProtection="1">
      <alignment horizontal="right" vertical="center"/>
      <protection locked="0"/>
    </xf>
    <xf numFmtId="181" fontId="98" fillId="0" borderId="103" xfId="0" applyNumberFormat="1" applyFont="1" applyFill="1" applyBorder="1" applyAlignment="1" applyProtection="1">
      <alignment horizontal="right" vertical="center"/>
      <protection locked="0"/>
    </xf>
    <xf numFmtId="181" fontId="98" fillId="0" borderId="163" xfId="0" applyNumberFormat="1" applyFont="1" applyFill="1" applyBorder="1" applyAlignment="1" applyProtection="1">
      <alignment horizontal="right" vertical="center"/>
      <protection locked="0"/>
    </xf>
    <xf numFmtId="181" fontId="98" fillId="0" borderId="166" xfId="0" applyNumberFormat="1" applyFont="1" applyFill="1" applyBorder="1" applyAlignment="1" applyProtection="1">
      <alignment horizontal="right" vertical="center"/>
      <protection locked="0"/>
    </xf>
    <xf numFmtId="0" fontId="98" fillId="0" borderId="176" xfId="0" applyNumberFormat="1" applyFont="1" applyFill="1" applyBorder="1" applyAlignment="1" applyProtection="1">
      <alignment horizontal="center" vertical="center"/>
      <protection locked="0"/>
    </xf>
    <xf numFmtId="174" fontId="98" fillId="0" borderId="139" xfId="0" applyNumberFormat="1" applyFont="1" applyFill="1" applyBorder="1" applyAlignment="1" applyProtection="1">
      <alignment horizontal="right" vertical="center"/>
      <protection locked="0"/>
    </xf>
    <xf numFmtId="171" fontId="98" fillId="0" borderId="177" xfId="0" applyNumberFormat="1" applyFont="1" applyFill="1" applyBorder="1" applyAlignment="1" applyProtection="1">
      <alignment horizontal="left" vertical="center"/>
      <protection locked="0"/>
    </xf>
    <xf numFmtId="0" fontId="98" fillId="0" borderId="182" xfId="0" applyNumberFormat="1" applyFont="1" applyFill="1" applyBorder="1" applyAlignment="1" applyProtection="1">
      <alignment horizontal="center" vertical="center"/>
      <protection locked="0"/>
    </xf>
    <xf numFmtId="174" fontId="98" fillId="0" borderId="141" xfId="0" applyNumberFormat="1" applyFont="1" applyFill="1" applyBorder="1" applyAlignment="1" applyProtection="1">
      <alignment horizontal="right" vertical="center"/>
      <protection locked="0"/>
    </xf>
    <xf numFmtId="171" fontId="98" fillId="0" borderId="183" xfId="0" applyNumberFormat="1" applyFont="1" applyFill="1" applyBorder="1" applyAlignment="1" applyProtection="1">
      <alignment horizontal="left" vertical="center"/>
      <protection locked="0"/>
    </xf>
    <xf numFmtId="0" fontId="98" fillId="0" borderId="161" xfId="0" applyNumberFormat="1" applyFont="1" applyFill="1" applyBorder="1" applyAlignment="1" applyProtection="1">
      <alignment horizontal="left" vertical="center"/>
      <protection locked="0"/>
    </xf>
    <xf numFmtId="0" fontId="98" fillId="0" borderId="160" xfId="0" applyNumberFormat="1" applyFont="1" applyFill="1" applyBorder="1" applyAlignment="1" applyProtection="1">
      <alignment horizontal="left" vertical="center"/>
      <protection locked="0"/>
    </xf>
    <xf numFmtId="0" fontId="98" fillId="0" borderId="184" xfId="0" applyNumberFormat="1" applyFont="1" applyFill="1" applyBorder="1" applyAlignment="1" applyProtection="1">
      <alignment horizontal="center" vertical="center"/>
      <protection locked="0"/>
    </xf>
    <xf numFmtId="174" fontId="98" fillId="0" borderId="163" xfId="0" applyNumberFormat="1" applyFont="1" applyFill="1" applyBorder="1" applyAlignment="1" applyProtection="1">
      <alignment horizontal="right" vertical="center"/>
      <protection locked="0"/>
    </xf>
    <xf numFmtId="171" fontId="98" fillId="0" borderId="185" xfId="0" applyNumberFormat="1" applyFont="1" applyFill="1" applyBorder="1" applyAlignment="1" applyProtection="1">
      <alignment horizontal="left" vertical="center"/>
      <protection locked="0"/>
    </xf>
    <xf numFmtId="0" fontId="98" fillId="0" borderId="162" xfId="0" applyNumberFormat="1" applyFont="1" applyFill="1" applyBorder="1" applyAlignment="1" applyProtection="1">
      <alignment horizontal="left" vertical="center"/>
      <protection locked="0"/>
    </xf>
    <xf numFmtId="0" fontId="98" fillId="0" borderId="174" xfId="0" applyNumberFormat="1" applyFont="1" applyFill="1" applyBorder="1" applyAlignment="1" applyProtection="1">
      <alignment horizontal="left" vertical="center"/>
      <protection locked="0"/>
    </xf>
    <xf numFmtId="0" fontId="92" fillId="0" borderId="175" xfId="0" applyFont="1" applyFill="1" applyBorder="1" applyAlignment="1" applyProtection="1">
      <alignment horizontal="center" vertical="center"/>
      <protection locked="0"/>
    </xf>
    <xf numFmtId="171" fontId="92" fillId="0" borderId="178" xfId="0" applyNumberFormat="1" applyFont="1" applyFill="1" applyBorder="1" applyAlignment="1" applyProtection="1">
      <alignment horizontal="center" vertical="center"/>
      <protection locked="0"/>
    </xf>
    <xf numFmtId="171" fontId="92" fillId="0" borderId="179" xfId="0" applyNumberFormat="1" applyFont="1" applyFill="1" applyBorder="1" applyAlignment="1" applyProtection="1">
      <alignment horizontal="center" vertical="center"/>
      <protection locked="0"/>
    </xf>
    <xf numFmtId="2" fontId="92" fillId="0" borderId="144" xfId="0" applyNumberFormat="1" applyFont="1" applyFill="1" applyBorder="1" applyAlignment="1" applyProtection="1">
      <alignment horizontal="center" vertical="center"/>
      <protection locked="0"/>
    </xf>
    <xf numFmtId="2" fontId="92" fillId="0" borderId="147" xfId="0" applyNumberFormat="1" applyFont="1" applyFill="1" applyBorder="1" applyAlignment="1" applyProtection="1">
      <alignment horizontal="center" vertical="center"/>
      <protection locked="0"/>
    </xf>
    <xf numFmtId="0" fontId="92" fillId="0" borderId="161" xfId="0" applyFont="1" applyFill="1" applyBorder="1" applyAlignment="1" applyProtection="1">
      <alignment horizontal="center" vertical="center"/>
      <protection locked="0"/>
    </xf>
    <xf numFmtId="171" fontId="92" fillId="0" borderId="120" xfId="0" applyNumberFormat="1" applyFont="1" applyFill="1" applyBorder="1" applyAlignment="1" applyProtection="1">
      <alignment horizontal="center" vertical="center"/>
      <protection locked="0"/>
    </xf>
    <xf numFmtId="171" fontId="92" fillId="0" borderId="102" xfId="0" applyNumberFormat="1" applyFont="1" applyFill="1" applyBorder="1" applyAlignment="1" applyProtection="1">
      <alignment horizontal="center" vertical="center"/>
      <protection locked="0"/>
    </xf>
    <xf numFmtId="2" fontId="92" fillId="0" borderId="154" xfId="0" applyNumberFormat="1" applyFont="1" applyFill="1" applyBorder="1" applyAlignment="1" applyProtection="1">
      <alignment horizontal="center" vertical="center"/>
      <protection locked="0"/>
    </xf>
    <xf numFmtId="166" fontId="92" fillId="0" borderId="160" xfId="0" applyNumberFormat="1" applyFont="1" applyFill="1" applyBorder="1" applyAlignment="1" applyProtection="1">
      <alignment horizontal="center" vertical="center"/>
      <protection locked="0"/>
    </xf>
    <xf numFmtId="2" fontId="92" fillId="0" borderId="156" xfId="0" applyNumberFormat="1" applyFont="1" applyFill="1" applyBorder="1" applyAlignment="1" applyProtection="1">
      <alignment horizontal="center" vertical="center"/>
      <protection locked="0"/>
    </xf>
    <xf numFmtId="0" fontId="92" fillId="0" borderId="162" xfId="0" applyFont="1" applyFill="1" applyBorder="1" applyAlignment="1" applyProtection="1">
      <alignment horizontal="center" vertical="center"/>
      <protection locked="0"/>
    </xf>
    <xf numFmtId="171" fontId="92" fillId="0" borderId="186" xfId="0" applyNumberFormat="1" applyFont="1" applyFill="1" applyBorder="1" applyAlignment="1" applyProtection="1">
      <alignment horizontal="center" vertical="center"/>
      <protection locked="0"/>
    </xf>
    <xf numFmtId="171" fontId="92" fillId="0" borderId="187" xfId="0" applyNumberFormat="1" applyFont="1" applyFill="1" applyBorder="1" applyAlignment="1" applyProtection="1">
      <alignment horizontal="center" vertical="center"/>
      <protection locked="0"/>
    </xf>
    <xf numFmtId="2" fontId="92" fillId="0" borderId="165" xfId="0" applyNumberFormat="1" applyFont="1" applyFill="1" applyBorder="1" applyAlignment="1" applyProtection="1">
      <alignment horizontal="center" vertical="center"/>
      <protection locked="0"/>
    </xf>
    <xf numFmtId="166" fontId="92" fillId="0" borderId="174" xfId="0" applyNumberFormat="1" applyFont="1" applyFill="1" applyBorder="1" applyAlignment="1" applyProtection="1">
      <alignment horizontal="center" vertical="center"/>
      <protection locked="0"/>
    </xf>
    <xf numFmtId="2" fontId="92" fillId="0" borderId="168" xfId="0" applyNumberFormat="1" applyFont="1" applyFill="1" applyBorder="1" applyAlignment="1" applyProtection="1">
      <alignment horizontal="center" vertical="center"/>
      <protection locked="0"/>
    </xf>
    <xf numFmtId="1" fontId="92" fillId="0" borderId="147" xfId="0" applyNumberFormat="1" applyFont="1" applyFill="1" applyBorder="1" applyAlignment="1" applyProtection="1">
      <alignment horizontal="center" vertical="center"/>
      <protection locked="0"/>
    </xf>
    <xf numFmtId="171" fontId="92" fillId="0" borderId="147" xfId="0" applyNumberFormat="1" applyFont="1" applyFill="1" applyBorder="1" applyAlignment="1" applyProtection="1">
      <alignment horizontal="center" vertical="center"/>
      <protection locked="0"/>
    </xf>
    <xf numFmtId="1" fontId="92" fillId="0" borderId="156" xfId="0" applyNumberFormat="1" applyFont="1" applyFill="1" applyBorder="1" applyAlignment="1" applyProtection="1">
      <alignment horizontal="center" vertical="center"/>
      <protection locked="0"/>
    </xf>
    <xf numFmtId="171" fontId="92" fillId="0" borderId="156" xfId="0" applyNumberFormat="1" applyFont="1" applyFill="1" applyBorder="1" applyAlignment="1" applyProtection="1">
      <alignment horizontal="center" vertical="center"/>
      <protection locked="0"/>
    </xf>
    <xf numFmtId="1" fontId="92" fillId="0" borderId="168" xfId="0" applyNumberFormat="1" applyFont="1" applyFill="1" applyBorder="1" applyAlignment="1" applyProtection="1">
      <alignment horizontal="center" vertical="center"/>
      <protection locked="0"/>
    </xf>
    <xf numFmtId="171" fontId="92" fillId="0" borderId="168" xfId="0" applyNumberFormat="1" applyFont="1" applyFill="1" applyBorder="1" applyAlignment="1" applyProtection="1">
      <alignment horizontal="center" vertical="center"/>
      <protection locked="0"/>
    </xf>
    <xf numFmtId="2" fontId="92" fillId="0" borderId="196" xfId="0" applyNumberFormat="1" applyFont="1" applyFill="1" applyBorder="1" applyAlignment="1" applyProtection="1">
      <alignment horizontal="center" vertical="center"/>
      <protection locked="0"/>
    </xf>
    <xf numFmtId="49" fontId="98" fillId="0" borderId="194" xfId="0" applyNumberFormat="1" applyFont="1" applyFill="1" applyBorder="1" applyAlignment="1" applyProtection="1">
      <alignment horizontal="left" vertical="center"/>
      <protection locked="0"/>
    </xf>
    <xf numFmtId="49" fontId="98" fillId="0" borderId="195" xfId="0" applyNumberFormat="1" applyFont="1" applyFill="1" applyBorder="1" applyAlignment="1" applyProtection="1">
      <alignment horizontal="left" vertical="center"/>
      <protection locked="0"/>
    </xf>
    <xf numFmtId="184" fontId="92" fillId="0" borderId="175" xfId="0" applyNumberFormat="1" applyFont="1" applyFill="1" applyBorder="1" applyAlignment="1" applyProtection="1">
      <alignment horizontal="center" vertical="center"/>
      <protection locked="0"/>
    </xf>
    <xf numFmtId="0" fontId="92" fillId="0" borderId="182" xfId="0" applyNumberFormat="1" applyFont="1" applyFill="1" applyBorder="1" applyAlignment="1" applyProtection="1">
      <alignment horizontal="center" vertical="center"/>
      <protection locked="0"/>
    </xf>
    <xf numFmtId="174" fontId="92" fillId="0" borderId="141" xfId="0" applyNumberFormat="1" applyFont="1" applyFill="1" applyBorder="1" applyAlignment="1" applyProtection="1">
      <alignment horizontal="right" vertical="center"/>
      <protection locked="0"/>
    </xf>
    <xf numFmtId="171" fontId="92" fillId="0" borderId="183" xfId="0" applyNumberFormat="1" applyFont="1" applyFill="1" applyBorder="1" applyAlignment="1" applyProtection="1">
      <alignment horizontal="left" vertical="center"/>
      <protection locked="0"/>
    </xf>
    <xf numFmtId="49" fontId="98" fillId="0" borderId="161" xfId="0" applyNumberFormat="1" applyFont="1" applyFill="1" applyBorder="1" applyAlignment="1" applyProtection="1">
      <alignment horizontal="left" vertical="center"/>
      <protection locked="0"/>
    </xf>
    <xf numFmtId="49" fontId="98" fillId="0" borderId="160" xfId="0" applyNumberFormat="1" applyFont="1" applyFill="1" applyBorder="1" applyAlignment="1" applyProtection="1">
      <alignment horizontal="left" vertical="center"/>
      <protection locked="0"/>
    </xf>
    <xf numFmtId="184" fontId="92" fillId="0" borderId="161" xfId="0" applyNumberFormat="1" applyFont="1" applyFill="1" applyBorder="1" applyAlignment="1" applyProtection="1">
      <alignment horizontal="center" vertical="center"/>
      <protection locked="0"/>
    </xf>
    <xf numFmtId="49" fontId="98" fillId="0" borderId="162" xfId="0" applyNumberFormat="1" applyFont="1" applyFill="1" applyBorder="1" applyAlignment="1" applyProtection="1">
      <alignment horizontal="left" vertical="center"/>
      <protection locked="0"/>
    </xf>
    <xf numFmtId="49" fontId="98" fillId="0" borderId="174" xfId="0" applyNumberFormat="1" applyFont="1" applyFill="1" applyBorder="1" applyAlignment="1" applyProtection="1">
      <alignment horizontal="left" vertical="center"/>
      <protection locked="0"/>
    </xf>
    <xf numFmtId="184" fontId="92" fillId="0" borderId="162" xfId="0" applyNumberFormat="1" applyFont="1" applyFill="1" applyBorder="1" applyAlignment="1" applyProtection="1">
      <alignment horizontal="center" vertical="center"/>
      <protection locked="0"/>
    </xf>
    <xf numFmtId="2" fontId="92" fillId="0" borderId="152" xfId="0" applyNumberFormat="1" applyFont="1" applyFill="1" applyBorder="1" applyAlignment="1" applyProtection="1">
      <alignment horizontal="center" vertical="center"/>
      <protection locked="0"/>
    </xf>
    <xf numFmtId="2" fontId="92" fillId="0" borderId="160" xfId="0" applyNumberFormat="1" applyFont="1" applyFill="1" applyBorder="1" applyAlignment="1" applyProtection="1">
      <alignment horizontal="center" vertical="center"/>
      <protection locked="0"/>
    </xf>
    <xf numFmtId="2" fontId="92" fillId="0" borderId="174" xfId="0" applyNumberFormat="1" applyFont="1" applyFill="1" applyBorder="1" applyAlignment="1" applyProtection="1">
      <alignment horizontal="center" vertical="center"/>
      <protection locked="0"/>
    </xf>
    <xf numFmtId="0" fontId="96" fillId="0" borderId="161" xfId="0" applyNumberFormat="1" applyFont="1" applyFill="1" applyBorder="1" applyAlignment="1" applyProtection="1">
      <alignment horizontal="center" vertical="center"/>
      <protection locked="0"/>
    </xf>
    <xf numFmtId="0" fontId="31" fillId="0" borderId="161" xfId="0" applyNumberFormat="1" applyFont="1" applyFill="1" applyBorder="1" applyAlignment="1" applyProtection="1">
      <alignment horizontal="center" vertical="center"/>
      <protection locked="0"/>
    </xf>
    <xf numFmtId="0" fontId="22" fillId="2" borderId="0" xfId="0" applyFont="1" applyFill="1" applyBorder="1" applyAlignment="1" applyProtection="1">
      <alignment horizontal="center"/>
      <protection locked="0"/>
    </xf>
    <xf numFmtId="12" fontId="31" fillId="11" borderId="191" xfId="0" applyNumberFormat="1" applyFont="1" applyFill="1" applyBorder="1" applyAlignment="1" applyProtection="1">
      <alignment horizontal="center"/>
      <protection hidden="1"/>
    </xf>
    <xf numFmtId="12" fontId="31" fillId="11" borderId="176" xfId="0" applyNumberFormat="1" applyFont="1" applyFill="1" applyBorder="1" applyAlignment="1" applyProtection="1">
      <alignment horizontal="center"/>
      <protection hidden="1"/>
    </xf>
    <xf numFmtId="12" fontId="31" fillId="11" borderId="193" xfId="0" applyNumberFormat="1" applyFont="1" applyFill="1" applyBorder="1" applyAlignment="1" applyProtection="1">
      <alignment horizontal="center"/>
      <protection hidden="1"/>
    </xf>
    <xf numFmtId="12" fontId="31" fillId="11" borderId="182" xfId="0" applyNumberFormat="1" applyFont="1" applyFill="1" applyBorder="1" applyAlignment="1" applyProtection="1">
      <alignment horizontal="center"/>
      <protection hidden="1"/>
    </xf>
    <xf numFmtId="12" fontId="31" fillId="11" borderId="197" xfId="0" applyNumberFormat="1" applyFont="1" applyFill="1" applyBorder="1" applyAlignment="1" applyProtection="1">
      <alignment horizontal="center"/>
      <protection hidden="1"/>
    </xf>
    <xf numFmtId="12" fontId="31" fillId="11" borderId="184" xfId="0" applyNumberFormat="1" applyFont="1" applyFill="1" applyBorder="1" applyAlignment="1" applyProtection="1">
      <alignment horizontal="center"/>
      <protection hidden="1"/>
    </xf>
    <xf numFmtId="0" fontId="20" fillId="2" borderId="12" xfId="0" applyFont="1" applyFill="1" applyBorder="1" applyProtection="1">
      <protection hidden="1"/>
    </xf>
    <xf numFmtId="0" fontId="20" fillId="2" borderId="12" xfId="0" applyFont="1" applyFill="1" applyBorder="1" applyAlignment="1" applyProtection="1">
      <alignment horizontal="center" vertical="center"/>
      <protection hidden="1"/>
    </xf>
    <xf numFmtId="0" fontId="12" fillId="2" borderId="0" xfId="0" applyFont="1" applyFill="1" applyBorder="1" applyAlignment="1" applyProtection="1">
      <alignment horizontal="center"/>
    </xf>
    <xf numFmtId="0" fontId="50" fillId="2" borderId="0" xfId="0" applyFont="1" applyFill="1" applyAlignment="1" applyProtection="1">
      <alignment horizontal="center" wrapText="1"/>
    </xf>
    <xf numFmtId="0" fontId="22" fillId="2" borderId="0" xfId="0" applyFont="1" applyFill="1" applyProtection="1"/>
    <xf numFmtId="0" fontId="22" fillId="2" borderId="0" xfId="0" applyFont="1" applyFill="1" applyBorder="1" applyProtection="1">
      <protection locked="0"/>
    </xf>
    <xf numFmtId="0" fontId="22" fillId="2" borderId="0" xfId="0" applyFont="1" applyFill="1" applyBorder="1" applyProtection="1">
      <protection locked="0" hidden="1"/>
    </xf>
    <xf numFmtId="0" fontId="102" fillId="3" borderId="0" xfId="0" applyFont="1" applyFill="1" applyProtection="1"/>
    <xf numFmtId="0" fontId="30" fillId="2" borderId="0" xfId="0" applyFont="1" applyFill="1" applyBorder="1" applyAlignment="1" applyProtection="1">
      <alignment horizontal="left"/>
    </xf>
    <xf numFmtId="0" fontId="22" fillId="2" borderId="0" xfId="0" applyFont="1" applyFill="1" applyAlignment="1" applyProtection="1">
      <alignment horizontal="center" vertical="center"/>
    </xf>
    <xf numFmtId="3" fontId="52" fillId="2" borderId="0" xfId="0" applyNumberFormat="1" applyFont="1" applyFill="1" applyBorder="1" applyAlignment="1" applyProtection="1">
      <alignment horizontal="left"/>
    </xf>
    <xf numFmtId="3" fontId="47" fillId="2" borderId="0" xfId="0" applyNumberFormat="1" applyFont="1" applyFill="1" applyBorder="1" applyAlignment="1" applyProtection="1">
      <alignment horizontal="center"/>
    </xf>
    <xf numFmtId="0" fontId="22" fillId="2" borderId="0" xfId="0" applyFont="1" applyFill="1" applyBorder="1" applyAlignment="1" applyProtection="1">
      <alignment horizontal="right" vertical="top"/>
    </xf>
    <xf numFmtId="0" fontId="22" fillId="2" borderId="0" xfId="0" applyFont="1" applyFill="1" applyBorder="1" applyAlignment="1" applyProtection="1">
      <alignment horizontal="right"/>
    </xf>
    <xf numFmtId="0" fontId="61" fillId="0" borderId="14" xfId="0" applyFont="1" applyFill="1" applyBorder="1" applyAlignment="1" applyProtection="1">
      <alignment horizontal="center"/>
      <protection hidden="1"/>
    </xf>
    <xf numFmtId="0" fontId="61" fillId="0" borderId="18" xfId="0" applyFont="1" applyFill="1" applyBorder="1" applyAlignment="1" applyProtection="1">
      <alignment horizontal="center"/>
      <protection hidden="1"/>
    </xf>
    <xf numFmtId="183" fontId="61" fillId="6" borderId="23" xfId="0" applyNumberFormat="1" applyFont="1" applyFill="1" applyBorder="1" applyAlignment="1" applyProtection="1">
      <alignment horizontal="center"/>
      <protection hidden="1"/>
    </xf>
    <xf numFmtId="183" fontId="61" fillId="6" borderId="24" xfId="0" applyNumberFormat="1" applyFont="1" applyFill="1" applyBorder="1" applyAlignment="1" applyProtection="1">
      <alignment horizontal="center"/>
      <protection hidden="1"/>
    </xf>
    <xf numFmtId="175" fontId="48" fillId="0" borderId="0" xfId="0" applyNumberFormat="1" applyFont="1" applyFill="1" applyBorder="1" applyAlignment="1" applyProtection="1">
      <alignment horizontal="left"/>
      <protection locked="0"/>
    </xf>
    <xf numFmtId="0" fontId="104" fillId="2" borderId="0" xfId="0" quotePrefix="1" applyFont="1" applyFill="1" applyAlignment="1" applyProtection="1">
      <alignment horizontal="center"/>
      <protection hidden="1"/>
    </xf>
    <xf numFmtId="0" fontId="104" fillId="2" borderId="0" xfId="0" applyNumberFormat="1" applyFont="1" applyFill="1" applyAlignment="1" applyProtection="1">
      <alignment horizontal="center"/>
      <protection hidden="1"/>
    </xf>
    <xf numFmtId="0" fontId="87" fillId="2" borderId="0" xfId="0" applyFont="1" applyFill="1" applyAlignment="1" applyProtection="1">
      <alignment horizontal="right"/>
      <protection hidden="1"/>
    </xf>
    <xf numFmtId="0" fontId="92" fillId="0" borderId="169" xfId="0" applyNumberFormat="1" applyFont="1" applyFill="1" applyBorder="1" applyAlignment="1" applyProtection="1">
      <alignment horizontal="center" vertical="center"/>
      <protection locked="0"/>
    </xf>
    <xf numFmtId="0" fontId="22" fillId="2" borderId="0" xfId="0" applyFont="1" applyFill="1" applyBorder="1" applyAlignment="1" applyProtection="1">
      <alignment horizontal="right"/>
      <protection hidden="1"/>
    </xf>
    <xf numFmtId="0" fontId="7" fillId="2" borderId="0" xfId="0" applyFont="1" applyFill="1" applyBorder="1" applyProtection="1"/>
    <xf numFmtId="0" fontId="7" fillId="13" borderId="0" xfId="0" applyFont="1" applyFill="1" applyProtection="1"/>
    <xf numFmtId="0" fontId="7" fillId="2" borderId="0" xfId="0" applyFont="1" applyFill="1" applyProtection="1"/>
    <xf numFmtId="0" fontId="7" fillId="0" borderId="297" xfId="0" applyFont="1" applyFill="1" applyBorder="1" applyProtection="1"/>
    <xf numFmtId="0" fontId="7" fillId="0" borderId="299" xfId="0" applyFont="1" applyFill="1" applyBorder="1" applyAlignment="1" applyProtection="1">
      <alignment horizontal="left"/>
    </xf>
    <xf numFmtId="0" fontId="7" fillId="0" borderId="300" xfId="0" applyFont="1" applyFill="1" applyBorder="1" applyAlignment="1" applyProtection="1">
      <alignment horizontal="left"/>
    </xf>
    <xf numFmtId="0" fontId="7" fillId="0" borderId="302" xfId="0" applyFont="1" applyFill="1" applyBorder="1" applyAlignment="1" applyProtection="1">
      <alignment horizontal="left"/>
    </xf>
    <xf numFmtId="0" fontId="50" fillId="0" borderId="296" xfId="0" applyFont="1" applyFill="1" applyBorder="1" applyProtection="1"/>
    <xf numFmtId="0" fontId="50" fillId="0" borderId="297" xfId="0" applyFont="1" applyFill="1" applyBorder="1" applyProtection="1"/>
    <xf numFmtId="0" fontId="50" fillId="0" borderId="298" xfId="0" applyFont="1" applyFill="1" applyBorder="1" applyAlignment="1" applyProtection="1">
      <alignment horizontal="left"/>
    </xf>
    <xf numFmtId="0" fontId="50" fillId="0" borderId="299" xfId="0" applyFont="1" applyFill="1" applyBorder="1" applyAlignment="1" applyProtection="1">
      <alignment horizontal="left"/>
    </xf>
    <xf numFmtId="0" fontId="50" fillId="0" borderId="153" xfId="0" applyFont="1" applyFill="1" applyBorder="1" applyAlignment="1" applyProtection="1">
      <alignment horizontal="left"/>
    </xf>
    <xf numFmtId="0" fontId="50" fillId="0" borderId="300" xfId="0" applyFont="1" applyFill="1" applyBorder="1" applyAlignment="1" applyProtection="1">
      <alignment horizontal="left"/>
    </xf>
    <xf numFmtId="0" fontId="50" fillId="0" borderId="301" xfId="0" applyFont="1" applyFill="1" applyBorder="1" applyAlignment="1" applyProtection="1">
      <alignment horizontal="left"/>
    </xf>
    <xf numFmtId="0" fontId="50" fillId="0" borderId="302" xfId="0" applyFont="1" applyFill="1" applyBorder="1" applyAlignment="1" applyProtection="1">
      <alignment horizontal="left"/>
    </xf>
    <xf numFmtId="0" fontId="71" fillId="0" borderId="0" xfId="0" applyNumberFormat="1" applyFont="1" applyFill="1" applyBorder="1" applyProtection="1"/>
    <xf numFmtId="0" fontId="91" fillId="7" borderId="188" xfId="0" applyNumberFormat="1" applyFont="1" applyFill="1" applyBorder="1" applyAlignment="1" applyProtection="1">
      <alignment horizontal="left"/>
      <protection hidden="1"/>
    </xf>
    <xf numFmtId="0" fontId="91" fillId="7" borderId="189" xfId="0" applyNumberFormat="1" applyFont="1" applyFill="1" applyBorder="1" applyAlignment="1" applyProtection="1">
      <alignment horizontal="left"/>
      <protection hidden="1"/>
    </xf>
    <xf numFmtId="0" fontId="91" fillId="7" borderId="172" xfId="0" applyNumberFormat="1" applyFont="1" applyFill="1" applyBorder="1" applyAlignment="1" applyProtection="1">
      <alignment horizontal="left"/>
      <protection hidden="1"/>
    </xf>
    <xf numFmtId="2" fontId="86" fillId="7" borderId="197" xfId="0" applyNumberFormat="1" applyFont="1" applyFill="1" applyBorder="1" applyAlignment="1" applyProtection="1">
      <alignment horizontal="center"/>
      <protection hidden="1"/>
    </xf>
    <xf numFmtId="2" fontId="86" fillId="7" borderId="184" xfId="0" applyNumberFormat="1" applyFont="1" applyFill="1" applyBorder="1" applyAlignment="1" applyProtection="1">
      <alignment horizontal="center"/>
      <protection hidden="1"/>
    </xf>
    <xf numFmtId="0" fontId="92" fillId="0" borderId="184" xfId="0" applyNumberFormat="1" applyFont="1" applyFill="1" applyBorder="1" applyAlignment="1" applyProtection="1">
      <alignment horizontal="center" vertical="center"/>
      <protection locked="0"/>
    </xf>
    <xf numFmtId="174" fontId="92" fillId="0" borderId="163" xfId="0" applyNumberFormat="1" applyFont="1" applyFill="1" applyBorder="1" applyAlignment="1" applyProtection="1">
      <alignment horizontal="right" vertical="center"/>
      <protection locked="0"/>
    </xf>
    <xf numFmtId="171" fontId="92" fillId="0" borderId="185" xfId="0" applyNumberFormat="1" applyFont="1" applyFill="1" applyBorder="1" applyAlignment="1" applyProtection="1">
      <alignment horizontal="left" vertical="center"/>
      <protection locked="0"/>
    </xf>
    <xf numFmtId="0" fontId="30" fillId="0" borderId="27" xfId="0" applyFont="1" applyFill="1" applyBorder="1" applyAlignment="1" applyProtection="1">
      <alignment horizontal="center" vertical="center"/>
    </xf>
    <xf numFmtId="0" fontId="30" fillId="0" borderId="28" xfId="0" applyFont="1" applyFill="1" applyBorder="1" applyAlignment="1" applyProtection="1">
      <alignment horizontal="center" vertical="center"/>
    </xf>
    <xf numFmtId="0" fontId="91" fillId="7" borderId="151" xfId="0" applyNumberFormat="1" applyFont="1" applyFill="1" applyBorder="1" applyAlignment="1" applyProtection="1">
      <alignment horizontal="center" vertical="center"/>
    </xf>
    <xf numFmtId="0" fontId="91" fillId="7" borderId="159" xfId="0" applyNumberFormat="1" applyFont="1" applyFill="1" applyBorder="1" applyAlignment="1" applyProtection="1">
      <alignment horizontal="center" vertical="center"/>
    </xf>
    <xf numFmtId="0" fontId="91" fillId="7" borderId="173" xfId="0" applyNumberFormat="1" applyFont="1" applyFill="1" applyBorder="1" applyAlignment="1" applyProtection="1">
      <alignment horizontal="center" vertical="center"/>
    </xf>
    <xf numFmtId="12" fontId="29" fillId="14" borderId="12" xfId="0" applyNumberFormat="1" applyFont="1" applyFill="1" applyBorder="1" applyAlignment="1" applyProtection="1">
      <alignment horizontal="center"/>
      <protection hidden="1"/>
    </xf>
    <xf numFmtId="178" fontId="29" fillId="14" borderId="20" xfId="0" applyNumberFormat="1" applyFont="1" applyFill="1" applyBorder="1" applyAlignment="1" applyProtection="1">
      <alignment horizontal="center"/>
      <protection hidden="1"/>
    </xf>
    <xf numFmtId="2" fontId="30" fillId="14" borderId="8" xfId="0" applyNumberFormat="1" applyFont="1" applyFill="1" applyBorder="1" applyAlignment="1" applyProtection="1">
      <alignment horizontal="center"/>
      <protection hidden="1"/>
    </xf>
    <xf numFmtId="2" fontId="30" fillId="14" borderId="26" xfId="0" applyNumberFormat="1" applyFont="1" applyFill="1" applyBorder="1" applyAlignment="1" applyProtection="1">
      <alignment horizontal="center"/>
      <protection hidden="1"/>
    </xf>
    <xf numFmtId="176" fontId="30" fillId="14" borderId="14" xfId="0" applyNumberFormat="1" applyFont="1" applyFill="1" applyBorder="1" applyAlignment="1" applyProtection="1">
      <alignment horizontal="center"/>
      <protection hidden="1"/>
    </xf>
    <xf numFmtId="2" fontId="30" fillId="14" borderId="14" xfId="0" applyNumberFormat="1" applyFont="1" applyFill="1" applyBorder="1" applyAlignment="1" applyProtection="1">
      <alignment horizontal="center"/>
      <protection hidden="1"/>
    </xf>
    <xf numFmtId="2" fontId="30" fillId="14" borderId="12" xfId="0" applyNumberFormat="1" applyFont="1" applyFill="1" applyBorder="1" applyAlignment="1" applyProtection="1">
      <alignment horizontal="center"/>
      <protection hidden="1"/>
    </xf>
    <xf numFmtId="176" fontId="30" fillId="14" borderId="12" xfId="0" applyNumberFormat="1" applyFont="1" applyFill="1" applyBorder="1" applyAlignment="1" applyProtection="1">
      <alignment horizontal="center"/>
      <protection hidden="1"/>
    </xf>
    <xf numFmtId="0" fontId="30" fillId="14" borderId="14" xfId="0" applyFont="1" applyFill="1" applyBorder="1" applyAlignment="1" applyProtection="1">
      <alignment horizontal="center"/>
      <protection hidden="1"/>
    </xf>
    <xf numFmtId="165" fontId="30" fillId="14" borderId="12" xfId="0" applyNumberFormat="1" applyFont="1" applyFill="1" applyBorder="1" applyAlignment="1" applyProtection="1">
      <alignment horizontal="center"/>
      <protection hidden="1"/>
    </xf>
    <xf numFmtId="0" fontId="30" fillId="14" borderId="14" xfId="0" applyFont="1" applyFill="1" applyBorder="1" applyAlignment="1" applyProtection="1">
      <alignment horizontal="center"/>
    </xf>
    <xf numFmtId="0" fontId="30" fillId="14" borderId="112" xfId="0" applyFont="1" applyFill="1" applyBorder="1" applyAlignment="1" applyProtection="1">
      <alignment horizontal="center"/>
    </xf>
    <xf numFmtId="176" fontId="30" fillId="14" borderId="14" xfId="0" applyNumberFormat="1" applyFont="1" applyFill="1" applyBorder="1" applyAlignment="1" applyProtection="1">
      <alignment horizontal="center"/>
    </xf>
    <xf numFmtId="176" fontId="30" fillId="14" borderId="18" xfId="0" applyNumberFormat="1" applyFont="1" applyFill="1" applyBorder="1" applyAlignment="1" applyProtection="1">
      <alignment horizontal="center"/>
    </xf>
    <xf numFmtId="0" fontId="30" fillId="14" borderId="12" xfId="0" applyFont="1" applyFill="1" applyBorder="1" applyAlignment="1" applyProtection="1">
      <alignment horizontal="center"/>
      <protection hidden="1"/>
    </xf>
    <xf numFmtId="0" fontId="30" fillId="14" borderId="12" xfId="0" applyFont="1" applyFill="1" applyBorder="1" applyAlignment="1" applyProtection="1">
      <alignment horizontal="center"/>
    </xf>
    <xf numFmtId="0" fontId="30" fillId="14" borderId="11" xfId="0" applyFont="1" applyFill="1" applyBorder="1" applyAlignment="1" applyProtection="1">
      <alignment horizontal="center"/>
    </xf>
    <xf numFmtId="176" fontId="30" fillId="14" borderId="12" xfId="0" applyNumberFormat="1" applyFont="1" applyFill="1" applyBorder="1" applyAlignment="1" applyProtection="1">
      <alignment horizontal="center"/>
    </xf>
    <xf numFmtId="176" fontId="30" fillId="14" borderId="20" xfId="0" applyNumberFormat="1" applyFont="1" applyFill="1" applyBorder="1" applyAlignment="1" applyProtection="1">
      <alignment horizontal="center"/>
    </xf>
    <xf numFmtId="12" fontId="29" fillId="14" borderId="23" xfId="0" applyNumberFormat="1" applyFont="1" applyFill="1" applyBorder="1" applyAlignment="1" applyProtection="1">
      <alignment horizontal="center"/>
      <protection hidden="1"/>
    </xf>
    <xf numFmtId="178" fontId="29" fillId="14" borderId="24" xfId="0" applyNumberFormat="1" applyFont="1" applyFill="1" applyBorder="1" applyAlignment="1" applyProtection="1">
      <alignment horizontal="center"/>
      <protection hidden="1"/>
    </xf>
    <xf numFmtId="2" fontId="30" fillId="14" borderId="9" xfId="0" applyNumberFormat="1" applyFont="1" applyFill="1" applyBorder="1" applyAlignment="1" applyProtection="1">
      <alignment horizontal="center"/>
      <protection hidden="1"/>
    </xf>
    <xf numFmtId="2" fontId="30" fillId="14" borderId="81" xfId="0" applyNumberFormat="1" applyFont="1" applyFill="1" applyBorder="1" applyAlignment="1" applyProtection="1">
      <alignment horizontal="center"/>
      <protection hidden="1"/>
    </xf>
    <xf numFmtId="176" fontId="30" fillId="14" borderId="23" xfId="0" applyNumberFormat="1" applyFont="1" applyFill="1" applyBorder="1" applyAlignment="1" applyProtection="1">
      <alignment horizontal="center"/>
      <protection hidden="1"/>
    </xf>
    <xf numFmtId="2" fontId="30" fillId="14" borderId="23" xfId="0" applyNumberFormat="1" applyFont="1" applyFill="1" applyBorder="1" applyAlignment="1" applyProtection="1">
      <alignment horizontal="center"/>
      <protection hidden="1"/>
    </xf>
    <xf numFmtId="0" fontId="30" fillId="14" borderId="23" xfId="0" applyFont="1" applyFill="1" applyBorder="1" applyAlignment="1" applyProtection="1">
      <alignment horizontal="center"/>
      <protection hidden="1"/>
    </xf>
    <xf numFmtId="0" fontId="30" fillId="14" borderId="23" xfId="0" applyFont="1" applyFill="1" applyBorder="1" applyAlignment="1" applyProtection="1">
      <alignment horizontal="center"/>
    </xf>
    <xf numFmtId="0" fontId="30" fillId="14" borderId="113" xfId="0" applyFont="1" applyFill="1" applyBorder="1" applyAlignment="1" applyProtection="1">
      <alignment horizontal="center"/>
    </xf>
    <xf numFmtId="176" fontId="30" fillId="14" borderId="23" xfId="0" applyNumberFormat="1" applyFont="1" applyFill="1" applyBorder="1" applyAlignment="1" applyProtection="1">
      <alignment horizontal="center"/>
    </xf>
    <xf numFmtId="176" fontId="30" fillId="14" borderId="24" xfId="0" applyNumberFormat="1" applyFont="1" applyFill="1" applyBorder="1" applyAlignment="1" applyProtection="1">
      <alignment horizontal="center"/>
    </xf>
    <xf numFmtId="184" fontId="105" fillId="7" borderId="175" xfId="0" applyNumberFormat="1" applyFont="1" applyFill="1" applyBorder="1" applyAlignment="1" applyProtection="1">
      <alignment horizontal="center"/>
    </xf>
    <xf numFmtId="184" fontId="105" fillId="7" borderId="152" xfId="0" applyNumberFormat="1" applyFont="1" applyFill="1" applyBorder="1" applyAlignment="1" applyProtection="1">
      <alignment horizontal="center"/>
    </xf>
    <xf numFmtId="184" fontId="105" fillId="7" borderId="161" xfId="0" applyNumberFormat="1" applyFont="1" applyFill="1" applyBorder="1" applyAlignment="1" applyProtection="1">
      <alignment horizontal="center"/>
    </xf>
    <xf numFmtId="184" fontId="105" fillId="7" borderId="160" xfId="0" applyNumberFormat="1" applyFont="1" applyFill="1" applyBorder="1" applyAlignment="1" applyProtection="1">
      <alignment horizontal="center"/>
    </xf>
    <xf numFmtId="184" fontId="105" fillId="7" borderId="162" xfId="0" applyNumberFormat="1" applyFont="1" applyFill="1" applyBorder="1" applyAlignment="1" applyProtection="1">
      <alignment horizontal="center"/>
    </xf>
    <xf numFmtId="184" fontId="105" fillId="7" borderId="174" xfId="0" applyNumberFormat="1" applyFont="1" applyFill="1" applyBorder="1" applyAlignment="1" applyProtection="1">
      <alignment horizontal="center"/>
    </xf>
    <xf numFmtId="0" fontId="91" fillId="7" borderId="147" xfId="0" applyNumberFormat="1" applyFont="1" applyFill="1" applyBorder="1" applyAlignment="1" applyProtection="1">
      <alignment horizontal="left"/>
      <protection hidden="1"/>
    </xf>
    <xf numFmtId="0" fontId="91" fillId="7" borderId="156" xfId="0" applyNumberFormat="1" applyFont="1" applyFill="1" applyBorder="1" applyAlignment="1" applyProtection="1">
      <alignment horizontal="left"/>
      <protection hidden="1"/>
    </xf>
    <xf numFmtId="0" fontId="91" fillId="7" borderId="168" xfId="0" applyNumberFormat="1" applyFont="1" applyFill="1" applyBorder="1" applyAlignment="1" applyProtection="1">
      <alignment horizontal="left"/>
      <protection hidden="1"/>
    </xf>
    <xf numFmtId="176" fontId="30" fillId="13" borderId="12" xfId="0" applyNumberFormat="1" applyFont="1" applyFill="1" applyBorder="1" applyAlignment="1" applyProtection="1">
      <alignment horizontal="center"/>
      <protection hidden="1"/>
    </xf>
    <xf numFmtId="2" fontId="30" fillId="14" borderId="30" xfId="0" applyNumberFormat="1" applyFont="1" applyFill="1" applyBorder="1" applyAlignment="1" applyProtection="1">
      <alignment horizontal="center"/>
      <protection hidden="1"/>
    </xf>
    <xf numFmtId="12" fontId="29" fillId="14" borderId="29" xfId="0" applyNumberFormat="1" applyFont="1" applyFill="1" applyBorder="1" applyAlignment="1" applyProtection="1">
      <alignment horizontal="center"/>
      <protection hidden="1"/>
    </xf>
    <xf numFmtId="178" fontId="29" fillId="14" borderId="36" xfId="0" applyNumberFormat="1" applyFont="1" applyFill="1" applyBorder="1" applyAlignment="1" applyProtection="1">
      <alignment horizontal="center"/>
      <protection hidden="1"/>
    </xf>
    <xf numFmtId="2" fontId="30" fillId="14" borderId="130" xfId="0" applyNumberFormat="1" applyFont="1" applyFill="1" applyBorder="1" applyAlignment="1" applyProtection="1">
      <alignment horizontal="center"/>
      <protection hidden="1"/>
    </xf>
    <xf numFmtId="176" fontId="30" fillId="14" borderId="29" xfId="0" applyNumberFormat="1" applyFont="1" applyFill="1" applyBorder="1" applyAlignment="1" applyProtection="1">
      <alignment horizontal="center"/>
      <protection hidden="1"/>
    </xf>
    <xf numFmtId="2" fontId="30" fillId="14" borderId="29" xfId="0" applyNumberFormat="1" applyFont="1" applyFill="1" applyBorder="1" applyAlignment="1" applyProtection="1">
      <alignment horizontal="center"/>
      <protection hidden="1"/>
    </xf>
    <xf numFmtId="0" fontId="30" fillId="14" borderId="29" xfId="0" applyFont="1" applyFill="1" applyBorder="1" applyAlignment="1" applyProtection="1">
      <alignment horizontal="center"/>
      <protection hidden="1"/>
    </xf>
    <xf numFmtId="0" fontId="30" fillId="14" borderId="29" xfId="0" applyFont="1" applyFill="1" applyBorder="1" applyAlignment="1" applyProtection="1">
      <alignment horizontal="center"/>
    </xf>
    <xf numFmtId="0" fontId="30" fillId="14" borderId="39" xfId="0" applyFont="1" applyFill="1" applyBorder="1" applyAlignment="1" applyProtection="1">
      <alignment horizontal="center"/>
    </xf>
    <xf numFmtId="176" fontId="30" fillId="14" borderId="29" xfId="0" applyNumberFormat="1" applyFont="1" applyFill="1" applyBorder="1" applyAlignment="1" applyProtection="1">
      <alignment horizontal="center"/>
    </xf>
    <xf numFmtId="176" fontId="30" fillId="14" borderId="36" xfId="0" applyNumberFormat="1" applyFont="1" applyFill="1" applyBorder="1" applyAlignment="1" applyProtection="1">
      <alignment horizontal="center"/>
    </xf>
    <xf numFmtId="176" fontId="30" fillId="14" borderId="30" xfId="0" applyNumberFormat="1" applyFont="1" applyFill="1" applyBorder="1" applyAlignment="1" applyProtection="1">
      <alignment horizontal="center" vertical="center"/>
    </xf>
    <xf numFmtId="176" fontId="30" fillId="14" borderId="36" xfId="0" applyNumberFormat="1" applyFont="1" applyFill="1" applyBorder="1" applyAlignment="1" applyProtection="1">
      <alignment horizontal="center" vertical="center"/>
    </xf>
    <xf numFmtId="176" fontId="30" fillId="14" borderId="8" xfId="0" applyNumberFormat="1" applyFont="1" applyFill="1" applyBorder="1" applyAlignment="1" applyProtection="1">
      <alignment horizontal="center" vertical="center"/>
    </xf>
    <xf numFmtId="176" fontId="30" fillId="14" borderId="20" xfId="0" applyNumberFormat="1" applyFont="1" applyFill="1" applyBorder="1" applyAlignment="1" applyProtection="1">
      <alignment horizontal="center" vertical="center"/>
    </xf>
    <xf numFmtId="176" fontId="30" fillId="13" borderId="29" xfId="0" applyNumberFormat="1" applyFont="1" applyFill="1" applyBorder="1" applyAlignment="1" applyProtection="1">
      <alignment horizontal="center"/>
      <protection hidden="1"/>
    </xf>
    <xf numFmtId="176" fontId="61" fillId="14" borderId="12" xfId="0" applyNumberFormat="1" applyFont="1" applyFill="1" applyBorder="1" applyAlignment="1" applyProtection="1">
      <alignment horizontal="center"/>
      <protection hidden="1"/>
    </xf>
    <xf numFmtId="2" fontId="61" fillId="14" borderId="12" xfId="0" applyNumberFormat="1" applyFont="1" applyFill="1" applyBorder="1" applyAlignment="1" applyProtection="1">
      <alignment horizontal="center"/>
      <protection hidden="1"/>
    </xf>
    <xf numFmtId="176" fontId="62" fillId="14" borderId="12" xfId="0" applyNumberFormat="1" applyFont="1" applyFill="1" applyBorder="1" applyAlignment="1" applyProtection="1">
      <alignment horizontal="center"/>
      <protection hidden="1"/>
    </xf>
    <xf numFmtId="0" fontId="61" fillId="14" borderId="12" xfId="0" applyFont="1" applyFill="1" applyBorder="1" applyAlignment="1" applyProtection="1">
      <alignment horizontal="center"/>
      <protection hidden="1"/>
    </xf>
    <xf numFmtId="165" fontId="61" fillId="14" borderId="12" xfId="0" applyNumberFormat="1" applyFont="1" applyFill="1" applyBorder="1" applyAlignment="1" applyProtection="1">
      <alignment horizontal="center"/>
      <protection hidden="1"/>
    </xf>
    <xf numFmtId="12" fontId="61" fillId="14" borderId="26" xfId="0" applyNumberFormat="1" applyFont="1" applyFill="1" applyBorder="1" applyAlignment="1" applyProtection="1">
      <alignment horizontal="center"/>
      <protection hidden="1"/>
    </xf>
    <xf numFmtId="166" fontId="61" fillId="14" borderId="34" xfId="0" applyNumberFormat="1" applyFont="1" applyFill="1" applyBorder="1" applyAlignment="1" applyProtection="1">
      <alignment horizontal="center"/>
      <protection hidden="1"/>
    </xf>
    <xf numFmtId="176" fontId="61" fillId="14" borderId="12" xfId="0" applyNumberFormat="1" applyFont="1" applyFill="1" applyBorder="1" applyAlignment="1" applyProtection="1">
      <alignment horizontal="center"/>
    </xf>
    <xf numFmtId="176" fontId="61" fillId="14" borderId="20" xfId="0" applyNumberFormat="1" applyFont="1" applyFill="1" applyBorder="1" applyAlignment="1" applyProtection="1">
      <alignment horizontal="center"/>
    </xf>
    <xf numFmtId="176" fontId="61" fillId="14" borderId="23" xfId="0" applyNumberFormat="1" applyFont="1" applyFill="1" applyBorder="1" applyAlignment="1" applyProtection="1">
      <alignment horizontal="center"/>
      <protection hidden="1"/>
    </xf>
    <xf numFmtId="2" fontId="61" fillId="14" borderId="23" xfId="0" applyNumberFormat="1" applyFont="1" applyFill="1" applyBorder="1" applyAlignment="1" applyProtection="1">
      <alignment horizontal="center"/>
      <protection hidden="1"/>
    </xf>
    <xf numFmtId="0" fontId="61" fillId="14" borderId="23" xfId="0" applyFont="1" applyFill="1" applyBorder="1" applyAlignment="1" applyProtection="1">
      <alignment horizontal="center"/>
      <protection hidden="1"/>
    </xf>
    <xf numFmtId="165" fontId="61" fillId="14" borderId="23" xfId="0" applyNumberFormat="1" applyFont="1" applyFill="1" applyBorder="1" applyAlignment="1" applyProtection="1">
      <alignment horizontal="center"/>
      <protection hidden="1"/>
    </xf>
    <xf numFmtId="166" fontId="61" fillId="14" borderId="93" xfId="0" applyNumberFormat="1" applyFont="1" applyFill="1" applyBorder="1" applyAlignment="1" applyProtection="1">
      <alignment horizontal="center"/>
      <protection hidden="1"/>
    </xf>
    <xf numFmtId="176" fontId="61" fillId="14" borderId="23" xfId="0" applyNumberFormat="1" applyFont="1" applyFill="1" applyBorder="1" applyAlignment="1" applyProtection="1">
      <alignment horizontal="center"/>
    </xf>
    <xf numFmtId="176" fontId="61" fillId="14" borderId="24" xfId="0" applyNumberFormat="1" applyFont="1" applyFill="1" applyBorder="1" applyAlignment="1" applyProtection="1">
      <alignment horizontal="center"/>
    </xf>
    <xf numFmtId="176" fontId="61" fillId="13" borderId="12" xfId="0" applyNumberFormat="1" applyFont="1" applyFill="1" applyBorder="1" applyAlignment="1" applyProtection="1">
      <alignment horizontal="center"/>
      <protection hidden="1"/>
    </xf>
    <xf numFmtId="176" fontId="30" fillId="14" borderId="8" xfId="0" applyNumberFormat="1" applyFont="1" applyFill="1" applyBorder="1" applyAlignment="1" applyProtection="1">
      <alignment horizontal="center"/>
    </xf>
    <xf numFmtId="176" fontId="61" fillId="13" borderId="23" xfId="0" applyNumberFormat="1" applyFont="1" applyFill="1" applyBorder="1" applyAlignment="1" applyProtection="1">
      <alignment horizontal="center"/>
      <protection hidden="1"/>
    </xf>
    <xf numFmtId="0" fontId="50" fillId="15" borderId="0" xfId="0" applyFont="1" applyFill="1" applyProtection="1">
      <protection hidden="1"/>
    </xf>
    <xf numFmtId="0" fontId="50" fillId="15" borderId="0" xfId="0" applyFont="1" applyFill="1" applyProtection="1"/>
    <xf numFmtId="0" fontId="50" fillId="15" borderId="0" xfId="0" applyFont="1" applyFill="1" applyProtection="1">
      <protection locked="0"/>
    </xf>
    <xf numFmtId="0" fontId="22" fillId="13" borderId="0" xfId="0" applyFont="1" applyFill="1" applyAlignment="1" applyProtection="1">
      <alignment horizontal="center"/>
    </xf>
    <xf numFmtId="1" fontId="30" fillId="2" borderId="0" xfId="0" applyNumberFormat="1" applyFont="1" applyFill="1" applyProtection="1"/>
    <xf numFmtId="0" fontId="50" fillId="2" borderId="0" xfId="0" applyFont="1" applyFill="1" applyProtection="1"/>
    <xf numFmtId="0" fontId="22" fillId="0" borderId="0" xfId="0" applyFont="1" applyFill="1" applyAlignment="1" applyProtection="1">
      <alignment horizontal="left"/>
      <protection hidden="1"/>
    </xf>
    <xf numFmtId="171" fontId="92" fillId="0" borderId="152" xfId="0" applyNumberFormat="1" applyFont="1" applyFill="1" applyBorder="1" applyAlignment="1" applyProtection="1">
      <alignment horizontal="center" vertical="center"/>
      <protection locked="0"/>
    </xf>
    <xf numFmtId="171" fontId="92" fillId="0" borderId="160" xfId="0" applyNumberFormat="1" applyFont="1" applyFill="1" applyBorder="1" applyAlignment="1" applyProtection="1">
      <alignment horizontal="center" vertical="center"/>
      <protection locked="0"/>
    </xf>
    <xf numFmtId="171" fontId="92" fillId="0" borderId="174" xfId="0" applyNumberFormat="1" applyFont="1" applyFill="1" applyBorder="1" applyAlignment="1" applyProtection="1">
      <alignment horizontal="center" vertical="center"/>
      <protection locked="0"/>
    </xf>
    <xf numFmtId="0" fontId="30" fillId="2" borderId="115" xfId="0" applyFont="1" applyFill="1" applyBorder="1" applyProtection="1"/>
    <xf numFmtId="0" fontId="22" fillId="13" borderId="154" xfId="0" applyFont="1" applyFill="1" applyBorder="1" applyAlignment="1" applyProtection="1">
      <alignment horizontal="center"/>
    </xf>
    <xf numFmtId="0" fontId="22" fillId="13" borderId="305" xfId="0" applyFont="1" applyFill="1" applyBorder="1" applyAlignment="1" applyProtection="1">
      <alignment horizontal="center"/>
    </xf>
    <xf numFmtId="0" fontId="50" fillId="2" borderId="13" xfId="0" applyFont="1" applyFill="1" applyBorder="1" applyAlignment="1" applyProtection="1">
      <alignment horizontal="center" wrapText="1"/>
    </xf>
    <xf numFmtId="0" fontId="22" fillId="13" borderId="144" xfId="0" applyFont="1" applyFill="1" applyBorder="1" applyAlignment="1" applyProtection="1">
      <alignment horizontal="center"/>
    </xf>
    <xf numFmtId="0" fontId="20" fillId="2" borderId="11" xfId="0" applyFont="1" applyFill="1" applyBorder="1" applyProtection="1">
      <protection hidden="1"/>
    </xf>
    <xf numFmtId="0" fontId="20" fillId="2" borderId="11" xfId="0" applyFont="1" applyFill="1" applyBorder="1" applyAlignment="1" applyProtection="1">
      <alignment horizontal="center" vertical="center"/>
      <protection hidden="1"/>
    </xf>
    <xf numFmtId="0" fontId="4" fillId="2" borderId="21" xfId="0" applyFont="1" applyFill="1" applyBorder="1" applyAlignment="1" applyProtection="1">
      <alignment horizontal="center"/>
      <protection hidden="1"/>
    </xf>
    <xf numFmtId="0" fontId="87" fillId="2" borderId="12" xfId="0" applyFont="1" applyFill="1" applyBorder="1" applyAlignment="1" applyProtection="1">
      <alignment horizontal="right"/>
      <protection hidden="1"/>
    </xf>
    <xf numFmtId="0" fontId="112" fillId="2" borderId="0" xfId="0" applyFont="1" applyFill="1" applyAlignment="1" applyProtection="1">
      <alignment horizontal="right"/>
      <protection hidden="1"/>
    </xf>
    <xf numFmtId="0" fontId="4" fillId="2" borderId="138" xfId="0" applyFont="1" applyFill="1" applyBorder="1" applyAlignment="1" applyProtection="1">
      <alignment horizontal="center"/>
      <protection hidden="1"/>
    </xf>
    <xf numFmtId="0" fontId="50" fillId="0" borderId="0" xfId="0" applyFont="1" applyFill="1" applyBorder="1" applyAlignment="1" applyProtection="1">
      <alignment horizontal="right"/>
      <protection hidden="1"/>
    </xf>
    <xf numFmtId="0" fontId="61" fillId="0" borderId="0" xfId="0" applyFont="1" applyFill="1" applyBorder="1" applyProtection="1">
      <protection hidden="1"/>
    </xf>
    <xf numFmtId="0" fontId="60" fillId="0" borderId="0" xfId="0" applyFont="1" applyFill="1" applyAlignment="1" applyProtection="1">
      <alignment horizontal="right"/>
      <protection hidden="1"/>
    </xf>
    <xf numFmtId="0" fontId="30" fillId="0" borderId="0" xfId="0" applyFont="1" applyFill="1" applyBorder="1" applyAlignment="1" applyProtection="1">
      <alignment horizontal="center"/>
      <protection hidden="1"/>
    </xf>
    <xf numFmtId="0" fontId="61" fillId="0" borderId="0" xfId="0" applyFont="1" applyFill="1" applyAlignment="1" applyProtection="1">
      <alignment horizontal="center"/>
      <protection hidden="1"/>
    </xf>
    <xf numFmtId="0" fontId="61" fillId="0" borderId="0" xfId="0" applyFont="1" applyFill="1" applyProtection="1">
      <protection hidden="1"/>
    </xf>
    <xf numFmtId="0" fontId="4" fillId="0" borderId="0" xfId="0" applyFont="1" applyFill="1" applyBorder="1" applyAlignment="1" applyProtection="1">
      <alignment horizontal="center"/>
      <protection hidden="1"/>
    </xf>
    <xf numFmtId="0" fontId="20" fillId="0" borderId="0" xfId="0" applyFont="1" applyFill="1" applyBorder="1" applyAlignment="1" applyProtection="1">
      <alignment horizontal="right"/>
      <protection hidden="1"/>
    </xf>
    <xf numFmtId="0" fontId="100" fillId="0" borderId="0" xfId="0" applyFont="1" applyFill="1" applyAlignment="1" applyProtection="1">
      <alignment horizontal="center"/>
      <protection hidden="1"/>
    </xf>
    <xf numFmtId="0" fontId="100" fillId="0" borderId="0" xfId="0" applyFont="1" applyFill="1" applyProtection="1">
      <protection hidden="1"/>
    </xf>
    <xf numFmtId="0" fontId="4" fillId="0" borderId="0" xfId="0" applyFont="1" applyFill="1" applyAlignment="1" applyProtection="1">
      <alignment horizontal="center"/>
      <protection hidden="1"/>
    </xf>
    <xf numFmtId="0" fontId="22" fillId="7" borderId="27" xfId="0" applyFont="1" applyFill="1" applyBorder="1" applyAlignment="1" applyProtection="1">
      <alignment horizontal="center"/>
      <protection hidden="1"/>
    </xf>
    <xf numFmtId="0" fontId="22" fillId="0" borderId="51" xfId="0" applyFont="1" applyFill="1" applyBorder="1" applyProtection="1">
      <protection hidden="1"/>
    </xf>
    <xf numFmtId="0" fontId="22" fillId="0" borderId="96" xfId="0" applyFont="1" applyFill="1" applyBorder="1" applyProtection="1">
      <protection hidden="1"/>
    </xf>
    <xf numFmtId="0" fontId="22" fillId="0" borderId="132" xfId="0" applyFont="1" applyFill="1" applyBorder="1" applyProtection="1">
      <protection hidden="1"/>
    </xf>
    <xf numFmtId="0" fontId="30" fillId="0" borderId="51" xfId="0" applyFont="1" applyFill="1" applyBorder="1" applyProtection="1"/>
    <xf numFmtId="0" fontId="30" fillId="0" borderId="96" xfId="0" applyFont="1" applyFill="1" applyBorder="1" applyProtection="1"/>
    <xf numFmtId="0" fontId="30" fillId="0" borderId="132" xfId="0" applyFont="1" applyFill="1" applyBorder="1" applyProtection="1"/>
    <xf numFmtId="0" fontId="22" fillId="2" borderId="12" xfId="0" applyNumberFormat="1" applyFont="1" applyFill="1" applyBorder="1" applyAlignment="1" applyProtection="1">
      <alignment horizontal="center"/>
    </xf>
    <xf numFmtId="0" fontId="20" fillId="2" borderId="12" xfId="0" applyFont="1" applyFill="1" applyBorder="1" applyAlignment="1" applyProtection="1">
      <alignment horizontal="center" vertical="center" wrapText="1"/>
      <protection hidden="1"/>
    </xf>
    <xf numFmtId="0" fontId="22" fillId="13" borderId="12" xfId="0" applyFont="1" applyFill="1" applyBorder="1" applyAlignment="1" applyProtection="1">
      <alignment horizontal="center"/>
      <protection hidden="1"/>
    </xf>
    <xf numFmtId="0" fontId="22" fillId="2" borderId="12" xfId="0" applyFont="1" applyFill="1" applyBorder="1" applyAlignment="1" applyProtection="1">
      <alignment horizontal="center" vertical="center" wrapText="1"/>
      <protection hidden="1"/>
    </xf>
    <xf numFmtId="176" fontId="61" fillId="14" borderId="26" xfId="0" applyNumberFormat="1" applyFont="1" applyFill="1" applyBorder="1" applyAlignment="1" applyProtection="1">
      <alignment horizontal="center"/>
      <protection hidden="1"/>
    </xf>
    <xf numFmtId="176" fontId="61" fillId="14" borderId="81" xfId="0" applyNumberFormat="1" applyFont="1" applyFill="1" applyBorder="1" applyAlignment="1" applyProtection="1">
      <alignment horizontal="center"/>
      <protection hidden="1"/>
    </xf>
    <xf numFmtId="0" fontId="22" fillId="13" borderId="12" xfId="0" applyFont="1" applyFill="1" applyBorder="1" applyAlignment="1" applyProtection="1">
      <alignment horizontal="center" vertical="center"/>
    </xf>
    <xf numFmtId="0" fontId="22" fillId="13" borderId="12" xfId="0" applyFont="1" applyFill="1" applyBorder="1" applyAlignment="1" applyProtection="1">
      <alignment horizontal="center"/>
    </xf>
    <xf numFmtId="0" fontId="30" fillId="13" borderId="12" xfId="0" applyFont="1" applyFill="1" applyBorder="1" applyAlignment="1" applyProtection="1">
      <alignment horizontal="center"/>
    </xf>
    <xf numFmtId="0" fontId="4" fillId="2" borderId="306" xfId="0" applyFont="1" applyFill="1" applyBorder="1" applyProtection="1">
      <protection hidden="1"/>
    </xf>
    <xf numFmtId="0" fontId="4" fillId="2" borderId="307" xfId="0" applyFont="1" applyFill="1" applyBorder="1" applyProtection="1">
      <protection hidden="1"/>
    </xf>
    <xf numFmtId="0" fontId="106" fillId="0" borderId="0" xfId="0" applyFont="1" applyFill="1" applyBorder="1" applyAlignment="1" applyProtection="1">
      <alignment horizontal="center"/>
      <protection hidden="1"/>
    </xf>
    <xf numFmtId="0" fontId="106" fillId="0" borderId="0" xfId="0" applyFont="1" applyFill="1" applyAlignment="1" applyProtection="1">
      <alignment horizontal="center"/>
    </xf>
    <xf numFmtId="0" fontId="106" fillId="0" borderId="0" xfId="0" applyFont="1" applyFill="1" applyBorder="1" applyProtection="1">
      <protection hidden="1"/>
    </xf>
    <xf numFmtId="12" fontId="22" fillId="0" borderId="0" xfId="0" applyNumberFormat="1" applyFont="1" applyFill="1" applyProtection="1">
      <protection hidden="1"/>
    </xf>
    <xf numFmtId="166" fontId="22" fillId="0" borderId="0" xfId="0" applyNumberFormat="1" applyFont="1" applyFill="1" applyProtection="1">
      <protection hidden="1"/>
    </xf>
    <xf numFmtId="0" fontId="98" fillId="0" borderId="175" xfId="0" applyNumberFormat="1" applyFont="1" applyFill="1" applyBorder="1" applyAlignment="1" applyProtection="1">
      <alignment horizontal="left" vertical="center"/>
      <protection locked="0"/>
    </xf>
    <xf numFmtId="0" fontId="98" fillId="0" borderId="152" xfId="0" applyNumberFormat="1" applyFont="1" applyFill="1" applyBorder="1" applyAlignment="1" applyProtection="1">
      <alignment horizontal="left" vertical="center"/>
      <protection locked="0"/>
    </xf>
    <xf numFmtId="165" fontId="30" fillId="14" borderId="23" xfId="0" applyNumberFormat="1" applyFont="1" applyFill="1" applyBorder="1" applyAlignment="1" applyProtection="1">
      <alignment horizontal="center"/>
      <protection hidden="1"/>
    </xf>
    <xf numFmtId="0" fontId="3" fillId="2" borderId="12" xfId="0" applyFont="1" applyFill="1" applyBorder="1" applyAlignment="1" applyProtection="1">
      <alignment horizontal="center"/>
      <protection hidden="1"/>
    </xf>
    <xf numFmtId="0" fontId="22" fillId="2" borderId="12" xfId="0" applyFont="1" applyFill="1" applyBorder="1" applyProtection="1">
      <protection hidden="1"/>
    </xf>
    <xf numFmtId="0" fontId="22" fillId="2" borderId="12" xfId="0" applyNumberFormat="1" applyFont="1" applyFill="1" applyBorder="1" applyProtection="1">
      <protection hidden="1"/>
    </xf>
    <xf numFmtId="0" fontId="22" fillId="2" borderId="12" xfId="0" applyNumberFormat="1" applyFont="1" applyFill="1" applyBorder="1" applyAlignment="1" applyProtection="1">
      <alignment horizontal="center"/>
      <protection hidden="1"/>
    </xf>
    <xf numFmtId="2" fontId="61" fillId="13" borderId="8" xfId="0" applyNumberFormat="1" applyFont="1" applyFill="1" applyBorder="1" applyAlignment="1" applyProtection="1">
      <alignment horizontal="center"/>
      <protection hidden="1"/>
    </xf>
    <xf numFmtId="2" fontId="61" fillId="13" borderId="11" xfId="0" applyNumberFormat="1" applyFont="1" applyFill="1" applyBorder="1" applyAlignment="1" applyProtection="1">
      <alignment horizontal="center"/>
      <protection hidden="1"/>
    </xf>
    <xf numFmtId="2" fontId="61" fillId="13" borderId="9" xfId="0" applyNumberFormat="1" applyFont="1" applyFill="1" applyBorder="1" applyAlignment="1" applyProtection="1">
      <alignment horizontal="center"/>
      <protection hidden="1"/>
    </xf>
    <xf numFmtId="2" fontId="61" fillId="13" borderId="113" xfId="0" applyNumberFormat="1" applyFont="1" applyFill="1" applyBorder="1" applyAlignment="1" applyProtection="1">
      <alignment horizontal="center"/>
      <protection hidden="1"/>
    </xf>
    <xf numFmtId="0" fontId="116" fillId="2" borderId="0" xfId="0" applyFont="1" applyFill="1" applyBorder="1" applyAlignment="1" applyProtection="1">
      <alignment horizontal="center" vertical="center"/>
    </xf>
    <xf numFmtId="0" fontId="116" fillId="2" borderId="0" xfId="0" applyFont="1" applyFill="1" applyProtection="1"/>
    <xf numFmtId="0" fontId="54" fillId="0" borderId="22" xfId="0" applyFont="1" applyFill="1" applyBorder="1" applyAlignment="1" applyProtection="1">
      <alignment horizontal="center"/>
      <protection hidden="1"/>
    </xf>
    <xf numFmtId="183" fontId="30" fillId="6" borderId="0" xfId="0" applyNumberFormat="1" applyFont="1" applyFill="1" applyBorder="1" applyAlignment="1" applyProtection="1">
      <alignment horizontal="left"/>
    </xf>
    <xf numFmtId="171" fontId="98" fillId="0" borderId="120" xfId="0" applyNumberFormat="1" applyFont="1" applyFill="1" applyBorder="1" applyAlignment="1" applyProtection="1">
      <alignment horizontal="center" vertical="center"/>
      <protection locked="0"/>
    </xf>
    <xf numFmtId="171" fontId="98" fillId="0" borderId="102" xfId="0" applyNumberFormat="1" applyFont="1" applyFill="1" applyBorder="1" applyAlignment="1" applyProtection="1">
      <alignment horizontal="center" vertical="center"/>
      <protection locked="0"/>
    </xf>
    <xf numFmtId="49" fontId="98" fillId="0" borderId="152" xfId="0" applyNumberFormat="1" applyFont="1" applyFill="1" applyBorder="1" applyAlignment="1" applyProtection="1">
      <alignment horizontal="left" vertical="center"/>
      <protection locked="0"/>
    </xf>
    <xf numFmtId="171" fontId="98" fillId="0" borderId="186" xfId="0" applyNumberFormat="1" applyFont="1" applyFill="1" applyBorder="1" applyAlignment="1" applyProtection="1">
      <alignment horizontal="center" vertical="center"/>
      <protection locked="0"/>
    </xf>
    <xf numFmtId="171" fontId="98" fillId="0" borderId="187" xfId="0" applyNumberFormat="1" applyFont="1" applyFill="1" applyBorder="1" applyAlignment="1" applyProtection="1">
      <alignment horizontal="center" vertical="center"/>
      <protection locked="0"/>
    </xf>
    <xf numFmtId="0" fontId="50" fillId="0" borderId="0" xfId="0" quotePrefix="1" applyFont="1" applyFill="1" applyBorder="1" applyProtection="1">
      <protection hidden="1"/>
    </xf>
    <xf numFmtId="0" fontId="20" fillId="2" borderId="12" xfId="0" applyFont="1" applyFill="1" applyBorder="1" applyAlignment="1" applyProtection="1">
      <alignment horizontal="center" vertical="center"/>
    </xf>
    <xf numFmtId="0" fontId="20" fillId="2" borderId="12" xfId="0" applyFont="1" applyFill="1" applyBorder="1" applyAlignment="1" applyProtection="1">
      <alignment horizontal="center"/>
      <protection hidden="1"/>
    </xf>
    <xf numFmtId="0" fontId="20" fillId="13" borderId="12" xfId="0" applyFont="1" applyFill="1" applyBorder="1" applyAlignment="1" applyProtection="1">
      <alignment horizontal="center"/>
      <protection hidden="1"/>
    </xf>
    <xf numFmtId="0" fontId="20" fillId="2" borderId="12" xfId="0" applyNumberFormat="1" applyFont="1" applyFill="1" applyBorder="1" applyAlignment="1" applyProtection="1">
      <alignment horizontal="center"/>
    </xf>
    <xf numFmtId="0" fontId="20" fillId="2" borderId="12" xfId="0" applyFont="1" applyFill="1" applyBorder="1" applyAlignment="1" applyProtection="1">
      <alignment horizontal="center"/>
    </xf>
    <xf numFmtId="0" fontId="20" fillId="16" borderId="12" xfId="0" applyNumberFormat="1" applyFont="1" applyFill="1" applyBorder="1" applyAlignment="1" applyProtection="1">
      <alignment horizontal="center"/>
    </xf>
    <xf numFmtId="0" fontId="20" fillId="2" borderId="12" xfId="0" applyFont="1" applyFill="1" applyBorder="1" applyProtection="1"/>
    <xf numFmtId="49" fontId="20" fillId="2" borderId="12" xfId="0" applyNumberFormat="1" applyFont="1" applyFill="1" applyBorder="1" applyAlignment="1" applyProtection="1">
      <alignment horizontal="center"/>
    </xf>
    <xf numFmtId="0" fontId="20" fillId="17" borderId="12" xfId="0" applyFont="1" applyFill="1" applyBorder="1" applyAlignment="1" applyProtection="1">
      <alignment horizontal="center" vertical="center"/>
    </xf>
    <xf numFmtId="0" fontId="7" fillId="2" borderId="12" xfId="0" applyFont="1" applyFill="1" applyBorder="1" applyAlignment="1" applyProtection="1">
      <alignment horizontal="center"/>
    </xf>
    <xf numFmtId="0" fontId="98" fillId="0" borderId="99" xfId="0" applyNumberFormat="1" applyFont="1" applyFill="1" applyBorder="1" applyAlignment="1" applyProtection="1">
      <alignment horizontal="center"/>
    </xf>
    <xf numFmtId="186" fontId="98" fillId="0" borderId="100" xfId="0" applyNumberFormat="1" applyFont="1" applyFill="1" applyBorder="1" applyAlignment="1" applyProtection="1">
      <alignment horizontal="right"/>
    </xf>
    <xf numFmtId="170" fontId="98" fillId="0" borderId="101" xfId="0" applyNumberFormat="1" applyFont="1" applyFill="1" applyBorder="1" applyAlignment="1" applyProtection="1">
      <alignment horizontal="left"/>
    </xf>
    <xf numFmtId="186" fontId="98" fillId="0" borderId="103" xfId="0" applyNumberFormat="1" applyFont="1" applyFill="1" applyBorder="1" applyAlignment="1" applyProtection="1">
      <alignment horizontal="right"/>
    </xf>
    <xf numFmtId="0" fontId="92" fillId="0" borderId="120" xfId="0" applyNumberFormat="1" applyFont="1" applyFill="1" applyBorder="1" applyAlignment="1" applyProtection="1">
      <alignment horizontal="center"/>
    </xf>
    <xf numFmtId="0" fontId="92" fillId="0" borderId="99" xfId="0" applyNumberFormat="1" applyFont="1" applyFill="1" applyBorder="1" applyAlignment="1" applyProtection="1">
      <alignment horizontal="center"/>
    </xf>
    <xf numFmtId="12" fontId="98" fillId="0" borderId="99" xfId="0" applyNumberFormat="1" applyFont="1" applyFill="1" applyBorder="1" applyAlignment="1" applyProtection="1">
      <alignment horizontal="center"/>
    </xf>
    <xf numFmtId="0" fontId="100" fillId="0" borderId="0" xfId="0" applyFont="1" applyFill="1" applyBorder="1" applyProtection="1"/>
    <xf numFmtId="176" fontId="12" fillId="14" borderId="14" xfId="0" applyNumberFormat="1" applyFont="1" applyFill="1" applyBorder="1" applyAlignment="1" applyProtection="1">
      <alignment horizontal="center"/>
      <protection hidden="1"/>
    </xf>
    <xf numFmtId="176" fontId="12" fillId="14" borderId="12" xfId="0" applyNumberFormat="1" applyFont="1" applyFill="1" applyBorder="1" applyAlignment="1" applyProtection="1">
      <alignment horizontal="center"/>
      <protection hidden="1"/>
    </xf>
    <xf numFmtId="176" fontId="12" fillId="14" borderId="23" xfId="0" applyNumberFormat="1" applyFont="1" applyFill="1" applyBorder="1" applyAlignment="1" applyProtection="1">
      <alignment horizontal="center"/>
      <protection hidden="1"/>
    </xf>
    <xf numFmtId="0" fontId="30" fillId="14" borderId="0" xfId="0" applyFont="1" applyFill="1" applyProtection="1"/>
    <xf numFmtId="176" fontId="30" fillId="14" borderId="19" xfId="0" applyNumberFormat="1" applyFont="1" applyFill="1" applyBorder="1" applyAlignment="1" applyProtection="1">
      <alignment horizontal="center" vertical="center"/>
    </xf>
    <xf numFmtId="176" fontId="30" fillId="14" borderId="18" xfId="0" applyNumberFormat="1" applyFont="1" applyFill="1" applyBorder="1" applyAlignment="1" applyProtection="1">
      <alignment horizontal="center" vertical="center"/>
    </xf>
    <xf numFmtId="176" fontId="30" fillId="14" borderId="9" xfId="0" applyNumberFormat="1" applyFont="1" applyFill="1" applyBorder="1" applyAlignment="1" applyProtection="1">
      <alignment horizontal="center" vertical="center"/>
    </xf>
    <xf numFmtId="176" fontId="30" fillId="14" borderId="24" xfId="0" applyNumberFormat="1" applyFont="1" applyFill="1" applyBorder="1" applyAlignment="1" applyProtection="1">
      <alignment horizontal="center" vertical="center"/>
    </xf>
    <xf numFmtId="0" fontId="61" fillId="0" borderId="53" xfId="0" applyFont="1" applyFill="1" applyBorder="1" applyAlignment="1" applyProtection="1">
      <alignment horizontal="center"/>
      <protection hidden="1"/>
    </xf>
    <xf numFmtId="0" fontId="61" fillId="18" borderId="56" xfId="0" applyFont="1" applyFill="1" applyBorder="1" applyAlignment="1" applyProtection="1">
      <alignment horizontal="center"/>
      <protection hidden="1"/>
    </xf>
    <xf numFmtId="0" fontId="22" fillId="2" borderId="0" xfId="0" quotePrefix="1" applyFont="1" applyFill="1" applyProtection="1"/>
    <xf numFmtId="0" fontId="12" fillId="0" borderId="312" xfId="0" applyFont="1" applyBorder="1" applyAlignment="1" applyProtection="1">
      <alignment horizontal="right" vertical="center"/>
      <protection hidden="1"/>
    </xf>
    <xf numFmtId="0" fontId="12" fillId="0" borderId="313" xfId="0" applyFont="1" applyBorder="1" applyAlignment="1" applyProtection="1">
      <alignment horizontal="left" vertical="center"/>
      <protection hidden="1"/>
    </xf>
    <xf numFmtId="0" fontId="12" fillId="0" borderId="17" xfId="0" applyFont="1" applyBorder="1" applyAlignment="1" applyProtection="1">
      <alignment horizontal="center" vertical="center"/>
      <protection hidden="1"/>
    </xf>
    <xf numFmtId="0" fontId="12" fillId="0" borderId="313" xfId="0" applyFont="1" applyBorder="1" applyAlignment="1" applyProtection="1">
      <alignment horizontal="center" vertical="center"/>
      <protection hidden="1"/>
    </xf>
    <xf numFmtId="0" fontId="12" fillId="0" borderId="292" xfId="0" applyFont="1" applyFill="1" applyBorder="1" applyAlignment="1" applyProtection="1">
      <alignment horizontal="right" vertical="center"/>
    </xf>
    <xf numFmtId="0" fontId="12" fillId="0" borderId="314" xfId="0" applyFont="1" applyFill="1" applyBorder="1" applyAlignment="1" applyProtection="1">
      <alignment horizontal="left" vertical="center"/>
    </xf>
    <xf numFmtId="0" fontId="12" fillId="0" borderId="312" xfId="0" applyFont="1" applyFill="1" applyBorder="1" applyAlignment="1">
      <alignment horizontal="right" vertical="center"/>
    </xf>
    <xf numFmtId="0" fontId="12" fillId="0" borderId="313" xfId="0" applyFont="1" applyFill="1" applyBorder="1" applyAlignment="1" applyProtection="1">
      <alignment horizontal="left" vertical="center"/>
    </xf>
    <xf numFmtId="0" fontId="12" fillId="0" borderId="292" xfId="0" applyFont="1" applyFill="1" applyBorder="1" applyAlignment="1">
      <alignment horizontal="right" vertical="center"/>
    </xf>
    <xf numFmtId="0" fontId="22" fillId="14" borderId="12" xfId="0" applyFont="1" applyFill="1" applyBorder="1" applyAlignment="1" applyProtection="1">
      <alignment horizontal="center"/>
    </xf>
    <xf numFmtId="0" fontId="30" fillId="14" borderId="12" xfId="0" applyFont="1" applyFill="1" applyBorder="1" applyProtection="1"/>
    <xf numFmtId="49" fontId="22" fillId="2" borderId="0" xfId="0" applyNumberFormat="1" applyFont="1" applyFill="1" applyBorder="1" applyProtection="1"/>
    <xf numFmtId="49" fontId="30" fillId="2" borderId="0" xfId="0" applyNumberFormat="1" applyFont="1" applyFill="1" applyBorder="1" applyProtection="1"/>
    <xf numFmtId="49" fontId="30" fillId="2" borderId="0" xfId="0" applyNumberFormat="1" applyFont="1" applyFill="1" applyProtection="1"/>
    <xf numFmtId="49" fontId="4" fillId="2" borderId="0" xfId="0" applyNumberFormat="1" applyFont="1" applyFill="1" applyProtection="1"/>
    <xf numFmtId="49" fontId="4" fillId="2" borderId="0" xfId="0" applyNumberFormat="1" applyFont="1" applyFill="1" applyAlignment="1" applyProtection="1">
      <alignment vertical="center"/>
    </xf>
    <xf numFmtId="0" fontId="112" fillId="2" borderId="12" xfId="0" applyFont="1" applyFill="1" applyBorder="1" applyProtection="1"/>
    <xf numFmtId="170" fontId="98" fillId="0" borderId="120" xfId="0" applyNumberFormat="1" applyFont="1" applyFill="1" applyBorder="1" applyAlignment="1" applyProtection="1">
      <alignment horizontal="center"/>
    </xf>
    <xf numFmtId="186" fontId="98" fillId="0" borderId="300" xfId="0" applyNumberFormat="1" applyFont="1" applyFill="1" applyBorder="1" applyAlignment="1" applyProtection="1">
      <alignment horizontal="right"/>
    </xf>
    <xf numFmtId="170" fontId="98" fillId="0" borderId="102" xfId="0" applyNumberFormat="1" applyFont="1" applyFill="1" applyBorder="1" applyAlignment="1" applyProtection="1">
      <alignment horizontal="center"/>
    </xf>
    <xf numFmtId="0" fontId="50" fillId="0" borderId="11" xfId="0" applyFont="1" applyFill="1" applyBorder="1" applyAlignment="1" applyProtection="1">
      <alignment horizontal="right" vertical="top"/>
    </xf>
    <xf numFmtId="168" fontId="97" fillId="0" borderId="0" xfId="0" applyNumberFormat="1" applyFont="1" applyFill="1" applyBorder="1" applyAlignment="1" applyProtection="1">
      <alignment horizontal="left"/>
    </xf>
    <xf numFmtId="0" fontId="12" fillId="0" borderId="121" xfId="0" applyFont="1" applyFill="1" applyBorder="1" applyAlignment="1" applyProtection="1">
      <alignment horizontal="center" vertical="center"/>
    </xf>
    <xf numFmtId="0" fontId="12" fillId="0" borderId="116" xfId="0" applyFont="1" applyFill="1" applyBorder="1" applyAlignment="1" applyProtection="1">
      <alignment horizontal="center" vertical="center"/>
    </xf>
    <xf numFmtId="49" fontId="92" fillId="0" borderId="316" xfId="0" applyNumberFormat="1" applyFont="1" applyFill="1" applyBorder="1" applyAlignment="1" applyProtection="1">
      <alignment horizontal="center"/>
      <protection locked="0"/>
    </xf>
    <xf numFmtId="49" fontId="92" fillId="0" borderId="154" xfId="0" applyNumberFormat="1" applyFont="1" applyFill="1" applyBorder="1" applyAlignment="1" applyProtection="1">
      <alignment horizontal="center"/>
      <protection locked="0"/>
    </xf>
    <xf numFmtId="49" fontId="92" fillId="0" borderId="305" xfId="0" applyNumberFormat="1" applyFont="1" applyFill="1" applyBorder="1" applyAlignment="1" applyProtection="1">
      <alignment horizontal="center"/>
      <protection locked="0"/>
    </xf>
    <xf numFmtId="0" fontId="96" fillId="0" borderId="21" xfId="0" applyNumberFormat="1" applyFont="1" applyFill="1" applyBorder="1" applyAlignment="1" applyProtection="1">
      <alignment horizontal="left"/>
    </xf>
    <xf numFmtId="0" fontId="12" fillId="0" borderId="11" xfId="0" applyFont="1" applyFill="1" applyBorder="1" applyAlignment="1" applyProtection="1">
      <alignment horizontal="center" vertical="center"/>
    </xf>
    <xf numFmtId="0" fontId="30" fillId="14" borderId="0" xfId="0" applyFont="1" applyFill="1" applyBorder="1" applyProtection="1"/>
    <xf numFmtId="168" fontId="97" fillId="14" borderId="0" xfId="0" applyNumberFormat="1" applyFont="1" applyFill="1" applyBorder="1" applyAlignment="1" applyProtection="1">
      <alignment horizontal="left"/>
    </xf>
    <xf numFmtId="0" fontId="96" fillId="14" borderId="0" xfId="0" applyNumberFormat="1" applyFont="1" applyFill="1" applyBorder="1" applyAlignment="1" applyProtection="1">
      <alignment horizontal="left"/>
    </xf>
    <xf numFmtId="169" fontId="94" fillId="0" borderId="215" xfId="0" applyNumberFormat="1" applyFont="1" applyFill="1" applyBorder="1" applyAlignment="1" applyProtection="1">
      <alignment horizontal="center" vertical="center"/>
      <protection locked="0"/>
    </xf>
    <xf numFmtId="169" fontId="94" fillId="0" borderId="324" xfId="0" applyNumberFormat="1" applyFont="1" applyFill="1" applyBorder="1" applyAlignment="1" applyProtection="1">
      <alignment horizontal="center" vertical="center"/>
      <protection locked="0"/>
    </xf>
    <xf numFmtId="0" fontId="49" fillId="0" borderId="65" xfId="0" applyFont="1" applyFill="1" applyBorder="1" applyAlignment="1" applyProtection="1">
      <alignment horizontal="center" vertical="center"/>
    </xf>
    <xf numFmtId="0" fontId="49" fillId="0" borderId="29" xfId="0" applyFont="1" applyFill="1" applyBorder="1" applyAlignment="1" applyProtection="1">
      <alignment horizontal="center" vertical="center"/>
    </xf>
    <xf numFmtId="170" fontId="98" fillId="0" borderId="103" xfId="0" applyNumberFormat="1" applyFont="1" applyFill="1" applyBorder="1" applyAlignment="1" applyProtection="1">
      <alignment horizontal="left"/>
    </xf>
    <xf numFmtId="0" fontId="49" fillId="0" borderId="77" xfId="0" applyFont="1" applyFill="1" applyBorder="1" applyAlignment="1" applyProtection="1">
      <alignment horizontal="center" vertical="center" wrapText="1"/>
    </xf>
    <xf numFmtId="0" fontId="49" fillId="0" borderId="61" xfId="0" applyFont="1" applyFill="1" applyBorder="1" applyAlignment="1" applyProtection="1">
      <alignment horizontal="center" vertical="center" wrapText="1"/>
    </xf>
    <xf numFmtId="12" fontId="98" fillId="0" borderId="102" xfId="0" applyNumberFormat="1" applyFont="1" applyFill="1" applyBorder="1" applyAlignment="1" applyProtection="1">
      <alignment horizontal="center"/>
    </xf>
    <xf numFmtId="0" fontId="49" fillId="0" borderId="321" xfId="0" applyFont="1" applyFill="1" applyBorder="1" applyAlignment="1" applyProtection="1">
      <alignment horizontal="center" vertical="center"/>
    </xf>
    <xf numFmtId="0" fontId="49" fillId="0" borderId="289" xfId="0" applyFont="1" applyFill="1" applyBorder="1" applyAlignment="1" applyProtection="1">
      <alignment horizontal="center" vertical="center" wrapText="1"/>
    </xf>
    <xf numFmtId="0" fontId="98" fillId="0" borderId="100" xfId="0" applyNumberFormat="1" applyFont="1" applyFill="1" applyBorder="1" applyAlignment="1" applyProtection="1">
      <alignment horizontal="center"/>
    </xf>
    <xf numFmtId="0" fontId="98" fillId="0" borderId="153" xfId="0" applyNumberFormat="1" applyFont="1" applyFill="1" applyBorder="1" applyAlignment="1" applyProtection="1">
      <alignment horizontal="left"/>
    </xf>
    <xf numFmtId="167" fontId="98" fillId="0" borderId="120" xfId="0" applyNumberFormat="1" applyFont="1" applyFill="1" applyBorder="1" applyAlignment="1" applyProtection="1">
      <alignment horizontal="center"/>
    </xf>
    <xf numFmtId="167" fontId="98" fillId="0" borderId="102" xfId="0" applyNumberFormat="1" applyFont="1" applyFill="1" applyBorder="1" applyAlignment="1" applyProtection="1">
      <alignment horizontal="center"/>
    </xf>
    <xf numFmtId="0" fontId="49" fillId="0" borderId="303" xfId="0" applyFont="1" applyFill="1" applyBorder="1" applyAlignment="1" applyProtection="1">
      <alignment horizontal="center" vertical="center" wrapText="1"/>
    </xf>
    <xf numFmtId="49" fontId="93" fillId="0" borderId="300" xfId="0" applyNumberFormat="1" applyFont="1" applyFill="1" applyBorder="1" applyAlignment="1" applyProtection="1">
      <alignment horizontal="center" vertical="center"/>
      <protection locked="0"/>
    </xf>
    <xf numFmtId="49" fontId="93" fillId="0" borderId="302" xfId="0" applyNumberFormat="1" applyFont="1" applyFill="1" applyBorder="1" applyAlignment="1" applyProtection="1">
      <alignment horizontal="center" vertical="center"/>
      <protection locked="0"/>
    </xf>
    <xf numFmtId="49" fontId="94" fillId="0" borderId="300" xfId="0" applyNumberFormat="1" applyFont="1" applyFill="1" applyBorder="1" applyAlignment="1" applyProtection="1">
      <alignment horizontal="right" vertical="center"/>
      <protection locked="0"/>
    </xf>
    <xf numFmtId="169" fontId="94" fillId="0" borderId="153" xfId="0" applyNumberFormat="1" applyFont="1" applyFill="1" applyBorder="1" applyAlignment="1" applyProtection="1">
      <alignment horizontal="left" vertical="center"/>
      <protection locked="0"/>
    </xf>
    <xf numFmtId="49" fontId="94" fillId="0" borderId="302" xfId="0" applyNumberFormat="1" applyFont="1" applyFill="1" applyBorder="1" applyAlignment="1" applyProtection="1">
      <alignment horizontal="right" vertical="center"/>
      <protection locked="0"/>
    </xf>
    <xf numFmtId="169" fontId="94" fillId="0" borderId="301" xfId="0" applyNumberFormat="1" applyFont="1" applyFill="1" applyBorder="1" applyAlignment="1" applyProtection="1">
      <alignment horizontal="left" vertical="center"/>
      <protection locked="0"/>
    </xf>
    <xf numFmtId="49" fontId="93" fillId="0" borderId="336" xfId="0" applyNumberFormat="1" applyFont="1" applyFill="1" applyBorder="1" applyAlignment="1" applyProtection="1">
      <alignment horizontal="center" vertical="center"/>
      <protection locked="0"/>
    </xf>
    <xf numFmtId="49" fontId="94" fillId="0" borderId="336" xfId="0" applyNumberFormat="1" applyFont="1" applyFill="1" applyBorder="1" applyAlignment="1" applyProtection="1">
      <alignment horizontal="right" vertical="center"/>
      <protection locked="0"/>
    </xf>
    <xf numFmtId="169" fontId="94" fillId="0" borderId="337" xfId="0" applyNumberFormat="1" applyFont="1" applyFill="1" applyBorder="1" applyAlignment="1" applyProtection="1">
      <alignment horizontal="left" vertical="center"/>
      <protection locked="0"/>
    </xf>
    <xf numFmtId="0" fontId="12" fillId="0" borderId="12" xfId="0" applyFont="1" applyFill="1" applyBorder="1" applyAlignment="1" applyProtection="1">
      <alignment horizontal="center" vertical="center"/>
    </xf>
    <xf numFmtId="175" fontId="117" fillId="0" borderId="0" xfId="0" applyNumberFormat="1" applyFont="1" applyFill="1" applyBorder="1" applyAlignment="1" applyProtection="1">
      <alignment horizontal="left"/>
      <protection locked="0"/>
    </xf>
    <xf numFmtId="0" fontId="50" fillId="0" borderId="11" xfId="0" applyFont="1" applyFill="1" applyBorder="1" applyAlignment="1" applyProtection="1">
      <alignment horizontal="right" vertical="top"/>
    </xf>
    <xf numFmtId="0" fontId="22" fillId="2" borderId="12" xfId="0" applyFont="1" applyFill="1" applyBorder="1" applyAlignment="1" applyProtection="1">
      <alignment horizontal="center"/>
    </xf>
    <xf numFmtId="0" fontId="30" fillId="2" borderId="12" xfId="0" applyFont="1" applyFill="1" applyBorder="1" applyAlignment="1" applyProtection="1">
      <alignment horizontal="center"/>
      <protection locked="0"/>
    </xf>
    <xf numFmtId="0" fontId="103" fillId="2" borderId="12" xfId="0" applyFont="1" applyFill="1" applyBorder="1" applyAlignment="1" applyProtection="1">
      <alignment horizontal="center"/>
      <protection locked="0"/>
    </xf>
    <xf numFmtId="0" fontId="30" fillId="14" borderId="0" xfId="0" applyFont="1" applyFill="1" applyBorder="1" applyAlignment="1" applyProtection="1">
      <alignment horizontal="center"/>
    </xf>
    <xf numFmtId="0" fontId="30" fillId="0" borderId="0" xfId="0" applyFont="1" applyFill="1" applyProtection="1">
      <protection locked="0"/>
    </xf>
    <xf numFmtId="0" fontId="4" fillId="0" borderId="0" xfId="0" applyFont="1" applyFill="1" applyProtection="1">
      <protection locked="0"/>
    </xf>
    <xf numFmtId="0" fontId="12" fillId="0" borderId="0" xfId="0" applyFont="1" applyFill="1" applyBorder="1" applyAlignment="1" applyProtection="1">
      <alignment horizontal="center" vertical="top"/>
    </xf>
    <xf numFmtId="164" fontId="45" fillId="0" borderId="0" xfId="0" applyNumberFormat="1" applyFont="1" applyFill="1" applyBorder="1" applyAlignment="1" applyProtection="1">
      <alignment horizontal="left"/>
    </xf>
    <xf numFmtId="164" fontId="46" fillId="0" borderId="0" xfId="0" applyNumberFormat="1" applyFont="1" applyFill="1" applyBorder="1" applyAlignment="1" applyProtection="1">
      <alignment horizontal="left"/>
    </xf>
    <xf numFmtId="0" fontId="47" fillId="0" borderId="0" xfId="0" applyFont="1" applyFill="1" applyAlignment="1" applyProtection="1">
      <alignment horizontal="left" vertical="center" indent="3"/>
    </xf>
    <xf numFmtId="0" fontId="44" fillId="0" borderId="0" xfId="0" applyFont="1" applyAlignment="1" applyProtection="1"/>
    <xf numFmtId="0" fontId="50" fillId="0" borderId="0" xfId="0" applyFont="1" applyFill="1" applyBorder="1" applyAlignment="1" applyProtection="1"/>
    <xf numFmtId="0" fontId="12" fillId="0" borderId="0" xfId="0" applyFont="1" applyFill="1" applyBorder="1" applyAlignment="1" applyProtection="1">
      <alignment horizontal="right" vertical="top"/>
    </xf>
    <xf numFmtId="170" fontId="98" fillId="0" borderId="100" xfId="0" applyNumberFormat="1" applyFont="1" applyFill="1" applyBorder="1" applyAlignment="1" applyProtection="1">
      <alignment horizontal="center"/>
    </xf>
    <xf numFmtId="0" fontId="98" fillId="0" borderId="102" xfId="0" applyNumberFormat="1" applyFont="1" applyFill="1" applyBorder="1" applyAlignment="1" applyProtection="1">
      <alignment horizontal="center"/>
    </xf>
    <xf numFmtId="170" fontId="98" fillId="0" borderId="153" xfId="0" applyNumberFormat="1" applyFont="1" applyFill="1" applyBorder="1" applyAlignment="1" applyProtection="1">
      <alignment horizontal="left"/>
    </xf>
    <xf numFmtId="12" fontId="98" fillId="0" borderId="100" xfId="0" applyNumberFormat="1" applyFont="1" applyFill="1" applyBorder="1" applyAlignment="1" applyProtection="1">
      <alignment horizontal="center"/>
    </xf>
    <xf numFmtId="0" fontId="50" fillId="0" borderId="10" xfId="0" applyFont="1" applyFill="1" applyBorder="1" applyAlignment="1" applyProtection="1">
      <alignment horizontal="right" vertical="top"/>
    </xf>
    <xf numFmtId="49" fontId="12" fillId="0" borderId="0" xfId="0" applyNumberFormat="1" applyFont="1" applyFill="1" applyBorder="1" applyAlignment="1" applyProtection="1">
      <alignment horizontal="left"/>
    </xf>
    <xf numFmtId="49" fontId="12" fillId="0" borderId="0" xfId="0" applyNumberFormat="1" applyFont="1" applyFill="1" applyBorder="1" applyAlignment="1" applyProtection="1"/>
    <xf numFmtId="0" fontId="50" fillId="0" borderId="11" xfId="0" applyFont="1" applyFill="1" applyBorder="1" applyAlignment="1" applyProtection="1">
      <alignment horizontal="right" vertical="top"/>
    </xf>
    <xf numFmtId="0" fontId="50" fillId="0" borderId="0" xfId="0" applyFont="1" applyFill="1" applyBorder="1" applyAlignment="1" applyProtection="1">
      <alignment horizontal="right"/>
    </xf>
    <xf numFmtId="0" fontId="50" fillId="0" borderId="0" xfId="0" applyFont="1" applyFill="1" applyAlignment="1" applyProtection="1">
      <alignment horizontal="right"/>
    </xf>
    <xf numFmtId="0" fontId="97" fillId="0" borderId="0" xfId="0" applyNumberFormat="1" applyFont="1" applyFill="1" applyBorder="1" applyAlignment="1" applyProtection="1">
      <alignment horizontal="left"/>
    </xf>
    <xf numFmtId="0" fontId="0" fillId="0" borderId="0" xfId="0" applyAlignment="1" applyProtection="1"/>
    <xf numFmtId="0" fontId="12" fillId="0" borderId="0" xfId="0" applyFont="1" applyFill="1" applyBorder="1" applyAlignment="1" applyProtection="1">
      <alignment horizontal="left"/>
    </xf>
    <xf numFmtId="0" fontId="49" fillId="0" borderId="315" xfId="0" applyFont="1" applyFill="1" applyBorder="1" applyAlignment="1" applyProtection="1">
      <alignment horizontal="center" vertical="center"/>
    </xf>
    <xf numFmtId="0" fontId="49" fillId="0" borderId="116" xfId="0" applyFont="1" applyFill="1" applyBorder="1" applyAlignment="1" applyProtection="1">
      <alignment horizontal="center" vertical="center"/>
    </xf>
    <xf numFmtId="0" fontId="49" fillId="0" borderId="116" xfId="0" applyFont="1" applyFill="1" applyBorder="1" applyAlignment="1" applyProtection="1">
      <alignment horizontal="center" vertical="center" wrapText="1"/>
    </xf>
    <xf numFmtId="0" fontId="49" fillId="0" borderId="117" xfId="0" applyFont="1" applyFill="1" applyBorder="1" applyAlignment="1" applyProtection="1">
      <alignment horizontal="center" vertical="center" wrapText="1"/>
    </xf>
    <xf numFmtId="0" fontId="49" fillId="0" borderId="121" xfId="0" applyFont="1" applyFill="1" applyBorder="1" applyAlignment="1" applyProtection="1">
      <alignment horizontal="center" vertical="center" wrapText="1"/>
    </xf>
    <xf numFmtId="0" fontId="49" fillId="0" borderId="121" xfId="0" applyFont="1" applyFill="1" applyBorder="1" applyAlignment="1" applyProtection="1">
      <alignment horizontal="center" vertical="center"/>
    </xf>
    <xf numFmtId="0" fontId="49" fillId="0" borderId="321" xfId="0" applyFont="1" applyFill="1" applyBorder="1" applyAlignment="1" applyProtection="1">
      <alignment horizontal="center" vertical="center" wrapText="1"/>
    </xf>
    <xf numFmtId="0" fontId="6" fillId="0" borderId="0" xfId="0" applyFont="1" applyFill="1" applyBorder="1" applyAlignment="1" applyProtection="1">
      <alignment horizontal="left" indent="1"/>
    </xf>
    <xf numFmtId="0" fontId="6" fillId="0" borderId="0" xfId="0" applyFont="1" applyFill="1" applyBorder="1" applyAlignment="1" applyProtection="1">
      <alignment horizontal="center"/>
    </xf>
    <xf numFmtId="0" fontId="49" fillId="0" borderId="256" xfId="0" applyFont="1" applyFill="1" applyBorder="1" applyAlignment="1" applyProtection="1">
      <alignment horizontal="center" vertical="center" wrapText="1"/>
    </xf>
    <xf numFmtId="0" fontId="49" fillId="0" borderId="248" xfId="0" applyFont="1" applyFill="1" applyBorder="1" applyAlignment="1" applyProtection="1">
      <alignment horizontal="center" vertical="center" wrapText="1"/>
    </xf>
    <xf numFmtId="49" fontId="6" fillId="0" borderId="0" xfId="0" applyNumberFormat="1" applyFont="1" applyFill="1" applyBorder="1" applyAlignment="1" applyProtection="1">
      <alignment horizontal="left" vertical="top" indent="1"/>
    </xf>
    <xf numFmtId="49" fontId="16" fillId="0" borderId="0" xfId="0" applyNumberFormat="1" applyFont="1" applyFill="1" applyBorder="1" applyAlignment="1" applyProtection="1">
      <alignment horizontal="left" vertical="top" indent="1"/>
    </xf>
    <xf numFmtId="0" fontId="7" fillId="0" borderId="0" xfId="0" applyFont="1" applyFill="1" applyAlignment="1" applyProtection="1">
      <alignment vertical="center"/>
    </xf>
    <xf numFmtId="0" fontId="30" fillId="0" borderId="200" xfId="0" applyFont="1" applyFill="1" applyBorder="1" applyAlignment="1" applyProtection="1"/>
    <xf numFmtId="0" fontId="49" fillId="0" borderId="65" xfId="0" applyFont="1" applyFill="1" applyBorder="1" applyAlignment="1" applyProtection="1">
      <alignment horizontal="center" vertical="center" wrapText="1"/>
    </xf>
    <xf numFmtId="0" fontId="49" fillId="0" borderId="29" xfId="0" applyFont="1" applyFill="1" applyBorder="1" applyAlignment="1" applyProtection="1">
      <alignment horizontal="center" vertical="center" wrapText="1"/>
    </xf>
    <xf numFmtId="0" fontId="49" fillId="0" borderId="332" xfId="0" applyFont="1" applyFill="1" applyBorder="1" applyAlignment="1" applyProtection="1">
      <alignment horizontal="center" vertical="center" wrapText="1"/>
    </xf>
    <xf numFmtId="0" fontId="49" fillId="0" borderId="333" xfId="0" applyFont="1" applyFill="1" applyBorder="1" applyAlignment="1" applyProtection="1">
      <alignment horizontal="center" vertical="center" wrapText="1"/>
    </xf>
    <xf numFmtId="0" fontId="56" fillId="0" borderId="116" xfId="0" applyFont="1" applyFill="1" applyBorder="1" applyAlignment="1" applyProtection="1">
      <alignment horizontal="center" vertical="center" wrapText="1"/>
    </xf>
    <xf numFmtId="0" fontId="56" fillId="0" borderId="117" xfId="0" applyFont="1" applyFill="1" applyBorder="1" applyAlignment="1" applyProtection="1">
      <alignment horizontal="center" vertical="center" wrapText="1"/>
    </xf>
    <xf numFmtId="1" fontId="29" fillId="14" borderId="12" xfId="0" applyNumberFormat="1" applyFont="1" applyFill="1" applyBorder="1" applyAlignment="1" applyProtection="1">
      <alignment horizontal="center"/>
      <protection hidden="1"/>
    </xf>
    <xf numFmtId="1" fontId="29" fillId="14" borderId="23" xfId="0" applyNumberFormat="1" applyFont="1" applyFill="1" applyBorder="1" applyAlignment="1" applyProtection="1">
      <alignment horizontal="center"/>
      <protection hidden="1"/>
    </xf>
    <xf numFmtId="0" fontId="12" fillId="2" borderId="0" xfId="0" applyFont="1" applyFill="1" applyBorder="1" applyAlignment="1" applyProtection="1">
      <alignment horizontal="center" vertical="center"/>
    </xf>
    <xf numFmtId="2" fontId="30" fillId="2" borderId="0" xfId="0" applyNumberFormat="1" applyFont="1" applyFill="1" applyAlignment="1" applyProtection="1">
      <alignment horizontal="center"/>
    </xf>
    <xf numFmtId="2" fontId="22" fillId="2" borderId="0" xfId="0" applyNumberFormat="1" applyFont="1" applyFill="1" applyAlignment="1" applyProtection="1">
      <alignment horizontal="center"/>
    </xf>
    <xf numFmtId="1" fontId="29" fillId="14" borderId="29" xfId="0" applyNumberFormat="1" applyFont="1" applyFill="1" applyBorder="1" applyAlignment="1" applyProtection="1">
      <alignment horizontal="center"/>
      <protection hidden="1"/>
    </xf>
    <xf numFmtId="176" fontId="30" fillId="13" borderId="14" xfId="0" applyNumberFormat="1" applyFont="1" applyFill="1" applyBorder="1" applyAlignment="1" applyProtection="1">
      <alignment horizontal="center"/>
      <protection hidden="1"/>
    </xf>
    <xf numFmtId="176" fontId="30" fillId="13" borderId="23" xfId="0" applyNumberFormat="1" applyFont="1" applyFill="1" applyBorder="1" applyAlignment="1" applyProtection="1">
      <alignment horizontal="center"/>
      <protection hidden="1"/>
    </xf>
    <xf numFmtId="176" fontId="12" fillId="14" borderId="29" xfId="0" applyNumberFormat="1" applyFont="1" applyFill="1" applyBorder="1" applyAlignment="1" applyProtection="1">
      <alignment horizontal="center"/>
      <protection hidden="1"/>
    </xf>
    <xf numFmtId="0" fontId="12" fillId="2" borderId="0" xfId="0" applyFont="1" applyFill="1" applyBorder="1" applyAlignment="1" applyProtection="1">
      <alignment horizontal="center" vertical="center"/>
    </xf>
    <xf numFmtId="181" fontId="92" fillId="0" borderId="141" xfId="0" applyNumberFormat="1" applyFont="1" applyBorder="1" applyAlignment="1" applyProtection="1">
      <alignment horizontal="right"/>
      <protection locked="0"/>
    </xf>
    <xf numFmtId="184" fontId="92" fillId="0" borderId="155" xfId="0" applyNumberFormat="1" applyFont="1" applyBorder="1" applyAlignment="1" applyProtection="1">
      <alignment horizontal="left"/>
      <protection locked="0"/>
    </xf>
    <xf numFmtId="181" fontId="92" fillId="0" borderId="341" xfId="0" applyNumberFormat="1" applyFont="1" applyBorder="1" applyAlignment="1" applyProtection="1">
      <alignment horizontal="right"/>
      <protection locked="0"/>
    </xf>
    <xf numFmtId="184" fontId="92" fillId="0" borderId="342" xfId="0" applyNumberFormat="1" applyFont="1" applyBorder="1" applyAlignment="1" applyProtection="1">
      <alignment horizontal="left"/>
      <protection locked="0"/>
    </xf>
    <xf numFmtId="181" fontId="98" fillId="0" borderId="141" xfId="0" applyNumberFormat="1" applyFont="1" applyBorder="1" applyAlignment="1" applyProtection="1">
      <alignment horizontal="right" vertical="center"/>
      <protection locked="0"/>
    </xf>
    <xf numFmtId="184" fontId="98" fillId="0" borderId="146" xfId="0" applyNumberFormat="1" applyFont="1" applyBorder="1" applyAlignment="1" applyProtection="1">
      <alignment horizontal="left" vertical="center"/>
      <protection locked="0"/>
    </xf>
    <xf numFmtId="184" fontId="98" fillId="0" borderId="155" xfId="0" applyNumberFormat="1" applyFont="1" applyBorder="1" applyAlignment="1" applyProtection="1">
      <alignment horizontal="left" vertical="center"/>
      <protection locked="0"/>
    </xf>
    <xf numFmtId="181" fontId="98" fillId="0" borderId="341" xfId="0" applyNumberFormat="1" applyFont="1" applyBorder="1" applyAlignment="1" applyProtection="1">
      <alignment horizontal="right" vertical="center"/>
      <protection locked="0"/>
    </xf>
    <xf numFmtId="184" fontId="98" fillId="0" borderId="342" xfId="0" applyNumberFormat="1" applyFont="1" applyBorder="1" applyAlignment="1" applyProtection="1">
      <alignment horizontal="left" vertical="center"/>
      <protection locked="0"/>
    </xf>
    <xf numFmtId="0" fontId="4" fillId="2" borderId="43" xfId="0" applyNumberFormat="1" applyFont="1" applyFill="1" applyBorder="1" applyProtection="1">
      <protection hidden="1"/>
    </xf>
    <xf numFmtId="2" fontId="113" fillId="2" borderId="200" xfId="0" applyNumberFormat="1" applyFont="1" applyFill="1" applyBorder="1" applyAlignment="1" applyProtection="1">
      <alignment horizontal="left" vertical="center"/>
      <protection hidden="1"/>
    </xf>
    <xf numFmtId="0" fontId="4" fillId="2" borderId="215" xfId="0" applyFont="1" applyFill="1" applyBorder="1" applyProtection="1">
      <protection hidden="1"/>
    </xf>
    <xf numFmtId="0" fontId="4" fillId="2" borderId="340" xfId="0" applyFont="1" applyFill="1" applyBorder="1" applyProtection="1">
      <protection hidden="1"/>
    </xf>
    <xf numFmtId="2" fontId="58" fillId="2" borderId="200" xfId="0" applyNumberFormat="1" applyFont="1" applyFill="1" applyBorder="1" applyAlignment="1" applyProtection="1">
      <alignment horizontal="center" vertical="center"/>
      <protection hidden="1"/>
    </xf>
    <xf numFmtId="2" fontId="59" fillId="2" borderId="200" xfId="0" applyNumberFormat="1" applyFont="1" applyFill="1" applyBorder="1" applyAlignment="1" applyProtection="1">
      <alignment horizontal="center"/>
    </xf>
    <xf numFmtId="0" fontId="30" fillId="2" borderId="215" xfId="0" applyFont="1" applyFill="1" applyBorder="1" applyProtection="1"/>
    <xf numFmtId="0" fontId="30" fillId="2" borderId="340" xfId="0" applyFont="1" applyFill="1" applyBorder="1" applyProtection="1"/>
    <xf numFmtId="0" fontId="30" fillId="2" borderId="200" xfId="0" applyFont="1" applyFill="1" applyBorder="1" applyProtection="1"/>
    <xf numFmtId="0" fontId="74" fillId="5" borderId="190" xfId="0" applyNumberFormat="1" applyFont="1" applyFill="1" applyBorder="1" applyAlignment="1" applyProtection="1">
      <alignment horizontal="center"/>
      <protection locked="0"/>
    </xf>
    <xf numFmtId="0" fontId="74" fillId="5" borderId="181" xfId="0" applyNumberFormat="1" applyFont="1" applyFill="1" applyBorder="1" applyAlignment="1" applyProtection="1">
      <alignment horizontal="center"/>
      <protection locked="0"/>
    </xf>
    <xf numFmtId="0" fontId="74" fillId="5" borderId="192" xfId="0" applyNumberFormat="1" applyFont="1" applyFill="1" applyBorder="1" applyAlignment="1" applyProtection="1">
      <alignment horizontal="center"/>
      <protection locked="0"/>
    </xf>
    <xf numFmtId="0" fontId="74" fillId="5" borderId="99" xfId="0" applyNumberFormat="1" applyFont="1" applyFill="1" applyBorder="1" applyAlignment="1" applyProtection="1">
      <alignment horizontal="center"/>
      <protection locked="0"/>
    </xf>
    <xf numFmtId="0" fontId="74" fillId="5" borderId="188" xfId="0" applyNumberFormat="1" applyFont="1" applyFill="1" applyBorder="1" applyAlignment="1" applyProtection="1">
      <alignment horizontal="center"/>
      <protection locked="0"/>
    </xf>
    <xf numFmtId="0" fontId="74" fillId="5" borderId="189" xfId="0" applyNumberFormat="1" applyFont="1" applyFill="1" applyBorder="1" applyAlignment="1" applyProtection="1">
      <alignment horizontal="center"/>
      <protection locked="0"/>
    </xf>
    <xf numFmtId="0" fontId="74" fillId="5" borderId="181" xfId="0" applyNumberFormat="1" applyFont="1" applyFill="1" applyBorder="1" applyAlignment="1" applyProtection="1">
      <alignment horizontal="right"/>
      <protection locked="0"/>
    </xf>
    <xf numFmtId="0" fontId="74" fillId="5" borderId="181" xfId="0" applyNumberFormat="1" applyFont="1" applyFill="1" applyBorder="1" applyAlignment="1" applyProtection="1">
      <alignment horizontal="left"/>
      <protection locked="0"/>
    </xf>
    <xf numFmtId="0" fontId="75" fillId="5" borderId="181" xfId="0" applyNumberFormat="1" applyFont="1" applyFill="1" applyBorder="1" applyAlignment="1" applyProtection="1">
      <alignment horizontal="center"/>
      <protection locked="0"/>
    </xf>
    <xf numFmtId="0" fontId="74" fillId="5" borderId="150" xfId="0" applyNumberFormat="1" applyFont="1" applyFill="1" applyBorder="1" applyAlignment="1" applyProtection="1">
      <alignment horizontal="center"/>
      <protection locked="0"/>
    </xf>
    <xf numFmtId="0" fontId="74" fillId="5" borderId="99" xfId="0" applyNumberFormat="1" applyFont="1" applyFill="1" applyBorder="1" applyAlignment="1" applyProtection="1">
      <alignment horizontal="right"/>
      <protection locked="0"/>
    </xf>
    <xf numFmtId="0" fontId="74" fillId="5" borderId="99" xfId="0" applyNumberFormat="1" applyFont="1" applyFill="1" applyBorder="1" applyAlignment="1" applyProtection="1">
      <alignment horizontal="left"/>
      <protection locked="0"/>
    </xf>
    <xf numFmtId="0" fontId="75" fillId="5" borderId="99" xfId="0" applyNumberFormat="1" applyFont="1" applyFill="1" applyBorder="1" applyAlignment="1" applyProtection="1">
      <alignment horizontal="center"/>
      <protection locked="0"/>
    </xf>
    <xf numFmtId="0" fontId="74" fillId="5" borderId="158" xfId="0" applyNumberFormat="1" applyFont="1" applyFill="1" applyBorder="1" applyAlignment="1" applyProtection="1">
      <alignment horizontal="center"/>
      <protection locked="0"/>
    </xf>
    <xf numFmtId="0" fontId="74" fillId="5" borderId="189" xfId="0" applyNumberFormat="1" applyFont="1" applyFill="1" applyBorder="1" applyAlignment="1" applyProtection="1">
      <alignment horizontal="right"/>
      <protection locked="0"/>
    </xf>
    <xf numFmtId="0" fontId="74" fillId="5" borderId="189" xfId="0" applyNumberFormat="1" applyFont="1" applyFill="1" applyBorder="1" applyAlignment="1" applyProtection="1">
      <alignment horizontal="left"/>
      <protection locked="0"/>
    </xf>
    <xf numFmtId="0" fontId="75" fillId="5" borderId="189" xfId="0" applyNumberFormat="1" applyFont="1" applyFill="1" applyBorder="1" applyAlignment="1" applyProtection="1">
      <alignment horizontal="center"/>
      <protection locked="0"/>
    </xf>
    <xf numFmtId="0" fontId="74" fillId="5" borderId="172" xfId="0" applyNumberFormat="1" applyFont="1" applyFill="1" applyBorder="1" applyAlignment="1" applyProtection="1">
      <alignment horizontal="center"/>
      <protection locked="0"/>
    </xf>
    <xf numFmtId="0" fontId="9" fillId="2" borderId="0" xfId="0" applyNumberFormat="1" applyFont="1" applyFill="1" applyBorder="1" applyAlignment="1" applyProtection="1">
      <alignment horizontal="center" vertical="center"/>
      <protection hidden="1"/>
    </xf>
    <xf numFmtId="0" fontId="49" fillId="0" borderId="116" xfId="0" applyFont="1" applyFill="1" applyBorder="1" applyAlignment="1" applyProtection="1">
      <alignment horizontal="center" vertical="center"/>
    </xf>
    <xf numFmtId="0" fontId="49" fillId="0" borderId="121" xfId="0" applyFont="1" applyFill="1" applyBorder="1" applyAlignment="1" applyProtection="1">
      <alignment horizontal="center" vertical="center"/>
    </xf>
    <xf numFmtId="0" fontId="49" fillId="0" borderId="315" xfId="0" applyFont="1" applyFill="1" applyBorder="1" applyAlignment="1" applyProtection="1">
      <alignment horizontal="center" vertical="center"/>
    </xf>
    <xf numFmtId="0" fontId="49" fillId="0" borderId="321" xfId="0" applyFont="1" applyFill="1" applyBorder="1" applyAlignment="1" applyProtection="1">
      <alignment horizontal="center" vertical="center"/>
    </xf>
    <xf numFmtId="0" fontId="49" fillId="0" borderId="116" xfId="0" applyFont="1" applyFill="1" applyBorder="1" applyAlignment="1" applyProtection="1">
      <alignment horizontal="center" vertical="center"/>
    </xf>
    <xf numFmtId="0" fontId="49" fillId="0" borderId="116" xfId="0" applyFont="1" applyFill="1" applyBorder="1" applyAlignment="1" applyProtection="1">
      <alignment horizontal="center" vertical="center" wrapText="1"/>
    </xf>
    <xf numFmtId="0" fontId="49" fillId="0" borderId="121" xfId="0" applyFont="1" applyFill="1" applyBorder="1" applyAlignment="1" applyProtection="1">
      <alignment horizontal="center" vertical="center" wrapText="1"/>
    </xf>
    <xf numFmtId="0" fontId="49" fillId="0" borderId="321" xfId="0" applyFont="1" applyFill="1" applyBorder="1" applyAlignment="1" applyProtection="1">
      <alignment horizontal="center" vertical="center" wrapText="1"/>
    </xf>
    <xf numFmtId="0" fontId="110" fillId="2" borderId="0" xfId="0" applyFont="1" applyFill="1" applyAlignment="1" applyProtection="1">
      <alignment horizontal="right"/>
      <protection hidden="1"/>
    </xf>
    <xf numFmtId="0" fontId="118" fillId="2" borderId="0" xfId="0" applyFont="1" applyFill="1" applyAlignment="1" applyProtection="1">
      <alignment horizontal="center"/>
      <protection hidden="1"/>
    </xf>
    <xf numFmtId="0" fontId="118" fillId="13" borderId="0" xfId="0" applyFont="1" applyFill="1" applyAlignment="1" applyProtection="1">
      <alignment horizontal="center"/>
      <protection hidden="1"/>
    </xf>
    <xf numFmtId="0" fontId="118" fillId="14" borderId="0" xfId="0" applyFont="1" applyFill="1" applyAlignment="1" applyProtection="1">
      <alignment horizontal="center"/>
      <protection hidden="1"/>
    </xf>
    <xf numFmtId="0" fontId="52" fillId="2" borderId="0" xfId="0" quotePrefix="1" applyFont="1" applyFill="1" applyAlignment="1" applyProtection="1">
      <alignment horizontal="center"/>
      <protection hidden="1"/>
    </xf>
    <xf numFmtId="0" fontId="104" fillId="2" borderId="370" xfId="0" quotePrefix="1" applyFont="1" applyFill="1" applyBorder="1" applyAlignment="1" applyProtection="1">
      <alignment horizontal="center"/>
      <protection hidden="1"/>
    </xf>
    <xf numFmtId="0" fontId="104" fillId="2" borderId="370" xfId="0" applyNumberFormat="1" applyFont="1" applyFill="1" applyBorder="1" applyAlignment="1" applyProtection="1">
      <alignment horizontal="center"/>
      <protection hidden="1"/>
    </xf>
    <xf numFmtId="0" fontId="104" fillId="2" borderId="352" xfId="0" applyNumberFormat="1" applyFont="1" applyFill="1" applyBorder="1" applyAlignment="1" applyProtection="1">
      <alignment horizontal="center"/>
      <protection hidden="1"/>
    </xf>
    <xf numFmtId="0" fontId="4" fillId="2" borderId="0" xfId="0" applyFont="1" applyFill="1" applyProtection="1">
      <protection locked="0"/>
    </xf>
    <xf numFmtId="0" fontId="9" fillId="2" borderId="0" xfId="0" applyFont="1" applyFill="1" applyBorder="1" applyAlignment="1" applyProtection="1">
      <alignment horizontal="center" vertical="center"/>
      <protection locked="0"/>
    </xf>
    <xf numFmtId="0" fontId="97" fillId="0" borderId="0" xfId="0" applyNumberFormat="1" applyFont="1" applyFill="1" applyBorder="1" applyAlignment="1" applyProtection="1">
      <alignment horizontal="left"/>
      <protection locked="0"/>
    </xf>
    <xf numFmtId="1" fontId="97" fillId="0" borderId="0" xfId="0" applyNumberFormat="1" applyFont="1" applyFill="1" applyBorder="1" applyAlignment="1" applyProtection="1">
      <alignment horizontal="center"/>
      <protection locked="0"/>
    </xf>
    <xf numFmtId="0" fontId="97" fillId="0" borderId="0" xfId="0" applyNumberFormat="1" applyFont="1" applyFill="1" applyBorder="1" applyAlignment="1" applyProtection="1">
      <alignment horizontal="center"/>
      <protection locked="0"/>
    </xf>
    <xf numFmtId="0" fontId="30" fillId="14" borderId="0" xfId="0" applyNumberFormat="1" applyFont="1" applyFill="1" applyBorder="1" applyAlignment="1" applyProtection="1">
      <protection hidden="1"/>
    </xf>
    <xf numFmtId="0" fontId="30" fillId="14" borderId="0" xfId="0" applyFont="1" applyFill="1" applyBorder="1" applyAlignment="1" applyProtection="1">
      <alignment horizontal="center"/>
      <protection hidden="1"/>
    </xf>
    <xf numFmtId="0" fontId="30" fillId="14" borderId="0" xfId="0" applyFont="1" applyFill="1" applyBorder="1" applyAlignment="1" applyProtection="1">
      <alignment horizontal="right"/>
      <protection hidden="1"/>
    </xf>
    <xf numFmtId="0" fontId="30" fillId="14" borderId="0" xfId="0" applyFont="1" applyFill="1" applyBorder="1" applyAlignment="1" applyProtection="1">
      <alignment horizontal="left"/>
      <protection hidden="1"/>
    </xf>
    <xf numFmtId="0" fontId="30" fillId="14" borderId="0" xfId="0" applyFont="1" applyFill="1" applyBorder="1" applyAlignment="1" applyProtection="1">
      <protection hidden="1"/>
    </xf>
    <xf numFmtId="0" fontId="30" fillId="14" borderId="0" xfId="0" applyNumberFormat="1" applyFont="1" applyFill="1" applyBorder="1" applyAlignment="1" applyProtection="1">
      <alignment horizontal="center"/>
      <protection hidden="1"/>
    </xf>
    <xf numFmtId="0" fontId="9" fillId="14" borderId="0" xfId="0" applyFont="1" applyFill="1" applyBorder="1" applyAlignment="1" applyProtection="1">
      <alignment horizontal="center" vertical="center"/>
      <protection hidden="1"/>
    </xf>
    <xf numFmtId="0" fontId="0" fillId="14" borderId="0" xfId="0" applyFill="1" applyBorder="1" applyAlignment="1" applyProtection="1">
      <protection hidden="1"/>
    </xf>
    <xf numFmtId="0" fontId="34" fillId="14" borderId="0" xfId="0" applyNumberFormat="1" applyFont="1" applyFill="1" applyBorder="1" applyAlignment="1" applyProtection="1">
      <alignment horizontal="center" textRotation="90"/>
      <protection hidden="1"/>
    </xf>
    <xf numFmtId="0" fontId="23" fillId="14" borderId="0" xfId="0" applyFont="1" applyFill="1" applyBorder="1" applyAlignment="1" applyProtection="1">
      <alignment horizontal="center"/>
      <protection hidden="1"/>
    </xf>
    <xf numFmtId="0" fontId="34" fillId="14" borderId="0" xfId="0" applyFont="1" applyFill="1" applyBorder="1" applyAlignment="1">
      <alignment horizontal="center" textRotation="90"/>
    </xf>
    <xf numFmtId="0" fontId="4" fillId="14" borderId="0" xfId="0" applyFont="1" applyFill="1" applyBorder="1" applyAlignment="1" applyProtection="1">
      <alignment horizontal="center"/>
      <protection hidden="1"/>
    </xf>
    <xf numFmtId="0" fontId="4" fillId="14" borderId="0" xfId="0" applyFont="1" applyFill="1" applyBorder="1" applyAlignment="1" applyProtection="1">
      <alignment horizontal="right"/>
      <protection hidden="1"/>
    </xf>
    <xf numFmtId="0" fontId="4" fillId="14" borderId="0" xfId="0" applyFont="1" applyFill="1" applyBorder="1" applyAlignment="1" applyProtection="1">
      <alignment horizontal="left"/>
      <protection hidden="1"/>
    </xf>
    <xf numFmtId="0" fontId="52" fillId="14" borderId="0" xfId="0" applyFont="1" applyFill="1" applyBorder="1" applyAlignment="1" applyProtection="1">
      <alignment horizontal="center"/>
      <protection hidden="1"/>
    </xf>
    <xf numFmtId="0" fontId="14" fillId="14" borderId="0" xfId="0" applyFont="1" applyFill="1" applyBorder="1" applyAlignment="1" applyProtection="1">
      <alignment horizontal="center" vertical="center"/>
      <protection hidden="1"/>
    </xf>
    <xf numFmtId="0" fontId="0" fillId="14" borderId="0" xfId="0" applyFill="1" applyBorder="1" applyAlignment="1" applyProtection="1">
      <alignment horizontal="center"/>
      <protection hidden="1"/>
    </xf>
    <xf numFmtId="0" fontId="4" fillId="14" borderId="0" xfId="0" applyFont="1" applyFill="1" applyBorder="1" applyAlignment="1" applyProtection="1">
      <protection hidden="1"/>
    </xf>
    <xf numFmtId="0" fontId="102" fillId="14" borderId="0" xfId="0" applyFont="1" applyFill="1" applyProtection="1"/>
    <xf numFmtId="0" fontId="30" fillId="14" borderId="0" xfId="0" applyFont="1" applyFill="1" applyAlignment="1" applyProtection="1">
      <alignment horizontal="center"/>
    </xf>
    <xf numFmtId="0" fontId="30" fillId="14" borderId="0" xfId="0" applyFont="1" applyFill="1" applyAlignment="1" applyProtection="1">
      <alignment horizontal="right"/>
    </xf>
    <xf numFmtId="0" fontId="30" fillId="14" borderId="0" xfId="0" applyFont="1" applyFill="1" applyAlignment="1" applyProtection="1">
      <alignment horizontal="left"/>
    </xf>
    <xf numFmtId="0" fontId="92" fillId="0" borderId="120" xfId="0" applyNumberFormat="1" applyFont="1" applyFill="1" applyBorder="1" applyAlignment="1" applyProtection="1">
      <alignment horizontal="center" vertical="center"/>
    </xf>
    <xf numFmtId="0" fontId="92" fillId="0" borderId="99" xfId="0" applyNumberFormat="1" applyFont="1" applyFill="1" applyBorder="1" applyAlignment="1" applyProtection="1">
      <alignment horizontal="center" vertical="center"/>
    </xf>
    <xf numFmtId="186" fontId="98" fillId="0" borderId="100" xfId="0" applyNumberFormat="1" applyFont="1" applyFill="1" applyBorder="1" applyAlignment="1" applyProtection="1">
      <alignment horizontal="right" vertical="center"/>
    </xf>
    <xf numFmtId="170" fontId="98" fillId="0" borderId="103" xfId="0" applyNumberFormat="1" applyFont="1" applyFill="1" applyBorder="1" applyAlignment="1" applyProtection="1">
      <alignment horizontal="left" vertical="center"/>
    </xf>
    <xf numFmtId="170" fontId="98" fillId="0" borderId="154" xfId="0" applyNumberFormat="1" applyFont="1" applyFill="1" applyBorder="1" applyAlignment="1" applyProtection="1">
      <alignment horizontal="center" vertical="center"/>
    </xf>
    <xf numFmtId="186" fontId="98" fillId="0" borderId="103" xfId="0" applyNumberFormat="1" applyFont="1" applyFill="1" applyBorder="1" applyAlignment="1" applyProtection="1">
      <alignment horizontal="right" vertical="center"/>
    </xf>
    <xf numFmtId="170" fontId="98" fillId="0" borderId="101" xfId="0" applyNumberFormat="1" applyFont="1" applyFill="1" applyBorder="1" applyAlignment="1" applyProtection="1">
      <alignment horizontal="left" vertical="center"/>
    </xf>
    <xf numFmtId="0" fontId="98" fillId="0" borderId="99" xfId="0" applyNumberFormat="1" applyFont="1" applyFill="1" applyBorder="1" applyAlignment="1" applyProtection="1">
      <alignment horizontal="center" vertical="center"/>
    </xf>
    <xf numFmtId="0" fontId="98" fillId="0" borderId="100" xfId="0" applyNumberFormat="1" applyFont="1" applyFill="1" applyBorder="1" applyAlignment="1" applyProtection="1">
      <alignment horizontal="center" vertical="center"/>
    </xf>
    <xf numFmtId="170" fontId="98" fillId="0" borderId="120" xfId="0" applyNumberFormat="1" applyFont="1" applyFill="1" applyBorder="1" applyAlignment="1" applyProtection="1">
      <alignment horizontal="center" vertical="center"/>
    </xf>
    <xf numFmtId="170" fontId="98" fillId="0" borderId="102" xfId="0" applyNumberFormat="1" applyFont="1" applyFill="1" applyBorder="1" applyAlignment="1" applyProtection="1">
      <alignment horizontal="center" vertical="center"/>
    </xf>
    <xf numFmtId="186" fontId="98" fillId="0" borderId="300" xfId="0" applyNumberFormat="1" applyFont="1" applyFill="1" applyBorder="1" applyAlignment="1" applyProtection="1">
      <alignment horizontal="right" vertical="center"/>
    </xf>
    <xf numFmtId="167" fontId="98" fillId="0" borderId="101" xfId="0" applyNumberFormat="1" applyFont="1" applyFill="1" applyBorder="1" applyAlignment="1" applyProtection="1">
      <alignment horizontal="center" vertical="center"/>
    </xf>
    <xf numFmtId="167" fontId="98" fillId="0" borderId="100" xfId="0" applyNumberFormat="1" applyFont="1" applyFill="1" applyBorder="1" applyAlignment="1" applyProtection="1">
      <alignment horizontal="center" vertical="center"/>
    </xf>
    <xf numFmtId="166" fontId="98" fillId="0" borderId="100" xfId="0" applyNumberFormat="1" applyFont="1" applyFill="1" applyBorder="1" applyAlignment="1" applyProtection="1">
      <alignment horizontal="center"/>
    </xf>
    <xf numFmtId="0" fontId="98" fillId="0" borderId="330" xfId="0" applyNumberFormat="1" applyFont="1" applyFill="1" applyBorder="1" applyAlignment="1" applyProtection="1">
      <alignment horizontal="center"/>
    </xf>
    <xf numFmtId="170" fontId="98" fillId="0" borderId="99" xfId="0" applyNumberFormat="1" applyFont="1" applyFill="1" applyBorder="1" applyAlignment="1" applyProtection="1">
      <alignment horizontal="center"/>
    </xf>
    <xf numFmtId="170" fontId="98" fillId="0" borderId="331" xfId="0" applyNumberFormat="1" applyFont="1" applyFill="1" applyBorder="1" applyAlignment="1" applyProtection="1">
      <alignment horizontal="center"/>
    </xf>
    <xf numFmtId="166" fontId="98" fillId="0" borderId="99" xfId="0" applyNumberFormat="1" applyFont="1" applyFill="1" applyBorder="1" applyAlignment="1" applyProtection="1">
      <alignment horizontal="center"/>
    </xf>
    <xf numFmtId="0" fontId="98" fillId="0" borderId="99" xfId="0" applyNumberFormat="1" applyFont="1" applyFill="1" applyBorder="1" applyAlignment="1" applyProtection="1">
      <alignment horizontal="left" vertical="center"/>
    </xf>
    <xf numFmtId="1" fontId="98" fillId="0" borderId="153" xfId="0" applyNumberFormat="1" applyFont="1" applyBorder="1" applyAlignment="1" applyProtection="1">
      <alignment horizontal="center" vertical="center"/>
    </xf>
    <xf numFmtId="49" fontId="110" fillId="15" borderId="180" xfId="0" applyNumberFormat="1" applyFont="1" applyFill="1" applyBorder="1" applyAlignment="1" applyProtection="1">
      <alignment horizontal="center"/>
      <protection locked="0"/>
    </xf>
    <xf numFmtId="49" fontId="110" fillId="15" borderId="181" xfId="0" applyNumberFormat="1" applyFont="1" applyFill="1" applyBorder="1" applyAlignment="1" applyProtection="1">
      <alignment horizontal="center"/>
      <protection locked="0"/>
    </xf>
    <xf numFmtId="49" fontId="110" fillId="15" borderId="181" xfId="0" applyNumberFormat="1" applyFont="1" applyFill="1" applyBorder="1" applyAlignment="1" applyProtection="1">
      <alignment horizontal="right"/>
      <protection locked="0"/>
    </xf>
    <xf numFmtId="49" fontId="110" fillId="15" borderId="181" xfId="0" applyNumberFormat="1" applyFont="1" applyFill="1" applyBorder="1" applyAlignment="1" applyProtection="1">
      <alignment horizontal="left"/>
      <protection locked="0"/>
    </xf>
    <xf numFmtId="49" fontId="110" fillId="15" borderId="181" xfId="0" applyNumberFormat="1" applyFont="1" applyFill="1" applyBorder="1" applyAlignment="1" applyProtection="1">
      <alignment horizontal="center"/>
      <protection hidden="1"/>
    </xf>
    <xf numFmtId="49" fontId="110" fillId="15" borderId="367" xfId="0" applyNumberFormat="1" applyFont="1" applyFill="1" applyBorder="1" applyAlignment="1" applyProtection="1">
      <alignment horizontal="center"/>
      <protection hidden="1"/>
    </xf>
    <xf numFmtId="49" fontId="110" fillId="15" borderId="2" xfId="0" applyNumberFormat="1" applyFont="1" applyFill="1" applyBorder="1" applyAlignment="1" applyProtection="1">
      <alignment horizontal="center"/>
      <protection locked="0"/>
    </xf>
    <xf numFmtId="49" fontId="110" fillId="15" borderId="99" xfId="0" applyNumberFormat="1" applyFont="1" applyFill="1" applyBorder="1" applyAlignment="1" applyProtection="1">
      <alignment horizontal="center"/>
      <protection locked="0"/>
    </xf>
    <xf numFmtId="49" fontId="110" fillId="15" borderId="99" xfId="0" applyNumberFormat="1" applyFont="1" applyFill="1" applyBorder="1" applyAlignment="1" applyProtection="1">
      <alignment horizontal="right"/>
      <protection locked="0"/>
    </xf>
    <xf numFmtId="49" fontId="110" fillId="15" borderId="99" xfId="0" applyNumberFormat="1" applyFont="1" applyFill="1" applyBorder="1" applyAlignment="1" applyProtection="1">
      <alignment horizontal="left"/>
      <protection locked="0"/>
    </xf>
    <xf numFmtId="49" fontId="110" fillId="15" borderId="99" xfId="0" applyNumberFormat="1" applyFont="1" applyFill="1" applyBorder="1" applyProtection="1">
      <protection hidden="1"/>
    </xf>
    <xf numFmtId="49" fontId="110" fillId="15" borderId="99" xfId="0" applyNumberFormat="1" applyFont="1" applyFill="1" applyBorder="1" applyAlignment="1" applyProtection="1">
      <alignment horizontal="center"/>
      <protection hidden="1"/>
    </xf>
    <xf numFmtId="49" fontId="110" fillId="15" borderId="100" xfId="0" applyNumberFormat="1" applyFont="1" applyFill="1" applyBorder="1" applyAlignment="1" applyProtection="1">
      <alignment horizontal="center"/>
      <protection hidden="1"/>
    </xf>
    <xf numFmtId="49" fontId="119" fillId="15" borderId="99" xfId="0" applyNumberFormat="1" applyFont="1" applyFill="1" applyBorder="1" applyAlignment="1" applyProtection="1">
      <alignment horizontal="center" vertical="center"/>
      <protection hidden="1"/>
    </xf>
    <xf numFmtId="49" fontId="110" fillId="15" borderId="3" xfId="0" applyNumberFormat="1" applyFont="1" applyFill="1" applyBorder="1" applyAlignment="1" applyProtection="1">
      <alignment horizontal="center"/>
      <protection locked="0"/>
    </xf>
    <xf numFmtId="49" fontId="110" fillId="15" borderId="351" xfId="0" applyNumberFormat="1" applyFont="1" applyFill="1" applyBorder="1" applyAlignment="1" applyProtection="1">
      <alignment horizontal="center"/>
      <protection locked="0"/>
    </xf>
    <xf numFmtId="49" fontId="110" fillId="15" borderId="351" xfId="0" applyNumberFormat="1" applyFont="1" applyFill="1" applyBorder="1" applyAlignment="1" applyProtection="1">
      <alignment horizontal="right"/>
      <protection locked="0"/>
    </xf>
    <xf numFmtId="49" fontId="110" fillId="15" borderId="351" xfId="0" applyNumberFormat="1" applyFont="1" applyFill="1" applyBorder="1" applyAlignment="1" applyProtection="1">
      <alignment horizontal="left"/>
      <protection locked="0"/>
    </xf>
    <xf numFmtId="49" fontId="110" fillId="15" borderId="351" xfId="0" applyNumberFormat="1" applyFont="1" applyFill="1" applyBorder="1" applyAlignment="1" applyProtection="1">
      <alignment horizontal="center"/>
      <protection hidden="1"/>
    </xf>
    <xf numFmtId="49" fontId="110" fillId="15" borderId="368" xfId="0" applyNumberFormat="1" applyFont="1" applyFill="1" applyBorder="1" applyAlignment="1" applyProtection="1">
      <alignment horizontal="center"/>
      <protection hidden="1"/>
    </xf>
    <xf numFmtId="49" fontId="110" fillId="15" borderId="351" xfId="0" applyNumberFormat="1" applyFont="1" applyFill="1" applyBorder="1" applyProtection="1">
      <protection hidden="1"/>
    </xf>
    <xf numFmtId="49" fontId="110" fillId="15" borderId="352" xfId="0" applyNumberFormat="1" applyFont="1" applyFill="1" applyBorder="1" applyAlignment="1" applyProtection="1">
      <alignment horizontal="center"/>
      <protection locked="0"/>
    </xf>
    <xf numFmtId="49" fontId="110" fillId="15" borderId="213" xfId="0" applyNumberFormat="1" applyFont="1" applyFill="1" applyBorder="1" applyAlignment="1" applyProtection="1">
      <alignment horizontal="center"/>
      <protection locked="0"/>
    </xf>
    <xf numFmtId="49" fontId="110" fillId="15" borderId="213" xfId="0" applyNumberFormat="1" applyFont="1" applyFill="1" applyBorder="1" applyAlignment="1" applyProtection="1">
      <alignment horizontal="right"/>
      <protection locked="0"/>
    </xf>
    <xf numFmtId="49" fontId="110" fillId="15" borderId="213" xfId="0" applyNumberFormat="1" applyFont="1" applyFill="1" applyBorder="1" applyAlignment="1" applyProtection="1">
      <alignment horizontal="left"/>
      <protection locked="0"/>
    </xf>
    <xf numFmtId="49" fontId="110" fillId="15" borderId="213" xfId="0" applyNumberFormat="1" applyFont="1" applyFill="1" applyBorder="1" applyProtection="1">
      <protection hidden="1"/>
    </xf>
    <xf numFmtId="49" fontId="110" fillId="15" borderId="5" xfId="0" applyNumberFormat="1" applyFont="1" applyFill="1" applyBorder="1" applyAlignment="1" applyProtection="1">
      <alignment horizontal="center"/>
      <protection hidden="1"/>
    </xf>
    <xf numFmtId="49" fontId="110" fillId="15" borderId="6" xfId="0" applyNumberFormat="1" applyFont="1" applyFill="1" applyBorder="1" applyAlignment="1" applyProtection="1">
      <alignment horizontal="center"/>
      <protection hidden="1"/>
    </xf>
    <xf numFmtId="49" fontId="110" fillId="5" borderId="180" xfId="0" applyNumberFormat="1" applyFont="1" applyFill="1" applyBorder="1" applyAlignment="1" applyProtection="1">
      <alignment horizontal="center"/>
      <protection locked="0"/>
    </xf>
    <xf numFmtId="49" fontId="110" fillId="5" borderId="181" xfId="0" applyNumberFormat="1" applyFont="1" applyFill="1" applyBorder="1" applyAlignment="1" applyProtection="1">
      <alignment horizontal="center"/>
      <protection locked="0"/>
    </xf>
    <xf numFmtId="49" fontId="110" fillId="5" borderId="181" xfId="0" applyNumberFormat="1" applyFont="1" applyFill="1" applyBorder="1" applyAlignment="1" applyProtection="1">
      <alignment horizontal="right"/>
      <protection locked="0"/>
    </xf>
    <xf numFmtId="49" fontId="110" fillId="5" borderId="181" xfId="0" applyNumberFormat="1" applyFont="1" applyFill="1" applyBorder="1" applyAlignment="1" applyProtection="1">
      <alignment horizontal="left"/>
      <protection locked="0"/>
    </xf>
    <xf numFmtId="49" fontId="119" fillId="5" borderId="181" xfId="0" applyNumberFormat="1" applyFont="1" applyFill="1" applyBorder="1" applyAlignment="1" applyProtection="1">
      <alignment horizontal="center"/>
      <protection locked="0"/>
    </xf>
    <xf numFmtId="49" fontId="110" fillId="5" borderId="357" xfId="0" applyNumberFormat="1" applyFont="1" applyFill="1" applyBorder="1" applyAlignment="1" applyProtection="1">
      <alignment horizontal="left"/>
      <protection locked="0"/>
    </xf>
    <xf numFmtId="49" fontId="110" fillId="5" borderId="352" xfId="0" applyNumberFormat="1" applyFont="1" applyFill="1" applyBorder="1" applyAlignment="1" applyProtection="1">
      <alignment horizontal="center"/>
      <protection locked="0"/>
    </xf>
    <xf numFmtId="49" fontId="110" fillId="5" borderId="213" xfId="0" applyNumberFormat="1" applyFont="1" applyFill="1" applyBorder="1" applyAlignment="1" applyProtection="1">
      <alignment horizontal="center"/>
      <protection locked="0"/>
    </xf>
    <xf numFmtId="49" fontId="110" fillId="5" borderId="213" xfId="0" applyNumberFormat="1" applyFont="1" applyFill="1" applyBorder="1" applyAlignment="1" applyProtection="1">
      <alignment horizontal="right"/>
      <protection locked="0"/>
    </xf>
    <xf numFmtId="49" fontId="110" fillId="5" borderId="213" xfId="0" applyNumberFormat="1" applyFont="1" applyFill="1" applyBorder="1" applyAlignment="1" applyProtection="1">
      <alignment horizontal="left"/>
      <protection locked="0"/>
    </xf>
    <xf numFmtId="49" fontId="119" fillId="5" borderId="213" xfId="0" applyNumberFormat="1" applyFont="1" applyFill="1" applyBorder="1" applyAlignment="1" applyProtection="1">
      <alignment horizontal="center"/>
      <protection locked="0"/>
    </xf>
    <xf numFmtId="49" fontId="110" fillId="5" borderId="353" xfId="0" applyNumberFormat="1" applyFont="1" applyFill="1" applyBorder="1" applyAlignment="1" applyProtection="1">
      <alignment horizontal="left"/>
      <protection locked="0"/>
    </xf>
    <xf numFmtId="49" fontId="110" fillId="5" borderId="358" xfId="0" applyNumberFormat="1" applyFont="1" applyFill="1" applyBorder="1" applyAlignment="1" applyProtection="1">
      <alignment horizontal="center"/>
      <protection locked="0"/>
    </xf>
    <xf numFmtId="49" fontId="110" fillId="5" borderId="359" xfId="0" applyNumberFormat="1" applyFont="1" applyFill="1" applyBorder="1" applyAlignment="1" applyProtection="1">
      <alignment horizontal="center"/>
      <protection locked="0"/>
    </xf>
    <xf numFmtId="49" fontId="110" fillId="5" borderId="359" xfId="0" applyNumberFormat="1" applyFont="1" applyFill="1" applyBorder="1" applyAlignment="1" applyProtection="1">
      <alignment horizontal="right"/>
      <protection locked="0"/>
    </xf>
    <xf numFmtId="49" fontId="110" fillId="5" borderId="359" xfId="0" applyNumberFormat="1" applyFont="1" applyFill="1" applyBorder="1" applyAlignment="1" applyProtection="1">
      <alignment horizontal="left"/>
      <protection locked="0"/>
    </xf>
    <xf numFmtId="49" fontId="119" fillId="5" borderId="359" xfId="0" applyNumberFormat="1" applyFont="1" applyFill="1" applyBorder="1" applyAlignment="1" applyProtection="1">
      <alignment horizontal="center"/>
      <protection locked="0"/>
    </xf>
    <xf numFmtId="49" fontId="110" fillId="5" borderId="360" xfId="0" applyNumberFormat="1" applyFont="1" applyFill="1" applyBorder="1" applyAlignment="1" applyProtection="1">
      <alignment horizontal="left"/>
      <protection locked="0"/>
    </xf>
    <xf numFmtId="0" fontId="92" fillId="0" borderId="161" xfId="0" applyNumberFormat="1" applyFont="1" applyFill="1" applyBorder="1" applyAlignment="1" applyProtection="1">
      <alignment horizontal="center" vertical="center"/>
    </xf>
    <xf numFmtId="0" fontId="20" fillId="2" borderId="12" xfId="0" applyFont="1" applyFill="1" applyBorder="1" applyAlignment="1" applyProtection="1">
      <alignment horizontal="center" vertical="center" wrapText="1"/>
    </xf>
    <xf numFmtId="0" fontId="20" fillId="2" borderId="12" xfId="0" applyFont="1" applyFill="1" applyBorder="1" applyAlignment="1" applyProtection="1">
      <alignment horizontal="center" wrapText="1"/>
      <protection hidden="1"/>
    </xf>
    <xf numFmtId="0" fontId="3" fillId="2" borderId="0" xfId="0" quotePrefix="1" applyFont="1" applyFill="1" applyProtection="1"/>
    <xf numFmtId="12" fontId="29" fillId="13" borderId="12" xfId="0" applyNumberFormat="1" applyFont="1" applyFill="1" applyBorder="1" applyAlignment="1" applyProtection="1">
      <alignment horizontal="center"/>
      <protection hidden="1"/>
    </xf>
    <xf numFmtId="12" fontId="29" fillId="13" borderId="23" xfId="0" applyNumberFormat="1" applyFont="1" applyFill="1" applyBorder="1" applyAlignment="1" applyProtection="1">
      <alignment horizontal="center"/>
      <protection hidden="1"/>
    </xf>
    <xf numFmtId="12" fontId="29" fillId="13" borderId="29" xfId="0" applyNumberFormat="1" applyFont="1" applyFill="1" applyBorder="1" applyAlignment="1" applyProtection="1">
      <alignment horizontal="center"/>
      <protection hidden="1"/>
    </xf>
    <xf numFmtId="1" fontId="98" fillId="0" borderId="102" xfId="0" applyNumberFormat="1" applyFont="1" applyBorder="1" applyAlignment="1" applyProtection="1">
      <alignment horizontal="center" vertical="center"/>
    </xf>
    <xf numFmtId="0" fontId="22" fillId="21" borderId="12" xfId="0" applyFont="1" applyFill="1" applyBorder="1" applyAlignment="1" applyProtection="1">
      <alignment horizontal="center"/>
    </xf>
    <xf numFmtId="0" fontId="30" fillId="21" borderId="12" xfId="0" applyFont="1" applyFill="1" applyBorder="1" applyAlignment="1" applyProtection="1">
      <alignment horizontal="center"/>
    </xf>
    <xf numFmtId="176" fontId="30" fillId="22" borderId="14" xfId="0" applyNumberFormat="1" applyFont="1" applyFill="1" applyBorder="1" applyAlignment="1" applyProtection="1">
      <alignment horizontal="center"/>
      <protection hidden="1"/>
    </xf>
    <xf numFmtId="176" fontId="30" fillId="22" borderId="12" xfId="0" applyNumberFormat="1" applyFont="1" applyFill="1" applyBorder="1" applyAlignment="1" applyProtection="1">
      <alignment horizontal="center"/>
      <protection hidden="1"/>
    </xf>
    <xf numFmtId="176" fontId="30" fillId="22" borderId="23" xfId="0" applyNumberFormat="1" applyFont="1" applyFill="1" applyBorder="1" applyAlignment="1" applyProtection="1">
      <alignment horizontal="center"/>
      <protection hidden="1"/>
    </xf>
    <xf numFmtId="176" fontId="22" fillId="2" borderId="0" xfId="0" quotePrefix="1" applyNumberFormat="1" applyFont="1" applyFill="1" applyBorder="1" applyProtection="1">
      <protection hidden="1"/>
    </xf>
    <xf numFmtId="183" fontId="30" fillId="6" borderId="56" xfId="0" applyNumberFormat="1" applyFont="1" applyFill="1" applyBorder="1" applyAlignment="1" applyProtection="1">
      <alignment horizontal="left"/>
    </xf>
    <xf numFmtId="0" fontId="22" fillId="20" borderId="53" xfId="0" applyFont="1" applyFill="1" applyBorder="1" applyAlignment="1" applyProtection="1">
      <alignment horizontal="right"/>
      <protection hidden="1"/>
    </xf>
    <xf numFmtId="0" fontId="20" fillId="22" borderId="12" xfId="0" applyFont="1" applyFill="1" applyBorder="1" applyAlignment="1" applyProtection="1">
      <alignment horizontal="center" vertical="center"/>
    </xf>
    <xf numFmtId="0" fontId="20" fillId="22" borderId="12" xfId="0" applyFont="1" applyFill="1" applyBorder="1" applyAlignment="1" applyProtection="1">
      <alignment horizontal="center"/>
      <protection hidden="1"/>
    </xf>
    <xf numFmtId="0" fontId="20" fillId="22" borderId="12" xfId="0" applyNumberFormat="1" applyFont="1" applyFill="1" applyBorder="1" applyAlignment="1" applyProtection="1">
      <alignment horizontal="center"/>
    </xf>
    <xf numFmtId="2" fontId="61" fillId="22" borderId="8" xfId="0" applyNumberFormat="1" applyFont="1" applyFill="1" applyBorder="1" applyAlignment="1" applyProtection="1">
      <alignment horizontal="center"/>
      <protection hidden="1"/>
    </xf>
    <xf numFmtId="12" fontId="61" fillId="22" borderId="12" xfId="0" applyNumberFormat="1" applyFont="1" applyFill="1" applyBorder="1" applyAlignment="1" applyProtection="1">
      <alignment horizontal="center"/>
      <protection hidden="1"/>
    </xf>
    <xf numFmtId="178" fontId="61" fillId="22" borderId="20" xfId="0" applyNumberFormat="1" applyFont="1" applyFill="1" applyBorder="1" applyAlignment="1" applyProtection="1">
      <alignment horizontal="center"/>
      <protection hidden="1"/>
    </xf>
    <xf numFmtId="2" fontId="61" fillId="22" borderId="9" xfId="0" applyNumberFormat="1" applyFont="1" applyFill="1" applyBorder="1" applyAlignment="1" applyProtection="1">
      <alignment horizontal="center"/>
      <protection hidden="1"/>
    </xf>
    <xf numFmtId="12" fontId="61" fillId="22" borderId="23" xfId="0" applyNumberFormat="1" applyFont="1" applyFill="1" applyBorder="1" applyAlignment="1" applyProtection="1">
      <alignment horizontal="center"/>
      <protection hidden="1"/>
    </xf>
    <xf numFmtId="178" fontId="61" fillId="22" borderId="24" xfId="0" applyNumberFormat="1" applyFont="1" applyFill="1" applyBorder="1" applyAlignment="1" applyProtection="1">
      <alignment horizontal="center"/>
      <protection hidden="1"/>
    </xf>
    <xf numFmtId="176" fontId="61" fillId="22" borderId="12" xfId="0" applyNumberFormat="1" applyFont="1" applyFill="1" applyBorder="1" applyAlignment="1" applyProtection="1">
      <alignment horizontal="center"/>
      <protection hidden="1"/>
    </xf>
    <xf numFmtId="176" fontId="62" fillId="22" borderId="12" xfId="0" applyNumberFormat="1" applyFont="1" applyFill="1" applyBorder="1" applyAlignment="1" applyProtection="1">
      <alignment horizontal="center"/>
      <protection hidden="1"/>
    </xf>
    <xf numFmtId="2" fontId="61" fillId="22" borderId="12" xfId="0" applyNumberFormat="1" applyFont="1" applyFill="1" applyBorder="1" applyAlignment="1" applyProtection="1">
      <alignment horizontal="center"/>
      <protection hidden="1"/>
    </xf>
    <xf numFmtId="176" fontId="61" fillId="22" borderId="23" xfId="0" applyNumberFormat="1" applyFont="1" applyFill="1" applyBorder="1" applyAlignment="1" applyProtection="1">
      <alignment horizontal="center"/>
      <protection hidden="1"/>
    </xf>
    <xf numFmtId="176" fontId="62" fillId="22" borderId="23" xfId="0" applyNumberFormat="1" applyFont="1" applyFill="1" applyBorder="1" applyAlignment="1" applyProtection="1">
      <alignment horizontal="center"/>
      <protection hidden="1"/>
    </xf>
    <xf numFmtId="2" fontId="61" fillId="22" borderId="23" xfId="0" applyNumberFormat="1" applyFont="1" applyFill="1" applyBorder="1" applyAlignment="1" applyProtection="1">
      <alignment horizontal="center"/>
      <protection hidden="1"/>
    </xf>
    <xf numFmtId="177" fontId="61" fillId="22" borderId="10" xfId="0" applyNumberFormat="1" applyFont="1" applyFill="1" applyBorder="1" applyAlignment="1" applyProtection="1">
      <alignment horizontal="center"/>
      <protection hidden="1"/>
    </xf>
    <xf numFmtId="0" fontId="98" fillId="13" borderId="99" xfId="0" applyNumberFormat="1" applyFont="1" applyFill="1" applyBorder="1" applyAlignment="1" applyProtection="1">
      <alignment horizontal="center"/>
    </xf>
    <xf numFmtId="0" fontId="98" fillId="13" borderId="102" xfId="0" applyNumberFormat="1" applyFont="1" applyFill="1" applyBorder="1" applyAlignment="1" applyProtection="1">
      <alignment horizontal="center"/>
    </xf>
    <xf numFmtId="0" fontId="4" fillId="13" borderId="0" xfId="0" applyFont="1" applyFill="1" applyProtection="1">
      <protection hidden="1"/>
    </xf>
    <xf numFmtId="0" fontId="30" fillId="13" borderId="0" xfId="0" applyFont="1" applyFill="1" applyProtection="1"/>
    <xf numFmtId="2" fontId="20" fillId="13" borderId="0" xfId="0" applyNumberFormat="1" applyFont="1" applyFill="1" applyProtection="1">
      <protection hidden="1"/>
    </xf>
    <xf numFmtId="0" fontId="22" fillId="2" borderId="120" xfId="0" applyFont="1" applyFill="1" applyBorder="1" applyAlignment="1" applyProtection="1">
      <alignment horizontal="center"/>
    </xf>
    <xf numFmtId="0" fontId="22" fillId="2" borderId="99" xfId="0" applyFont="1" applyFill="1" applyBorder="1" applyProtection="1"/>
    <xf numFmtId="0" fontId="22" fillId="2" borderId="121" xfId="0" applyFont="1" applyFill="1" applyBorder="1" applyAlignment="1" applyProtection="1">
      <alignment horizontal="center"/>
    </xf>
    <xf numFmtId="0" fontId="22" fillId="2" borderId="116" xfId="0" applyFont="1" applyFill="1" applyBorder="1" applyProtection="1"/>
    <xf numFmtId="0" fontId="12" fillId="23" borderId="321" xfId="0" applyFont="1" applyFill="1" applyBorder="1" applyAlignment="1" applyProtection="1">
      <alignment horizontal="center" vertical="center"/>
    </xf>
    <xf numFmtId="172" fontId="98" fillId="0" borderId="177" xfId="0" applyNumberFormat="1" applyFont="1" applyFill="1" applyBorder="1" applyAlignment="1" applyProtection="1">
      <alignment horizontal="left" vertical="center"/>
      <protection locked="0"/>
    </xf>
    <xf numFmtId="172" fontId="98" fillId="0" borderId="183" xfId="0" applyNumberFormat="1" applyFont="1" applyFill="1" applyBorder="1" applyAlignment="1" applyProtection="1">
      <alignment horizontal="left" vertical="center"/>
      <protection locked="0"/>
    </xf>
    <xf numFmtId="172" fontId="98" fillId="0" borderId="185" xfId="0" applyNumberFormat="1" applyFont="1" applyFill="1" applyBorder="1" applyAlignment="1" applyProtection="1">
      <alignment horizontal="left" vertical="center"/>
      <protection locked="0"/>
    </xf>
    <xf numFmtId="172" fontId="98" fillId="0" borderId="143" xfId="0" applyNumberFormat="1" applyFont="1" applyFill="1" applyBorder="1" applyAlignment="1" applyProtection="1">
      <alignment horizontal="left" vertical="center"/>
      <protection locked="0"/>
    </xf>
    <xf numFmtId="172" fontId="98" fillId="0" borderId="153" xfId="0" applyNumberFormat="1" applyFont="1" applyFill="1" applyBorder="1" applyAlignment="1" applyProtection="1">
      <alignment horizontal="left" vertical="center"/>
      <protection locked="0"/>
    </xf>
    <xf numFmtId="172" fontId="98" fillId="0" borderId="164" xfId="0" applyNumberFormat="1" applyFont="1" applyFill="1" applyBorder="1" applyAlignment="1" applyProtection="1">
      <alignment horizontal="left" vertical="center"/>
      <protection locked="0"/>
    </xf>
    <xf numFmtId="172" fontId="98" fillId="0" borderId="146" xfId="0" applyNumberFormat="1" applyFont="1" applyFill="1" applyBorder="1" applyAlignment="1" applyProtection="1">
      <alignment horizontal="left" vertical="center"/>
      <protection locked="0"/>
    </xf>
    <xf numFmtId="172" fontId="98" fillId="0" borderId="155" xfId="0" applyNumberFormat="1" applyFont="1" applyFill="1" applyBorder="1" applyAlignment="1" applyProtection="1">
      <alignment horizontal="left" vertical="center"/>
      <protection locked="0"/>
    </xf>
    <xf numFmtId="172" fontId="98" fillId="0" borderId="167" xfId="0" applyNumberFormat="1" applyFont="1" applyFill="1" applyBorder="1" applyAlignment="1" applyProtection="1">
      <alignment horizontal="left" vertical="center"/>
      <protection locked="0"/>
    </xf>
    <xf numFmtId="172" fontId="92" fillId="0" borderId="153" xfId="0" applyNumberFormat="1" applyFont="1" applyFill="1" applyBorder="1" applyAlignment="1" applyProtection="1">
      <alignment horizontal="left" vertical="center"/>
      <protection locked="0"/>
    </xf>
    <xf numFmtId="172" fontId="92" fillId="0" borderId="164" xfId="0" applyNumberFormat="1" applyFont="1" applyFill="1" applyBorder="1" applyAlignment="1" applyProtection="1">
      <alignment horizontal="left" vertical="center"/>
      <protection locked="0"/>
    </xf>
    <xf numFmtId="172" fontId="92" fillId="0" borderId="143" xfId="0" applyNumberFormat="1" applyFont="1" applyFill="1" applyBorder="1" applyAlignment="1" applyProtection="1">
      <alignment horizontal="left" vertical="center"/>
      <protection locked="0"/>
    </xf>
    <xf numFmtId="176" fontId="30" fillId="22" borderId="29" xfId="0" applyNumberFormat="1" applyFont="1" applyFill="1" applyBorder="1" applyAlignment="1" applyProtection="1">
      <alignment horizontal="center"/>
      <protection hidden="1"/>
    </xf>
    <xf numFmtId="0" fontId="20" fillId="2" borderId="12" xfId="0" applyFont="1" applyFill="1" applyBorder="1" applyAlignment="1" applyProtection="1">
      <protection hidden="1"/>
    </xf>
    <xf numFmtId="0" fontId="22" fillId="2" borderId="0" xfId="0" applyFont="1" applyFill="1" applyAlignment="1" applyProtection="1">
      <alignment vertical="center"/>
    </xf>
    <xf numFmtId="0" fontId="22" fillId="2" borderId="283" xfId="0" applyFont="1" applyFill="1" applyBorder="1" applyAlignment="1" applyProtection="1">
      <alignment horizontal="center" vertical="center"/>
    </xf>
    <xf numFmtId="0" fontId="22" fillId="2" borderId="213" xfId="0" applyFont="1" applyFill="1" applyBorder="1" applyAlignment="1" applyProtection="1">
      <alignment vertical="center"/>
    </xf>
    <xf numFmtId="0" fontId="22" fillId="2" borderId="282" xfId="0" applyFont="1" applyFill="1" applyBorder="1" applyAlignment="1" applyProtection="1">
      <alignment vertical="center"/>
    </xf>
    <xf numFmtId="0" fontId="61" fillId="13" borderId="12" xfId="0" applyFont="1" applyFill="1" applyBorder="1" applyAlignment="1" applyProtection="1">
      <alignment horizontal="center"/>
      <protection hidden="1"/>
    </xf>
    <xf numFmtId="0" fontId="22" fillId="13" borderId="14" xfId="0" applyFont="1" applyFill="1" applyBorder="1" applyAlignment="1" applyProtection="1">
      <alignment horizontal="center"/>
      <protection hidden="1"/>
    </xf>
    <xf numFmtId="0" fontId="22" fillId="13" borderId="23" xfId="0" applyFont="1" applyFill="1" applyBorder="1" applyAlignment="1" applyProtection="1">
      <alignment horizontal="center"/>
      <protection hidden="1"/>
    </xf>
    <xf numFmtId="0" fontId="22" fillId="13" borderId="29" xfId="0" applyFont="1" applyFill="1" applyBorder="1" applyAlignment="1" applyProtection="1">
      <alignment horizontal="center"/>
      <protection hidden="1"/>
    </xf>
    <xf numFmtId="0" fontId="96" fillId="0" borderId="21" xfId="0" applyNumberFormat="1" applyFont="1" applyFill="1" applyBorder="1" applyAlignment="1" applyProtection="1">
      <alignment horizontal="left"/>
    </xf>
    <xf numFmtId="0" fontId="47" fillId="0" borderId="0" xfId="0" applyFont="1" applyFill="1" applyAlignment="1" applyProtection="1">
      <alignment horizontal="left" indent="4"/>
    </xf>
    <xf numFmtId="49" fontId="97" fillId="0" borderId="0" xfId="0" applyNumberFormat="1" applyFont="1" applyFill="1" applyBorder="1" applyAlignment="1" applyProtection="1">
      <alignment horizontal="center"/>
      <protection locked="0"/>
    </xf>
    <xf numFmtId="49" fontId="110" fillId="5" borderId="2" xfId="0" applyNumberFormat="1" applyFont="1" applyFill="1" applyBorder="1" applyAlignment="1" applyProtection="1">
      <alignment horizontal="center"/>
      <protection locked="0"/>
    </xf>
    <xf numFmtId="49" fontId="110" fillId="5" borderId="99" xfId="0" applyNumberFormat="1" applyFont="1" applyFill="1" applyBorder="1" applyAlignment="1" applyProtection="1">
      <alignment horizontal="center"/>
      <protection locked="0"/>
    </xf>
    <xf numFmtId="49" fontId="110" fillId="5" borderId="99" xfId="0" applyNumberFormat="1" applyFont="1" applyFill="1" applyBorder="1" applyAlignment="1" applyProtection="1">
      <alignment horizontal="right"/>
      <protection locked="0"/>
    </xf>
    <xf numFmtId="49" fontId="110" fillId="5" borderId="99" xfId="0" applyNumberFormat="1" applyFont="1" applyFill="1" applyBorder="1" applyAlignment="1" applyProtection="1">
      <alignment horizontal="left"/>
      <protection locked="0"/>
    </xf>
    <xf numFmtId="49" fontId="119" fillId="5" borderId="99" xfId="0" applyNumberFormat="1" applyFont="1" applyFill="1" applyBorder="1" applyAlignment="1" applyProtection="1">
      <alignment horizontal="center"/>
      <protection locked="0"/>
    </xf>
    <xf numFmtId="49" fontId="110" fillId="5" borderId="5" xfId="0" applyNumberFormat="1" applyFont="1" applyFill="1" applyBorder="1" applyAlignment="1" applyProtection="1">
      <alignment horizontal="left"/>
      <protection locked="0"/>
    </xf>
    <xf numFmtId="49" fontId="110" fillId="5" borderId="3" xfId="0" applyNumberFormat="1" applyFont="1" applyFill="1" applyBorder="1" applyAlignment="1" applyProtection="1">
      <alignment horizontal="center"/>
      <protection locked="0"/>
    </xf>
    <xf numFmtId="49" fontId="110" fillId="5" borderId="351" xfId="0" applyNumberFormat="1" applyFont="1" applyFill="1" applyBorder="1" applyAlignment="1" applyProtection="1">
      <alignment horizontal="center"/>
      <protection locked="0"/>
    </xf>
    <xf numFmtId="49" fontId="110" fillId="5" borderId="351" xfId="0" applyNumberFormat="1" applyFont="1" applyFill="1" applyBorder="1" applyAlignment="1" applyProtection="1">
      <alignment horizontal="right"/>
      <protection locked="0"/>
    </xf>
    <xf numFmtId="49" fontId="110" fillId="5" borderId="351" xfId="0" applyNumberFormat="1" applyFont="1" applyFill="1" applyBorder="1" applyAlignment="1" applyProtection="1">
      <alignment horizontal="left"/>
      <protection locked="0"/>
    </xf>
    <xf numFmtId="49" fontId="119" fillId="5" borderId="351" xfId="0" applyNumberFormat="1" applyFont="1" applyFill="1" applyBorder="1" applyAlignment="1" applyProtection="1">
      <alignment horizontal="center"/>
      <protection locked="0"/>
    </xf>
    <xf numFmtId="49" fontId="110" fillId="5" borderId="6" xfId="0" applyNumberFormat="1" applyFont="1" applyFill="1" applyBorder="1" applyAlignment="1" applyProtection="1">
      <alignment horizontal="left"/>
      <protection locked="0"/>
    </xf>
    <xf numFmtId="0" fontId="3" fillId="2" borderId="0" xfId="0" quotePrefix="1" applyFont="1" applyFill="1" applyProtection="1">
      <protection hidden="1"/>
    </xf>
    <xf numFmtId="0" fontId="49" fillId="0" borderId="60" xfId="0" applyFont="1" applyFill="1" applyBorder="1" applyAlignment="1" applyProtection="1">
      <alignment horizontal="center" vertical="center" wrapText="1"/>
    </xf>
    <xf numFmtId="0" fontId="49" fillId="0" borderId="322" xfId="0" applyFont="1" applyFill="1" applyBorder="1" applyAlignment="1" applyProtection="1">
      <alignment horizontal="center" vertical="center" wrapText="1"/>
    </xf>
    <xf numFmtId="0" fontId="4" fillId="2" borderId="200" xfId="0" applyFont="1" applyFill="1" applyBorder="1" applyProtection="1"/>
    <xf numFmtId="0" fontId="4" fillId="2" borderId="105" xfId="0" applyFont="1" applyFill="1" applyBorder="1" applyProtection="1"/>
    <xf numFmtId="0" fontId="115" fillId="2" borderId="105" xfId="0" applyFont="1" applyFill="1" applyBorder="1" applyAlignment="1" applyProtection="1">
      <alignment horizontal="center" vertical="center"/>
    </xf>
    <xf numFmtId="0" fontId="115" fillId="2" borderId="105" xfId="0" applyFont="1" applyFill="1" applyBorder="1" applyProtection="1"/>
    <xf numFmtId="0" fontId="9" fillId="2" borderId="105" xfId="0" applyFont="1" applyFill="1" applyBorder="1" applyAlignment="1" applyProtection="1">
      <alignment horizontal="center" vertical="center"/>
    </xf>
    <xf numFmtId="0" fontId="47" fillId="2" borderId="105" xfId="0" applyFont="1" applyFill="1" applyBorder="1" applyAlignment="1" applyProtection="1">
      <alignment horizontal="center"/>
    </xf>
    <xf numFmtId="3" fontId="41" fillId="2" borderId="105" xfId="0" applyNumberFormat="1" applyFont="1" applyFill="1" applyBorder="1" applyAlignment="1" applyProtection="1">
      <alignment horizontal="center"/>
    </xf>
    <xf numFmtId="0" fontId="30" fillId="2" borderId="105" xfId="0" applyFont="1" applyFill="1" applyBorder="1" applyProtection="1"/>
    <xf numFmtId="0" fontId="12" fillId="2" borderId="105" xfId="0" applyFont="1" applyFill="1" applyBorder="1" applyAlignment="1" applyProtection="1">
      <alignment horizontal="center" vertical="center"/>
    </xf>
    <xf numFmtId="0" fontId="22" fillId="2" borderId="105" xfId="0" applyFont="1" applyFill="1" applyBorder="1" applyAlignment="1" applyProtection="1">
      <alignment horizontal="right"/>
    </xf>
    <xf numFmtId="2" fontId="59" fillId="2" borderId="105" xfId="0" applyNumberFormat="1" applyFont="1" applyFill="1" applyBorder="1" applyProtection="1">
      <protection hidden="1"/>
    </xf>
    <xf numFmtId="0" fontId="50" fillId="0" borderId="15" xfId="0" applyFont="1" applyFill="1" applyBorder="1" applyAlignment="1" applyProtection="1"/>
    <xf numFmtId="172" fontId="92" fillId="0" borderId="140" xfId="0" applyNumberFormat="1" applyFont="1" applyFill="1" applyBorder="1" applyAlignment="1" applyProtection="1">
      <alignment horizontal="center" vertical="center"/>
      <protection locked="0"/>
    </xf>
    <xf numFmtId="172" fontId="92" fillId="0" borderId="142" xfId="0" applyNumberFormat="1" applyFont="1" applyFill="1" applyBorder="1" applyAlignment="1" applyProtection="1">
      <alignment horizontal="center" vertical="center"/>
      <protection locked="0"/>
    </xf>
    <xf numFmtId="172" fontId="92" fillId="0" borderId="170" xfId="0" applyNumberFormat="1" applyFont="1" applyFill="1" applyBorder="1" applyAlignment="1" applyProtection="1">
      <alignment horizontal="center" vertical="center"/>
      <protection locked="0"/>
    </xf>
    <xf numFmtId="172" fontId="92" fillId="0" borderId="101" xfId="0" applyNumberFormat="1" applyFont="1" applyFill="1" applyBorder="1" applyAlignment="1" applyProtection="1">
      <alignment horizontal="center" vertical="center"/>
      <protection locked="0"/>
    </xf>
    <xf numFmtId="172" fontId="92" fillId="0" borderId="158" xfId="0" applyNumberFormat="1" applyFont="1" applyFill="1" applyBorder="1" applyAlignment="1" applyProtection="1">
      <alignment horizontal="center" vertical="center"/>
      <protection locked="0"/>
    </xf>
    <xf numFmtId="172" fontId="92" fillId="0" borderId="171" xfId="0" applyNumberFormat="1" applyFont="1" applyFill="1" applyBorder="1" applyAlignment="1" applyProtection="1">
      <alignment horizontal="center" vertical="center"/>
      <protection locked="0"/>
    </xf>
    <xf numFmtId="172" fontId="92" fillId="0" borderId="172" xfId="0" applyNumberFormat="1" applyFont="1" applyFill="1" applyBorder="1" applyAlignment="1" applyProtection="1">
      <alignment horizontal="center" vertical="center"/>
      <protection locked="0"/>
    </xf>
    <xf numFmtId="0" fontId="91" fillId="7" borderId="180" xfId="0" applyNumberFormat="1" applyFont="1" applyFill="1" applyBorder="1" applyAlignment="1" applyProtection="1">
      <alignment horizontal="left"/>
    </xf>
    <xf numFmtId="0" fontId="91" fillId="7" borderId="181" xfId="0" applyNumberFormat="1" applyFont="1" applyFill="1" applyBorder="1" applyAlignment="1" applyProtection="1">
      <alignment horizontal="left"/>
    </xf>
    <xf numFmtId="0" fontId="91" fillId="7" borderId="150" xfId="0" applyNumberFormat="1" applyFont="1" applyFill="1" applyBorder="1" applyAlignment="1" applyProtection="1">
      <alignment horizontal="left"/>
    </xf>
    <xf numFmtId="0" fontId="91" fillId="7" borderId="2" xfId="0" applyNumberFormat="1" applyFont="1" applyFill="1" applyBorder="1" applyAlignment="1" applyProtection="1">
      <alignment horizontal="left"/>
    </xf>
    <xf numFmtId="0" fontId="91" fillId="7" borderId="99" xfId="0" applyNumberFormat="1" applyFont="1" applyFill="1" applyBorder="1" applyAlignment="1" applyProtection="1">
      <alignment horizontal="left"/>
    </xf>
    <xf numFmtId="0" fontId="91" fillId="7" borderId="158" xfId="0" applyNumberFormat="1" applyFont="1" applyFill="1" applyBorder="1" applyAlignment="1" applyProtection="1">
      <alignment horizontal="left"/>
    </xf>
    <xf numFmtId="0" fontId="91" fillId="7" borderId="189" xfId="0" applyNumberFormat="1" applyFont="1" applyFill="1" applyBorder="1" applyAlignment="1" applyProtection="1">
      <alignment horizontal="left"/>
    </xf>
    <xf numFmtId="0" fontId="91" fillId="7" borderId="172" xfId="0" applyNumberFormat="1" applyFont="1" applyFill="1" applyBorder="1" applyAlignment="1" applyProtection="1">
      <alignment horizontal="left"/>
    </xf>
    <xf numFmtId="0" fontId="91" fillId="7" borderId="148" xfId="0" applyNumberFormat="1" applyFont="1" applyFill="1" applyBorder="1" applyAlignment="1" applyProtection="1">
      <alignment horizontal="center"/>
    </xf>
    <xf numFmtId="0" fontId="91" fillId="7" borderId="157" xfId="0" applyNumberFormat="1" applyFont="1" applyFill="1" applyBorder="1" applyAlignment="1" applyProtection="1">
      <alignment horizontal="center"/>
    </xf>
    <xf numFmtId="0" fontId="91" fillId="7" borderId="169" xfId="0" applyNumberFormat="1" applyFont="1" applyFill="1" applyBorder="1" applyAlignment="1" applyProtection="1">
      <alignment horizontal="center"/>
    </xf>
    <xf numFmtId="184" fontId="105" fillId="7" borderId="175" xfId="0" applyNumberFormat="1" applyFont="1" applyFill="1" applyBorder="1" applyAlignment="1" applyProtection="1">
      <alignment horizontal="center" vertical="center"/>
      <protection hidden="1"/>
    </xf>
    <xf numFmtId="184" fontId="105" fillId="7" borderId="152" xfId="0" applyNumberFormat="1" applyFont="1" applyFill="1" applyBorder="1" applyAlignment="1" applyProtection="1">
      <alignment horizontal="center" vertical="center"/>
      <protection hidden="1"/>
    </xf>
    <xf numFmtId="166" fontId="105" fillId="7" borderId="175" xfId="0" applyNumberFormat="1" applyFont="1" applyFill="1" applyBorder="1" applyAlignment="1" applyProtection="1">
      <alignment horizontal="center"/>
    </xf>
    <xf numFmtId="166" fontId="105" fillId="7" borderId="176" xfId="0" applyNumberFormat="1" applyFont="1" applyFill="1" applyBorder="1" applyAlignment="1" applyProtection="1">
      <alignment horizontal="center"/>
    </xf>
    <xf numFmtId="184" fontId="105" fillId="7" borderId="161" xfId="0" applyNumberFormat="1" applyFont="1" applyFill="1" applyBorder="1" applyAlignment="1" applyProtection="1">
      <alignment horizontal="center" vertical="center"/>
      <protection hidden="1"/>
    </xf>
    <xf numFmtId="184" fontId="105" fillId="7" borderId="160" xfId="0" applyNumberFormat="1" applyFont="1" applyFill="1" applyBorder="1" applyAlignment="1" applyProtection="1">
      <alignment horizontal="center" vertical="center"/>
      <protection hidden="1"/>
    </xf>
    <xf numFmtId="166" fontId="105" fillId="7" borderId="161" xfId="0" applyNumberFormat="1" applyFont="1" applyFill="1" applyBorder="1" applyAlignment="1" applyProtection="1">
      <alignment horizontal="center"/>
    </xf>
    <xf numFmtId="166" fontId="105" fillId="7" borderId="182" xfId="0" applyNumberFormat="1" applyFont="1" applyFill="1" applyBorder="1" applyAlignment="1" applyProtection="1">
      <alignment horizontal="center"/>
    </xf>
    <xf numFmtId="184" fontId="105" fillId="7" borderId="162" xfId="0" applyNumberFormat="1" applyFont="1" applyFill="1" applyBorder="1" applyAlignment="1" applyProtection="1">
      <alignment horizontal="center" vertical="center"/>
      <protection hidden="1"/>
    </xf>
    <xf numFmtId="184" fontId="105" fillId="7" borderId="174" xfId="0" applyNumberFormat="1" applyFont="1" applyFill="1" applyBorder="1" applyAlignment="1" applyProtection="1">
      <alignment horizontal="center" vertical="center"/>
      <protection hidden="1"/>
    </xf>
    <xf numFmtId="166" fontId="105" fillId="7" borderId="162" xfId="0" applyNumberFormat="1" applyFont="1" applyFill="1" applyBorder="1" applyAlignment="1" applyProtection="1">
      <alignment horizontal="center"/>
    </xf>
    <xf numFmtId="166" fontId="105" fillId="7" borderId="184" xfId="0" applyNumberFormat="1" applyFont="1" applyFill="1" applyBorder="1" applyAlignment="1" applyProtection="1">
      <alignment horizontal="center"/>
    </xf>
    <xf numFmtId="0" fontId="92" fillId="0" borderId="120" xfId="0" applyNumberFormat="1" applyFont="1" applyFill="1" applyBorder="1" applyAlignment="1" applyProtection="1">
      <alignment horizontal="center" vertical="center"/>
      <protection locked="0"/>
    </xf>
    <xf numFmtId="0" fontId="92" fillId="0" borderId="99" xfId="0" applyNumberFormat="1" applyFont="1" applyFill="1" applyBorder="1" applyAlignment="1" applyProtection="1">
      <alignment horizontal="center" vertical="center"/>
      <protection locked="0"/>
    </xf>
    <xf numFmtId="0" fontId="92" fillId="0" borderId="100" xfId="0" applyNumberFormat="1" applyFont="1" applyFill="1" applyBorder="1" applyAlignment="1" applyProtection="1">
      <alignment horizontal="center" vertical="center"/>
      <protection locked="0"/>
    </xf>
    <xf numFmtId="0" fontId="92" fillId="0" borderId="102" xfId="0" applyNumberFormat="1" applyFont="1" applyFill="1" applyBorder="1" applyAlignment="1" applyProtection="1">
      <alignment horizontal="center" vertical="center"/>
      <protection locked="0"/>
    </xf>
    <xf numFmtId="0" fontId="92" fillId="0" borderId="101" xfId="0" applyNumberFormat="1" applyFont="1" applyFill="1" applyBorder="1" applyAlignment="1" applyProtection="1">
      <alignment horizontal="center" vertical="center"/>
      <protection locked="0"/>
    </xf>
    <xf numFmtId="171" fontId="92" fillId="0" borderId="100" xfId="0" applyNumberFormat="1" applyFont="1" applyFill="1" applyBorder="1" applyAlignment="1" applyProtection="1">
      <alignment horizontal="center" vertical="center"/>
      <protection locked="0"/>
    </xf>
    <xf numFmtId="181" fontId="92" fillId="0" borderId="300" xfId="0" applyNumberFormat="1" applyFont="1" applyFill="1" applyBorder="1" applyAlignment="1" applyProtection="1">
      <alignment horizontal="right" vertical="center"/>
      <protection locked="0"/>
    </xf>
    <xf numFmtId="171" fontId="92" fillId="0" borderId="153" xfId="0" applyNumberFormat="1" applyFont="1" applyFill="1" applyBorder="1" applyAlignment="1" applyProtection="1">
      <alignment horizontal="left" vertical="center"/>
      <protection locked="0"/>
    </xf>
    <xf numFmtId="184" fontId="92" fillId="0" borderId="101" xfId="0" applyNumberFormat="1" applyFont="1" applyFill="1" applyBorder="1" applyAlignment="1" applyProtection="1">
      <alignment horizontal="center" vertical="center"/>
      <protection locked="0"/>
    </xf>
    <xf numFmtId="184" fontId="92" fillId="0" borderId="99" xfId="0" applyNumberFormat="1" applyFont="1" applyFill="1" applyBorder="1" applyAlignment="1" applyProtection="1">
      <alignment horizontal="center" vertical="center"/>
      <protection locked="0"/>
    </xf>
    <xf numFmtId="184" fontId="92" fillId="0" borderId="102" xfId="0" applyNumberFormat="1" applyFont="1" applyFill="1" applyBorder="1" applyAlignment="1" applyProtection="1">
      <alignment horizontal="center" vertical="center"/>
      <protection locked="0"/>
    </xf>
    <xf numFmtId="0" fontId="92" fillId="0" borderId="154" xfId="0" applyNumberFormat="1" applyFont="1" applyFill="1" applyBorder="1" applyAlignment="1" applyProtection="1">
      <alignment horizontal="left" vertical="center"/>
      <protection locked="0"/>
    </xf>
    <xf numFmtId="0" fontId="92" fillId="0" borderId="121" xfId="0" applyNumberFormat="1" applyFont="1" applyFill="1" applyBorder="1" applyAlignment="1" applyProtection="1">
      <alignment horizontal="center" vertical="center"/>
      <protection locked="0"/>
    </xf>
    <xf numFmtId="0" fontId="92" fillId="0" borderId="116" xfId="0" applyNumberFormat="1" applyFont="1" applyFill="1" applyBorder="1" applyAlignment="1" applyProtection="1">
      <alignment horizontal="center" vertical="center"/>
      <protection locked="0"/>
    </xf>
    <xf numFmtId="0" fontId="92" fillId="0" borderId="321" xfId="0" applyNumberFormat="1" applyFont="1" applyFill="1" applyBorder="1" applyAlignment="1" applyProtection="1">
      <alignment horizontal="center" vertical="center"/>
      <protection locked="0"/>
    </xf>
    <xf numFmtId="0" fontId="92" fillId="0" borderId="117" xfId="0" applyNumberFormat="1" applyFont="1" applyFill="1" applyBorder="1" applyAlignment="1" applyProtection="1">
      <alignment horizontal="center" vertical="center"/>
      <protection locked="0"/>
    </xf>
    <xf numFmtId="171" fontId="92" fillId="0" borderId="117" xfId="0" applyNumberFormat="1" applyFont="1" applyFill="1" applyBorder="1" applyAlignment="1" applyProtection="1">
      <alignment horizontal="center" vertical="center"/>
      <protection locked="0"/>
    </xf>
    <xf numFmtId="0" fontId="92" fillId="0" borderId="315" xfId="0" applyNumberFormat="1" applyFont="1" applyFill="1" applyBorder="1" applyAlignment="1" applyProtection="1">
      <alignment horizontal="center" vertical="center"/>
      <protection locked="0"/>
    </xf>
    <xf numFmtId="171" fontId="92" fillId="0" borderId="321" xfId="0" applyNumberFormat="1" applyFont="1" applyFill="1" applyBorder="1" applyAlignment="1" applyProtection="1">
      <alignment horizontal="center" vertical="center"/>
      <protection locked="0"/>
    </xf>
    <xf numFmtId="181" fontId="92" fillId="0" borderId="302" xfId="0" applyNumberFormat="1" applyFont="1" applyFill="1" applyBorder="1" applyAlignment="1" applyProtection="1">
      <alignment horizontal="right" vertical="center"/>
      <protection locked="0"/>
    </xf>
    <xf numFmtId="171" fontId="92" fillId="0" borderId="301" xfId="0" applyNumberFormat="1" applyFont="1" applyFill="1" applyBorder="1" applyAlignment="1" applyProtection="1">
      <alignment horizontal="left" vertical="center"/>
      <protection locked="0"/>
    </xf>
    <xf numFmtId="184" fontId="92" fillId="0" borderId="315" xfId="0" applyNumberFormat="1" applyFont="1" applyFill="1" applyBorder="1" applyAlignment="1" applyProtection="1">
      <alignment horizontal="center" vertical="center"/>
      <protection locked="0"/>
    </xf>
    <xf numFmtId="184" fontId="92" fillId="0" borderId="116" xfId="0" applyNumberFormat="1" applyFont="1" applyFill="1" applyBorder="1" applyAlignment="1" applyProtection="1">
      <alignment horizontal="center" vertical="center"/>
      <protection locked="0"/>
    </xf>
    <xf numFmtId="184" fontId="92" fillId="0" borderId="117" xfId="0" applyNumberFormat="1" applyFont="1" applyFill="1" applyBorder="1" applyAlignment="1" applyProtection="1">
      <alignment horizontal="center" vertical="center"/>
      <protection locked="0"/>
    </xf>
    <xf numFmtId="0" fontId="92" fillId="0" borderId="305" xfId="0" applyNumberFormat="1" applyFont="1" applyFill="1" applyBorder="1" applyAlignment="1" applyProtection="1">
      <alignment horizontal="left" vertical="center"/>
      <protection locked="0"/>
    </xf>
    <xf numFmtId="0" fontId="92" fillId="0" borderId="319" xfId="0" applyNumberFormat="1" applyFont="1" applyFill="1" applyBorder="1" applyAlignment="1" applyProtection="1">
      <alignment horizontal="center" vertical="center"/>
      <protection locked="0"/>
    </xf>
    <xf numFmtId="0" fontId="92" fillId="0" borderId="119" xfId="0" applyNumberFormat="1" applyFont="1" applyFill="1" applyBorder="1" applyAlignment="1" applyProtection="1">
      <alignment horizontal="center" vertical="center"/>
      <protection locked="0"/>
    </xf>
    <xf numFmtId="0" fontId="92" fillId="0" borderId="317" xfId="0" applyNumberFormat="1" applyFont="1" applyFill="1" applyBorder="1" applyAlignment="1" applyProtection="1">
      <alignment horizontal="center" vertical="center"/>
      <protection locked="0"/>
    </xf>
    <xf numFmtId="0" fontId="92" fillId="0" borderId="320" xfId="0" applyNumberFormat="1" applyFont="1" applyFill="1" applyBorder="1" applyAlignment="1" applyProtection="1">
      <alignment horizontal="center" vertical="center"/>
      <protection locked="0"/>
    </xf>
    <xf numFmtId="171" fontId="92" fillId="0" borderId="320" xfId="0" applyNumberFormat="1" applyFont="1" applyFill="1" applyBorder="1" applyAlignment="1" applyProtection="1">
      <alignment horizontal="center" vertical="center"/>
      <protection locked="0"/>
    </xf>
    <xf numFmtId="0" fontId="92" fillId="0" borderId="318" xfId="0" applyNumberFormat="1" applyFont="1" applyFill="1" applyBorder="1" applyAlignment="1" applyProtection="1">
      <alignment horizontal="center" vertical="center"/>
      <protection locked="0"/>
    </xf>
    <xf numFmtId="171" fontId="92" fillId="0" borderId="317" xfId="0" applyNumberFormat="1" applyFont="1" applyFill="1" applyBorder="1" applyAlignment="1" applyProtection="1">
      <alignment horizontal="center" vertical="center"/>
      <protection locked="0"/>
    </xf>
    <xf numFmtId="181" fontId="92" fillId="0" borderId="326" xfId="0" applyNumberFormat="1" applyFont="1" applyFill="1" applyBorder="1" applyAlignment="1" applyProtection="1">
      <alignment horizontal="right" vertical="center"/>
      <protection locked="0"/>
    </xf>
    <xf numFmtId="171" fontId="92" fillId="0" borderId="327" xfId="0" applyNumberFormat="1" applyFont="1" applyFill="1" applyBorder="1" applyAlignment="1" applyProtection="1">
      <alignment horizontal="left" vertical="center"/>
      <protection locked="0"/>
    </xf>
    <xf numFmtId="184" fontId="92" fillId="0" borderId="318" xfId="0" applyNumberFormat="1" applyFont="1" applyFill="1" applyBorder="1" applyAlignment="1" applyProtection="1">
      <alignment horizontal="center" vertical="center"/>
      <protection locked="0"/>
    </xf>
    <xf numFmtId="184" fontId="92" fillId="0" borderId="119" xfId="0" applyNumberFormat="1" applyFont="1" applyFill="1" applyBorder="1" applyAlignment="1" applyProtection="1">
      <alignment horizontal="center" vertical="center"/>
      <protection locked="0"/>
    </xf>
    <xf numFmtId="184" fontId="92" fillId="0" borderId="317" xfId="0" applyNumberFormat="1" applyFont="1" applyFill="1" applyBorder="1" applyAlignment="1" applyProtection="1">
      <alignment horizontal="center" vertical="center"/>
      <protection locked="0"/>
    </xf>
    <xf numFmtId="0" fontId="92" fillId="0" borderId="325" xfId="0" applyNumberFormat="1" applyFont="1" applyFill="1" applyBorder="1" applyAlignment="1" applyProtection="1">
      <alignment horizontal="left" vertical="center"/>
      <protection locked="0"/>
    </xf>
    <xf numFmtId="184" fontId="92" fillId="0" borderId="100" xfId="0" applyNumberFormat="1" applyFont="1" applyFill="1" applyBorder="1" applyAlignment="1" applyProtection="1">
      <alignment horizontal="center" vertical="center"/>
      <protection locked="0"/>
    </xf>
    <xf numFmtId="184" fontId="92" fillId="0" borderId="321" xfId="0" applyNumberFormat="1" applyFont="1" applyFill="1" applyBorder="1" applyAlignment="1" applyProtection="1">
      <alignment horizontal="center" vertical="center"/>
      <protection locked="0"/>
    </xf>
    <xf numFmtId="49" fontId="93" fillId="0" borderId="316" xfId="0" applyNumberFormat="1" applyFont="1" applyFill="1" applyBorder="1" applyAlignment="1" applyProtection="1">
      <alignment horizontal="center" vertical="center"/>
      <protection locked="0"/>
    </xf>
    <xf numFmtId="1" fontId="93" fillId="0" borderId="216" xfId="0" applyNumberFormat="1" applyFont="1" applyFill="1" applyBorder="1" applyAlignment="1" applyProtection="1">
      <alignment horizontal="center" vertical="center"/>
      <protection locked="0"/>
    </xf>
    <xf numFmtId="1" fontId="93" fillId="0" borderId="213" xfId="0" applyNumberFormat="1" applyFont="1" applyFill="1" applyBorder="1" applyAlignment="1" applyProtection="1">
      <alignment horizontal="center" vertical="center"/>
      <protection locked="0"/>
    </xf>
    <xf numFmtId="1" fontId="93" fillId="0" borderId="282" xfId="0" applyNumberFormat="1" applyFont="1" applyFill="1" applyBorder="1" applyAlignment="1" applyProtection="1">
      <alignment horizontal="center" vertical="center"/>
      <protection locked="0"/>
    </xf>
    <xf numFmtId="49" fontId="93" fillId="0" borderId="154" xfId="0" applyNumberFormat="1" applyFont="1" applyFill="1" applyBorder="1" applyAlignment="1" applyProtection="1">
      <alignment horizontal="center" vertical="center"/>
      <protection locked="0"/>
    </xf>
    <xf numFmtId="1" fontId="93" fillId="0" borderId="101" xfId="0" applyNumberFormat="1" applyFont="1" applyFill="1" applyBorder="1" applyAlignment="1" applyProtection="1">
      <alignment horizontal="center" vertical="center"/>
      <protection locked="0"/>
    </xf>
    <xf numFmtId="1" fontId="93" fillId="0" borderId="99" xfId="0" applyNumberFormat="1" applyFont="1" applyFill="1" applyBorder="1" applyAlignment="1" applyProtection="1">
      <alignment horizontal="center" vertical="center"/>
      <protection locked="0"/>
    </xf>
    <xf numFmtId="1" fontId="93" fillId="0" borderId="102" xfId="0" applyNumberFormat="1" applyFont="1" applyFill="1" applyBorder="1" applyAlignment="1" applyProtection="1">
      <alignment horizontal="center" vertical="center"/>
      <protection locked="0"/>
    </xf>
    <xf numFmtId="49" fontId="93" fillId="0" borderId="305" xfId="0" applyNumberFormat="1" applyFont="1" applyFill="1" applyBorder="1" applyAlignment="1" applyProtection="1">
      <alignment horizontal="center" vertical="center"/>
      <protection locked="0"/>
    </xf>
    <xf numFmtId="1" fontId="93" fillId="0" borderId="315" xfId="0" applyNumberFormat="1" applyFont="1" applyFill="1" applyBorder="1" applyAlignment="1" applyProtection="1">
      <alignment horizontal="center" vertical="center"/>
      <protection locked="0"/>
    </xf>
    <xf numFmtId="1" fontId="93" fillId="0" borderId="116" xfId="0" applyNumberFormat="1" applyFont="1" applyFill="1" applyBorder="1" applyAlignment="1" applyProtection="1">
      <alignment horizontal="center" vertical="center"/>
      <protection locked="0"/>
    </xf>
    <xf numFmtId="1" fontId="93" fillId="0" borderId="117" xfId="0" applyNumberFormat="1" applyFont="1" applyFill="1" applyBorder="1" applyAlignment="1" applyProtection="1">
      <alignment horizontal="center" vertical="center"/>
      <protection locked="0"/>
    </xf>
    <xf numFmtId="49" fontId="93" fillId="0" borderId="60" xfId="0" applyNumberFormat="1" applyFont="1" applyFill="1" applyBorder="1" applyAlignment="1" applyProtection="1">
      <alignment horizontal="center" vertical="center"/>
      <protection locked="0"/>
    </xf>
    <xf numFmtId="49" fontId="93" fillId="0" borderId="79" xfId="0" applyNumberFormat="1" applyFont="1" applyFill="1" applyBorder="1" applyAlignment="1" applyProtection="1">
      <alignment horizontal="center" vertical="center"/>
      <protection locked="0"/>
    </xf>
    <xf numFmtId="49" fontId="93" fillId="0" borderId="61" xfId="0" applyNumberFormat="1" applyFont="1" applyFill="1" applyBorder="1" applyAlignment="1" applyProtection="1">
      <alignment horizontal="center" vertical="center"/>
      <protection locked="0"/>
    </xf>
    <xf numFmtId="49" fontId="92" fillId="0" borderId="283" xfId="0" applyNumberFormat="1" applyFont="1" applyFill="1" applyBorder="1" applyAlignment="1" applyProtection="1">
      <alignment horizontal="center" vertical="center"/>
      <protection locked="0"/>
    </xf>
    <xf numFmtId="49" fontId="92" fillId="0" borderId="213" xfId="0" applyNumberFormat="1" applyFont="1" applyFill="1" applyBorder="1" applyAlignment="1" applyProtection="1">
      <alignment horizontal="center" vertical="center"/>
      <protection locked="0"/>
    </xf>
    <xf numFmtId="49" fontId="92" fillId="23" borderId="214" xfId="0" applyNumberFormat="1" applyFont="1" applyFill="1" applyBorder="1" applyAlignment="1" applyProtection="1">
      <alignment horizontal="center" vertical="center"/>
      <protection locked="0"/>
    </xf>
    <xf numFmtId="1" fontId="92" fillId="0" borderId="283" xfId="0" applyNumberFormat="1" applyFont="1" applyFill="1" applyBorder="1" applyAlignment="1" applyProtection="1">
      <alignment horizontal="center" vertical="center"/>
      <protection locked="0"/>
    </xf>
    <xf numFmtId="186" fontId="92" fillId="0" borderId="214" xfId="0" applyNumberFormat="1" applyFont="1" applyFill="1" applyBorder="1" applyAlignment="1" applyProtection="1">
      <alignment horizontal="right" vertical="center"/>
      <protection locked="0"/>
    </xf>
    <xf numFmtId="184" fontId="92" fillId="0" borderId="337" xfId="0" applyNumberFormat="1" applyFont="1" applyFill="1" applyBorder="1" applyAlignment="1" applyProtection="1">
      <alignment horizontal="left" vertical="center"/>
      <protection locked="0"/>
    </xf>
    <xf numFmtId="49" fontId="92" fillId="0" borderId="316" xfId="0" applyNumberFormat="1" applyFont="1" applyFill="1" applyBorder="1" applyAlignment="1" applyProtection="1">
      <alignment horizontal="center" vertical="center"/>
      <protection locked="0"/>
    </xf>
    <xf numFmtId="49" fontId="89" fillId="0" borderId="316" xfId="0" applyNumberFormat="1" applyFont="1" applyFill="1" applyBorder="1" applyAlignment="1" applyProtection="1">
      <alignment horizontal="center" vertical="center"/>
      <protection locked="0"/>
    </xf>
    <xf numFmtId="49" fontId="92" fillId="0" borderId="120" xfId="0" applyNumberFormat="1" applyFont="1" applyFill="1" applyBorder="1" applyAlignment="1" applyProtection="1">
      <alignment horizontal="center" vertical="center"/>
      <protection locked="0"/>
    </xf>
    <xf numFmtId="49" fontId="92" fillId="0" borderId="99" xfId="0" applyNumberFormat="1" applyFont="1" applyFill="1" applyBorder="1" applyAlignment="1" applyProtection="1">
      <alignment horizontal="center" vertical="center"/>
      <protection locked="0"/>
    </xf>
    <xf numFmtId="49" fontId="92" fillId="23" borderId="100" xfId="0" applyNumberFormat="1" applyFont="1" applyFill="1" applyBorder="1" applyAlignment="1" applyProtection="1">
      <alignment horizontal="center" vertical="center"/>
      <protection locked="0"/>
    </xf>
    <xf numFmtId="1" fontId="92" fillId="0" borderId="120" xfId="0" applyNumberFormat="1" applyFont="1" applyFill="1" applyBorder="1" applyAlignment="1" applyProtection="1">
      <alignment horizontal="center" vertical="center"/>
      <protection locked="0"/>
    </xf>
    <xf numFmtId="186" fontId="92" fillId="0" borderId="100" xfId="0" applyNumberFormat="1" applyFont="1" applyFill="1" applyBorder="1" applyAlignment="1" applyProtection="1">
      <alignment horizontal="right" vertical="center"/>
      <protection locked="0"/>
    </xf>
    <xf numFmtId="184" fontId="92" fillId="0" borderId="153" xfId="0" applyNumberFormat="1" applyFont="1" applyFill="1" applyBorder="1" applyAlignment="1" applyProtection="1">
      <alignment horizontal="left" vertical="center"/>
      <protection locked="0"/>
    </xf>
    <xf numFmtId="49" fontId="92" fillId="0" borderId="154" xfId="0" applyNumberFormat="1" applyFont="1" applyFill="1" applyBorder="1" applyAlignment="1" applyProtection="1">
      <alignment horizontal="center" vertical="center"/>
      <protection locked="0"/>
    </xf>
    <xf numFmtId="49" fontId="89" fillId="0" borderId="154" xfId="0" applyNumberFormat="1" applyFont="1" applyFill="1" applyBorder="1" applyAlignment="1" applyProtection="1">
      <alignment horizontal="center" vertical="center"/>
      <protection locked="0"/>
    </xf>
    <xf numFmtId="49" fontId="92" fillId="0" borderId="154" xfId="2" applyNumberFormat="1" applyFont="1" applyFill="1" applyBorder="1" applyAlignment="1" applyProtection="1">
      <alignment horizontal="left" vertical="center"/>
      <protection locked="0"/>
    </xf>
    <xf numFmtId="49" fontId="92" fillId="0" borderId="121" xfId="0" applyNumberFormat="1" applyFont="1" applyFill="1" applyBorder="1" applyAlignment="1" applyProtection="1">
      <alignment horizontal="center" vertical="center"/>
      <protection locked="0"/>
    </xf>
    <xf numFmtId="49" fontId="92" fillId="0" borderId="116" xfId="0" applyNumberFormat="1" applyFont="1" applyFill="1" applyBorder="1" applyAlignment="1" applyProtection="1">
      <alignment horizontal="center" vertical="center"/>
      <protection locked="0"/>
    </xf>
    <xf numFmtId="49" fontId="92" fillId="23" borderId="321" xfId="0" applyNumberFormat="1" applyFont="1" applyFill="1" applyBorder="1" applyAlignment="1" applyProtection="1">
      <alignment horizontal="center" vertical="center"/>
      <protection locked="0"/>
    </xf>
    <xf numFmtId="1" fontId="92" fillId="0" borderId="121" xfId="0" applyNumberFormat="1" applyFont="1" applyFill="1" applyBorder="1" applyAlignment="1" applyProtection="1">
      <alignment horizontal="center" vertical="center"/>
      <protection locked="0"/>
    </xf>
    <xf numFmtId="186" fontId="92" fillId="0" borderId="321" xfId="0" applyNumberFormat="1" applyFont="1" applyFill="1" applyBorder="1" applyAlignment="1" applyProtection="1">
      <alignment horizontal="right" vertical="center"/>
      <protection locked="0"/>
    </xf>
    <xf numFmtId="184" fontId="92" fillId="0" borderId="301" xfId="0" applyNumberFormat="1" applyFont="1" applyFill="1" applyBorder="1" applyAlignment="1" applyProtection="1">
      <alignment horizontal="left" vertical="center"/>
      <protection locked="0"/>
    </xf>
    <xf numFmtId="49" fontId="92" fillId="0" borderId="305" xfId="0" applyNumberFormat="1" applyFont="1" applyFill="1" applyBorder="1" applyAlignment="1" applyProtection="1">
      <alignment horizontal="center" vertical="center"/>
      <protection locked="0"/>
    </xf>
    <xf numFmtId="0" fontId="20" fillId="2" borderId="0" xfId="0" applyFont="1" applyFill="1" applyAlignment="1" applyProtection="1">
      <alignment vertical="center"/>
    </xf>
    <xf numFmtId="0" fontId="20" fillId="2" borderId="0" xfId="0" applyFont="1" applyFill="1" applyProtection="1"/>
    <xf numFmtId="0" fontId="22" fillId="14" borderId="0" xfId="0" applyFont="1" applyFill="1" applyBorder="1" applyAlignment="1" applyProtection="1">
      <alignment horizontal="center"/>
    </xf>
    <xf numFmtId="49" fontId="30" fillId="2" borderId="0" xfId="0" applyNumberFormat="1" applyFont="1" applyFill="1" applyAlignment="1" applyProtection="1">
      <alignment vertical="center"/>
    </xf>
    <xf numFmtId="0" fontId="20" fillId="2" borderId="0" xfId="0" quotePrefix="1" applyFont="1" applyFill="1" applyProtection="1"/>
    <xf numFmtId="49" fontId="22" fillId="2" borderId="99" xfId="0" applyNumberFormat="1" applyFont="1" applyFill="1" applyBorder="1" applyProtection="1"/>
    <xf numFmtId="49" fontId="22" fillId="2" borderId="102" xfId="0" applyNumberFormat="1" applyFont="1" applyFill="1" applyBorder="1" applyProtection="1"/>
    <xf numFmtId="49" fontId="22" fillId="2" borderId="116" xfId="0" applyNumberFormat="1" applyFont="1" applyFill="1" applyBorder="1" applyProtection="1"/>
    <xf numFmtId="49" fontId="22" fillId="2" borderId="117" xfId="0" applyNumberFormat="1" applyFont="1" applyFill="1" applyBorder="1" applyProtection="1"/>
    <xf numFmtId="0" fontId="20" fillId="13" borderId="12" xfId="0" applyFont="1" applyFill="1" applyBorder="1" applyAlignment="1" applyProtection="1">
      <alignment horizontal="center"/>
    </xf>
    <xf numFmtId="0" fontId="30" fillId="2" borderId="0" xfId="0" applyNumberFormat="1" applyFont="1" applyFill="1" applyBorder="1" applyProtection="1"/>
    <xf numFmtId="0" fontId="30" fillId="2" borderId="0" xfId="0" applyNumberFormat="1" applyFont="1" applyFill="1" applyBorder="1" applyAlignment="1" applyProtection="1">
      <alignment horizontal="left"/>
    </xf>
    <xf numFmtId="0" fontId="30" fillId="2" borderId="0" xfId="0" applyNumberFormat="1" applyFont="1" applyFill="1" applyAlignment="1" applyProtection="1">
      <alignment horizontal="left"/>
    </xf>
    <xf numFmtId="0" fontId="20" fillId="22" borderId="0" xfId="0" applyFont="1" applyFill="1" applyProtection="1"/>
    <xf numFmtId="0" fontId="12" fillId="0" borderId="12" xfId="0" applyFont="1" applyFill="1" applyBorder="1" applyAlignment="1" applyProtection="1">
      <alignment horizontal="center" vertical="center"/>
    </xf>
    <xf numFmtId="0" fontId="96" fillId="0" borderId="21" xfId="0" applyNumberFormat="1" applyFont="1" applyFill="1" applyBorder="1" applyAlignment="1" applyProtection="1">
      <alignment horizontal="left"/>
    </xf>
    <xf numFmtId="49" fontId="12" fillId="0" borderId="0" xfId="0" applyNumberFormat="1" applyFont="1" applyFill="1" applyBorder="1" applyAlignment="1" applyProtection="1">
      <alignment horizontal="left" indent="4" shrinkToFit="1"/>
    </xf>
    <xf numFmtId="0" fontId="92" fillId="0" borderId="176" xfId="0" applyNumberFormat="1" applyFont="1" applyFill="1" applyBorder="1" applyAlignment="1" applyProtection="1">
      <alignment horizontal="center" vertical="center"/>
      <protection locked="0"/>
    </xf>
    <xf numFmtId="174" fontId="92" fillId="0" borderId="139" xfId="0" applyNumberFormat="1" applyFont="1" applyFill="1" applyBorder="1" applyAlignment="1" applyProtection="1">
      <alignment horizontal="right" vertical="center"/>
      <protection locked="0"/>
    </xf>
    <xf numFmtId="171" fontId="92" fillId="0" borderId="376" xfId="0" applyNumberFormat="1" applyFont="1" applyFill="1" applyBorder="1" applyAlignment="1" applyProtection="1">
      <alignment horizontal="left" vertical="center"/>
      <protection locked="0"/>
    </xf>
    <xf numFmtId="171" fontId="98" fillId="0" borderId="178" xfId="0" applyNumberFormat="1" applyFont="1" applyFill="1" applyBorder="1" applyAlignment="1" applyProtection="1">
      <alignment horizontal="center" vertical="center"/>
      <protection locked="0"/>
    </xf>
    <xf numFmtId="171" fontId="98" fillId="0" borderId="179" xfId="0" applyNumberFormat="1" applyFont="1" applyFill="1" applyBorder="1" applyAlignment="1" applyProtection="1">
      <alignment horizontal="center" vertical="center"/>
      <protection locked="0"/>
    </xf>
    <xf numFmtId="49" fontId="98" fillId="0" borderId="175" xfId="0" applyNumberFormat="1" applyFont="1" applyFill="1" applyBorder="1" applyAlignment="1" applyProtection="1">
      <alignment horizontal="left" vertical="center"/>
      <protection locked="0"/>
    </xf>
    <xf numFmtId="0" fontId="22" fillId="0" borderId="296" xfId="0" applyFont="1" applyFill="1" applyBorder="1" applyAlignment="1" applyProtection="1">
      <alignment horizontal="center" vertical="center" wrapText="1"/>
    </xf>
    <xf numFmtId="0" fontId="22" fillId="0" borderId="311" xfId="0" applyFont="1" applyFill="1" applyBorder="1" applyAlignment="1" applyProtection="1">
      <alignment horizontal="center" vertical="center"/>
    </xf>
    <xf numFmtId="0" fontId="29" fillId="0" borderId="378" xfId="0" applyFont="1" applyFill="1" applyBorder="1" applyAlignment="1" applyProtection="1">
      <alignment horizontal="center" vertical="center"/>
    </xf>
    <xf numFmtId="0" fontId="22" fillId="0" borderId="378" xfId="0" applyFont="1" applyBorder="1" applyAlignment="1" applyProtection="1">
      <alignment horizontal="center" vertical="center" wrapText="1"/>
      <protection hidden="1"/>
    </xf>
    <xf numFmtId="184" fontId="92" fillId="0" borderId="144" xfId="0" applyNumberFormat="1" applyFont="1" applyFill="1" applyBorder="1" applyAlignment="1" applyProtection="1">
      <alignment horizontal="center" vertical="center"/>
      <protection locked="0"/>
    </xf>
    <xf numFmtId="184" fontId="92" fillId="0" borderId="154" xfId="0" applyNumberFormat="1" applyFont="1" applyFill="1" applyBorder="1" applyAlignment="1" applyProtection="1">
      <alignment horizontal="center" vertical="center"/>
      <protection locked="0"/>
    </xf>
    <xf numFmtId="184" fontId="92" fillId="0" borderId="165" xfId="0" applyNumberFormat="1" applyFont="1" applyFill="1" applyBorder="1" applyAlignment="1" applyProtection="1">
      <alignment horizontal="center" vertical="center"/>
      <protection locked="0"/>
    </xf>
    <xf numFmtId="0" fontId="22" fillId="0" borderId="0" xfId="0" applyFont="1" applyFill="1" applyBorder="1" applyAlignment="1" applyProtection="1">
      <alignment horizontal="center" vertical="center" wrapText="1"/>
    </xf>
    <xf numFmtId="0" fontId="22" fillId="0" borderId="27" xfId="0" applyFont="1" applyBorder="1" applyAlignment="1" applyProtection="1">
      <alignment horizontal="center" vertical="center" wrapText="1"/>
      <protection hidden="1"/>
    </xf>
    <xf numFmtId="0" fontId="0" fillId="0" borderId="0" xfId="0" applyBorder="1" applyAlignment="1">
      <alignment wrapText="1"/>
    </xf>
    <xf numFmtId="0" fontId="0" fillId="12" borderId="0" xfId="0" applyFill="1" applyBorder="1" applyAlignment="1">
      <alignment horizontal="centerContinuous" wrapText="1"/>
    </xf>
    <xf numFmtId="0" fontId="0" fillId="12" borderId="115" xfId="0" applyFill="1" applyBorder="1" applyAlignment="1">
      <alignment horizontal="centerContinuous" wrapText="1"/>
    </xf>
    <xf numFmtId="184" fontId="98" fillId="0" borderId="175" xfId="0" applyNumberFormat="1" applyFont="1" applyFill="1" applyBorder="1" applyAlignment="1" applyProtection="1">
      <alignment horizontal="center" vertical="center"/>
      <protection locked="0"/>
    </xf>
    <xf numFmtId="184" fontId="98" fillId="0" borderId="144" xfId="0" applyNumberFormat="1" applyFont="1" applyFill="1" applyBorder="1" applyAlignment="1" applyProtection="1">
      <alignment horizontal="center" vertical="center"/>
      <protection locked="0"/>
    </xf>
    <xf numFmtId="171" fontId="98" fillId="0" borderId="152" xfId="0" applyNumberFormat="1" applyFont="1" applyFill="1" applyBorder="1" applyAlignment="1" applyProtection="1">
      <alignment horizontal="center" vertical="center"/>
      <protection locked="0"/>
    </xf>
    <xf numFmtId="184" fontId="98" fillId="0" borderId="161" xfId="0" applyNumberFormat="1" applyFont="1" applyFill="1" applyBorder="1" applyAlignment="1" applyProtection="1">
      <alignment horizontal="center" vertical="center"/>
      <protection locked="0"/>
    </xf>
    <xf numFmtId="184" fontId="98" fillId="0" borderId="154" xfId="0" applyNumberFormat="1" applyFont="1" applyFill="1" applyBorder="1" applyAlignment="1" applyProtection="1">
      <alignment horizontal="center" vertical="center"/>
      <protection locked="0"/>
    </xf>
    <xf numFmtId="171" fontId="98" fillId="0" borderId="160" xfId="0" applyNumberFormat="1" applyFont="1" applyFill="1" applyBorder="1" applyAlignment="1" applyProtection="1">
      <alignment horizontal="center" vertical="center"/>
      <protection locked="0"/>
    </xf>
    <xf numFmtId="184" fontId="98" fillId="0" borderId="162" xfId="0" applyNumberFormat="1" applyFont="1" applyFill="1" applyBorder="1" applyAlignment="1" applyProtection="1">
      <alignment horizontal="center" vertical="center"/>
      <protection locked="0"/>
    </xf>
    <xf numFmtId="184" fontId="98" fillId="0" borderId="165" xfId="0" applyNumberFormat="1" applyFont="1" applyFill="1" applyBorder="1" applyAlignment="1" applyProtection="1">
      <alignment horizontal="center" vertical="center"/>
      <protection locked="0"/>
    </xf>
    <xf numFmtId="171" fontId="98" fillId="0" borderId="174" xfId="0" applyNumberFormat="1" applyFont="1" applyFill="1" applyBorder="1" applyAlignment="1" applyProtection="1">
      <alignment horizontal="center" vertical="center"/>
      <protection locked="0"/>
    </xf>
    <xf numFmtId="2" fontId="98" fillId="0" borderId="144" xfId="0" applyNumberFormat="1" applyFont="1" applyFill="1" applyBorder="1" applyAlignment="1" applyProtection="1">
      <alignment horizontal="center" vertical="center"/>
      <protection locked="0"/>
    </xf>
    <xf numFmtId="166" fontId="98" fillId="0" borderId="144" xfId="0" applyNumberFormat="1" applyFont="1" applyFill="1" applyBorder="1" applyAlignment="1" applyProtection="1">
      <alignment horizontal="center" vertical="center"/>
      <protection locked="0"/>
    </xf>
    <xf numFmtId="2" fontId="98" fillId="0" borderId="154" xfId="0" applyNumberFormat="1" applyFont="1" applyFill="1" applyBorder="1" applyAlignment="1" applyProtection="1">
      <alignment horizontal="center" vertical="center"/>
      <protection locked="0"/>
    </xf>
    <xf numFmtId="166" fontId="98" fillId="0" borderId="154" xfId="0" applyNumberFormat="1" applyFont="1" applyFill="1" applyBorder="1" applyAlignment="1" applyProtection="1">
      <alignment horizontal="center" vertical="center"/>
      <protection locked="0"/>
    </xf>
    <xf numFmtId="2" fontId="98" fillId="0" borderId="165" xfId="0" applyNumberFormat="1" applyFont="1" applyFill="1" applyBorder="1" applyAlignment="1" applyProtection="1">
      <alignment horizontal="center" vertical="center"/>
      <protection locked="0"/>
    </xf>
    <xf numFmtId="166" fontId="98" fillId="0" borderId="165" xfId="0" applyNumberFormat="1" applyFont="1" applyFill="1" applyBorder="1" applyAlignment="1" applyProtection="1">
      <alignment horizontal="center" vertical="center"/>
      <protection locked="0"/>
    </xf>
    <xf numFmtId="2" fontId="98" fillId="0" borderId="147" xfId="0" applyNumberFormat="1" applyFont="1" applyFill="1" applyBorder="1" applyAlignment="1" applyProtection="1">
      <alignment horizontal="center" vertical="center"/>
      <protection locked="0"/>
    </xf>
    <xf numFmtId="2" fontId="98" fillId="0" borderId="156" xfId="0" applyNumberFormat="1" applyFont="1" applyFill="1" applyBorder="1" applyAlignment="1" applyProtection="1">
      <alignment horizontal="center" vertical="center"/>
      <protection locked="0"/>
    </xf>
    <xf numFmtId="2" fontId="98" fillId="0" borderId="168" xfId="0" applyNumberFormat="1" applyFont="1" applyFill="1" applyBorder="1" applyAlignment="1" applyProtection="1">
      <alignment horizontal="center" vertical="center"/>
      <protection locked="0"/>
    </xf>
    <xf numFmtId="0" fontId="4" fillId="12" borderId="0" xfId="0" applyFont="1" applyFill="1" applyProtection="1">
      <protection hidden="1"/>
    </xf>
    <xf numFmtId="184" fontId="92" fillId="0" borderId="399" xfId="0" applyNumberFormat="1" applyFont="1" applyFill="1" applyBorder="1" applyAlignment="1" applyProtection="1">
      <alignment horizontal="center" vertical="center"/>
      <protection locked="0"/>
    </xf>
    <xf numFmtId="184" fontId="92" fillId="0" borderId="400" xfId="0" applyNumberFormat="1" applyFont="1" applyFill="1" applyBorder="1" applyAlignment="1" applyProtection="1">
      <alignment horizontal="center" vertical="center"/>
      <protection locked="0"/>
    </xf>
    <xf numFmtId="171" fontId="92" fillId="0" borderId="401" xfId="0" applyNumberFormat="1" applyFont="1" applyFill="1" applyBorder="1" applyAlignment="1" applyProtection="1">
      <alignment horizontal="center" vertical="center"/>
      <protection locked="0"/>
    </xf>
    <xf numFmtId="0" fontId="29" fillId="0" borderId="136" xfId="0" applyFont="1" applyFill="1" applyBorder="1" applyAlignment="1" applyProtection="1">
      <alignment horizontal="center"/>
      <protection hidden="1"/>
    </xf>
    <xf numFmtId="0" fontId="29" fillId="0" borderId="137" xfId="0" applyFont="1" applyBorder="1" applyAlignment="1" applyProtection="1">
      <alignment horizontal="center"/>
      <protection hidden="1"/>
    </xf>
    <xf numFmtId="184" fontId="91" fillId="7" borderId="175" xfId="0" applyNumberFormat="1" applyFont="1" applyFill="1" applyBorder="1" applyAlignment="1" applyProtection="1">
      <alignment horizontal="center" vertical="center"/>
    </xf>
    <xf numFmtId="184" fontId="91" fillId="7" borderId="152" xfId="0" applyNumberFormat="1" applyFont="1" applyFill="1" applyBorder="1" applyAlignment="1" applyProtection="1">
      <alignment horizontal="center" vertical="center"/>
    </xf>
    <xf numFmtId="166" fontId="123" fillId="7" borderId="175" xfId="0" applyNumberFormat="1" applyFont="1" applyFill="1" applyBorder="1" applyAlignment="1" applyProtection="1">
      <alignment horizontal="center"/>
    </xf>
    <xf numFmtId="166" fontId="123" fillId="7" borderId="176" xfId="0" applyNumberFormat="1" applyFont="1" applyFill="1" applyBorder="1" applyAlignment="1" applyProtection="1">
      <alignment horizontal="center"/>
    </xf>
    <xf numFmtId="184" fontId="91" fillId="7" borderId="161" xfId="0" applyNumberFormat="1" applyFont="1" applyFill="1" applyBorder="1" applyAlignment="1" applyProtection="1">
      <alignment horizontal="center" vertical="center"/>
    </xf>
    <xf numFmtId="184" fontId="91" fillId="7" borderId="160" xfId="0" applyNumberFormat="1" applyFont="1" applyFill="1" applyBorder="1" applyAlignment="1" applyProtection="1">
      <alignment horizontal="center" vertical="center"/>
    </xf>
    <xf numFmtId="166" fontId="123" fillId="7" borderId="161" xfId="0" applyNumberFormat="1" applyFont="1" applyFill="1" applyBorder="1" applyAlignment="1" applyProtection="1">
      <alignment horizontal="center"/>
    </xf>
    <xf numFmtId="166" fontId="123" fillId="7" borderId="182" xfId="0" applyNumberFormat="1" applyFont="1" applyFill="1" applyBorder="1" applyAlignment="1" applyProtection="1">
      <alignment horizontal="center"/>
    </xf>
    <xf numFmtId="184" fontId="124" fillId="7" borderId="161" xfId="0" applyNumberFormat="1" applyFont="1" applyFill="1" applyBorder="1" applyAlignment="1" applyProtection="1">
      <alignment horizontal="center" vertical="center"/>
    </xf>
    <xf numFmtId="184" fontId="124" fillId="7" borderId="160" xfId="0" applyNumberFormat="1" applyFont="1" applyFill="1" applyBorder="1" applyAlignment="1" applyProtection="1">
      <alignment horizontal="center" vertical="center"/>
    </xf>
    <xf numFmtId="184" fontId="91" fillId="7" borderId="162" xfId="0" applyNumberFormat="1" applyFont="1" applyFill="1" applyBorder="1" applyAlignment="1" applyProtection="1">
      <alignment horizontal="center" vertical="center"/>
    </xf>
    <xf numFmtId="184" fontId="91" fillId="7" borderId="174" xfId="0" applyNumberFormat="1" applyFont="1" applyFill="1" applyBorder="1" applyAlignment="1" applyProtection="1">
      <alignment horizontal="center" vertical="center"/>
    </xf>
    <xf numFmtId="166" fontId="123" fillId="7" borderId="162" xfId="0" applyNumberFormat="1" applyFont="1" applyFill="1" applyBorder="1" applyAlignment="1" applyProtection="1">
      <alignment horizontal="center"/>
    </xf>
    <xf numFmtId="166" fontId="123" fillId="7" borderId="184" xfId="0" applyNumberFormat="1" applyFont="1" applyFill="1" applyBorder="1" applyAlignment="1" applyProtection="1">
      <alignment horizontal="center"/>
    </xf>
    <xf numFmtId="0" fontId="0" fillId="0" borderId="0" xfId="0" applyBorder="1" applyAlignment="1">
      <alignment wrapText="1"/>
    </xf>
    <xf numFmtId="1" fontId="98" fillId="0" borderId="147" xfId="0" applyNumberFormat="1" applyFont="1" applyFill="1" applyBorder="1" applyAlignment="1" applyProtection="1">
      <alignment horizontal="center" vertical="center"/>
      <protection locked="0"/>
    </xf>
    <xf numFmtId="171" fontId="98" fillId="0" borderId="147" xfId="0" applyNumberFormat="1" applyFont="1" applyFill="1" applyBorder="1" applyAlignment="1" applyProtection="1">
      <alignment horizontal="center" vertical="center"/>
      <protection locked="0"/>
    </xf>
    <xf numFmtId="1" fontId="98" fillId="0" borderId="156" xfId="0" applyNumberFormat="1" applyFont="1" applyFill="1" applyBorder="1" applyAlignment="1" applyProtection="1">
      <alignment horizontal="center" vertical="center"/>
      <protection locked="0"/>
    </xf>
    <xf numFmtId="171" fontId="98" fillId="0" borderId="156" xfId="0" applyNumberFormat="1" applyFont="1" applyFill="1" applyBorder="1" applyAlignment="1" applyProtection="1">
      <alignment horizontal="center" vertical="center"/>
      <protection locked="0"/>
    </xf>
    <xf numFmtId="1" fontId="98" fillId="0" borderId="168" xfId="0" applyNumberFormat="1" applyFont="1" applyFill="1" applyBorder="1" applyAlignment="1" applyProtection="1">
      <alignment horizontal="center" vertical="center"/>
      <protection locked="0"/>
    </xf>
    <xf numFmtId="171" fontId="98" fillId="0" borderId="168" xfId="0" applyNumberFormat="1" applyFont="1" applyFill="1" applyBorder="1" applyAlignment="1" applyProtection="1">
      <alignment horizontal="center" vertical="center"/>
      <protection locked="0"/>
    </xf>
    <xf numFmtId="0" fontId="29" fillId="0" borderId="134" xfId="0" applyFont="1" applyBorder="1" applyAlignment="1" applyProtection="1">
      <alignment horizontal="center"/>
      <protection hidden="1"/>
    </xf>
    <xf numFmtId="0" fontId="29" fillId="0" borderId="108" xfId="0" applyFont="1" applyBorder="1" applyAlignment="1" applyProtection="1">
      <alignment horizontal="center"/>
      <protection hidden="1"/>
    </xf>
    <xf numFmtId="172" fontId="98" fillId="0" borderId="149" xfId="0" applyNumberFormat="1" applyFont="1" applyFill="1" applyBorder="1" applyAlignment="1" applyProtection="1">
      <alignment horizontal="center" vertical="center"/>
      <protection locked="0"/>
    </xf>
    <xf numFmtId="172" fontId="98" fillId="0" borderId="150" xfId="0" applyNumberFormat="1" applyFont="1" applyFill="1" applyBorder="1" applyAlignment="1" applyProtection="1">
      <alignment horizontal="center" vertical="center"/>
      <protection locked="0"/>
    </xf>
    <xf numFmtId="172" fontId="98" fillId="0" borderId="101" xfId="0" applyNumberFormat="1" applyFont="1" applyFill="1" applyBorder="1" applyAlignment="1" applyProtection="1">
      <alignment horizontal="center" vertical="center"/>
      <protection locked="0"/>
    </xf>
    <xf numFmtId="172" fontId="98" fillId="0" borderId="158" xfId="0" applyNumberFormat="1" applyFont="1" applyFill="1" applyBorder="1" applyAlignment="1" applyProtection="1">
      <alignment horizontal="center" vertical="center"/>
      <protection locked="0"/>
    </xf>
    <xf numFmtId="172" fontId="98" fillId="0" borderId="171" xfId="0" applyNumberFormat="1" applyFont="1" applyFill="1" applyBorder="1" applyAlignment="1" applyProtection="1">
      <alignment horizontal="center" vertical="center"/>
      <protection locked="0"/>
    </xf>
    <xf numFmtId="172" fontId="98" fillId="0" borderId="172" xfId="0" applyNumberFormat="1" applyFont="1" applyFill="1" applyBorder="1" applyAlignment="1" applyProtection="1">
      <alignment horizontal="center" vertical="center"/>
      <protection locked="0"/>
    </xf>
    <xf numFmtId="172" fontId="98" fillId="0" borderId="140" xfId="0" applyNumberFormat="1" applyFont="1" applyFill="1" applyBorder="1" applyAlignment="1" applyProtection="1">
      <alignment horizontal="center" vertical="center"/>
      <protection locked="0"/>
    </xf>
    <xf numFmtId="172" fontId="98" fillId="0" borderId="142" xfId="0" applyNumberFormat="1" applyFont="1" applyFill="1" applyBorder="1" applyAlignment="1" applyProtection="1">
      <alignment horizontal="center" vertical="center"/>
      <protection locked="0"/>
    </xf>
    <xf numFmtId="172" fontId="98" fillId="0" borderId="170" xfId="0" applyNumberFormat="1" applyFont="1" applyFill="1" applyBorder="1" applyAlignment="1" applyProtection="1">
      <alignment horizontal="center" vertical="center"/>
      <protection locked="0"/>
    </xf>
    <xf numFmtId="184" fontId="92" fillId="0" borderId="402" xfId="0" applyNumberFormat="1" applyFont="1" applyFill="1" applyBorder="1" applyAlignment="1" applyProtection="1">
      <alignment horizontal="center" vertical="center"/>
      <protection locked="0"/>
    </xf>
    <xf numFmtId="184" fontId="92" fillId="0" borderId="403" xfId="0" applyNumberFormat="1" applyFont="1" applyFill="1" applyBorder="1" applyAlignment="1" applyProtection="1">
      <alignment horizontal="center" vertical="center"/>
      <protection locked="0"/>
    </xf>
    <xf numFmtId="171" fontId="92" fillId="0" borderId="404" xfId="0" applyNumberFormat="1" applyFont="1" applyFill="1" applyBorder="1" applyAlignment="1" applyProtection="1">
      <alignment horizontal="center" vertical="center"/>
      <protection locked="0"/>
    </xf>
    <xf numFmtId="2" fontId="98" fillId="0" borderId="152" xfId="0" applyNumberFormat="1" applyFont="1" applyFill="1" applyBorder="1" applyAlignment="1" applyProtection="1">
      <alignment horizontal="center" vertical="center"/>
      <protection locked="0"/>
    </xf>
    <xf numFmtId="2" fontId="98" fillId="0" borderId="160" xfId="0" applyNumberFormat="1" applyFont="1" applyFill="1" applyBorder="1" applyAlignment="1" applyProtection="1">
      <alignment horizontal="center" vertical="center"/>
      <protection locked="0"/>
    </xf>
    <xf numFmtId="2" fontId="98" fillId="0" borderId="174" xfId="0" applyNumberFormat="1" applyFont="1" applyFill="1" applyBorder="1" applyAlignment="1" applyProtection="1">
      <alignment horizontal="center" vertical="center"/>
      <protection locked="0"/>
    </xf>
    <xf numFmtId="0" fontId="22" fillId="7" borderId="12" xfId="0" applyFont="1" applyFill="1" applyBorder="1" applyAlignment="1" applyProtection="1">
      <alignment horizontal="center"/>
    </xf>
    <xf numFmtId="0" fontId="22" fillId="11" borderId="12" xfId="0" applyFont="1" applyFill="1" applyBorder="1" applyAlignment="1" applyProtection="1">
      <alignment horizontal="center" vertical="center"/>
    </xf>
    <xf numFmtId="0" fontId="22" fillId="11" borderId="12" xfId="0" applyFont="1" applyFill="1" applyBorder="1" applyAlignment="1" applyProtection="1">
      <alignment horizontal="center"/>
    </xf>
    <xf numFmtId="0" fontId="126" fillId="0" borderId="0" xfId="0" applyFont="1" applyFill="1" applyBorder="1" applyAlignment="1" applyProtection="1">
      <alignment horizontal="center" vertical="center"/>
      <protection hidden="1"/>
    </xf>
    <xf numFmtId="0" fontId="126" fillId="0" borderId="0" xfId="0" applyFont="1" applyFill="1" applyAlignment="1" applyProtection="1">
      <alignment horizontal="center" vertical="center"/>
    </xf>
    <xf numFmtId="0" fontId="126" fillId="0" borderId="0" xfId="0" applyFont="1" applyFill="1" applyAlignment="1" applyProtection="1">
      <alignment horizontal="center" vertical="center"/>
      <protection hidden="1"/>
    </xf>
    <xf numFmtId="0" fontId="106" fillId="0" borderId="0" xfId="0" applyFont="1" applyFill="1" applyProtection="1">
      <protection hidden="1"/>
    </xf>
    <xf numFmtId="0" fontId="126" fillId="0" borderId="0" xfId="0" applyFont="1" applyFill="1" applyBorder="1" applyAlignment="1" applyProtection="1">
      <alignment horizontal="center" vertical="center"/>
    </xf>
    <xf numFmtId="2" fontId="92" fillId="0" borderId="377" xfId="0" applyNumberFormat="1" applyFont="1" applyFill="1" applyBorder="1" applyAlignment="1" applyProtection="1">
      <alignment horizontal="center" vertical="center"/>
      <protection locked="0"/>
    </xf>
    <xf numFmtId="2" fontId="92" fillId="0" borderId="153" xfId="0" applyNumberFormat="1" applyFont="1" applyFill="1" applyBorder="1" applyAlignment="1" applyProtection="1">
      <alignment horizontal="center" vertical="center"/>
      <protection locked="0"/>
    </xf>
    <xf numFmtId="2" fontId="92" fillId="0" borderId="164" xfId="0" applyNumberFormat="1" applyFont="1" applyFill="1" applyBorder="1" applyAlignment="1" applyProtection="1">
      <alignment horizontal="center" vertical="center"/>
      <protection locked="0"/>
    </xf>
    <xf numFmtId="0" fontId="50" fillId="0" borderId="0" xfId="0" applyFont="1" applyFill="1" applyAlignment="1" applyProtection="1">
      <alignment horizontal="right"/>
    </xf>
    <xf numFmtId="0" fontId="4" fillId="11" borderId="148" xfId="0" applyFont="1" applyFill="1" applyBorder="1" applyProtection="1">
      <protection hidden="1"/>
    </xf>
    <xf numFmtId="0" fontId="91" fillId="7" borderId="180" xfId="0" applyNumberFormat="1" applyFont="1" applyFill="1" applyBorder="1" applyAlignment="1" applyProtection="1">
      <alignment horizontal="left" vertical="center"/>
    </xf>
    <xf numFmtId="0" fontId="4" fillId="11" borderId="157" xfId="0" applyFont="1" applyFill="1" applyBorder="1" applyProtection="1">
      <protection hidden="1"/>
    </xf>
    <xf numFmtId="0" fontId="91" fillId="7" borderId="2" xfId="0" applyNumberFormat="1" applyFont="1" applyFill="1" applyBorder="1" applyAlignment="1" applyProtection="1">
      <alignment horizontal="left" vertical="center"/>
    </xf>
    <xf numFmtId="0" fontId="4" fillId="11" borderId="169" xfId="0" applyFont="1" applyFill="1" applyBorder="1" applyProtection="1">
      <protection hidden="1"/>
    </xf>
    <xf numFmtId="0" fontId="91" fillId="7" borderId="405" xfId="0" applyNumberFormat="1" applyFont="1" applyFill="1" applyBorder="1" applyAlignment="1" applyProtection="1">
      <alignment horizontal="left" vertical="center"/>
    </xf>
    <xf numFmtId="0" fontId="91" fillId="7" borderId="405" xfId="0" applyNumberFormat="1" applyFont="1" applyFill="1" applyBorder="1" applyAlignment="1" applyProtection="1">
      <alignment horizontal="left"/>
    </xf>
    <xf numFmtId="0" fontId="12" fillId="2" borderId="0" xfId="0" applyFont="1" applyFill="1" applyBorder="1" applyAlignment="1" applyProtection="1">
      <alignment horizontal="center" vertical="center"/>
    </xf>
    <xf numFmtId="2" fontId="30" fillId="2" borderId="41" xfId="0" applyNumberFormat="1" applyFont="1" applyFill="1" applyBorder="1" applyProtection="1"/>
    <xf numFmtId="177" fontId="30" fillId="2" borderId="41" xfId="0" applyNumberFormat="1" applyFont="1" applyFill="1" applyBorder="1" applyProtection="1"/>
    <xf numFmtId="2" fontId="30" fillId="2" borderId="29" xfId="0" applyNumberFormat="1" applyFont="1" applyFill="1" applyBorder="1" applyProtection="1"/>
    <xf numFmtId="181" fontId="98" fillId="0" borderId="141" xfId="0" applyNumberFormat="1" applyFont="1" applyBorder="1" applyAlignment="1" applyProtection="1">
      <alignment horizontal="right" vertical="center"/>
    </xf>
    <xf numFmtId="2" fontId="50" fillId="2" borderId="41" xfId="0" applyNumberFormat="1" applyFont="1" applyFill="1" applyBorder="1" applyProtection="1"/>
    <xf numFmtId="177" fontId="50" fillId="2" borderId="41" xfId="0" applyNumberFormat="1" applyFont="1" applyFill="1" applyBorder="1" applyProtection="1"/>
    <xf numFmtId="184" fontId="98" fillId="0" borderId="155" xfId="0" applyNumberFormat="1" applyFont="1" applyBorder="1" applyAlignment="1" applyProtection="1">
      <alignment horizontal="left" vertical="center"/>
    </xf>
    <xf numFmtId="2" fontId="50" fillId="2" borderId="29" xfId="0" applyNumberFormat="1" applyFont="1" applyFill="1" applyBorder="1" applyProtection="1"/>
    <xf numFmtId="49" fontId="92" fillId="14" borderId="0" xfId="0" applyNumberFormat="1" applyFont="1" applyFill="1" applyBorder="1" applyAlignment="1" applyProtection="1">
      <alignment horizontal="left"/>
    </xf>
    <xf numFmtId="49" fontId="92" fillId="14" borderId="0" xfId="2" applyNumberFormat="1" applyFont="1" applyFill="1" applyBorder="1" applyAlignment="1" applyProtection="1">
      <alignment horizontal="left"/>
    </xf>
    <xf numFmtId="181" fontId="92" fillId="0" borderId="141" xfId="0" applyNumberFormat="1" applyFont="1" applyBorder="1" applyAlignment="1" applyProtection="1">
      <alignment horizontal="right"/>
    </xf>
    <xf numFmtId="184" fontId="92" fillId="0" borderId="155" xfId="0" applyNumberFormat="1" applyFont="1" applyBorder="1" applyAlignment="1" applyProtection="1">
      <alignment horizontal="left"/>
    </xf>
    <xf numFmtId="171" fontId="29" fillId="6" borderId="25" xfId="0" applyNumberFormat="1" applyFont="1" applyFill="1" applyBorder="1" applyAlignment="1" applyProtection="1">
      <alignment horizontal="center"/>
    </xf>
    <xf numFmtId="171" fontId="22" fillId="6" borderId="67" xfId="0" applyNumberFormat="1" applyFont="1" applyFill="1" applyBorder="1" applyAlignment="1" applyProtection="1">
      <alignment horizontal="center"/>
    </xf>
    <xf numFmtId="171" fontId="22" fillId="6" borderId="14" xfId="0" applyNumberFormat="1" applyFont="1" applyFill="1" applyBorder="1" applyAlignment="1" applyProtection="1">
      <alignment horizontal="center"/>
    </xf>
    <xf numFmtId="173" fontId="22" fillId="6" borderId="14" xfId="0" applyNumberFormat="1" applyFont="1" applyFill="1" applyBorder="1" applyAlignment="1" applyProtection="1">
      <alignment horizontal="center"/>
    </xf>
    <xf numFmtId="172" fontId="22" fillId="6" borderId="14" xfId="0" applyNumberFormat="1" applyFont="1" applyFill="1" applyBorder="1" applyAlignment="1" applyProtection="1">
      <alignment horizontal="center"/>
    </xf>
    <xf numFmtId="171" fontId="29" fillId="6" borderId="18" xfId="0" applyNumberFormat="1" applyFont="1" applyFill="1" applyBorder="1" applyAlignment="1" applyProtection="1">
      <alignment horizontal="center"/>
    </xf>
    <xf numFmtId="171" fontId="29" fillId="6" borderId="124" xfId="0" applyNumberFormat="1" applyFont="1" applyFill="1" applyBorder="1" applyAlignment="1" applyProtection="1">
      <alignment horizontal="center"/>
    </xf>
    <xf numFmtId="171" fontId="22" fillId="6" borderId="21" xfId="0" applyNumberFormat="1" applyFont="1" applyFill="1" applyBorder="1" applyAlignment="1" applyProtection="1">
      <alignment horizontal="center"/>
    </xf>
    <xf numFmtId="171" fontId="22" fillId="6" borderId="12" xfId="0" applyNumberFormat="1" applyFont="1" applyFill="1" applyBorder="1" applyAlignment="1" applyProtection="1">
      <alignment horizontal="center"/>
    </xf>
    <xf numFmtId="173" fontId="22" fillId="6" borderId="12" xfId="0" applyNumberFormat="1" applyFont="1" applyFill="1" applyBorder="1" applyAlignment="1" applyProtection="1">
      <alignment horizontal="center"/>
    </xf>
    <xf numFmtId="172" fontId="22" fillId="6" borderId="12" xfId="0" applyNumberFormat="1" applyFont="1" applyFill="1" applyBorder="1" applyAlignment="1" applyProtection="1">
      <alignment horizontal="center"/>
    </xf>
    <xf numFmtId="171" fontId="29" fillId="6" borderId="20" xfId="0" applyNumberFormat="1" applyFont="1" applyFill="1" applyBorder="1" applyAlignment="1" applyProtection="1">
      <alignment horizontal="center"/>
    </xf>
    <xf numFmtId="171" fontId="74" fillId="2" borderId="25" xfId="0" applyNumberFormat="1" applyFont="1" applyFill="1" applyBorder="1" applyAlignment="1" applyProtection="1">
      <alignment horizontal="center"/>
    </xf>
    <xf numFmtId="171" fontId="85" fillId="2" borderId="67" xfId="0" applyNumberFormat="1" applyFont="1" applyFill="1" applyBorder="1" applyAlignment="1" applyProtection="1">
      <alignment horizontal="center"/>
    </xf>
    <xf numFmtId="171" fontId="85" fillId="2" borderId="14" xfId="0" applyNumberFormat="1" applyFont="1" applyFill="1" applyBorder="1" applyAlignment="1" applyProtection="1">
      <alignment horizontal="center"/>
    </xf>
    <xf numFmtId="173" fontId="85" fillId="2" borderId="14" xfId="0" applyNumberFormat="1" applyFont="1" applyFill="1" applyBorder="1" applyAlignment="1" applyProtection="1">
      <alignment horizontal="center"/>
    </xf>
    <xf numFmtId="171" fontId="74" fillId="2" borderId="18" xfId="0" applyNumberFormat="1" applyFont="1" applyFill="1" applyBorder="1" applyAlignment="1" applyProtection="1">
      <alignment horizontal="center"/>
    </xf>
    <xf numFmtId="171" fontId="74" fillId="2" borderId="124" xfId="0" applyNumberFormat="1" applyFont="1" applyFill="1" applyBorder="1" applyAlignment="1" applyProtection="1">
      <alignment horizontal="center"/>
    </xf>
    <xf numFmtId="171" fontId="85" fillId="2" borderId="12" xfId="0" applyNumberFormat="1" applyFont="1" applyFill="1" applyBorder="1" applyAlignment="1" applyProtection="1">
      <alignment horizontal="center"/>
    </xf>
    <xf numFmtId="173" fontId="85" fillId="2" borderId="12" xfId="0" applyNumberFormat="1" applyFont="1" applyFill="1" applyBorder="1" applyAlignment="1" applyProtection="1">
      <alignment horizontal="center"/>
    </xf>
    <xf numFmtId="171" fontId="74" fillId="2" borderId="20" xfId="0" applyNumberFormat="1" applyFont="1" applyFill="1" applyBorder="1" applyAlignment="1" applyProtection="1">
      <alignment horizontal="center"/>
    </xf>
    <xf numFmtId="171" fontId="74" fillId="2" borderId="126" xfId="0" applyNumberFormat="1" applyFont="1" applyFill="1" applyBorder="1" applyAlignment="1" applyProtection="1">
      <alignment horizontal="center"/>
    </xf>
    <xf numFmtId="171" fontId="85" fillId="2" borderId="23" xfId="0" applyNumberFormat="1" applyFont="1" applyFill="1" applyBorder="1" applyAlignment="1" applyProtection="1">
      <alignment horizontal="center"/>
    </xf>
    <xf numFmtId="173" fontId="85" fillId="2" borderId="23" xfId="0" applyNumberFormat="1" applyFont="1" applyFill="1" applyBorder="1" applyAlignment="1" applyProtection="1">
      <alignment horizontal="center"/>
    </xf>
    <xf numFmtId="171" fontId="74" fillId="2" borderId="24" xfId="0" applyNumberFormat="1" applyFont="1" applyFill="1" applyBorder="1" applyAlignment="1" applyProtection="1">
      <alignment horizontal="center"/>
    </xf>
    <xf numFmtId="171" fontId="29" fillId="6" borderId="126" xfId="0" applyNumberFormat="1" applyFont="1" applyFill="1" applyBorder="1" applyAlignment="1" applyProtection="1">
      <alignment horizontal="center"/>
    </xf>
    <xf numFmtId="171" fontId="22" fillId="6" borderId="23" xfId="0" applyNumberFormat="1" applyFont="1" applyFill="1" applyBorder="1" applyAlignment="1" applyProtection="1">
      <alignment horizontal="center"/>
    </xf>
    <xf numFmtId="173" fontId="22" fillId="6" borderId="23" xfId="0" applyNumberFormat="1" applyFont="1" applyFill="1" applyBorder="1" applyAlignment="1" applyProtection="1">
      <alignment horizontal="center"/>
    </xf>
    <xf numFmtId="172" fontId="22" fillId="6" borderId="23" xfId="0" applyNumberFormat="1" applyFont="1" applyFill="1" applyBorder="1" applyAlignment="1" applyProtection="1">
      <alignment horizontal="center"/>
    </xf>
    <xf numFmtId="171" fontId="29" fillId="6" borderId="24" xfId="0" applyNumberFormat="1" applyFont="1" applyFill="1" applyBorder="1" applyAlignment="1" applyProtection="1">
      <alignment horizontal="center"/>
    </xf>
    <xf numFmtId="187" fontId="92" fillId="0" borderId="99" xfId="0" applyNumberFormat="1" applyFont="1" applyFill="1" applyBorder="1" applyAlignment="1" applyProtection="1">
      <alignment horizontal="center" vertical="center"/>
    </xf>
    <xf numFmtId="187" fontId="92" fillId="0" borderId="99" xfId="0" applyNumberFormat="1" applyFont="1" applyFill="1" applyBorder="1" applyAlignment="1" applyProtection="1">
      <alignment horizontal="center"/>
    </xf>
    <xf numFmtId="188" fontId="92" fillId="0" borderId="119" xfId="0" applyNumberFormat="1" applyFont="1" applyFill="1" applyBorder="1" applyAlignment="1" applyProtection="1">
      <alignment horizontal="center" vertical="center"/>
      <protection locked="0"/>
    </xf>
    <xf numFmtId="188" fontId="92" fillId="0" borderId="99" xfId="0" applyNumberFormat="1" applyFont="1" applyFill="1" applyBorder="1" applyAlignment="1" applyProtection="1">
      <alignment horizontal="center" vertical="center"/>
      <protection locked="0"/>
    </xf>
    <xf numFmtId="188" fontId="92" fillId="0" borderId="116" xfId="0" applyNumberFormat="1" applyFont="1" applyFill="1" applyBorder="1" applyAlignment="1" applyProtection="1">
      <alignment horizontal="center" vertical="center"/>
      <protection locked="0"/>
    </xf>
    <xf numFmtId="188" fontId="92" fillId="0" borderId="144" xfId="0" applyNumberFormat="1" applyFont="1" applyFill="1" applyBorder="1" applyAlignment="1" applyProtection="1">
      <alignment horizontal="center" vertical="center"/>
      <protection locked="0"/>
    </xf>
    <xf numFmtId="188" fontId="92" fillId="0" borderId="154" xfId="0" applyNumberFormat="1" applyFont="1" applyFill="1" applyBorder="1" applyAlignment="1" applyProtection="1">
      <alignment horizontal="center" vertical="center"/>
      <protection locked="0"/>
    </xf>
    <xf numFmtId="188" fontId="92" fillId="0" borderId="165" xfId="0" applyNumberFormat="1" applyFont="1" applyFill="1" applyBorder="1" applyAlignment="1" applyProtection="1">
      <alignment horizontal="center" vertical="center"/>
      <protection locked="0"/>
    </xf>
    <xf numFmtId="0" fontId="92" fillId="0" borderId="319" xfId="0" applyNumberFormat="1" applyFont="1" applyFill="1" applyBorder="1" applyAlignment="1" applyProtection="1">
      <alignment horizontal="center" vertical="center"/>
    </xf>
    <xf numFmtId="188" fontId="92" fillId="0" borderId="119" xfId="0" applyNumberFormat="1" applyFont="1" applyFill="1" applyBorder="1" applyAlignment="1" applyProtection="1">
      <alignment horizontal="center" vertical="center"/>
    </xf>
    <xf numFmtId="0" fontId="92" fillId="0" borderId="119" xfId="0" applyNumberFormat="1" applyFont="1" applyFill="1" applyBorder="1" applyAlignment="1" applyProtection="1">
      <alignment horizontal="center" vertical="center"/>
    </xf>
    <xf numFmtId="186" fontId="98" fillId="0" borderId="317" xfId="0" applyNumberFormat="1" applyFont="1" applyFill="1" applyBorder="1" applyAlignment="1" applyProtection="1">
      <alignment horizontal="right" vertical="center"/>
    </xf>
    <xf numFmtId="170" fontId="98" fillId="0" borderId="323" xfId="0" applyNumberFormat="1" applyFont="1" applyFill="1" applyBorder="1" applyAlignment="1" applyProtection="1">
      <alignment horizontal="left" vertical="center"/>
    </xf>
    <xf numFmtId="170" fontId="98" fillId="0" borderId="325" xfId="0" applyNumberFormat="1" applyFont="1" applyFill="1" applyBorder="1" applyAlignment="1" applyProtection="1">
      <alignment horizontal="center" vertical="center"/>
    </xf>
    <xf numFmtId="186" fontId="98" fillId="0" borderId="323" xfId="0" applyNumberFormat="1" applyFont="1" applyFill="1" applyBorder="1" applyAlignment="1" applyProtection="1">
      <alignment horizontal="right" vertical="center"/>
    </xf>
    <xf numFmtId="170" fontId="98" fillId="0" borderId="318" xfId="0" applyNumberFormat="1" applyFont="1" applyFill="1" applyBorder="1" applyAlignment="1" applyProtection="1">
      <alignment horizontal="left" vertical="center"/>
    </xf>
    <xf numFmtId="0" fontId="98" fillId="0" borderId="119" xfId="0" applyNumberFormat="1" applyFont="1" applyFill="1" applyBorder="1" applyAlignment="1" applyProtection="1">
      <alignment horizontal="center" vertical="center"/>
    </xf>
    <xf numFmtId="0" fontId="98" fillId="0" borderId="317" xfId="0" applyNumberFormat="1" applyFont="1" applyFill="1" applyBorder="1" applyAlignment="1" applyProtection="1">
      <alignment horizontal="center" vertical="center"/>
    </xf>
    <xf numFmtId="170" fontId="98" fillId="0" borderId="319" xfId="0" applyNumberFormat="1" applyFont="1" applyFill="1" applyBorder="1" applyAlignment="1" applyProtection="1">
      <alignment horizontal="center" vertical="center"/>
    </xf>
    <xf numFmtId="170" fontId="98" fillId="0" borderId="320" xfId="0" applyNumberFormat="1" applyFont="1" applyFill="1" applyBorder="1" applyAlignment="1" applyProtection="1">
      <alignment horizontal="center" vertical="center"/>
    </xf>
    <xf numFmtId="186" fontId="98" fillId="0" borderId="326" xfId="0" applyNumberFormat="1" applyFont="1" applyFill="1" applyBorder="1" applyAlignment="1" applyProtection="1">
      <alignment horizontal="right" vertical="center"/>
    </xf>
    <xf numFmtId="167" fontId="98" fillId="0" borderId="318" xfId="0" applyNumberFormat="1" applyFont="1" applyFill="1" applyBorder="1" applyAlignment="1" applyProtection="1">
      <alignment horizontal="center" vertical="center"/>
    </xf>
    <xf numFmtId="167" fontId="98" fillId="0" borderId="317" xfId="0" applyNumberFormat="1" applyFont="1" applyFill="1" applyBorder="1" applyAlignment="1" applyProtection="1">
      <alignment horizontal="center" vertical="center"/>
    </xf>
    <xf numFmtId="49" fontId="98" fillId="0" borderId="119" xfId="0" applyNumberFormat="1" applyFont="1" applyFill="1" applyBorder="1" applyAlignment="1" applyProtection="1">
      <alignment horizontal="left" vertical="center"/>
    </xf>
    <xf numFmtId="1" fontId="98" fillId="0" borderId="320" xfId="0" applyNumberFormat="1" applyFont="1" applyBorder="1" applyAlignment="1" applyProtection="1">
      <alignment horizontal="center" vertical="center"/>
    </xf>
    <xf numFmtId="188" fontId="92" fillId="0" borderId="99" xfId="0" applyNumberFormat="1" applyFont="1" applyFill="1" applyBorder="1" applyAlignment="1" applyProtection="1">
      <alignment horizontal="center" vertical="center"/>
    </xf>
    <xf numFmtId="49" fontId="98" fillId="0" borderId="99" xfId="0" applyNumberFormat="1" applyFont="1" applyFill="1" applyBorder="1" applyAlignment="1" applyProtection="1">
      <alignment horizontal="left" vertical="center"/>
    </xf>
    <xf numFmtId="0" fontId="92" fillId="0" borderId="121" xfId="0" applyNumberFormat="1" applyFont="1" applyFill="1" applyBorder="1" applyAlignment="1" applyProtection="1">
      <alignment horizontal="center" vertical="center"/>
    </xf>
    <xf numFmtId="188" fontId="92" fillId="0" borderId="116" xfId="0" applyNumberFormat="1" applyFont="1" applyFill="1" applyBorder="1" applyAlignment="1" applyProtection="1">
      <alignment horizontal="center" vertical="center"/>
    </xf>
    <xf numFmtId="0" fontId="92" fillId="0" borderId="116" xfId="0" applyNumberFormat="1" applyFont="1" applyFill="1" applyBorder="1" applyAlignment="1" applyProtection="1">
      <alignment horizontal="center" vertical="center"/>
    </xf>
    <xf numFmtId="186" fontId="98" fillId="0" borderId="321" xfId="0" applyNumberFormat="1" applyFont="1" applyFill="1" applyBorder="1" applyAlignment="1" applyProtection="1">
      <alignment horizontal="right" vertical="center"/>
    </xf>
    <xf numFmtId="170" fontId="98" fillId="0" borderId="324" xfId="0" applyNumberFormat="1" applyFont="1" applyFill="1" applyBorder="1" applyAlignment="1" applyProtection="1">
      <alignment horizontal="left" vertical="center"/>
    </xf>
    <xf numFmtId="170" fontId="98" fillId="0" borderId="305" xfId="0" applyNumberFormat="1" applyFont="1" applyFill="1" applyBorder="1" applyAlignment="1" applyProtection="1">
      <alignment horizontal="center" vertical="center"/>
    </xf>
    <xf numFmtId="186" fontId="98" fillId="0" borderId="324" xfId="0" applyNumberFormat="1" applyFont="1" applyFill="1" applyBorder="1" applyAlignment="1" applyProtection="1">
      <alignment horizontal="right" vertical="center"/>
    </xf>
    <xf numFmtId="170" fontId="98" fillId="0" borderId="315" xfId="0" applyNumberFormat="1" applyFont="1" applyFill="1" applyBorder="1" applyAlignment="1" applyProtection="1">
      <alignment horizontal="left" vertical="center"/>
    </xf>
    <xf numFmtId="0" fontId="98" fillId="0" borderId="116" xfId="0" applyNumberFormat="1" applyFont="1" applyFill="1" applyBorder="1" applyAlignment="1" applyProtection="1">
      <alignment horizontal="center" vertical="center"/>
    </xf>
    <xf numFmtId="0" fontId="98" fillId="0" borderId="321" xfId="0" applyNumberFormat="1" applyFont="1" applyFill="1" applyBorder="1" applyAlignment="1" applyProtection="1">
      <alignment horizontal="center" vertical="center"/>
    </xf>
    <xf numFmtId="170" fontId="98" fillId="0" borderId="121" xfId="0" applyNumberFormat="1" applyFont="1" applyFill="1" applyBorder="1" applyAlignment="1" applyProtection="1">
      <alignment horizontal="center" vertical="center"/>
    </xf>
    <xf numFmtId="170" fontId="98" fillId="0" borderId="117" xfId="0" applyNumberFormat="1" applyFont="1" applyFill="1" applyBorder="1" applyAlignment="1" applyProtection="1">
      <alignment horizontal="center" vertical="center"/>
    </xf>
    <xf numFmtId="186" fontId="98" fillId="0" borderId="302" xfId="0" applyNumberFormat="1" applyFont="1" applyFill="1" applyBorder="1" applyAlignment="1" applyProtection="1">
      <alignment horizontal="right" vertical="center"/>
    </xf>
    <xf numFmtId="167" fontId="98" fillId="0" borderId="315" xfId="0" applyNumberFormat="1" applyFont="1" applyFill="1" applyBorder="1" applyAlignment="1" applyProtection="1">
      <alignment horizontal="center" vertical="center"/>
    </xf>
    <xf numFmtId="167" fontId="98" fillId="0" borderId="321" xfId="0" applyNumberFormat="1" applyFont="1" applyFill="1" applyBorder="1" applyAlignment="1" applyProtection="1">
      <alignment horizontal="center" vertical="center"/>
    </xf>
    <xf numFmtId="49" fontId="98" fillId="0" borderId="116" xfId="0" applyNumberFormat="1" applyFont="1" applyFill="1" applyBorder="1" applyAlignment="1" applyProtection="1">
      <alignment horizontal="left" vertical="center"/>
    </xf>
    <xf numFmtId="1" fontId="98" fillId="0" borderId="117" xfId="0" applyNumberFormat="1" applyFont="1" applyBorder="1" applyAlignment="1" applyProtection="1">
      <alignment horizontal="center" vertical="center"/>
    </xf>
    <xf numFmtId="0" fontId="92" fillId="0" borderId="283" xfId="0" applyNumberFormat="1" applyFont="1" applyFill="1" applyBorder="1" applyAlignment="1" applyProtection="1">
      <alignment horizontal="center" vertical="center"/>
    </xf>
    <xf numFmtId="0" fontId="98" fillId="0" borderId="213" xfId="0" applyNumberFormat="1" applyFont="1" applyFill="1" applyBorder="1" applyAlignment="1" applyProtection="1">
      <alignment horizontal="center" vertical="center"/>
    </xf>
    <xf numFmtId="186" fontId="98" fillId="0" borderId="214" xfId="0" applyNumberFormat="1" applyFont="1" applyFill="1" applyBorder="1" applyAlignment="1" applyProtection="1">
      <alignment horizontal="right" vertical="center"/>
    </xf>
    <xf numFmtId="170" fontId="98" fillId="0" borderId="216" xfId="0" applyNumberFormat="1" applyFont="1" applyFill="1" applyBorder="1" applyAlignment="1" applyProtection="1">
      <alignment horizontal="left" vertical="center"/>
    </xf>
    <xf numFmtId="166" fontId="98" fillId="0" borderId="214" xfId="0" applyNumberFormat="1" applyFont="1" applyFill="1" applyBorder="1" applyAlignment="1" applyProtection="1">
      <alignment horizontal="center" vertical="center"/>
    </xf>
    <xf numFmtId="0" fontId="98" fillId="0" borderId="334" xfId="0" applyNumberFormat="1" applyFont="1" applyFill="1" applyBorder="1" applyAlignment="1" applyProtection="1">
      <alignment horizontal="center" vertical="center"/>
    </xf>
    <xf numFmtId="170" fontId="98" fillId="0" borderId="213" xfId="0" applyNumberFormat="1" applyFont="1" applyFill="1" applyBorder="1" applyAlignment="1" applyProtection="1">
      <alignment horizontal="center" vertical="center"/>
    </xf>
    <xf numFmtId="170" fontId="98" fillId="0" borderId="214" xfId="0" applyNumberFormat="1" applyFont="1" applyFill="1" applyBorder="1" applyAlignment="1" applyProtection="1">
      <alignment horizontal="center" vertical="center"/>
    </xf>
    <xf numFmtId="170" fontId="98" fillId="0" borderId="283" xfId="0" applyNumberFormat="1" applyFont="1" applyFill="1" applyBorder="1" applyAlignment="1" applyProtection="1">
      <alignment horizontal="center" vertical="center"/>
    </xf>
    <xf numFmtId="170" fontId="98" fillId="0" borderId="335" xfId="0" applyNumberFormat="1" applyFont="1" applyFill="1" applyBorder="1" applyAlignment="1" applyProtection="1">
      <alignment horizontal="center" vertical="center"/>
    </xf>
    <xf numFmtId="186" fontId="98" fillId="0" borderId="215" xfId="0" applyNumberFormat="1" applyFont="1" applyFill="1" applyBorder="1" applyAlignment="1" applyProtection="1">
      <alignment horizontal="right" vertical="center"/>
    </xf>
    <xf numFmtId="166" fontId="98" fillId="0" borderId="213" xfId="0" applyNumberFormat="1" applyFont="1" applyFill="1" applyBorder="1" applyAlignment="1" applyProtection="1">
      <alignment horizontal="center" vertical="center"/>
    </xf>
    <xf numFmtId="0" fontId="98" fillId="0" borderId="320" xfId="0" applyNumberFormat="1" applyFont="1" applyFill="1" applyBorder="1" applyAlignment="1" applyProtection="1">
      <alignment horizontal="center" vertical="center"/>
    </xf>
    <xf numFmtId="0" fontId="98" fillId="0" borderId="282" xfId="0" applyNumberFormat="1" applyFont="1" applyFill="1" applyBorder="1" applyAlignment="1" applyProtection="1">
      <alignment horizontal="center" vertical="center"/>
    </xf>
    <xf numFmtId="166" fontId="98" fillId="0" borderId="100" xfId="0" applyNumberFormat="1" applyFont="1" applyFill="1" applyBorder="1" applyAlignment="1" applyProtection="1">
      <alignment horizontal="center" vertical="center"/>
    </xf>
    <xf numFmtId="0" fontId="98" fillId="0" borderId="330" xfId="0" applyNumberFormat="1" applyFont="1" applyFill="1" applyBorder="1" applyAlignment="1" applyProtection="1">
      <alignment horizontal="center" vertical="center"/>
    </xf>
    <xf numFmtId="170" fontId="98" fillId="0" borderId="99" xfId="0" applyNumberFormat="1" applyFont="1" applyFill="1" applyBorder="1" applyAlignment="1" applyProtection="1">
      <alignment horizontal="center" vertical="center"/>
    </xf>
    <xf numFmtId="170" fontId="98" fillId="0" borderId="100" xfId="0" applyNumberFormat="1" applyFont="1" applyFill="1" applyBorder="1" applyAlignment="1" applyProtection="1">
      <alignment horizontal="center" vertical="center"/>
    </xf>
    <xf numFmtId="170" fontId="98" fillId="0" borderId="331" xfId="0" applyNumberFormat="1" applyFont="1" applyFill="1" applyBorder="1" applyAlignment="1" applyProtection="1">
      <alignment horizontal="center" vertical="center"/>
    </xf>
    <xf numFmtId="166" fontId="98" fillId="0" borderId="99" xfId="0" applyNumberFormat="1" applyFont="1" applyFill="1" applyBorder="1" applyAlignment="1" applyProtection="1">
      <alignment horizontal="center" vertical="center"/>
    </xf>
    <xf numFmtId="0" fontId="98" fillId="0" borderId="102" xfId="0" applyNumberFormat="1" applyFont="1" applyFill="1" applyBorder="1" applyAlignment="1" applyProtection="1">
      <alignment horizontal="center" vertical="center"/>
    </xf>
    <xf numFmtId="166" fontId="98" fillId="0" borderId="321" xfId="0" applyNumberFormat="1" applyFont="1" applyFill="1" applyBorder="1" applyAlignment="1" applyProtection="1">
      <alignment horizontal="center" vertical="center"/>
    </xf>
    <xf numFmtId="0" fontId="98" fillId="0" borderId="332" xfId="0" applyNumberFormat="1" applyFont="1" applyFill="1" applyBorder="1" applyAlignment="1" applyProtection="1">
      <alignment horizontal="center" vertical="center"/>
    </xf>
    <xf numFmtId="170" fontId="98" fillId="0" borderId="116" xfId="0" applyNumberFormat="1" applyFont="1" applyFill="1" applyBorder="1" applyAlignment="1" applyProtection="1">
      <alignment horizontal="center" vertical="center"/>
    </xf>
    <xf numFmtId="170" fontId="98" fillId="0" borderId="321" xfId="0" applyNumberFormat="1" applyFont="1" applyFill="1" applyBorder="1" applyAlignment="1" applyProtection="1">
      <alignment horizontal="center" vertical="center"/>
    </xf>
    <xf numFmtId="170" fontId="98" fillId="0" borderId="333" xfId="0" applyNumberFormat="1" applyFont="1" applyFill="1" applyBorder="1" applyAlignment="1" applyProtection="1">
      <alignment horizontal="center" vertical="center"/>
    </xf>
    <xf numFmtId="166" fontId="98" fillId="0" borderId="116" xfId="0" applyNumberFormat="1" applyFont="1" applyFill="1" applyBorder="1" applyAlignment="1" applyProtection="1">
      <alignment horizontal="center" vertical="center"/>
    </xf>
    <xf numFmtId="0" fontId="98" fillId="0" borderId="117" xfId="0" applyNumberFormat="1" applyFont="1" applyFill="1" applyBorder="1" applyAlignment="1" applyProtection="1">
      <alignment horizontal="center" vertical="center"/>
    </xf>
    <xf numFmtId="188" fontId="92" fillId="0" borderId="213" xfId="0" applyNumberFormat="1" applyFont="1" applyFill="1" applyBorder="1" applyAlignment="1" applyProtection="1">
      <alignment horizontal="center" vertical="center"/>
    </xf>
    <xf numFmtId="0" fontId="92" fillId="0" borderId="213" xfId="0" applyNumberFormat="1" applyFont="1" applyFill="1" applyBorder="1" applyAlignment="1" applyProtection="1">
      <alignment horizontal="center" vertical="center"/>
    </xf>
    <xf numFmtId="170" fontId="98" fillId="0" borderId="215" xfId="0" applyNumberFormat="1" applyFont="1" applyFill="1" applyBorder="1" applyAlignment="1" applyProtection="1">
      <alignment horizontal="left" vertical="center"/>
    </xf>
    <xf numFmtId="170" fontId="98" fillId="0" borderId="316" xfId="0" applyNumberFormat="1" applyFont="1" applyFill="1" applyBorder="1" applyAlignment="1" applyProtection="1">
      <alignment horizontal="center" vertical="center"/>
    </xf>
    <xf numFmtId="0" fontId="98" fillId="0" borderId="214" xfId="0" applyNumberFormat="1" applyFont="1" applyFill="1" applyBorder="1" applyAlignment="1" applyProtection="1">
      <alignment horizontal="center" vertical="center"/>
    </xf>
    <xf numFmtId="170" fontId="98" fillId="0" borderId="282" xfId="0" applyNumberFormat="1" applyFont="1" applyFill="1" applyBorder="1" applyAlignment="1" applyProtection="1">
      <alignment horizontal="center" vertical="center"/>
    </xf>
    <xf numFmtId="186" fontId="98" fillId="0" borderId="336" xfId="0" applyNumberFormat="1" applyFont="1" applyFill="1" applyBorder="1" applyAlignment="1" applyProtection="1">
      <alignment horizontal="right" vertical="center"/>
    </xf>
    <xf numFmtId="167" fontId="98" fillId="0" borderId="216" xfId="0" applyNumberFormat="1" applyFont="1" applyFill="1" applyBorder="1" applyAlignment="1" applyProtection="1">
      <alignment horizontal="center" vertical="center"/>
    </xf>
    <xf numFmtId="167" fontId="98" fillId="0" borderId="214" xfId="0" applyNumberFormat="1" applyFont="1" applyFill="1" applyBorder="1" applyAlignment="1" applyProtection="1">
      <alignment horizontal="center" vertical="center"/>
    </xf>
    <xf numFmtId="1" fontId="98" fillId="0" borderId="337" xfId="0" applyNumberFormat="1" applyFont="1" applyBorder="1" applyAlignment="1" applyProtection="1">
      <alignment horizontal="center" vertical="center"/>
    </xf>
    <xf numFmtId="1" fontId="98" fillId="0" borderId="301" xfId="0" applyNumberFormat="1" applyFont="1" applyBorder="1" applyAlignment="1" applyProtection="1">
      <alignment horizontal="center" vertical="center"/>
    </xf>
    <xf numFmtId="170" fontId="98" fillId="0" borderId="153" xfId="0" applyNumberFormat="1" applyFont="1" applyFill="1" applyBorder="1" applyAlignment="1" applyProtection="1">
      <alignment horizontal="left" vertical="center"/>
    </xf>
    <xf numFmtId="12" fontId="98" fillId="0" borderId="99" xfId="0" applyNumberFormat="1" applyFont="1" applyFill="1" applyBorder="1" applyAlignment="1" applyProtection="1">
      <alignment horizontal="center" vertical="center"/>
    </xf>
    <xf numFmtId="12" fontId="98" fillId="0" borderId="100" xfId="0" applyNumberFormat="1" applyFont="1" applyFill="1" applyBorder="1" applyAlignment="1" applyProtection="1">
      <alignment horizontal="center" vertical="center"/>
    </xf>
    <xf numFmtId="167" fontId="98" fillId="0" borderId="120" xfId="0" applyNumberFormat="1" applyFont="1" applyFill="1" applyBorder="1" applyAlignment="1" applyProtection="1">
      <alignment horizontal="center" vertical="center"/>
    </xf>
    <xf numFmtId="167" fontId="98" fillId="0" borderId="102" xfId="0" applyNumberFormat="1" applyFont="1" applyFill="1" applyBorder="1" applyAlignment="1" applyProtection="1">
      <alignment horizontal="center" vertical="center"/>
    </xf>
    <xf numFmtId="49" fontId="98" fillId="0" borderId="154" xfId="0" applyNumberFormat="1" applyFont="1" applyFill="1" applyBorder="1" applyAlignment="1" applyProtection="1">
      <alignment horizontal="left" vertical="center"/>
    </xf>
    <xf numFmtId="170" fontId="98" fillId="0" borderId="301" xfId="0" applyNumberFormat="1" applyFont="1" applyFill="1" applyBorder="1" applyAlignment="1" applyProtection="1">
      <alignment horizontal="left" vertical="center"/>
    </xf>
    <xf numFmtId="12" fontId="98" fillId="0" borderId="116" xfId="0" applyNumberFormat="1" applyFont="1" applyFill="1" applyBorder="1" applyAlignment="1" applyProtection="1">
      <alignment horizontal="center" vertical="center"/>
    </xf>
    <xf numFmtId="12" fontId="98" fillId="0" borderId="321" xfId="0" applyNumberFormat="1" applyFont="1" applyFill="1" applyBorder="1" applyAlignment="1" applyProtection="1">
      <alignment horizontal="center" vertical="center"/>
    </xf>
    <xf numFmtId="167" fontId="98" fillId="0" borderId="121" xfId="0" applyNumberFormat="1" applyFont="1" applyFill="1" applyBorder="1" applyAlignment="1" applyProtection="1">
      <alignment horizontal="center" vertical="center"/>
    </xf>
    <xf numFmtId="167" fontId="98" fillId="0" borderId="117" xfId="0" applyNumberFormat="1" applyFont="1" applyFill="1" applyBorder="1" applyAlignment="1" applyProtection="1">
      <alignment horizontal="center" vertical="center"/>
    </xf>
    <xf numFmtId="49" fontId="98" fillId="0" borderId="305" xfId="0" applyNumberFormat="1" applyFont="1" applyFill="1" applyBorder="1" applyAlignment="1" applyProtection="1">
      <alignment horizontal="left" vertical="center"/>
    </xf>
    <xf numFmtId="3" fontId="92" fillId="0" borderId="0" xfId="0" applyNumberFormat="1" applyFont="1" applyFill="1" applyBorder="1" applyAlignment="1" applyProtection="1">
      <alignment horizontal="left" indent="2"/>
    </xf>
    <xf numFmtId="12" fontId="98" fillId="0" borderId="102" xfId="0" applyNumberFormat="1" applyFont="1" applyFill="1" applyBorder="1" applyAlignment="1" applyProtection="1">
      <alignment horizontal="center" vertical="center"/>
    </xf>
    <xf numFmtId="12" fontId="98" fillId="0" borderId="117" xfId="0" applyNumberFormat="1" applyFont="1" applyFill="1" applyBorder="1" applyAlignment="1" applyProtection="1">
      <alignment horizontal="center" vertical="center"/>
    </xf>
    <xf numFmtId="49" fontId="92" fillId="0" borderId="154" xfId="0" applyNumberFormat="1" applyFont="1" applyFill="1" applyBorder="1" applyAlignment="1" applyProtection="1">
      <alignment horizontal="left" vertical="center"/>
      <protection locked="0"/>
    </xf>
    <xf numFmtId="49" fontId="92" fillId="0" borderId="305" xfId="0" applyNumberFormat="1" applyFont="1" applyFill="1" applyBorder="1" applyAlignment="1" applyProtection="1">
      <alignment horizontal="left" vertical="center"/>
      <protection locked="0"/>
    </xf>
    <xf numFmtId="49" fontId="92" fillId="0" borderId="316" xfId="0" applyNumberFormat="1" applyFont="1" applyFill="1" applyBorder="1" applyAlignment="1" applyProtection="1">
      <alignment horizontal="left" vertical="center"/>
      <protection locked="0"/>
    </xf>
    <xf numFmtId="0" fontId="12" fillId="0" borderId="12" xfId="0" applyFont="1" applyFill="1" applyBorder="1" applyAlignment="1" applyProtection="1">
      <alignment horizontal="center" vertical="center"/>
    </xf>
    <xf numFmtId="0" fontId="96" fillId="0" borderId="10" xfId="0" applyNumberFormat="1" applyFont="1" applyFill="1" applyBorder="1" applyAlignment="1" applyProtection="1">
      <alignment horizontal="left"/>
    </xf>
    <xf numFmtId="0" fontId="96" fillId="0" borderId="21" xfId="0" applyNumberFormat="1" applyFont="1" applyFill="1" applyBorder="1" applyAlignment="1" applyProtection="1">
      <alignment horizontal="left"/>
    </xf>
    <xf numFmtId="49" fontId="92" fillId="0" borderId="154" xfId="0" applyNumberFormat="1" applyFont="1" applyFill="1" applyBorder="1" applyAlignment="1" applyProtection="1">
      <alignment horizontal="left" vertical="center"/>
      <protection locked="0"/>
    </xf>
    <xf numFmtId="49" fontId="92" fillId="0" borderId="305" xfId="0" applyNumberFormat="1" applyFont="1" applyFill="1" applyBorder="1" applyAlignment="1" applyProtection="1">
      <alignment horizontal="left" vertical="center"/>
      <protection locked="0"/>
    </xf>
    <xf numFmtId="49" fontId="92" fillId="0" borderId="316" xfId="0" applyNumberFormat="1" applyFont="1" applyFill="1" applyBorder="1" applyAlignment="1" applyProtection="1">
      <alignment horizontal="left" vertical="center"/>
      <protection locked="0"/>
    </xf>
    <xf numFmtId="168" fontId="97" fillId="0" borderId="0" xfId="0" applyNumberFormat="1" applyFont="1" applyFill="1" applyBorder="1" applyAlignment="1" applyProtection="1">
      <alignment horizontal="left"/>
    </xf>
    <xf numFmtId="49" fontId="12" fillId="0" borderId="0" xfId="0" applyNumberFormat="1" applyFont="1" applyFill="1" applyBorder="1" applyAlignment="1" applyProtection="1">
      <alignment horizontal="left"/>
    </xf>
    <xf numFmtId="49" fontId="12" fillId="0" borderId="0" xfId="0" applyNumberFormat="1" applyFont="1" applyFill="1" applyBorder="1" applyAlignment="1" applyProtection="1">
      <alignment horizontal="left" indent="4" shrinkToFit="1"/>
    </xf>
    <xf numFmtId="0" fontId="12" fillId="0" borderId="116" xfId="0" applyFont="1" applyFill="1" applyBorder="1" applyAlignment="1" applyProtection="1">
      <alignment horizontal="center" vertical="center"/>
    </xf>
    <xf numFmtId="0" fontId="50" fillId="0" borderId="10" xfId="0" applyFont="1" applyFill="1" applyBorder="1" applyAlignment="1" applyProtection="1">
      <alignment horizontal="right" vertical="top"/>
    </xf>
    <xf numFmtId="49" fontId="12" fillId="0" borderId="0" xfId="0" applyNumberFormat="1" applyFont="1" applyFill="1" applyBorder="1" applyAlignment="1" applyProtection="1"/>
    <xf numFmtId="0" fontId="50" fillId="0" borderId="11" xfId="0" applyFont="1" applyFill="1" applyBorder="1" applyAlignment="1" applyProtection="1">
      <alignment horizontal="right" vertical="top"/>
    </xf>
    <xf numFmtId="0" fontId="12" fillId="0" borderId="11" xfId="0" applyFont="1" applyFill="1" applyBorder="1" applyAlignment="1" applyProtection="1">
      <alignment horizontal="center" vertical="center"/>
    </xf>
    <xf numFmtId="0" fontId="49" fillId="0" borderId="321" xfId="0" applyFont="1" applyFill="1" applyBorder="1" applyAlignment="1" applyProtection="1">
      <alignment horizontal="center" vertical="center"/>
    </xf>
    <xf numFmtId="0" fontId="49" fillId="0" borderId="315" xfId="0" applyFont="1" applyFill="1" applyBorder="1" applyAlignment="1" applyProtection="1">
      <alignment horizontal="center" vertical="center"/>
    </xf>
    <xf numFmtId="0" fontId="49" fillId="0" borderId="121" xfId="0" applyFont="1" applyFill="1" applyBorder="1" applyAlignment="1" applyProtection="1">
      <alignment horizontal="center" vertical="center"/>
    </xf>
    <xf numFmtId="0" fontId="50" fillId="0" borderId="0" xfId="0" applyFont="1" applyFill="1" applyAlignment="1" applyProtection="1">
      <alignment horizontal="right"/>
    </xf>
    <xf numFmtId="0" fontId="50" fillId="0" borderId="0" xfId="0" applyFont="1" applyFill="1" applyBorder="1" applyAlignment="1" applyProtection="1">
      <alignment horizontal="right"/>
    </xf>
    <xf numFmtId="0" fontId="97" fillId="0" borderId="0" xfId="0" applyNumberFormat="1" applyFont="1" applyFill="1" applyBorder="1" applyAlignment="1" applyProtection="1">
      <alignment horizontal="left"/>
    </xf>
    <xf numFmtId="0" fontId="0" fillId="0" borderId="0" xfId="0" applyAlignment="1" applyProtection="1"/>
    <xf numFmtId="0" fontId="12" fillId="0" borderId="0" xfId="0" applyFont="1" applyFill="1" applyBorder="1" applyAlignment="1" applyProtection="1">
      <alignment horizontal="left"/>
    </xf>
    <xf numFmtId="0" fontId="49" fillId="0" borderId="60" xfId="0" applyFont="1" applyFill="1" applyBorder="1" applyAlignment="1" applyProtection="1">
      <alignment horizontal="center" vertical="center" wrapText="1"/>
    </xf>
    <xf numFmtId="0" fontId="49" fillId="0" borderId="116" xfId="0" applyFont="1" applyFill="1" applyBorder="1" applyAlignment="1" applyProtection="1">
      <alignment horizontal="center" vertical="center"/>
    </xf>
    <xf numFmtId="0" fontId="49" fillId="0" borderId="322" xfId="0" applyFont="1" applyFill="1" applyBorder="1" applyAlignment="1" applyProtection="1">
      <alignment horizontal="center" vertical="center" wrapText="1"/>
    </xf>
    <xf numFmtId="0" fontId="0" fillId="0" borderId="0" xfId="0" applyBorder="1" applyAlignment="1">
      <alignment wrapText="1"/>
    </xf>
    <xf numFmtId="0" fontId="49" fillId="0" borderId="116" xfId="0" applyFont="1" applyFill="1" applyBorder="1" applyAlignment="1" applyProtection="1">
      <alignment horizontal="center" vertical="center" wrapText="1"/>
    </xf>
    <xf numFmtId="0" fontId="49" fillId="0" borderId="117" xfId="0" applyFont="1" applyFill="1" applyBorder="1" applyAlignment="1" applyProtection="1">
      <alignment horizontal="center" vertical="center" wrapText="1"/>
    </xf>
    <xf numFmtId="0" fontId="49" fillId="0" borderId="121" xfId="0" applyFont="1" applyFill="1" applyBorder="1" applyAlignment="1" applyProtection="1">
      <alignment horizontal="center" vertical="center" wrapText="1"/>
    </xf>
    <xf numFmtId="0" fontId="12" fillId="2" borderId="0" xfId="0" applyFont="1" applyFill="1" applyBorder="1" applyAlignment="1" applyProtection="1">
      <alignment horizontal="center" vertical="center"/>
    </xf>
    <xf numFmtId="0" fontId="49" fillId="0" borderId="77" xfId="0" applyFont="1" applyFill="1" applyBorder="1" applyAlignment="1" applyProtection="1">
      <alignment horizontal="center" vertical="center" wrapText="1"/>
    </xf>
    <xf numFmtId="0" fontId="49" fillId="0" borderId="61" xfId="0" applyFont="1" applyFill="1" applyBorder="1" applyAlignment="1" applyProtection="1">
      <alignment horizontal="center" vertical="center" wrapText="1"/>
    </xf>
    <xf numFmtId="49" fontId="92" fillId="0" borderId="154" xfId="0" applyNumberFormat="1" applyFont="1" applyFill="1" applyBorder="1" applyAlignment="1" applyProtection="1">
      <alignment horizontal="left"/>
      <protection locked="0"/>
    </xf>
    <xf numFmtId="49" fontId="92" fillId="0" borderId="316" xfId="0" applyNumberFormat="1" applyFont="1" applyFill="1" applyBorder="1" applyAlignment="1" applyProtection="1">
      <alignment horizontal="left"/>
      <protection locked="0"/>
    </xf>
    <xf numFmtId="49" fontId="92" fillId="0" borderId="305" xfId="0" applyNumberFormat="1" applyFont="1" applyFill="1" applyBorder="1" applyAlignment="1" applyProtection="1">
      <alignment horizontal="left"/>
      <protection locked="0"/>
    </xf>
    <xf numFmtId="168" fontId="63" fillId="0" borderId="0" xfId="0" applyNumberFormat="1" applyFont="1" applyFill="1" applyBorder="1" applyAlignment="1" applyProtection="1">
      <alignment horizontal="left"/>
    </xf>
    <xf numFmtId="0" fontId="12" fillId="0" borderId="12" xfId="0" applyFont="1" applyFill="1" applyBorder="1" applyAlignment="1" applyProtection="1">
      <alignment horizontal="center" vertical="center"/>
    </xf>
    <xf numFmtId="0" fontId="96" fillId="0" borderId="10" xfId="0" applyNumberFormat="1" applyFont="1" applyFill="1" applyBorder="1" applyAlignment="1" applyProtection="1">
      <alignment horizontal="left"/>
    </xf>
    <xf numFmtId="0" fontId="96" fillId="0" borderId="21" xfId="0" applyNumberFormat="1" applyFont="1" applyFill="1" applyBorder="1" applyAlignment="1" applyProtection="1">
      <alignment horizontal="left"/>
    </xf>
    <xf numFmtId="49" fontId="92" fillId="0" borderId="316" xfId="0" applyNumberFormat="1" applyFont="1" applyFill="1" applyBorder="1" applyAlignment="1" applyProtection="1">
      <alignment horizontal="left" vertical="center"/>
      <protection locked="0"/>
    </xf>
    <xf numFmtId="168" fontId="97" fillId="0" borderId="0" xfId="0" applyNumberFormat="1" applyFont="1" applyFill="1" applyBorder="1" applyAlignment="1" applyProtection="1">
      <alignment horizontal="left"/>
    </xf>
    <xf numFmtId="49" fontId="92" fillId="0" borderId="154" xfId="0" applyNumberFormat="1" applyFont="1" applyFill="1" applyBorder="1" applyAlignment="1" applyProtection="1">
      <alignment horizontal="left" vertical="center"/>
      <protection locked="0"/>
    </xf>
    <xf numFmtId="49" fontId="92" fillId="0" borderId="305" xfId="0" applyNumberFormat="1" applyFont="1" applyFill="1" applyBorder="1" applyAlignment="1" applyProtection="1">
      <alignment horizontal="left" vertical="center"/>
      <protection locked="0"/>
    </xf>
    <xf numFmtId="0" fontId="8" fillId="0" borderId="0" xfId="0" applyFont="1" applyFill="1" applyBorder="1" applyAlignment="1" applyProtection="1">
      <alignment horizontal="center"/>
    </xf>
    <xf numFmtId="0" fontId="8" fillId="0" borderId="0" xfId="0" applyFont="1" applyBorder="1" applyAlignment="1">
      <alignment horizontal="center"/>
    </xf>
    <xf numFmtId="0" fontId="12" fillId="0" borderId="0" xfId="0" applyFont="1" applyFill="1" applyBorder="1" applyAlignment="1" applyProtection="1">
      <alignment horizontal="left" indent="1"/>
    </xf>
    <xf numFmtId="0" fontId="30" fillId="2" borderId="0" xfId="0" applyFont="1" applyFill="1" applyBorder="1" applyAlignment="1" applyProtection="1">
      <alignment horizontal="left" indent="1"/>
    </xf>
    <xf numFmtId="49" fontId="12" fillId="0" borderId="0" xfId="0" applyNumberFormat="1" applyFont="1" applyFill="1" applyBorder="1" applyAlignment="1" applyProtection="1">
      <alignment horizontal="left"/>
    </xf>
    <xf numFmtId="0" fontId="30" fillId="0" borderId="0" xfId="0" applyFont="1" applyAlignment="1" applyProtection="1"/>
    <xf numFmtId="0" fontId="28" fillId="0" borderId="308" xfId="0" applyFont="1" applyFill="1" applyBorder="1" applyAlignment="1" applyProtection="1">
      <alignment horizontal="center" vertical="center" wrapText="1"/>
    </xf>
    <xf numFmtId="0" fontId="28" fillId="0" borderId="309" xfId="0" applyFont="1" applyBorder="1" applyAlignment="1">
      <alignment horizontal="center" vertical="center" wrapText="1"/>
    </xf>
    <xf numFmtId="0" fontId="28" fillId="0" borderId="310" xfId="0" applyFont="1" applyBorder="1" applyAlignment="1">
      <alignment horizontal="center" vertical="center" wrapText="1"/>
    </xf>
    <xf numFmtId="0" fontId="28" fillId="0" borderId="204" xfId="0" applyFont="1" applyBorder="1" applyAlignment="1">
      <alignment horizontal="center" vertical="center" wrapText="1"/>
    </xf>
    <xf numFmtId="0" fontId="28" fillId="0" borderId="0" xfId="0" applyFont="1" applyBorder="1" applyAlignment="1">
      <alignment horizontal="center" vertical="center" wrapText="1"/>
    </xf>
    <xf numFmtId="0" fontId="28" fillId="0" borderId="205" xfId="0" applyFont="1" applyBorder="1" applyAlignment="1">
      <alignment horizontal="center" vertical="center" wrapText="1"/>
    </xf>
    <xf numFmtId="168" fontId="28" fillId="0" borderId="206" xfId="0" applyNumberFormat="1" applyFont="1" applyFill="1" applyBorder="1" applyAlignment="1" applyProtection="1">
      <alignment horizontal="center"/>
    </xf>
    <xf numFmtId="168" fontId="28" fillId="0" borderId="207" xfId="0" applyNumberFormat="1" applyFont="1" applyBorder="1" applyAlignment="1">
      <alignment horizontal="center"/>
    </xf>
    <xf numFmtId="168" fontId="28" fillId="0" borderId="208" xfId="0" applyNumberFormat="1" applyFont="1" applyBorder="1" applyAlignment="1">
      <alignment horizontal="center"/>
    </xf>
    <xf numFmtId="49" fontId="12" fillId="0" borderId="0" xfId="0" applyNumberFormat="1" applyFont="1" applyFill="1" applyBorder="1" applyAlignment="1" applyProtection="1">
      <alignment horizontal="left" indent="4" shrinkToFit="1"/>
    </xf>
    <xf numFmtId="164" fontId="97" fillId="0" borderId="0" xfId="0" applyNumberFormat="1" applyFont="1" applyFill="1" applyBorder="1" applyAlignment="1" applyProtection="1">
      <alignment horizontal="left"/>
    </xf>
    <xf numFmtId="49" fontId="93" fillId="0" borderId="101" xfId="0" applyNumberFormat="1" applyFont="1" applyFill="1" applyBorder="1" applyAlignment="1" applyProtection="1">
      <alignment horizontal="left" vertical="center"/>
      <protection locked="0"/>
    </xf>
    <xf numFmtId="49" fontId="93" fillId="0" borderId="99" xfId="0" applyNumberFormat="1" applyFont="1" applyFill="1" applyBorder="1" applyAlignment="1" applyProtection="1">
      <alignment horizontal="left" vertical="center"/>
      <protection locked="0"/>
    </xf>
    <xf numFmtId="49" fontId="93" fillId="0" borderId="102" xfId="0" applyNumberFormat="1" applyFont="1" applyFill="1" applyBorder="1" applyAlignment="1" applyProtection="1">
      <alignment horizontal="left" vertical="center"/>
      <protection locked="0"/>
    </xf>
    <xf numFmtId="0" fontId="12" fillId="0" borderId="77" xfId="0" applyFont="1" applyFill="1" applyBorder="1" applyAlignment="1" applyProtection="1">
      <alignment horizontal="center" vertical="center"/>
    </xf>
    <xf numFmtId="0" fontId="12" fillId="0" borderId="79" xfId="0" applyFont="1" applyFill="1" applyBorder="1" applyAlignment="1" applyProtection="1">
      <alignment horizontal="center" vertical="center"/>
    </xf>
    <xf numFmtId="0" fontId="12" fillId="0" borderId="61" xfId="0" applyFont="1" applyFill="1" applyBorder="1" applyAlignment="1" applyProtection="1">
      <alignment horizontal="center" vertical="center"/>
    </xf>
    <xf numFmtId="49" fontId="93" fillId="0" borderId="216" xfId="0" applyNumberFormat="1" applyFont="1" applyFill="1" applyBorder="1" applyAlignment="1" applyProtection="1">
      <alignment horizontal="left" vertical="center"/>
      <protection locked="0"/>
    </xf>
    <xf numFmtId="49" fontId="93" fillId="0" borderId="213" xfId="0" applyNumberFormat="1" applyFont="1" applyFill="1" applyBorder="1" applyAlignment="1" applyProtection="1">
      <alignment horizontal="left" vertical="center"/>
      <protection locked="0"/>
    </xf>
    <xf numFmtId="49" fontId="93" fillId="0" borderId="282" xfId="0" applyNumberFormat="1" applyFont="1" applyFill="1" applyBorder="1" applyAlignment="1" applyProtection="1">
      <alignment horizontal="left" vertical="center"/>
      <protection locked="0"/>
    </xf>
    <xf numFmtId="49" fontId="93" fillId="0" borderId="338" xfId="0" applyNumberFormat="1" applyFont="1" applyFill="1" applyBorder="1" applyAlignment="1" applyProtection="1">
      <alignment horizontal="left" vertical="center"/>
      <protection locked="0"/>
    </xf>
    <xf numFmtId="49" fontId="93" fillId="0" borderId="118" xfId="0" applyNumberFormat="1" applyFont="1" applyFill="1" applyBorder="1" applyAlignment="1" applyProtection="1">
      <alignment horizontal="left" vertical="center"/>
      <protection locked="0"/>
    </xf>
    <xf numFmtId="49" fontId="93" fillId="0" borderId="339" xfId="0" applyNumberFormat="1" applyFont="1" applyFill="1" applyBorder="1" applyAlignment="1" applyProtection="1">
      <alignment horizontal="left" vertical="center"/>
      <protection locked="0"/>
    </xf>
    <xf numFmtId="49" fontId="93" fillId="0" borderId="315" xfId="0" applyNumberFormat="1" applyFont="1" applyFill="1" applyBorder="1" applyAlignment="1" applyProtection="1">
      <alignment horizontal="left" vertical="center"/>
      <protection locked="0"/>
    </xf>
    <xf numFmtId="49" fontId="93" fillId="0" borderId="116" xfId="0" applyNumberFormat="1" applyFont="1" applyFill="1" applyBorder="1" applyAlignment="1" applyProtection="1">
      <alignment horizontal="left" vertical="center"/>
      <protection locked="0"/>
    </xf>
    <xf numFmtId="49" fontId="93" fillId="0" borderId="117" xfId="0" applyNumberFormat="1" applyFont="1" applyFill="1" applyBorder="1" applyAlignment="1" applyProtection="1">
      <alignment horizontal="left" vertical="center"/>
      <protection locked="0"/>
    </xf>
    <xf numFmtId="0" fontId="22" fillId="2" borderId="11" xfId="0" applyFont="1" applyFill="1" applyBorder="1" applyAlignment="1" applyProtection="1">
      <alignment horizontal="center" vertical="center"/>
    </xf>
    <xf numFmtId="0" fontId="0" fillId="0" borderId="10" xfId="0" applyBorder="1" applyAlignment="1">
      <alignment horizontal="center" vertical="center"/>
    </xf>
    <xf numFmtId="0" fontId="0" fillId="0" borderId="10" xfId="0" applyBorder="1" applyAlignment="1">
      <alignment vertical="center"/>
    </xf>
    <xf numFmtId="0" fontId="0" fillId="0" borderId="21" xfId="0" applyBorder="1" applyAlignment="1">
      <alignment vertical="center"/>
    </xf>
    <xf numFmtId="0" fontId="12" fillId="0" borderId="116" xfId="0" applyFont="1" applyFill="1" applyBorder="1" applyAlignment="1" applyProtection="1">
      <alignment horizontal="center" vertical="center"/>
    </xf>
    <xf numFmtId="0" fontId="12" fillId="0" borderId="117" xfId="0" applyFont="1" applyFill="1" applyBorder="1" applyAlignment="1" applyProtection="1">
      <alignment horizontal="center" vertical="center"/>
    </xf>
    <xf numFmtId="0" fontId="12" fillId="0" borderId="319" xfId="0" applyFont="1" applyFill="1" applyBorder="1" applyAlignment="1" applyProtection="1">
      <alignment horizontal="center" vertical="center"/>
    </xf>
    <xf numFmtId="0" fontId="12" fillId="0" borderId="119" xfId="0" applyFont="1" applyFill="1" applyBorder="1" applyAlignment="1" applyProtection="1">
      <alignment horizontal="center" vertical="center"/>
    </xf>
    <xf numFmtId="0" fontId="12" fillId="0" borderId="320" xfId="0" applyFont="1" applyFill="1" applyBorder="1" applyAlignment="1" applyProtection="1">
      <alignment horizontal="center" vertical="center"/>
    </xf>
    <xf numFmtId="0" fontId="12" fillId="0" borderId="65" xfId="0" applyFont="1" applyFill="1" applyBorder="1" applyAlignment="1" applyProtection="1">
      <alignment horizontal="center" wrapText="1"/>
    </xf>
    <xf numFmtId="0" fontId="30" fillId="2" borderId="29" xfId="0" applyFont="1" applyFill="1" applyBorder="1" applyAlignment="1" applyProtection="1">
      <alignment horizontal="center" wrapText="1"/>
    </xf>
    <xf numFmtId="0" fontId="12" fillId="0" borderId="65" xfId="0" applyFont="1" applyFill="1" applyBorder="1" applyAlignment="1" applyProtection="1">
      <alignment horizontal="center"/>
    </xf>
    <xf numFmtId="0" fontId="0" fillId="0" borderId="29" xfId="0" applyBorder="1" applyAlignment="1">
      <alignment horizontal="center"/>
    </xf>
    <xf numFmtId="0" fontId="28" fillId="0" borderId="309" xfId="0" applyFont="1" applyFill="1" applyBorder="1" applyAlignment="1" applyProtection="1">
      <alignment horizontal="center" vertical="center" wrapText="1"/>
    </xf>
    <xf numFmtId="0" fontId="28" fillId="0" borderId="310" xfId="0" applyFont="1" applyFill="1" applyBorder="1" applyAlignment="1" applyProtection="1">
      <alignment horizontal="center" vertical="center" wrapText="1"/>
    </xf>
    <xf numFmtId="0" fontId="28" fillId="0" borderId="204" xfId="0" applyFont="1" applyFill="1" applyBorder="1" applyAlignment="1" applyProtection="1">
      <alignment horizontal="center" vertical="center" wrapText="1"/>
    </xf>
    <xf numFmtId="0" fontId="28" fillId="0" borderId="0" xfId="0" applyFont="1" applyFill="1" applyBorder="1" applyAlignment="1" applyProtection="1">
      <alignment horizontal="center" vertical="center" wrapText="1"/>
    </xf>
    <xf numFmtId="0" fontId="28" fillId="0" borderId="205" xfId="0" applyFont="1" applyFill="1" applyBorder="1" applyAlignment="1" applyProtection="1">
      <alignment horizontal="center" vertical="center" wrapText="1"/>
    </xf>
    <xf numFmtId="168" fontId="28" fillId="0" borderId="207" xfId="0" applyNumberFormat="1" applyFont="1" applyFill="1" applyBorder="1" applyAlignment="1" applyProtection="1">
      <alignment horizontal="center"/>
    </xf>
    <xf numFmtId="168" fontId="28" fillId="0" borderId="208" xfId="0" applyNumberFormat="1" applyFont="1" applyFill="1" applyBorder="1" applyAlignment="1" applyProtection="1">
      <alignment horizontal="center"/>
    </xf>
    <xf numFmtId="0" fontId="12" fillId="0" borderId="0" xfId="0" applyFont="1" applyFill="1" applyBorder="1" applyAlignment="1" applyProtection="1">
      <alignment horizontal="left" indent="4" shrinkToFit="1"/>
    </xf>
    <xf numFmtId="0" fontId="50" fillId="0" borderId="10" xfId="0" applyFont="1" applyFill="1" applyBorder="1" applyAlignment="1" applyProtection="1">
      <alignment horizontal="right" vertical="top"/>
    </xf>
    <xf numFmtId="0" fontId="0" fillId="0" borderId="10" xfId="0" applyBorder="1" applyAlignment="1">
      <alignment horizontal="left"/>
    </xf>
    <xf numFmtId="0" fontId="0" fillId="0" borderId="21" xfId="0" applyBorder="1" applyAlignment="1">
      <alignment horizontal="left"/>
    </xf>
    <xf numFmtId="0" fontId="12" fillId="0" borderId="317" xfId="0" applyFont="1" applyFill="1" applyBorder="1" applyAlignment="1" applyProtection="1">
      <alignment horizontal="center" vertical="center"/>
    </xf>
    <xf numFmtId="0" fontId="30" fillId="2" borderId="29" xfId="0" applyFont="1" applyFill="1" applyBorder="1" applyAlignment="1" applyProtection="1">
      <alignment horizontal="center"/>
    </xf>
    <xf numFmtId="0" fontId="93" fillId="0" borderId="101" xfId="0" applyNumberFormat="1" applyFont="1" applyFill="1" applyBorder="1" applyAlignment="1" applyProtection="1">
      <alignment horizontal="left" vertical="center"/>
      <protection locked="0"/>
    </xf>
    <xf numFmtId="0" fontId="93" fillId="0" borderId="99" xfId="0" applyNumberFormat="1" applyFont="1" applyFill="1" applyBorder="1" applyAlignment="1" applyProtection="1">
      <alignment horizontal="left" vertical="center"/>
      <protection locked="0"/>
    </xf>
    <xf numFmtId="0" fontId="93" fillId="0" borderId="99" xfId="0" applyFont="1" applyBorder="1" applyAlignment="1" applyProtection="1">
      <alignment horizontal="left" vertical="center"/>
      <protection locked="0"/>
    </xf>
    <xf numFmtId="0" fontId="93" fillId="0" borderId="102" xfId="0" applyFont="1" applyBorder="1" applyAlignment="1" applyProtection="1">
      <alignment horizontal="left" vertical="center"/>
      <protection locked="0"/>
    </xf>
    <xf numFmtId="0" fontId="30" fillId="0" borderId="79" xfId="0" applyFont="1" applyBorder="1" applyAlignment="1">
      <alignment horizontal="center" vertical="center"/>
    </xf>
    <xf numFmtId="0" fontId="30" fillId="0" borderId="61" xfId="0" applyFont="1" applyBorder="1" applyAlignment="1">
      <alignment horizontal="center" vertical="center"/>
    </xf>
    <xf numFmtId="0" fontId="12" fillId="0" borderId="60" xfId="0" applyFont="1" applyFill="1" applyBorder="1" applyAlignment="1" applyProtection="1">
      <alignment horizontal="center" vertical="center"/>
    </xf>
    <xf numFmtId="0" fontId="96" fillId="0" borderId="10" xfId="0" applyFont="1" applyBorder="1" applyAlignment="1"/>
    <xf numFmtId="0" fontId="96" fillId="0" borderId="21" xfId="0" applyFont="1" applyBorder="1" applyAlignment="1"/>
    <xf numFmtId="0" fontId="93" fillId="0" borderId="216" xfId="0" applyNumberFormat="1" applyFont="1" applyFill="1" applyBorder="1" applyAlignment="1" applyProtection="1">
      <alignment horizontal="left" vertical="center"/>
      <protection locked="0"/>
    </xf>
    <xf numFmtId="0" fontId="93" fillId="0" borderId="213" xfId="0" applyNumberFormat="1" applyFont="1" applyFill="1" applyBorder="1" applyAlignment="1" applyProtection="1">
      <alignment horizontal="left" vertical="center"/>
      <protection locked="0"/>
    </xf>
    <xf numFmtId="0" fontId="93" fillId="0" borderId="213" xfId="0" applyFont="1" applyBorder="1" applyAlignment="1" applyProtection="1">
      <alignment horizontal="left" vertical="center"/>
      <protection locked="0"/>
    </xf>
    <xf numFmtId="0" fontId="93" fillId="0" borderId="282" xfId="0" applyFont="1" applyBorder="1" applyAlignment="1" applyProtection="1">
      <alignment horizontal="left" vertical="center"/>
      <protection locked="0"/>
    </xf>
    <xf numFmtId="0" fontId="22" fillId="0" borderId="0" xfId="0" applyFont="1" applyAlignment="1">
      <alignment horizontal="left" indent="4" shrinkToFit="1"/>
    </xf>
    <xf numFmtId="0" fontId="93" fillId="0" borderId="315" xfId="0" applyNumberFormat="1" applyFont="1" applyFill="1" applyBorder="1" applyAlignment="1" applyProtection="1">
      <alignment horizontal="left" vertical="center"/>
      <protection locked="0"/>
    </xf>
    <xf numFmtId="0" fontId="93" fillId="0" borderId="116" xfId="0" applyNumberFormat="1" applyFont="1" applyFill="1" applyBorder="1" applyAlignment="1" applyProtection="1">
      <alignment horizontal="left" vertical="center"/>
      <protection locked="0"/>
    </xf>
    <xf numFmtId="0" fontId="93" fillId="0" borderId="116" xfId="0" applyFont="1" applyBorder="1" applyAlignment="1" applyProtection="1">
      <alignment horizontal="left" vertical="center"/>
      <protection locked="0"/>
    </xf>
    <xf numFmtId="0" fontId="93" fillId="0" borderId="117" xfId="0" applyFont="1" applyBorder="1" applyAlignment="1" applyProtection="1">
      <alignment horizontal="left" vertical="center"/>
      <protection locked="0"/>
    </xf>
    <xf numFmtId="0" fontId="8" fillId="2" borderId="0" xfId="0" applyFont="1" applyFill="1" applyBorder="1" applyAlignment="1" applyProtection="1">
      <alignment horizontal="center" vertical="center" wrapText="1"/>
    </xf>
    <xf numFmtId="0" fontId="0" fillId="0" borderId="0" xfId="0" applyAlignment="1">
      <alignment wrapText="1"/>
    </xf>
    <xf numFmtId="0" fontId="0" fillId="0" borderId="15" xfId="0" applyBorder="1" applyAlignment="1">
      <alignment wrapText="1"/>
    </xf>
    <xf numFmtId="0" fontId="93" fillId="0" borderId="300" xfId="0" applyNumberFormat="1" applyFont="1" applyFill="1" applyBorder="1" applyAlignment="1" applyProtection="1">
      <alignment horizontal="left" vertical="center"/>
      <protection locked="0"/>
    </xf>
    <xf numFmtId="0" fontId="93" fillId="0" borderId="103" xfId="0" applyNumberFormat="1" applyFont="1" applyFill="1" applyBorder="1" applyAlignment="1" applyProtection="1">
      <alignment horizontal="left" vertical="center"/>
      <protection locked="0"/>
    </xf>
    <xf numFmtId="0" fontId="93" fillId="0" borderId="153" xfId="0" applyNumberFormat="1" applyFont="1" applyFill="1" applyBorder="1" applyAlignment="1" applyProtection="1">
      <alignment horizontal="left" vertical="center"/>
      <protection locked="0"/>
    </xf>
    <xf numFmtId="0" fontId="22" fillId="2" borderId="65" xfId="0" applyFont="1" applyFill="1" applyBorder="1" applyAlignment="1" applyProtection="1">
      <alignment horizontal="center" wrapText="1"/>
    </xf>
    <xf numFmtId="0" fontId="22" fillId="0" borderId="217" xfId="0" applyFont="1" applyBorder="1" applyAlignment="1">
      <alignment horizontal="center" wrapText="1"/>
    </xf>
    <xf numFmtId="0" fontId="22" fillId="0" borderId="29" xfId="0" applyFont="1" applyBorder="1" applyAlignment="1">
      <alignment horizontal="center" wrapText="1"/>
    </xf>
    <xf numFmtId="0" fontId="12" fillId="0" borderId="65" xfId="0" applyFont="1" applyFill="1" applyBorder="1" applyAlignment="1" applyProtection="1">
      <alignment horizontal="center" vertical="center"/>
    </xf>
    <xf numFmtId="0" fontId="12" fillId="0" borderId="29" xfId="0" applyFont="1" applyFill="1" applyBorder="1" applyAlignment="1" applyProtection="1">
      <alignment horizontal="center" vertical="center"/>
    </xf>
    <xf numFmtId="0" fontId="50" fillId="0" borderId="11" xfId="0" applyFont="1" applyFill="1" applyBorder="1" applyAlignment="1" applyProtection="1">
      <alignment horizontal="right" vertical="top"/>
    </xf>
    <xf numFmtId="0" fontId="4" fillId="2" borderId="210" xfId="0" applyFont="1" applyFill="1" applyBorder="1" applyAlignment="1" applyProtection="1">
      <alignment horizontal="center" vertical="center" wrapText="1"/>
    </xf>
    <xf numFmtId="0" fontId="0" fillId="0" borderId="200" xfId="0" applyBorder="1" applyAlignment="1">
      <alignment horizontal="center" vertical="center"/>
    </xf>
    <xf numFmtId="0" fontId="0" fillId="0" borderId="209" xfId="0" applyBorder="1" applyAlignment="1">
      <alignment horizontal="center" vertical="center"/>
    </xf>
    <xf numFmtId="0" fontId="0" fillId="0" borderId="105" xfId="0" applyBorder="1" applyAlignment="1">
      <alignment horizontal="center" vertical="center"/>
    </xf>
    <xf numFmtId="0" fontId="0" fillId="0" borderId="0" xfId="0" applyBorder="1" applyAlignment="1">
      <alignment horizontal="center" vertical="center"/>
    </xf>
    <xf numFmtId="0" fontId="0" fillId="0" borderId="44" xfId="0" applyBorder="1" applyAlignment="1">
      <alignment horizontal="center" vertical="center"/>
    </xf>
    <xf numFmtId="0" fontId="0" fillId="0" borderId="39" xfId="0" applyBorder="1" applyAlignment="1">
      <alignment horizontal="center" vertical="center"/>
    </xf>
    <xf numFmtId="0" fontId="0" fillId="0" borderId="15" xfId="0" applyBorder="1" applyAlignment="1">
      <alignment horizontal="center" vertical="center"/>
    </xf>
    <xf numFmtId="0" fontId="0" fillId="0" borderId="41" xfId="0" applyBorder="1" applyAlignment="1">
      <alignment horizontal="center" vertical="center"/>
    </xf>
    <xf numFmtId="0" fontId="12" fillId="0" borderId="11" xfId="0" applyFont="1" applyFill="1" applyBorder="1" applyAlignment="1" applyProtection="1">
      <alignment horizontal="center" vertical="center"/>
    </xf>
    <xf numFmtId="0" fontId="12" fillId="0" borderId="10" xfId="0" applyFont="1" applyFill="1" applyBorder="1" applyAlignment="1" applyProtection="1">
      <alignment horizontal="center" vertical="center"/>
    </xf>
    <xf numFmtId="0" fontId="12" fillId="0" borderId="21" xfId="0" applyFont="1" applyFill="1" applyBorder="1" applyAlignment="1" applyProtection="1">
      <alignment horizontal="center" vertical="center"/>
    </xf>
    <xf numFmtId="49" fontId="12" fillId="0" borderId="0" xfId="0" applyNumberFormat="1" applyFont="1" applyFill="1" applyBorder="1" applyAlignment="1" applyProtection="1"/>
    <xf numFmtId="0" fontId="28" fillId="0" borderId="201" xfId="0" applyFont="1" applyFill="1" applyBorder="1" applyAlignment="1" applyProtection="1">
      <alignment horizontal="center" vertical="center" wrapText="1"/>
    </xf>
    <xf numFmtId="0" fontId="28" fillId="0" borderId="202" xfId="0" applyFont="1" applyFill="1" applyBorder="1" applyAlignment="1" applyProtection="1">
      <alignment horizontal="center" vertical="center" wrapText="1"/>
    </xf>
    <xf numFmtId="0" fontId="28" fillId="0" borderId="203" xfId="0" applyFont="1" applyFill="1" applyBorder="1" applyAlignment="1" applyProtection="1">
      <alignment horizontal="center" vertical="center" wrapText="1"/>
    </xf>
    <xf numFmtId="168" fontId="28" fillId="0" borderId="206" xfId="0" applyNumberFormat="1" applyFont="1" applyFill="1" applyBorder="1" applyAlignment="1" applyProtection="1">
      <alignment horizontal="center" vertical="center"/>
    </xf>
    <xf numFmtId="168" fontId="28" fillId="0" borderId="207" xfId="0" applyNumberFormat="1" applyFont="1" applyFill="1" applyBorder="1" applyAlignment="1" applyProtection="1">
      <alignment horizontal="center" vertical="center"/>
    </xf>
    <xf numFmtId="168" fontId="28" fillId="0" borderId="208" xfId="0" applyNumberFormat="1" applyFont="1" applyFill="1" applyBorder="1" applyAlignment="1" applyProtection="1">
      <alignment horizontal="center" vertical="center"/>
    </xf>
    <xf numFmtId="0" fontId="12" fillId="0" borderId="0" xfId="0" applyFont="1" applyFill="1" applyBorder="1" applyAlignment="1" applyProtection="1">
      <alignment horizontal="left" indent="2"/>
    </xf>
    <xf numFmtId="0" fontId="7" fillId="0" borderId="350" xfId="0" applyFont="1" applyFill="1" applyBorder="1" applyAlignment="1" applyProtection="1">
      <alignment horizontal="center" wrapText="1"/>
      <protection hidden="1"/>
    </xf>
    <xf numFmtId="0" fontId="26" fillId="0" borderId="355" xfId="0" applyFont="1" applyFill="1" applyBorder="1" applyAlignment="1" applyProtection="1">
      <alignment horizontal="center" wrapText="1"/>
      <protection hidden="1"/>
    </xf>
    <xf numFmtId="0" fontId="7" fillId="0" borderId="4" xfId="0" applyFont="1" applyFill="1" applyBorder="1" applyAlignment="1" applyProtection="1">
      <alignment horizontal="center" wrapText="1"/>
      <protection hidden="1"/>
    </xf>
    <xf numFmtId="0" fontId="26" fillId="0" borderId="356" xfId="0" applyFont="1" applyFill="1" applyBorder="1" applyAlignment="1" applyProtection="1">
      <alignment horizontal="center" wrapText="1"/>
      <protection hidden="1"/>
    </xf>
    <xf numFmtId="0" fontId="7" fillId="14" borderId="369" xfId="0" applyFont="1" applyFill="1" applyBorder="1" applyAlignment="1" applyProtection="1">
      <alignment horizontal="center" wrapText="1"/>
      <protection hidden="1"/>
    </xf>
    <xf numFmtId="0" fontId="26" fillId="14" borderId="363" xfId="0" applyFont="1" applyFill="1" applyBorder="1" applyAlignment="1" applyProtection="1">
      <alignment horizontal="center" wrapText="1"/>
      <protection hidden="1"/>
    </xf>
    <xf numFmtId="0" fontId="49" fillId="0" borderId="79" xfId="0" applyFont="1" applyFill="1" applyBorder="1" applyAlignment="1" applyProtection="1">
      <alignment horizontal="center" vertical="center"/>
    </xf>
    <xf numFmtId="0" fontId="49" fillId="0" borderId="322" xfId="0" applyFont="1" applyFill="1" applyBorder="1" applyAlignment="1" applyProtection="1">
      <alignment horizontal="center" vertical="center"/>
    </xf>
    <xf numFmtId="0" fontId="49" fillId="0" borderId="319" xfId="0" applyFont="1" applyFill="1" applyBorder="1" applyAlignment="1" applyProtection="1">
      <alignment horizontal="center" vertical="center"/>
    </xf>
    <xf numFmtId="0" fontId="49" fillId="0" borderId="119" xfId="0" applyFont="1" applyFill="1" applyBorder="1" applyAlignment="1" applyProtection="1">
      <alignment horizontal="center" vertical="center"/>
    </xf>
    <xf numFmtId="0" fontId="49" fillId="0" borderId="320" xfId="0" applyFont="1" applyFill="1" applyBorder="1" applyAlignment="1" applyProtection="1">
      <alignment horizontal="center" vertical="center"/>
    </xf>
    <xf numFmtId="0" fontId="49" fillId="0" borderId="318" xfId="0" applyFont="1" applyFill="1" applyBorder="1" applyAlignment="1" applyProtection="1">
      <alignment horizontal="center" vertical="center"/>
    </xf>
    <xf numFmtId="0" fontId="49" fillId="0" borderId="317" xfId="0" applyFont="1" applyFill="1" applyBorder="1" applyAlignment="1" applyProtection="1">
      <alignment horizontal="center" vertical="center"/>
    </xf>
    <xf numFmtId="0" fontId="53" fillId="0" borderId="12" xfId="0" applyFont="1" applyFill="1" applyBorder="1" applyAlignment="1" applyProtection="1">
      <alignment horizontal="center" vertical="center" wrapText="1"/>
    </xf>
    <xf numFmtId="0" fontId="54" fillId="0" borderId="12" xfId="0" applyFont="1" applyBorder="1" applyAlignment="1" applyProtection="1">
      <alignment horizontal="center" vertical="center" wrapText="1"/>
    </xf>
    <xf numFmtId="0" fontId="49" fillId="0" borderId="315" xfId="0" applyFont="1" applyFill="1" applyBorder="1" applyAlignment="1" applyProtection="1">
      <alignment horizontal="center" vertical="center"/>
    </xf>
    <xf numFmtId="0" fontId="49" fillId="0" borderId="116" xfId="0" applyFont="1" applyFill="1" applyBorder="1" applyAlignment="1" applyProtection="1">
      <alignment horizontal="center" vertical="center"/>
    </xf>
    <xf numFmtId="0" fontId="49" fillId="0" borderId="121" xfId="0" applyFont="1" applyFill="1" applyBorder="1" applyAlignment="1" applyProtection="1">
      <alignment horizontal="center" vertical="center"/>
    </xf>
    <xf numFmtId="0" fontId="30" fillId="0" borderId="284" xfId="0" applyFont="1" applyBorder="1" applyAlignment="1">
      <alignment horizontal="center" vertical="center" wrapText="1"/>
    </xf>
    <xf numFmtId="0" fontId="30" fillId="0" borderId="27" xfId="0" applyFont="1" applyBorder="1" applyAlignment="1">
      <alignment horizontal="center" vertical="center" wrapText="1"/>
    </xf>
    <xf numFmtId="0" fontId="30" fillId="0" borderId="229" xfId="0" applyFont="1" applyBorder="1" applyAlignment="1">
      <alignment horizontal="center" vertical="center" wrapText="1"/>
    </xf>
    <xf numFmtId="0" fontId="30" fillId="0" borderId="28" xfId="0" applyFont="1" applyBorder="1" applyAlignment="1">
      <alignment horizontal="center" vertical="center" wrapText="1"/>
    </xf>
    <xf numFmtId="0" fontId="12" fillId="0" borderId="243" xfId="0" applyFont="1" applyFill="1" applyBorder="1" applyAlignment="1" applyProtection="1">
      <alignment horizontal="center" vertical="center"/>
    </xf>
    <xf numFmtId="0" fontId="7" fillId="0" borderId="39" xfId="0" applyFont="1" applyFill="1" applyBorder="1" applyAlignment="1" applyProtection="1">
      <alignment horizontal="center" vertical="center" wrapText="1"/>
      <protection hidden="1"/>
    </xf>
    <xf numFmtId="0" fontId="26" fillId="0" borderId="41" xfId="0" applyFont="1" applyBorder="1" applyAlignment="1" applyProtection="1">
      <alignment horizontal="center" vertical="center" wrapText="1"/>
      <protection hidden="1"/>
    </xf>
    <xf numFmtId="0" fontId="26" fillId="0" borderId="263" xfId="0" applyFont="1" applyBorder="1" applyAlignment="1" applyProtection="1">
      <alignment horizontal="center" vertical="center" wrapText="1"/>
      <protection hidden="1"/>
    </xf>
    <xf numFmtId="0" fontId="26" fillId="0" borderId="235" xfId="0" applyFont="1" applyBorder="1" applyAlignment="1" applyProtection="1">
      <alignment horizontal="center" vertical="center" wrapText="1"/>
      <protection hidden="1"/>
    </xf>
    <xf numFmtId="0" fontId="7" fillId="0" borderId="29" xfId="0" applyFont="1" applyFill="1" applyBorder="1" applyAlignment="1" applyProtection="1">
      <alignment horizontal="center" vertical="center" wrapText="1"/>
      <protection hidden="1"/>
    </xf>
    <xf numFmtId="0" fontId="26" fillId="0" borderId="13" xfId="0" applyFont="1" applyBorder="1" applyAlignment="1" applyProtection="1">
      <alignment horizontal="center" vertical="center" wrapText="1"/>
      <protection hidden="1"/>
    </xf>
    <xf numFmtId="0" fontId="27" fillId="0" borderId="267" xfId="0" applyFont="1" applyFill="1" applyBorder="1" applyAlignment="1" applyProtection="1">
      <alignment horizontal="center" vertical="center" wrapText="1"/>
      <protection hidden="1"/>
    </xf>
    <xf numFmtId="0" fontId="27" fillId="0" borderId="268" xfId="0" applyFont="1" applyBorder="1" applyAlignment="1" applyProtection="1">
      <alignment horizontal="center" vertical="center" wrapText="1"/>
      <protection hidden="1"/>
    </xf>
    <xf numFmtId="0" fontId="7" fillId="0" borderId="247" xfId="0" applyFont="1" applyFill="1" applyBorder="1" applyAlignment="1" applyProtection="1">
      <alignment horizontal="center" vertical="center" wrapText="1"/>
      <protection hidden="1"/>
    </xf>
    <xf numFmtId="0" fontId="26" fillId="0" borderId="239" xfId="0" applyFont="1" applyBorder="1" applyAlignment="1" applyProtection="1">
      <alignment horizontal="center" vertical="center" wrapText="1"/>
      <protection hidden="1"/>
    </xf>
    <xf numFmtId="0" fontId="7" fillId="0" borderId="264" xfId="0" applyFont="1" applyFill="1" applyBorder="1" applyAlignment="1" applyProtection="1">
      <alignment horizontal="center" vertical="center" wrapText="1"/>
      <protection hidden="1"/>
    </xf>
    <xf numFmtId="0" fontId="26" fillId="0" borderId="265" xfId="0" applyFont="1" applyBorder="1" applyAlignment="1" applyProtection="1">
      <alignment horizontal="center" vertical="center" wrapText="1"/>
      <protection hidden="1"/>
    </xf>
    <xf numFmtId="0" fontId="49" fillId="0" borderId="60" xfId="0" applyFont="1" applyFill="1" applyBorder="1" applyAlignment="1" applyProtection="1">
      <alignment horizontal="center" vertical="center" wrapText="1"/>
    </xf>
    <xf numFmtId="0" fontId="49" fillId="0" borderId="79" xfId="0" applyFont="1" applyFill="1" applyBorder="1" applyAlignment="1" applyProtection="1">
      <alignment horizontal="center" vertical="center" wrapText="1"/>
    </xf>
    <xf numFmtId="0" fontId="49" fillId="0" borderId="322" xfId="0" applyFont="1" applyFill="1" applyBorder="1" applyAlignment="1" applyProtection="1">
      <alignment horizontal="center" vertical="center" wrapText="1"/>
    </xf>
    <xf numFmtId="0" fontId="49" fillId="0" borderId="12" xfId="0" applyFont="1" applyFill="1" applyBorder="1" applyAlignment="1" applyProtection="1">
      <alignment horizontal="center" vertical="center" wrapText="1"/>
    </xf>
    <xf numFmtId="0" fontId="62" fillId="0" borderId="319" xfId="0" applyFont="1" applyFill="1" applyBorder="1" applyAlignment="1" applyProtection="1">
      <alignment horizontal="center" vertical="center"/>
    </xf>
    <xf numFmtId="0" fontId="62" fillId="0" borderId="320" xfId="0" applyFont="1" applyFill="1" applyBorder="1" applyAlignment="1" applyProtection="1">
      <alignment horizontal="center" vertical="center"/>
    </xf>
    <xf numFmtId="0" fontId="49" fillId="0" borderId="77" xfId="0" applyFont="1" applyFill="1" applyBorder="1" applyAlignment="1" applyProtection="1">
      <alignment horizontal="center" vertical="center"/>
    </xf>
    <xf numFmtId="0" fontId="50" fillId="0" borderId="238" xfId="0" applyFont="1" applyFill="1" applyBorder="1" applyAlignment="1" applyProtection="1">
      <alignment horizontal="center" vertical="center" wrapText="1"/>
      <protection hidden="1"/>
    </xf>
    <xf numFmtId="0" fontId="50" fillId="0" borderId="239" xfId="0" applyFont="1" applyBorder="1" applyAlignment="1" applyProtection="1">
      <alignment horizontal="center" vertical="center" wrapText="1"/>
      <protection hidden="1"/>
    </xf>
    <xf numFmtId="0" fontId="29" fillId="0" borderId="391" xfId="0" applyFont="1" applyFill="1" applyBorder="1" applyAlignment="1" applyProtection="1">
      <alignment horizontal="center" vertical="center" wrapText="1"/>
      <protection hidden="1"/>
    </xf>
    <xf numFmtId="0" fontId="29" fillId="0" borderId="395" xfId="0" applyFont="1" applyBorder="1" applyAlignment="1" applyProtection="1">
      <alignment horizontal="center" vertical="center" wrapText="1"/>
      <protection hidden="1"/>
    </xf>
    <xf numFmtId="0" fontId="30" fillId="0" borderId="392" xfId="0" applyFont="1" applyFill="1" applyBorder="1" applyAlignment="1" applyProtection="1">
      <alignment horizontal="center" vertical="center" wrapText="1"/>
      <protection hidden="1"/>
    </xf>
    <xf numFmtId="0" fontId="22" fillId="0" borderId="393" xfId="0" applyFont="1" applyBorder="1" applyAlignment="1" applyProtection="1">
      <alignment horizontal="center" vertical="center" wrapText="1"/>
      <protection hidden="1"/>
    </xf>
    <xf numFmtId="0" fontId="22" fillId="0" borderId="396" xfId="0" applyFont="1" applyBorder="1" applyAlignment="1" applyProtection="1">
      <alignment horizontal="center" vertical="center" wrapText="1"/>
      <protection hidden="1"/>
    </xf>
    <xf numFmtId="0" fontId="22" fillId="0" borderId="397" xfId="0" applyFont="1" applyBorder="1" applyAlignment="1" applyProtection="1">
      <alignment horizontal="center" vertical="center" wrapText="1"/>
      <protection hidden="1"/>
    </xf>
    <xf numFmtId="0" fontId="29" fillId="0" borderId="27" xfId="0" applyFont="1" applyFill="1" applyBorder="1" applyAlignment="1" applyProtection="1">
      <alignment horizontal="center" vertical="center" wrapText="1"/>
      <protection hidden="1"/>
    </xf>
    <xf numFmtId="0" fontId="29" fillId="0" borderId="240" xfId="0" applyFont="1" applyBorder="1" applyAlignment="1" applyProtection="1">
      <alignment horizontal="center" vertical="center" wrapText="1"/>
      <protection hidden="1"/>
    </xf>
    <xf numFmtId="0" fontId="30" fillId="0" borderId="297" xfId="0" applyFont="1" applyFill="1" applyBorder="1" applyAlignment="1" applyProtection="1">
      <alignment horizontal="center" vertical="center" wrapText="1"/>
      <protection hidden="1"/>
    </xf>
    <xf numFmtId="0" fontId="22" fillId="0" borderId="296" xfId="0" applyFont="1" applyBorder="1" applyAlignment="1" applyProtection="1">
      <alignment horizontal="center" vertical="center" wrapText="1"/>
      <protection hidden="1"/>
    </xf>
    <xf numFmtId="0" fontId="22" fillId="0" borderId="242" xfId="0" applyFont="1" applyBorder="1" applyAlignment="1" applyProtection="1">
      <alignment horizontal="center" vertical="center" wrapText="1"/>
      <protection hidden="1"/>
    </xf>
    <xf numFmtId="0" fontId="22" fillId="0" borderId="236" xfId="0" applyFont="1" applyBorder="1" applyAlignment="1" applyProtection="1">
      <alignment horizontal="center" vertical="center" wrapText="1"/>
      <protection hidden="1"/>
    </xf>
    <xf numFmtId="0" fontId="111" fillId="7" borderId="273" xfId="0" applyFont="1" applyFill="1" applyBorder="1" applyAlignment="1" applyProtection="1">
      <alignment horizontal="center" vertical="center"/>
    </xf>
    <xf numFmtId="0" fontId="111" fillId="7" borderId="261" xfId="0" applyFont="1" applyFill="1" applyBorder="1" applyAlignment="1" applyProtection="1">
      <alignment horizontal="center" vertical="center"/>
    </xf>
    <xf numFmtId="0" fontId="22" fillId="0" borderId="49" xfId="0" applyFont="1" applyFill="1" applyBorder="1" applyAlignment="1" applyProtection="1">
      <alignment horizontal="center" wrapText="1"/>
      <protection hidden="1"/>
    </xf>
    <xf numFmtId="0" fontId="22" fillId="0" borderId="244" xfId="0" applyFont="1" applyFill="1" applyBorder="1" applyAlignment="1" applyProtection="1">
      <alignment wrapText="1"/>
      <protection hidden="1"/>
    </xf>
    <xf numFmtId="0" fontId="22" fillId="0" borderId="243" xfId="0" applyFont="1" applyFill="1" applyBorder="1" applyAlignment="1" applyProtection="1">
      <alignment horizontal="center" wrapText="1"/>
      <protection hidden="1"/>
    </xf>
    <xf numFmtId="0" fontId="50" fillId="0" borderId="378" xfId="0" applyFont="1" applyFill="1" applyBorder="1" applyAlignment="1" applyProtection="1">
      <alignment horizontal="center" vertical="center" wrapText="1"/>
      <protection hidden="1"/>
    </xf>
    <xf numFmtId="0" fontId="50" fillId="0" borderId="245" xfId="0" applyFont="1" applyBorder="1" applyAlignment="1" applyProtection="1">
      <alignment horizontal="center" vertical="center" wrapText="1"/>
      <protection hidden="1"/>
    </xf>
    <xf numFmtId="0" fontId="30" fillId="0" borderId="387" xfId="0" applyFont="1" applyFill="1" applyBorder="1" applyAlignment="1" applyProtection="1">
      <alignment horizontal="center" vertical="center" wrapText="1"/>
      <protection hidden="1"/>
    </xf>
    <xf numFmtId="0" fontId="22" fillId="0" borderId="389" xfId="0" applyFont="1" applyBorder="1" applyAlignment="1" applyProtection="1">
      <alignment horizontal="center" vertical="center" wrapText="1"/>
      <protection hidden="1"/>
    </xf>
    <xf numFmtId="0" fontId="50" fillId="0" borderId="394" xfId="0" applyFont="1" applyFill="1" applyBorder="1" applyAlignment="1" applyProtection="1">
      <alignment horizontal="center" vertical="center" wrapText="1"/>
      <protection hidden="1"/>
    </xf>
    <xf numFmtId="0" fontId="50" fillId="0" borderId="398" xfId="0" applyFont="1" applyBorder="1" applyAlignment="1" applyProtection="1">
      <alignment horizontal="center" vertical="center" wrapText="1"/>
      <protection hidden="1"/>
    </xf>
    <xf numFmtId="0" fontId="12" fillId="7" borderId="274" xfId="0" applyFont="1" applyFill="1" applyBorder="1" applyAlignment="1" applyProtection="1">
      <alignment horizontal="center" vertical="center" wrapText="1"/>
      <protection hidden="1"/>
    </xf>
    <xf numFmtId="0" fontId="30" fillId="7" borderId="227" xfId="0" applyFont="1" applyFill="1" applyBorder="1" applyAlignment="1" applyProtection="1">
      <alignment horizontal="center" vertical="center" wrapText="1"/>
      <protection hidden="1"/>
    </xf>
    <xf numFmtId="0" fontId="12" fillId="7" borderId="272" xfId="0" applyFont="1" applyFill="1" applyBorder="1" applyAlignment="1" applyProtection="1">
      <alignment horizontal="center" vertical="center" wrapText="1"/>
      <protection hidden="1"/>
    </xf>
    <xf numFmtId="0" fontId="30" fillId="7" borderId="273" xfId="0" applyFont="1" applyFill="1" applyBorder="1" applyAlignment="1" applyProtection="1">
      <alignment horizontal="center" vertical="center" wrapText="1"/>
      <protection hidden="1"/>
    </xf>
    <xf numFmtId="0" fontId="10" fillId="0" borderId="0" xfId="0" applyFont="1" applyFill="1" applyBorder="1" applyAlignment="1" applyProtection="1">
      <alignment horizontal="center" vertical="center"/>
      <protection hidden="1"/>
    </xf>
    <xf numFmtId="0" fontId="0" fillId="0" borderId="0" xfId="0" applyAlignment="1" applyProtection="1"/>
    <xf numFmtId="0" fontId="4" fillId="20" borderId="362" xfId="0" applyFont="1" applyFill="1" applyBorder="1" applyAlignment="1" applyProtection="1">
      <alignment horizontal="center" wrapText="1"/>
      <protection hidden="1"/>
    </xf>
    <xf numFmtId="0" fontId="0" fillId="0" borderId="364" xfId="0" applyBorder="1" applyAlignment="1">
      <alignment horizontal="center" wrapText="1"/>
    </xf>
    <xf numFmtId="0" fontId="4" fillId="13" borderId="362" xfId="0" applyFont="1" applyFill="1" applyBorder="1" applyAlignment="1" applyProtection="1">
      <alignment horizontal="center" wrapText="1"/>
      <protection hidden="1"/>
    </xf>
    <xf numFmtId="0" fontId="0" fillId="13" borderId="364" xfId="0" applyFill="1" applyBorder="1" applyAlignment="1">
      <alignment horizontal="center" wrapText="1"/>
    </xf>
    <xf numFmtId="0" fontId="61" fillId="2" borderId="13" xfId="0" applyFont="1" applyFill="1" applyBorder="1" applyAlignment="1" applyProtection="1">
      <alignment horizontal="center" wrapText="1"/>
      <protection hidden="1"/>
    </xf>
    <xf numFmtId="0" fontId="61" fillId="0" borderId="98" xfId="0" applyFont="1" applyBorder="1" applyAlignment="1" applyProtection="1">
      <alignment wrapText="1"/>
      <protection hidden="1"/>
    </xf>
    <xf numFmtId="0" fontId="61" fillId="2" borderId="266" xfId="0" applyFont="1" applyFill="1" applyBorder="1" applyAlignment="1" applyProtection="1">
      <alignment horizontal="center" wrapText="1"/>
      <protection hidden="1"/>
    </xf>
    <xf numFmtId="0" fontId="61" fillId="2" borderId="258" xfId="0" applyFont="1" applyFill="1" applyBorder="1" applyAlignment="1" applyProtection="1">
      <alignment horizontal="center" wrapText="1"/>
      <protection hidden="1"/>
    </xf>
    <xf numFmtId="0" fontId="61" fillId="2" borderId="259" xfId="0" applyFont="1" applyFill="1" applyBorder="1" applyAlignment="1" applyProtection="1">
      <alignment horizontal="center" wrapText="1"/>
      <protection hidden="1"/>
    </xf>
    <xf numFmtId="0" fontId="61" fillId="2" borderId="260" xfId="0" applyFont="1" applyFill="1" applyBorder="1" applyAlignment="1" applyProtection="1">
      <alignment horizontal="center" wrapText="1"/>
      <protection hidden="1"/>
    </xf>
    <xf numFmtId="0" fontId="61" fillId="2" borderId="52" xfId="0" applyFont="1" applyFill="1" applyBorder="1" applyAlignment="1" applyProtection="1">
      <alignment horizontal="center" wrapText="1"/>
      <protection hidden="1"/>
    </xf>
    <xf numFmtId="0" fontId="61" fillId="0" borderId="32" xfId="0" applyFont="1" applyBorder="1" applyAlignment="1" applyProtection="1">
      <alignment wrapText="1"/>
      <protection hidden="1"/>
    </xf>
    <xf numFmtId="0" fontId="61" fillId="2" borderId="98" xfId="0" applyFont="1" applyFill="1" applyBorder="1" applyAlignment="1" applyProtection="1">
      <alignment wrapText="1"/>
      <protection hidden="1"/>
    </xf>
    <xf numFmtId="0" fontId="4" fillId="2" borderId="237" xfId="0" applyNumberFormat="1" applyFont="1" applyFill="1" applyBorder="1" applyAlignment="1" applyProtection="1">
      <alignment horizontal="center" wrapText="1"/>
      <protection hidden="1"/>
    </xf>
    <xf numFmtId="0" fontId="4" fillId="2" borderId="224" xfId="0" applyNumberFormat="1" applyFont="1" applyFill="1" applyBorder="1" applyAlignment="1" applyProtection="1">
      <alignment horizontal="center" wrapText="1"/>
      <protection hidden="1"/>
    </xf>
    <xf numFmtId="0" fontId="4" fillId="2" borderId="237" xfId="0" quotePrefix="1" applyFont="1" applyFill="1" applyBorder="1" applyAlignment="1" applyProtection="1">
      <alignment horizontal="center" wrapText="1"/>
      <protection hidden="1"/>
    </xf>
    <xf numFmtId="0" fontId="4" fillId="2" borderId="224" xfId="0" quotePrefix="1" applyFont="1" applyFill="1" applyBorder="1" applyAlignment="1" applyProtection="1">
      <alignment horizontal="center" wrapText="1"/>
      <protection hidden="1"/>
    </xf>
    <xf numFmtId="0" fontId="30" fillId="2" borderId="231" xfId="0" applyFont="1" applyFill="1" applyBorder="1" applyAlignment="1" applyProtection="1">
      <alignment horizontal="center" wrapText="1"/>
      <protection hidden="1"/>
    </xf>
    <xf numFmtId="0" fontId="30" fillId="2" borderId="230" xfId="0" applyFont="1" applyFill="1" applyBorder="1" applyAlignment="1" applyProtection="1">
      <alignment horizontal="center" wrapText="1"/>
      <protection hidden="1"/>
    </xf>
    <xf numFmtId="0" fontId="30" fillId="2" borderId="219" xfId="0" applyFont="1" applyFill="1" applyBorder="1" applyAlignment="1" applyProtection="1">
      <alignment horizontal="center" wrapText="1"/>
      <protection hidden="1"/>
    </xf>
    <xf numFmtId="0" fontId="30" fillId="2" borderId="109" xfId="0" applyFont="1" applyFill="1" applyBorder="1" applyAlignment="1" applyProtection="1">
      <alignment horizontal="center" wrapText="1"/>
      <protection hidden="1"/>
    </xf>
    <xf numFmtId="0" fontId="10" fillId="2" borderId="80" xfId="0" applyFont="1" applyFill="1" applyBorder="1" applyAlignment="1" applyProtection="1">
      <alignment horizontal="center" vertical="center" wrapText="1"/>
      <protection hidden="1"/>
    </xf>
    <xf numFmtId="0" fontId="4" fillId="2" borderId="43" xfId="0" applyFont="1" applyFill="1" applyBorder="1" applyAlignment="1" applyProtection="1">
      <alignment wrapText="1"/>
      <protection hidden="1"/>
    </xf>
    <xf numFmtId="0" fontId="4" fillId="2" borderId="46" xfId="0" applyFont="1" applyFill="1" applyBorder="1" applyAlignment="1" applyProtection="1">
      <alignment wrapText="1"/>
      <protection hidden="1"/>
    </xf>
    <xf numFmtId="0" fontId="4" fillId="2" borderId="228" xfId="0" applyFont="1" applyFill="1" applyBorder="1" applyAlignment="1" applyProtection="1">
      <alignment wrapText="1"/>
      <protection hidden="1"/>
    </xf>
    <xf numFmtId="0" fontId="4" fillId="2" borderId="15" xfId="0" applyFont="1" applyFill="1" applyBorder="1" applyAlignment="1" applyProtection="1">
      <alignment wrapText="1"/>
      <protection hidden="1"/>
    </xf>
    <xf numFmtId="0" fontId="4" fillId="2" borderId="37" xfId="0" applyFont="1" applyFill="1" applyBorder="1" applyAlignment="1" applyProtection="1">
      <alignment wrapText="1"/>
      <protection hidden="1"/>
    </xf>
    <xf numFmtId="0" fontId="4" fillId="20" borderId="365" xfId="0" applyFont="1" applyFill="1" applyBorder="1" applyAlignment="1" applyProtection="1">
      <alignment horizontal="center" wrapText="1"/>
      <protection hidden="1"/>
    </xf>
    <xf numFmtId="0" fontId="0" fillId="0" borderId="366" xfId="0" applyBorder="1" applyAlignment="1">
      <alignment horizontal="center" wrapText="1"/>
    </xf>
    <xf numFmtId="0" fontId="61" fillId="2" borderId="275" xfId="0" applyFont="1" applyFill="1" applyBorder="1" applyAlignment="1" applyProtection="1">
      <alignment horizontal="center"/>
      <protection hidden="1"/>
    </xf>
    <xf numFmtId="0" fontId="61" fillId="0" borderId="55" xfId="0" applyFont="1" applyBorder="1" applyAlignment="1" applyProtection="1">
      <alignment horizontal="center"/>
      <protection hidden="1"/>
    </xf>
    <xf numFmtId="0" fontId="61" fillId="2" borderId="275" xfId="0" applyFont="1" applyFill="1" applyBorder="1" applyAlignment="1" applyProtection="1">
      <alignment horizontal="center" wrapText="1"/>
      <protection hidden="1"/>
    </xf>
    <xf numFmtId="0" fontId="61" fillId="0" borderId="55" xfId="0" applyFont="1" applyBorder="1" applyAlignment="1" applyProtection="1">
      <alignment horizontal="center" wrapText="1"/>
      <protection hidden="1"/>
    </xf>
    <xf numFmtId="0" fontId="61" fillId="0" borderId="98" xfId="0" applyFont="1" applyBorder="1" applyAlignment="1" applyProtection="1">
      <alignment horizontal="center" wrapText="1"/>
      <protection hidden="1"/>
    </xf>
    <xf numFmtId="0" fontId="61" fillId="2" borderId="54" xfId="0" applyFont="1" applyFill="1" applyBorder="1" applyAlignment="1" applyProtection="1">
      <alignment horizontal="center" wrapText="1"/>
      <protection hidden="1"/>
    </xf>
    <xf numFmtId="0" fontId="61" fillId="0" borderId="31" xfId="0" applyFont="1" applyBorder="1" applyAlignment="1" applyProtection="1">
      <alignment wrapText="1"/>
      <protection hidden="1"/>
    </xf>
    <xf numFmtId="0" fontId="61" fillId="0" borderId="31" xfId="0" applyFont="1" applyBorder="1" applyAlignment="1" applyProtection="1">
      <alignment horizontal="center" wrapText="1"/>
      <protection hidden="1"/>
    </xf>
    <xf numFmtId="0" fontId="26" fillId="0" borderId="211" xfId="0" applyFont="1" applyFill="1" applyBorder="1" applyAlignment="1" applyProtection="1">
      <alignment horizontal="center" vertical="center" wrapText="1"/>
      <protection hidden="1"/>
    </xf>
    <xf numFmtId="0" fontId="26" fillId="0" borderId="242" xfId="0" applyFont="1" applyBorder="1" applyAlignment="1" applyProtection="1">
      <alignment horizontal="center" vertical="center" wrapText="1"/>
      <protection hidden="1"/>
    </xf>
    <xf numFmtId="0" fontId="7" fillId="0" borderId="246" xfId="0" applyFont="1" applyFill="1" applyBorder="1" applyAlignment="1" applyProtection="1">
      <alignment horizontal="center" vertical="center" wrapText="1"/>
      <protection hidden="1"/>
    </xf>
    <xf numFmtId="0" fontId="26" fillId="0" borderId="247" xfId="0" applyFont="1" applyBorder="1" applyAlignment="1" applyProtection="1">
      <alignment horizontal="center" vertical="center" wrapText="1"/>
      <protection hidden="1"/>
    </xf>
    <xf numFmtId="0" fontId="26" fillId="0" borderId="233" xfId="0" applyFont="1" applyBorder="1" applyAlignment="1" applyProtection="1">
      <alignment horizontal="center" vertical="center" wrapText="1"/>
      <protection hidden="1"/>
    </xf>
    <xf numFmtId="0" fontId="3" fillId="20" borderId="362" xfId="0" applyFont="1" applyFill="1" applyBorder="1" applyAlignment="1" applyProtection="1">
      <alignment horizontal="center" wrapText="1"/>
      <protection hidden="1"/>
    </xf>
    <xf numFmtId="0" fontId="0" fillId="0" borderId="362" xfId="0" applyBorder="1" applyAlignment="1">
      <alignment horizontal="center" wrapText="1"/>
    </xf>
    <xf numFmtId="0" fontId="12" fillId="0" borderId="48" xfId="0" applyNumberFormat="1" applyFont="1" applyFill="1" applyBorder="1" applyAlignment="1" applyProtection="1">
      <alignment horizontal="center" vertical="center" wrapText="1"/>
      <protection hidden="1"/>
    </xf>
    <xf numFmtId="0" fontId="0" fillId="0" borderId="115" xfId="0" applyBorder="1" applyAlignment="1">
      <alignment wrapText="1"/>
    </xf>
    <xf numFmtId="0" fontId="0" fillId="0" borderId="49" xfId="0" applyBorder="1" applyAlignment="1">
      <alignment wrapText="1"/>
    </xf>
    <xf numFmtId="0" fontId="0" fillId="0" borderId="50" xfId="0" applyBorder="1" applyAlignment="1">
      <alignment wrapText="1"/>
    </xf>
    <xf numFmtId="0" fontId="0" fillId="0" borderId="0" xfId="0" applyBorder="1" applyAlignment="1">
      <alignment wrapText="1"/>
    </xf>
    <xf numFmtId="0" fontId="0" fillId="0" borderId="51" xfId="0" applyBorder="1" applyAlignment="1">
      <alignment wrapText="1"/>
    </xf>
    <xf numFmtId="0" fontId="29" fillId="0" borderId="217" xfId="0" applyFont="1" applyFill="1" applyBorder="1" applyAlignment="1" applyProtection="1">
      <alignment horizontal="center" wrapText="1"/>
      <protection hidden="1"/>
    </xf>
    <xf numFmtId="0" fontId="29" fillId="0" borderId="230" xfId="0" applyFont="1" applyFill="1" applyBorder="1" applyAlignment="1" applyProtection="1">
      <alignment horizontal="center" wrapText="1"/>
      <protection hidden="1"/>
    </xf>
    <xf numFmtId="0" fontId="29" fillId="0" borderId="229" xfId="0" applyFont="1" applyFill="1" applyBorder="1" applyAlignment="1" applyProtection="1">
      <alignment horizontal="center" wrapText="1"/>
      <protection hidden="1"/>
    </xf>
    <xf numFmtId="0" fontId="29" fillId="0" borderId="378" xfId="0" applyFont="1" applyFill="1" applyBorder="1" applyAlignment="1" applyProtection="1">
      <alignment horizontal="center" wrapText="1"/>
      <protection hidden="1"/>
    </xf>
    <xf numFmtId="0" fontId="30" fillId="0" borderId="111" xfId="0" applyFont="1" applyFill="1" applyBorder="1" applyAlignment="1" applyProtection="1">
      <alignment horizontal="center"/>
      <protection hidden="1"/>
    </xf>
    <xf numFmtId="0" fontId="22" fillId="0" borderId="217" xfId="0" applyFont="1" applyBorder="1" applyAlignment="1" applyProtection="1">
      <alignment horizontal="center"/>
      <protection hidden="1"/>
    </xf>
    <xf numFmtId="0" fontId="12" fillId="7" borderId="227" xfId="0" applyFont="1" applyFill="1" applyBorder="1" applyAlignment="1" applyProtection="1">
      <alignment horizontal="center" vertical="center" wrapText="1"/>
      <protection hidden="1"/>
    </xf>
    <xf numFmtId="0" fontId="12" fillId="0" borderId="198" xfId="0" applyFont="1" applyBorder="1" applyAlignment="1" applyProtection="1">
      <alignment horizontal="center" vertical="center"/>
      <protection hidden="1"/>
    </xf>
    <xf numFmtId="0" fontId="12" fillId="0" borderId="199" xfId="0" applyFont="1" applyBorder="1" applyAlignment="1" applyProtection="1">
      <alignment horizontal="center" vertical="center"/>
      <protection hidden="1"/>
    </xf>
    <xf numFmtId="0" fontId="7" fillId="0" borderId="1" xfId="0" applyFont="1" applyFill="1" applyBorder="1" applyAlignment="1" applyProtection="1">
      <alignment horizontal="center" wrapText="1"/>
      <protection hidden="1"/>
    </xf>
    <xf numFmtId="0" fontId="26" fillId="0" borderId="354" xfId="0" applyFont="1" applyFill="1" applyBorder="1" applyAlignment="1" applyProtection="1">
      <alignment horizontal="center" wrapText="1"/>
      <protection hidden="1"/>
    </xf>
    <xf numFmtId="0" fontId="12" fillId="2" borderId="65" xfId="0" applyFont="1" applyFill="1" applyBorder="1" applyAlignment="1" applyProtection="1">
      <alignment horizontal="center" vertical="center" wrapText="1"/>
    </xf>
    <xf numFmtId="0" fontId="12" fillId="2" borderId="29" xfId="0" applyFont="1" applyFill="1" applyBorder="1" applyAlignment="1" applyProtection="1">
      <alignment horizontal="center" vertical="center" wrapText="1"/>
    </xf>
    <xf numFmtId="0" fontId="9" fillId="5" borderId="48" xfId="0" applyFont="1" applyFill="1" applyBorder="1" applyAlignment="1" applyProtection="1">
      <alignment horizontal="center" vertical="center" wrapText="1"/>
      <protection hidden="1"/>
    </xf>
    <xf numFmtId="0" fontId="0" fillId="0" borderId="127" xfId="0" applyBorder="1" applyAlignment="1">
      <alignment wrapText="1"/>
    </xf>
    <xf numFmtId="0" fontId="0" fillId="0" borderId="128" xfId="0" applyBorder="1" applyAlignment="1">
      <alignment wrapText="1"/>
    </xf>
    <xf numFmtId="0" fontId="0" fillId="0" borderId="129" xfId="0" applyBorder="1" applyAlignment="1">
      <alignment wrapText="1"/>
    </xf>
    <xf numFmtId="0" fontId="3" fillId="20" borderId="361" xfId="0" applyFont="1" applyFill="1" applyBorder="1" applyAlignment="1" applyProtection="1">
      <alignment horizontal="center" wrapText="1"/>
      <protection hidden="1"/>
    </xf>
    <xf numFmtId="0" fontId="0" fillId="0" borderId="363" xfId="0" applyBorder="1" applyAlignment="1">
      <alignment horizontal="center" wrapText="1"/>
    </xf>
    <xf numFmtId="0" fontId="8" fillId="2" borderId="80" xfId="0" applyFont="1" applyFill="1" applyBorder="1" applyAlignment="1" applyProtection="1">
      <alignment horizontal="center" vertical="center" wrapText="1"/>
      <protection hidden="1"/>
    </xf>
    <xf numFmtId="0" fontId="8" fillId="2" borderId="43" xfId="0" applyFont="1" applyFill="1" applyBorder="1" applyAlignment="1" applyProtection="1">
      <alignment horizontal="center" vertical="center"/>
      <protection hidden="1"/>
    </xf>
    <xf numFmtId="0" fontId="8" fillId="2" borderId="46" xfId="0" applyFont="1" applyFill="1" applyBorder="1" applyAlignment="1" applyProtection="1">
      <alignment horizontal="center" vertical="center"/>
      <protection hidden="1"/>
    </xf>
    <xf numFmtId="0" fontId="8" fillId="2" borderId="269" xfId="0" applyFont="1" applyFill="1" applyBorder="1" applyAlignment="1" applyProtection="1">
      <alignment horizontal="center" vertical="center"/>
      <protection hidden="1"/>
    </xf>
    <xf numFmtId="0" fontId="8" fillId="2" borderId="96" xfId="0" applyFont="1" applyFill="1" applyBorder="1" applyAlignment="1" applyProtection="1">
      <alignment horizontal="center" vertical="center"/>
      <protection hidden="1"/>
    </xf>
    <xf numFmtId="0" fontId="8" fillId="2" borderId="270" xfId="0" applyFont="1" applyFill="1" applyBorder="1" applyAlignment="1" applyProtection="1">
      <alignment horizontal="center" vertical="center"/>
      <protection hidden="1"/>
    </xf>
    <xf numFmtId="0" fontId="30" fillId="2" borderId="218" xfId="0" applyFont="1" applyFill="1" applyBorder="1" applyAlignment="1" applyProtection="1">
      <alignment horizontal="center" wrapText="1"/>
      <protection hidden="1"/>
    </xf>
    <xf numFmtId="0" fontId="30" fillId="2" borderId="110" xfId="0" applyFont="1" applyFill="1" applyBorder="1" applyAlignment="1" applyProtection="1">
      <alignment horizontal="center" wrapText="1"/>
      <protection hidden="1"/>
    </xf>
    <xf numFmtId="0" fontId="4" fillId="2" borderId="13" xfId="0" applyFont="1" applyFill="1" applyBorder="1" applyAlignment="1" applyProtection="1">
      <alignment horizontal="center" wrapText="1"/>
      <protection hidden="1"/>
    </xf>
    <xf numFmtId="0" fontId="0" fillId="0" borderId="98" xfId="0" applyBorder="1" applyAlignment="1"/>
    <xf numFmtId="0" fontId="30" fillId="2" borderId="20" xfId="0" applyFont="1" applyFill="1" applyBorder="1" applyAlignment="1" applyProtection="1">
      <alignment horizontal="center" wrapText="1"/>
      <protection hidden="1"/>
    </xf>
    <xf numFmtId="0" fontId="30" fillId="2" borderId="16" xfId="0" applyFont="1" applyFill="1" applyBorder="1" applyAlignment="1" applyProtection="1">
      <alignment horizontal="center" wrapText="1"/>
      <protection hidden="1"/>
    </xf>
    <xf numFmtId="0" fontId="26" fillId="2" borderId="232" xfId="0" applyFont="1" applyFill="1" applyBorder="1" applyAlignment="1" applyProtection="1">
      <alignment horizontal="center" wrapText="1"/>
      <protection hidden="1"/>
    </xf>
    <xf numFmtId="0" fontId="26" fillId="2" borderId="233" xfId="0" applyFont="1" applyFill="1" applyBorder="1" applyAlignment="1" applyProtection="1">
      <alignment horizontal="center" wrapText="1"/>
      <protection hidden="1"/>
    </xf>
    <xf numFmtId="0" fontId="0" fillId="2" borderId="234" xfId="0" applyFill="1" applyBorder="1" applyAlignment="1" applyProtection="1">
      <alignment horizontal="center" wrapText="1"/>
      <protection hidden="1"/>
    </xf>
    <xf numFmtId="0" fontId="0" fillId="2" borderId="109" xfId="0" applyFill="1" applyBorder="1" applyAlignment="1" applyProtection="1">
      <alignment horizontal="center" wrapText="1"/>
      <protection hidden="1"/>
    </xf>
    <xf numFmtId="176" fontId="0" fillId="2" borderId="65" xfId="0" applyNumberFormat="1" applyFill="1" applyBorder="1" applyAlignment="1" applyProtection="1">
      <alignment horizontal="center" wrapText="1"/>
      <protection hidden="1"/>
    </xf>
    <xf numFmtId="176" fontId="0" fillId="2" borderId="230" xfId="0" applyNumberFormat="1" applyFill="1" applyBorder="1" applyAlignment="1" applyProtection="1">
      <alignment horizontal="center" wrapText="1"/>
      <protection hidden="1"/>
    </xf>
    <xf numFmtId="176" fontId="29" fillId="2" borderId="65" xfId="0" applyNumberFormat="1" applyFont="1" applyFill="1" applyBorder="1" applyAlignment="1" applyProtection="1">
      <alignment horizontal="center" wrapText="1"/>
      <protection hidden="1"/>
    </xf>
    <xf numFmtId="176" fontId="29" fillId="2" borderId="230" xfId="0" applyNumberFormat="1" applyFont="1" applyFill="1" applyBorder="1" applyAlignment="1" applyProtection="1">
      <alignment horizontal="center" wrapText="1"/>
      <protection hidden="1"/>
    </xf>
    <xf numFmtId="176" fontId="0" fillId="2" borderId="235" xfId="0" applyNumberFormat="1" applyFill="1" applyBorder="1" applyAlignment="1" applyProtection="1">
      <alignment horizontal="center" wrapText="1"/>
      <protection hidden="1"/>
    </xf>
    <xf numFmtId="0" fontId="0" fillId="2" borderId="236" xfId="0" applyFill="1" applyBorder="1" applyAlignment="1" applyProtection="1">
      <alignment horizontal="center" wrapText="1"/>
      <protection hidden="1"/>
    </xf>
    <xf numFmtId="0" fontId="30" fillId="2" borderId="218" xfId="0" applyFont="1" applyFill="1" applyBorder="1" applyAlignment="1" applyProtection="1">
      <alignment horizontal="center" vertical="center"/>
    </xf>
    <xf numFmtId="0" fontId="30" fillId="2" borderId="219" xfId="0" applyFont="1" applyFill="1" applyBorder="1" applyAlignment="1" applyProtection="1">
      <alignment horizontal="center" vertical="center"/>
    </xf>
    <xf numFmtId="0" fontId="61" fillId="2" borderId="40" xfId="0" applyFont="1" applyFill="1" applyBorder="1" applyAlignment="1" applyProtection="1">
      <alignment horizontal="center" vertical="center" wrapText="1"/>
      <protection hidden="1"/>
    </xf>
    <xf numFmtId="0" fontId="61" fillId="2" borderId="236" xfId="0" applyFont="1" applyFill="1" applyBorder="1" applyAlignment="1" applyProtection="1">
      <alignment horizontal="center" vertical="center" wrapText="1"/>
      <protection hidden="1"/>
    </xf>
    <xf numFmtId="0" fontId="61" fillId="2" borderId="35" xfId="0" applyFont="1" applyFill="1" applyBorder="1" applyAlignment="1" applyProtection="1">
      <alignment horizontal="center" vertical="center" wrapText="1"/>
      <protection hidden="1"/>
    </xf>
    <xf numFmtId="0" fontId="61" fillId="2" borderId="255" xfId="0" applyFont="1" applyFill="1" applyBorder="1" applyAlignment="1" applyProtection="1">
      <alignment horizontal="center" vertical="center" wrapText="1"/>
      <protection hidden="1"/>
    </xf>
    <xf numFmtId="1" fontId="0" fillId="2" borderId="65" xfId="0" applyNumberFormat="1" applyFill="1" applyBorder="1" applyAlignment="1" applyProtection="1">
      <alignment horizontal="center" wrapText="1"/>
      <protection hidden="1"/>
    </xf>
    <xf numFmtId="1" fontId="0" fillId="2" borderId="230" xfId="0" applyNumberFormat="1" applyFill="1" applyBorder="1" applyAlignment="1" applyProtection="1">
      <alignment horizontal="center" wrapText="1"/>
      <protection hidden="1"/>
    </xf>
    <xf numFmtId="0" fontId="87" fillId="2" borderId="0" xfId="0" applyFont="1" applyFill="1" applyBorder="1" applyAlignment="1" applyProtection="1">
      <alignment horizontal="center"/>
      <protection hidden="1"/>
    </xf>
    <xf numFmtId="0" fontId="99" fillId="0" borderId="0" xfId="0" applyFont="1" applyAlignment="1">
      <alignment horizontal="center"/>
    </xf>
    <xf numFmtId="0" fontId="12" fillId="0" borderId="237" xfId="0" applyFont="1" applyFill="1" applyBorder="1" applyAlignment="1" applyProtection="1">
      <alignment horizontal="center" vertical="center" wrapText="1"/>
      <protection hidden="1"/>
    </xf>
    <xf numFmtId="0" fontId="12" fillId="0" borderId="224" xfId="0" applyFont="1" applyFill="1" applyBorder="1" applyAlignment="1" applyProtection="1">
      <alignment horizontal="center" vertical="center"/>
      <protection hidden="1"/>
    </xf>
    <xf numFmtId="0" fontId="12" fillId="0" borderId="237" xfId="0" applyFont="1" applyFill="1" applyBorder="1" applyAlignment="1" applyProtection="1">
      <alignment horizontal="center" vertical="center"/>
      <protection hidden="1"/>
    </xf>
    <xf numFmtId="0" fontId="61" fillId="2" borderId="241" xfId="0" applyFont="1" applyFill="1" applyBorder="1" applyAlignment="1" applyProtection="1">
      <alignment horizontal="center" vertical="center" wrapText="1"/>
      <protection hidden="1"/>
    </xf>
    <xf numFmtId="0" fontId="61" fillId="2" borderId="240" xfId="0" applyFont="1" applyFill="1" applyBorder="1" applyAlignment="1" applyProtection="1">
      <alignment horizontal="center" vertical="center" wrapText="1"/>
      <protection hidden="1"/>
    </xf>
    <xf numFmtId="0" fontId="61" fillId="2" borderId="13" xfId="0" applyFont="1" applyFill="1" applyBorder="1" applyAlignment="1" applyProtection="1">
      <alignment horizontal="center" vertical="center" wrapText="1"/>
      <protection hidden="1"/>
    </xf>
    <xf numFmtId="0" fontId="61" fillId="2" borderId="98" xfId="0" applyFont="1" applyFill="1" applyBorder="1" applyAlignment="1" applyProtection="1">
      <alignment horizontal="center" vertical="center" wrapText="1"/>
      <protection hidden="1"/>
    </xf>
    <xf numFmtId="0" fontId="30" fillId="0" borderId="241" xfId="0" applyFont="1" applyFill="1" applyBorder="1" applyAlignment="1" applyProtection="1">
      <alignment horizontal="center" vertical="center" wrapText="1"/>
      <protection hidden="1"/>
    </xf>
    <xf numFmtId="0" fontId="22" fillId="0" borderId="240" xfId="0" applyFont="1" applyBorder="1" applyAlignment="1" applyProtection="1">
      <alignment horizontal="center" vertical="center" wrapText="1"/>
      <protection hidden="1"/>
    </xf>
    <xf numFmtId="0" fontId="22" fillId="0" borderId="211" xfId="0" applyFont="1" applyFill="1" applyBorder="1" applyAlignment="1" applyProtection="1">
      <alignment horizontal="center" vertical="center" wrapText="1"/>
      <protection hidden="1"/>
    </xf>
    <xf numFmtId="0" fontId="61" fillId="2" borderId="31" xfId="0" applyFont="1" applyFill="1" applyBorder="1" applyAlignment="1" applyProtection="1">
      <alignment wrapText="1"/>
      <protection hidden="1"/>
    </xf>
    <xf numFmtId="0" fontId="61" fillId="2" borderId="277" xfId="0" applyFont="1" applyFill="1" applyBorder="1" applyAlignment="1" applyProtection="1">
      <alignment horizontal="center" wrapText="1"/>
      <protection hidden="1"/>
    </xf>
    <xf numFmtId="0" fontId="61" fillId="2" borderId="278" xfId="0" applyFont="1" applyFill="1" applyBorder="1" applyAlignment="1" applyProtection="1">
      <alignment wrapText="1"/>
      <protection hidden="1"/>
    </xf>
    <xf numFmtId="0" fontId="61" fillId="2" borderId="211" xfId="0" applyFont="1" applyFill="1" applyBorder="1" applyAlignment="1" applyProtection="1">
      <alignment wrapText="1"/>
      <protection hidden="1"/>
    </xf>
    <xf numFmtId="0" fontId="61" fillId="2" borderId="211" xfId="0" applyFont="1" applyFill="1" applyBorder="1" applyAlignment="1" applyProtection="1">
      <alignment horizontal="center" wrapText="1"/>
      <protection hidden="1"/>
    </xf>
    <xf numFmtId="0" fontId="61" fillId="2" borderId="40" xfId="0" applyFont="1" applyFill="1" applyBorder="1" applyAlignment="1" applyProtection="1">
      <alignment horizontal="center" wrapText="1"/>
      <protection hidden="1"/>
    </xf>
    <xf numFmtId="0" fontId="61" fillId="2" borderId="98" xfId="0" applyFont="1" applyFill="1" applyBorder="1" applyAlignment="1" applyProtection="1">
      <alignment horizontal="center" wrapText="1"/>
      <protection hidden="1"/>
    </xf>
    <xf numFmtId="3" fontId="96" fillId="0" borderId="15" xfId="0" applyNumberFormat="1" applyFont="1" applyFill="1" applyBorder="1" applyAlignment="1" applyProtection="1">
      <alignment horizontal="center"/>
    </xf>
    <xf numFmtId="0" fontId="49" fillId="0" borderId="251" xfId="0" applyFont="1" applyFill="1" applyBorder="1" applyAlignment="1" applyProtection="1">
      <alignment horizontal="center" vertical="center" textRotation="255"/>
    </xf>
    <xf numFmtId="0" fontId="49" fillId="0" borderId="250" xfId="0" applyFont="1" applyFill="1" applyBorder="1" applyAlignment="1" applyProtection="1">
      <alignment horizontal="center" vertical="center" textRotation="255"/>
    </xf>
    <xf numFmtId="0" fontId="7" fillId="0" borderId="241" xfId="0" applyFont="1" applyFill="1" applyBorder="1" applyAlignment="1" applyProtection="1">
      <alignment horizontal="center" vertical="center" wrapText="1"/>
      <protection hidden="1"/>
    </xf>
    <xf numFmtId="0" fontId="26" fillId="0" borderId="240" xfId="0" applyFont="1" applyBorder="1" applyAlignment="1" applyProtection="1">
      <alignment horizontal="center" vertical="center" wrapText="1"/>
      <protection hidden="1"/>
    </xf>
    <xf numFmtId="0" fontId="11" fillId="0" borderId="261" xfId="0" applyFont="1" applyFill="1" applyBorder="1" applyAlignment="1" applyProtection="1">
      <alignment horizontal="center" vertical="center" wrapText="1"/>
      <protection hidden="1"/>
    </xf>
    <xf numFmtId="0" fontId="11" fillId="0" borderId="262" xfId="0" applyFont="1" applyBorder="1" applyAlignment="1" applyProtection="1">
      <alignment horizontal="center" vertical="center" wrapText="1"/>
      <protection hidden="1"/>
    </xf>
    <xf numFmtId="0" fontId="7" fillId="0" borderId="243" xfId="0" applyFont="1" applyBorder="1" applyAlignment="1" applyProtection="1">
      <alignment horizontal="center" wrapText="1"/>
      <protection hidden="1"/>
    </xf>
    <xf numFmtId="0" fontId="26" fillId="0" borderId="244" xfId="0" applyFont="1" applyBorder="1" applyAlignment="1" applyProtection="1">
      <alignment horizontal="center" wrapText="1"/>
      <protection hidden="1"/>
    </xf>
    <xf numFmtId="0" fontId="22" fillId="7" borderId="80" xfId="0" applyFont="1" applyFill="1" applyBorder="1" applyAlignment="1" applyProtection="1">
      <alignment horizontal="center" wrapText="1"/>
      <protection hidden="1"/>
    </xf>
    <xf numFmtId="0" fontId="22" fillId="7" borderId="46" xfId="0" applyFont="1" applyFill="1" applyBorder="1" applyProtection="1">
      <protection hidden="1"/>
    </xf>
    <xf numFmtId="0" fontId="22" fillId="7" borderId="95" xfId="0" applyFont="1" applyFill="1" applyBorder="1" applyProtection="1">
      <protection hidden="1"/>
    </xf>
    <xf numFmtId="0" fontId="22" fillId="7" borderId="45" xfId="0" applyFont="1" applyFill="1" applyBorder="1" applyProtection="1">
      <protection hidden="1"/>
    </xf>
    <xf numFmtId="0" fontId="22" fillId="7" borderId="228" xfId="0" applyFont="1" applyFill="1" applyBorder="1" applyProtection="1">
      <protection hidden="1"/>
    </xf>
    <xf numFmtId="0" fontId="22" fillId="7" borderId="37" xfId="0" applyFont="1" applyFill="1" applyBorder="1" applyProtection="1">
      <protection hidden="1"/>
    </xf>
    <xf numFmtId="0" fontId="49" fillId="0" borderId="328" xfId="0" applyFont="1" applyFill="1" applyBorder="1" applyAlignment="1" applyProtection="1">
      <alignment horizontal="center"/>
    </xf>
    <xf numFmtId="0" fontId="49" fillId="0" borderId="323" xfId="0" applyFont="1" applyFill="1" applyBorder="1" applyAlignment="1" applyProtection="1">
      <alignment horizontal="center"/>
    </xf>
    <xf numFmtId="0" fontId="49" fillId="0" borderId="329" xfId="0" applyFont="1" applyFill="1" applyBorder="1" applyAlignment="1" applyProtection="1">
      <alignment horizontal="center"/>
    </xf>
    <xf numFmtId="0" fontId="50" fillId="0" borderId="200" xfId="0" applyFont="1" applyFill="1" applyBorder="1" applyAlignment="1" applyProtection="1">
      <alignment horizontal="center"/>
    </xf>
    <xf numFmtId="0" fontId="49" fillId="0" borderId="323" xfId="0" applyFont="1" applyFill="1" applyBorder="1" applyAlignment="1" applyProtection="1">
      <alignment horizontal="center" vertical="center"/>
    </xf>
    <xf numFmtId="0" fontId="49" fillId="0" borderId="321" xfId="0" applyFont="1" applyFill="1" applyBorder="1" applyAlignment="1" applyProtection="1">
      <alignment horizontal="center" vertical="center"/>
    </xf>
    <xf numFmtId="0" fontId="111" fillId="0" borderId="243" xfId="0" applyFont="1" applyFill="1" applyBorder="1" applyAlignment="1" applyProtection="1">
      <alignment horizontal="center" vertical="center"/>
    </xf>
    <xf numFmtId="0" fontId="26" fillId="0" borderId="31" xfId="0" applyFont="1" applyFill="1" applyBorder="1" applyAlignment="1" applyProtection="1">
      <alignment horizontal="center" vertical="center" wrapText="1"/>
      <protection hidden="1"/>
    </xf>
    <xf numFmtId="0" fontId="26" fillId="0" borderId="98" xfId="0" applyFont="1" applyBorder="1" applyAlignment="1" applyProtection="1">
      <alignment horizontal="center" vertical="center" wrapText="1"/>
      <protection hidden="1"/>
    </xf>
    <xf numFmtId="0" fontId="8" fillId="0" borderId="294" xfId="0" applyFont="1" applyFill="1" applyBorder="1" applyAlignment="1" applyProtection="1">
      <alignment horizontal="center"/>
    </xf>
    <xf numFmtId="168" fontId="28" fillId="0" borderId="293" xfId="0" applyNumberFormat="1" applyFont="1" applyFill="1" applyBorder="1" applyAlignment="1" applyProtection="1">
      <alignment horizontal="center"/>
    </xf>
    <xf numFmtId="168" fontId="28" fillId="0" borderId="294" xfId="0" applyNumberFormat="1" applyFont="1" applyFill="1" applyBorder="1" applyAlignment="1" applyProtection="1">
      <alignment horizontal="center"/>
    </xf>
    <xf numFmtId="168" fontId="28" fillId="0" borderId="295" xfId="0" applyNumberFormat="1" applyFont="1" applyFill="1" applyBorder="1" applyAlignment="1" applyProtection="1">
      <alignment horizontal="center"/>
    </xf>
    <xf numFmtId="0" fontId="12" fillId="0" borderId="0" xfId="0" applyFont="1" applyFill="1" applyBorder="1" applyAlignment="1" applyProtection="1">
      <alignment horizontal="left"/>
    </xf>
    <xf numFmtId="49" fontId="12" fillId="0" borderId="0" xfId="0" applyNumberFormat="1" applyFont="1" applyFill="1" applyBorder="1" applyAlignment="1" applyProtection="1">
      <alignment horizontal="left" indent="3" shrinkToFit="1"/>
    </xf>
    <xf numFmtId="0" fontId="96" fillId="0" borderId="12" xfId="0" applyNumberFormat="1" applyFont="1" applyFill="1" applyBorder="1" applyAlignment="1" applyProtection="1">
      <alignment horizontal="left"/>
    </xf>
    <xf numFmtId="0" fontId="49" fillId="0" borderId="257" xfId="0" applyFont="1" applyFill="1" applyBorder="1" applyAlignment="1" applyProtection="1">
      <alignment horizontal="center" vertical="center"/>
    </xf>
    <xf numFmtId="0" fontId="49" fillId="0" borderId="304" xfId="0" applyFont="1" applyFill="1" applyBorder="1" applyAlignment="1" applyProtection="1">
      <alignment horizontal="center" vertical="center"/>
    </xf>
    <xf numFmtId="0" fontId="49" fillId="0" borderId="256" xfId="0" applyFont="1" applyFill="1" applyBorder="1" applyAlignment="1" applyProtection="1">
      <alignment horizontal="center" vertical="center"/>
    </xf>
    <xf numFmtId="0" fontId="49" fillId="0" borderId="303" xfId="0" applyFont="1" applyFill="1" applyBorder="1" applyAlignment="1" applyProtection="1">
      <alignment horizontal="center" vertical="center"/>
    </xf>
    <xf numFmtId="0" fontId="30" fillId="0" borderId="15" xfId="0" applyFont="1" applyFill="1" applyBorder="1" applyProtection="1"/>
    <xf numFmtId="0" fontId="50" fillId="0" borderId="0" xfId="0" applyFont="1" applyFill="1" applyAlignment="1" applyProtection="1">
      <alignment horizontal="right"/>
    </xf>
    <xf numFmtId="49" fontId="12" fillId="0" borderId="0" xfId="0" applyNumberFormat="1" applyFont="1" applyFill="1" applyBorder="1" applyAlignment="1" applyProtection="1">
      <alignment horizontal="left" indent="3"/>
    </xf>
    <xf numFmtId="0" fontId="12" fillId="0" borderId="0" xfId="0" applyFont="1" applyFill="1" applyBorder="1" applyAlignment="1" applyProtection="1">
      <alignment horizontal="left" indent="3"/>
    </xf>
    <xf numFmtId="0" fontId="97" fillId="0" borderId="0" xfId="0" applyNumberFormat="1" applyFont="1" applyFill="1" applyBorder="1" applyAlignment="1" applyProtection="1">
      <alignment horizontal="left"/>
    </xf>
    <xf numFmtId="0" fontId="48" fillId="0" borderId="0" xfId="0" applyNumberFormat="1" applyFont="1" applyFill="1" applyBorder="1" applyAlignment="1" applyProtection="1">
      <alignment horizontal="left"/>
    </xf>
    <xf numFmtId="0" fontId="50" fillId="0" borderId="0" xfId="0" applyFont="1" applyFill="1" applyBorder="1" applyAlignment="1" applyProtection="1">
      <alignment horizontal="right"/>
    </xf>
    <xf numFmtId="0" fontId="49" fillId="0" borderId="305" xfId="0" applyFont="1" applyFill="1" applyBorder="1" applyAlignment="1" applyProtection="1">
      <alignment horizontal="center" vertical="center"/>
    </xf>
    <xf numFmtId="0" fontId="49" fillId="0" borderId="324" xfId="0" applyFont="1" applyFill="1" applyBorder="1" applyAlignment="1" applyProtection="1">
      <alignment horizontal="center" vertical="center"/>
    </xf>
    <xf numFmtId="0" fontId="49" fillId="0" borderId="327" xfId="0" applyFont="1" applyFill="1" applyBorder="1" applyAlignment="1" applyProtection="1">
      <alignment horizontal="center" vertical="center"/>
    </xf>
    <xf numFmtId="0" fontId="50" fillId="0" borderId="12" xfId="0" applyFont="1" applyFill="1" applyBorder="1" applyAlignment="1" applyProtection="1">
      <alignment horizontal="right" vertical="top"/>
    </xf>
    <xf numFmtId="0" fontId="50" fillId="0" borderId="0" xfId="0" applyFont="1" applyAlignment="1" applyProtection="1"/>
    <xf numFmtId="0" fontId="49" fillId="0" borderId="257" xfId="0" applyFont="1" applyFill="1" applyBorder="1" applyAlignment="1" applyProtection="1">
      <alignment horizontal="center" vertical="center" wrapText="1"/>
    </xf>
    <xf numFmtId="0" fontId="49" fillId="0" borderId="256" xfId="0" applyFont="1" applyFill="1" applyBorder="1" applyAlignment="1" applyProtection="1">
      <alignment horizontal="center" vertical="center" wrapText="1"/>
    </xf>
    <xf numFmtId="0" fontId="8" fillId="2" borderId="11" xfId="0" applyFont="1" applyFill="1" applyBorder="1" applyAlignment="1" applyProtection="1">
      <alignment horizontal="center"/>
    </xf>
    <xf numFmtId="0" fontId="8" fillId="0" borderId="10" xfId="0" applyFont="1" applyBorder="1"/>
    <xf numFmtId="0" fontId="8" fillId="0" borderId="21" xfId="0" applyFont="1" applyBorder="1"/>
    <xf numFmtId="0" fontId="61" fillId="2" borderId="31" xfId="0" applyFont="1" applyFill="1" applyBorder="1" applyAlignment="1" applyProtection="1">
      <alignment horizontal="center" wrapText="1"/>
      <protection hidden="1"/>
    </xf>
    <xf numFmtId="0" fontId="61" fillId="2" borderId="17" xfId="0" applyFont="1" applyFill="1" applyBorder="1" applyAlignment="1" applyProtection="1">
      <alignment horizontal="center" wrapText="1"/>
      <protection hidden="1"/>
    </xf>
    <xf numFmtId="0" fontId="61" fillId="2" borderId="254" xfId="0" applyFont="1" applyFill="1" applyBorder="1" applyAlignment="1" applyProtection="1">
      <alignment wrapText="1"/>
      <protection hidden="1"/>
    </xf>
    <xf numFmtId="0" fontId="61" fillId="2" borderId="16" xfId="0" applyFont="1" applyFill="1" applyBorder="1" applyAlignment="1" applyProtection="1">
      <alignment horizontal="center" vertical="center" wrapText="1"/>
      <protection hidden="1"/>
    </xf>
    <xf numFmtId="0" fontId="61" fillId="2" borderId="198" xfId="0" applyFont="1" applyFill="1" applyBorder="1" applyAlignment="1" applyProtection="1">
      <alignment horizontal="center"/>
      <protection hidden="1"/>
    </xf>
    <xf numFmtId="0" fontId="61" fillId="0" borderId="276" xfId="0" applyFont="1" applyBorder="1" applyAlignment="1" applyProtection="1">
      <alignment horizontal="center"/>
      <protection hidden="1"/>
    </xf>
    <xf numFmtId="0" fontId="61" fillId="0" borderId="199" xfId="0" applyFont="1" applyBorder="1" applyAlignment="1" applyProtection="1">
      <alignment horizontal="center"/>
      <protection hidden="1"/>
    </xf>
    <xf numFmtId="0" fontId="22" fillId="0" borderId="246" xfId="0" applyFont="1" applyFill="1" applyBorder="1" applyAlignment="1" applyProtection="1">
      <alignment horizontal="center" vertical="center" wrapText="1"/>
      <protection hidden="1"/>
    </xf>
    <xf numFmtId="0" fontId="30" fillId="0" borderId="247" xfId="0" applyFont="1" applyBorder="1" applyAlignment="1" applyProtection="1">
      <alignment horizontal="center" vertical="center" wrapText="1"/>
      <protection hidden="1"/>
    </xf>
    <xf numFmtId="0" fontId="30" fillId="0" borderId="233" xfId="0" applyFont="1" applyBorder="1" applyAlignment="1" applyProtection="1">
      <alignment horizontal="center" vertical="center" wrapText="1"/>
      <protection hidden="1"/>
    </xf>
    <xf numFmtId="0" fontId="30" fillId="0" borderId="239" xfId="0" applyFont="1" applyBorder="1" applyAlignment="1" applyProtection="1">
      <alignment horizontal="center" vertical="center" wrapText="1"/>
      <protection hidden="1"/>
    </xf>
    <xf numFmtId="0" fontId="30" fillId="0" borderId="311" xfId="0" applyFont="1" applyFill="1" applyBorder="1" applyAlignment="1" applyProtection="1">
      <alignment horizontal="center" vertical="center" wrapText="1"/>
      <protection hidden="1"/>
    </xf>
    <xf numFmtId="0" fontId="22" fillId="0" borderId="98" xfId="0" applyFont="1" applyBorder="1" applyAlignment="1" applyProtection="1">
      <alignment horizontal="center" vertical="center" wrapText="1"/>
      <protection hidden="1"/>
    </xf>
    <xf numFmtId="0" fontId="22" fillId="0" borderId="31" xfId="0" applyFont="1" applyFill="1" applyBorder="1" applyAlignment="1" applyProtection="1">
      <alignment horizontal="center" vertical="center" wrapText="1"/>
      <protection hidden="1"/>
    </xf>
    <xf numFmtId="0" fontId="62" fillId="2" borderId="55" xfId="0" applyFont="1" applyFill="1" applyBorder="1" applyAlignment="1" applyProtection="1">
      <alignment horizontal="center"/>
      <protection hidden="1"/>
    </xf>
    <xf numFmtId="0" fontId="13" fillId="4" borderId="48" xfId="0" applyFont="1" applyFill="1" applyBorder="1" applyAlignment="1" applyProtection="1">
      <alignment horizontal="center" vertical="center"/>
      <protection hidden="1"/>
    </xf>
    <xf numFmtId="0" fontId="6" fillId="4" borderId="115" xfId="0" applyFont="1" applyFill="1" applyBorder="1" applyAlignment="1" applyProtection="1">
      <protection hidden="1"/>
    </xf>
    <xf numFmtId="0" fontId="0" fillId="0" borderId="115" xfId="0" applyBorder="1" applyAlignment="1"/>
    <xf numFmtId="0" fontId="0" fillId="0" borderId="49" xfId="0" applyBorder="1" applyAlignment="1"/>
    <xf numFmtId="0" fontId="6" fillId="4" borderId="50" xfId="0" applyFont="1" applyFill="1" applyBorder="1" applyAlignment="1" applyProtection="1">
      <protection hidden="1"/>
    </xf>
    <xf numFmtId="0" fontId="6" fillId="4" borderId="0" xfId="0" applyFont="1" applyFill="1" applyBorder="1" applyAlignment="1" applyProtection="1">
      <protection hidden="1"/>
    </xf>
    <xf numFmtId="0" fontId="0" fillId="0" borderId="0" xfId="0" applyBorder="1" applyAlignment="1"/>
    <xf numFmtId="0" fontId="0" fillId="0" borderId="51" xfId="0" applyBorder="1" applyAlignment="1"/>
    <xf numFmtId="0" fontId="22" fillId="0" borderId="252" xfId="0" applyFont="1" applyFill="1" applyBorder="1" applyAlignment="1" applyProtection="1">
      <alignment horizontal="center" wrapText="1"/>
      <protection hidden="1"/>
    </xf>
    <xf numFmtId="0" fontId="22" fillId="0" borderId="109" xfId="0" applyFont="1" applyFill="1" applyBorder="1" applyAlignment="1" applyProtection="1">
      <alignment horizontal="center" wrapText="1"/>
      <protection hidden="1"/>
    </xf>
    <xf numFmtId="0" fontId="22" fillId="0" borderId="217" xfId="0" applyFont="1" applyFill="1" applyBorder="1" applyAlignment="1" applyProtection="1">
      <alignment horizontal="center" wrapText="1"/>
      <protection hidden="1"/>
    </xf>
    <xf numFmtId="0" fontId="22" fillId="0" borderId="230" xfId="0" applyFont="1" applyFill="1" applyBorder="1" applyAlignment="1" applyProtection="1">
      <alignment horizontal="center" wrapText="1"/>
      <protection hidden="1"/>
    </xf>
    <xf numFmtId="0" fontId="61" fillId="0" borderId="211" xfId="0" applyFont="1" applyFill="1" applyBorder="1" applyAlignment="1" applyProtection="1">
      <alignment horizontal="center"/>
      <protection hidden="1"/>
    </xf>
    <xf numFmtId="0" fontId="0" fillId="0" borderId="277" xfId="0" applyBorder="1" applyAlignment="1">
      <alignment horizontal="center"/>
    </xf>
    <xf numFmtId="0" fontId="0" fillId="0" borderId="212" xfId="0" applyBorder="1" applyAlignment="1">
      <alignment horizontal="center"/>
    </xf>
    <xf numFmtId="0" fontId="29" fillId="0" borderId="222" xfId="0" applyFont="1" applyBorder="1" applyAlignment="1" applyProtection="1">
      <alignment horizontal="center" wrapText="1"/>
      <protection hidden="1"/>
    </xf>
    <xf numFmtId="0" fontId="121" fillId="0" borderId="223" xfId="0" applyFont="1" applyBorder="1" applyAlignment="1">
      <alignment wrapText="1"/>
    </xf>
    <xf numFmtId="0" fontId="121" fillId="0" borderId="224" xfId="0" applyFont="1" applyBorder="1" applyAlignment="1">
      <alignment wrapText="1"/>
    </xf>
    <xf numFmtId="0" fontId="30" fillId="0" borderId="225" xfId="0" applyFont="1" applyFill="1" applyBorder="1" applyAlignment="1" applyProtection="1">
      <alignment horizontal="center" wrapText="1"/>
      <protection hidden="1"/>
    </xf>
    <xf numFmtId="0" fontId="0" fillId="0" borderId="226" xfId="0" applyBorder="1" applyAlignment="1">
      <alignment wrapText="1"/>
    </xf>
    <xf numFmtId="0" fontId="0" fillId="0" borderId="227" xfId="0" applyBorder="1" applyAlignment="1">
      <alignment wrapText="1"/>
    </xf>
    <xf numFmtId="0" fontId="22" fillId="0" borderId="224" xfId="0" applyFont="1" applyBorder="1" applyAlignment="1" applyProtection="1">
      <alignment horizontal="center" wrapText="1"/>
      <protection hidden="1"/>
    </xf>
    <xf numFmtId="0" fontId="22" fillId="0" borderId="255" xfId="0" applyFont="1" applyBorder="1" applyAlignment="1" applyProtection="1">
      <alignment horizontal="center" wrapText="1"/>
      <protection hidden="1"/>
    </xf>
    <xf numFmtId="0" fontId="22" fillId="0" borderId="253" xfId="0" applyFont="1" applyBorder="1" applyAlignment="1" applyProtection="1">
      <alignment horizontal="center" wrapText="1"/>
      <protection hidden="1"/>
    </xf>
    <xf numFmtId="0" fontId="29" fillId="0" borderId="252" xfId="0" applyFont="1" applyFill="1" applyBorder="1" applyAlignment="1" applyProtection="1">
      <alignment horizontal="center" wrapText="1"/>
      <protection hidden="1"/>
    </xf>
    <xf numFmtId="0" fontId="29" fillId="0" borderId="109" xfId="0" applyFont="1" applyFill="1" applyBorder="1" applyAlignment="1" applyProtection="1">
      <alignment horizontal="center" wrapText="1"/>
      <protection hidden="1"/>
    </xf>
    <xf numFmtId="0" fontId="29" fillId="0" borderId="224" xfId="0" applyFont="1" applyFill="1" applyBorder="1" applyAlignment="1" applyProtection="1">
      <alignment horizontal="center" vertical="center" wrapText="1"/>
      <protection hidden="1"/>
    </xf>
    <xf numFmtId="0" fontId="29" fillId="0" borderId="253" xfId="0" applyFont="1" applyBorder="1" applyAlignment="1" applyProtection="1">
      <alignment horizontal="center" vertical="center" wrapText="1"/>
      <protection hidden="1"/>
    </xf>
    <xf numFmtId="0" fontId="30" fillId="0" borderId="224" xfId="0" applyFont="1" applyFill="1" applyBorder="1" applyAlignment="1" applyProtection="1">
      <alignment horizontal="center" wrapText="1"/>
      <protection hidden="1"/>
    </xf>
    <xf numFmtId="0" fontId="22" fillId="0" borderId="110" xfId="0" applyFont="1" applyBorder="1" applyAlignment="1" applyProtection="1">
      <alignment horizontal="center" wrapText="1"/>
      <protection hidden="1"/>
    </xf>
    <xf numFmtId="0" fontId="30" fillId="0" borderId="253" xfId="0" applyFont="1" applyFill="1" applyBorder="1" applyAlignment="1" applyProtection="1">
      <alignment horizontal="center" wrapText="1"/>
      <protection hidden="1"/>
    </xf>
    <xf numFmtId="0" fontId="22" fillId="0" borderId="254" xfId="0" applyFont="1" applyBorder="1" applyAlignment="1" applyProtection="1">
      <alignment horizontal="center" wrapText="1"/>
      <protection hidden="1"/>
    </xf>
    <xf numFmtId="0" fontId="29" fillId="0" borderId="224" xfId="0" applyFont="1" applyBorder="1" applyAlignment="1" applyProtection="1">
      <alignment horizontal="center" wrapText="1"/>
      <protection hidden="1"/>
    </xf>
    <xf numFmtId="0" fontId="29" fillId="0" borderId="253" xfId="0" applyFont="1" applyBorder="1" applyAlignment="1" applyProtection="1">
      <alignment horizontal="center" wrapText="1"/>
      <protection hidden="1"/>
    </xf>
    <xf numFmtId="0" fontId="29" fillId="0" borderId="0" xfId="0" applyFont="1" applyBorder="1" applyAlignment="1">
      <alignment horizontal="center" vertical="center" wrapText="1"/>
    </xf>
    <xf numFmtId="0" fontId="29" fillId="0" borderId="51" xfId="0" applyFont="1" applyBorder="1" applyAlignment="1">
      <alignment horizontal="center" vertical="center" wrapText="1"/>
    </xf>
    <xf numFmtId="0" fontId="30" fillId="0" borderId="0" xfId="0" applyFont="1" applyFill="1" applyBorder="1" applyAlignment="1" applyProtection="1">
      <alignment horizontal="center" wrapText="1"/>
      <protection hidden="1"/>
    </xf>
    <xf numFmtId="0" fontId="6" fillId="0" borderId="115" xfId="0" applyFont="1" applyBorder="1" applyAlignment="1"/>
    <xf numFmtId="0" fontId="6" fillId="0" borderId="49" xfId="0" applyFont="1" applyBorder="1" applyAlignment="1"/>
    <xf numFmtId="0" fontId="6" fillId="0" borderId="50" xfId="0" applyFont="1" applyBorder="1" applyAlignment="1"/>
    <xf numFmtId="0" fontId="6" fillId="0" borderId="0" xfId="0" applyFont="1" applyBorder="1" applyAlignment="1"/>
    <xf numFmtId="0" fontId="6" fillId="0" borderId="51" xfId="0" applyFont="1" applyBorder="1" applyAlignment="1"/>
    <xf numFmtId="0" fontId="6" fillId="0" borderId="127" xfId="0" applyFont="1" applyBorder="1" applyAlignment="1"/>
    <xf numFmtId="0" fontId="6" fillId="0" borderId="128" xfId="0" applyFont="1" applyBorder="1" applyAlignment="1"/>
    <xf numFmtId="0" fontId="6" fillId="0" borderId="129" xfId="0" applyFont="1" applyBorder="1" applyAlignment="1"/>
    <xf numFmtId="0" fontId="22" fillId="0" borderId="0" xfId="0" applyFont="1" applyBorder="1" applyAlignment="1">
      <alignment horizontal="center" vertical="center" wrapText="1"/>
    </xf>
    <xf numFmtId="0" fontId="22" fillId="0" borderId="51" xfId="0" applyFont="1" applyBorder="1" applyAlignment="1">
      <alignment horizontal="center" vertical="center" wrapText="1"/>
    </xf>
    <xf numFmtId="0" fontId="22" fillId="0" borderId="229" xfId="0" applyFont="1" applyFill="1" applyBorder="1" applyAlignment="1" applyProtection="1">
      <alignment horizontal="center" wrapText="1"/>
      <protection hidden="1"/>
    </xf>
    <xf numFmtId="0" fontId="22" fillId="0" borderId="28" xfId="0" applyFont="1" applyFill="1" applyBorder="1" applyAlignment="1" applyProtection="1">
      <alignment horizontal="center" wrapText="1"/>
      <protection hidden="1"/>
    </xf>
    <xf numFmtId="0" fontId="22" fillId="0" borderId="135" xfId="0" applyFont="1" applyBorder="1" applyAlignment="1" applyProtection="1">
      <alignment horizontal="center" wrapText="1"/>
      <protection hidden="1"/>
    </xf>
    <xf numFmtId="0" fontId="22" fillId="0" borderId="271" xfId="0" applyFont="1" applyBorder="1" applyAlignment="1" applyProtection="1">
      <alignment horizontal="center" wrapText="1"/>
      <protection hidden="1"/>
    </xf>
    <xf numFmtId="0" fontId="22" fillId="0" borderId="224" xfId="0" applyFont="1" applyFill="1" applyBorder="1" applyAlignment="1" applyProtection="1">
      <alignment horizontal="center" vertical="center" wrapText="1"/>
      <protection hidden="1"/>
    </xf>
    <xf numFmtId="0" fontId="22" fillId="0" borderId="253" xfId="0" applyFont="1" applyBorder="1" applyAlignment="1" applyProtection="1">
      <alignment horizontal="center" vertical="center" wrapText="1"/>
      <protection hidden="1"/>
    </xf>
    <xf numFmtId="0" fontId="12" fillId="0" borderId="220" xfId="0" applyFont="1" applyFill="1" applyBorder="1" applyAlignment="1" applyProtection="1">
      <alignment horizontal="center" vertical="center" wrapText="1"/>
      <protection hidden="1"/>
    </xf>
    <xf numFmtId="0" fontId="0" fillId="0" borderId="95" xfId="0" applyBorder="1" applyAlignment="1">
      <alignment wrapText="1"/>
    </xf>
    <xf numFmtId="0" fontId="29" fillId="0" borderId="95" xfId="0" applyFont="1" applyBorder="1" applyAlignment="1">
      <alignment horizontal="center" wrapText="1"/>
    </xf>
    <xf numFmtId="0" fontId="29" fillId="0" borderId="379" xfId="0" applyFont="1" applyBorder="1" applyAlignment="1">
      <alignment horizontal="center" wrapText="1"/>
    </xf>
    <xf numFmtId="0" fontId="29" fillId="0" borderId="0" xfId="0" applyFont="1" applyBorder="1" applyAlignment="1">
      <alignment horizontal="center" wrapText="1"/>
    </xf>
    <xf numFmtId="0" fontId="29" fillId="0" borderId="0" xfId="0" applyFont="1" applyAlignment="1">
      <alignment horizontal="center" wrapText="1"/>
    </xf>
    <xf numFmtId="0" fontId="29" fillId="0" borderId="292" xfId="0" applyFont="1" applyBorder="1" applyAlignment="1">
      <alignment horizontal="center" wrapText="1"/>
    </xf>
    <xf numFmtId="0" fontId="48" fillId="19" borderId="0" xfId="0" applyNumberFormat="1" applyFont="1" applyFill="1" applyBorder="1" applyAlignment="1" applyProtection="1">
      <alignment horizontal="left"/>
      <protection locked="0"/>
    </xf>
    <xf numFmtId="0" fontId="0" fillId="0" borderId="0" xfId="0" applyAlignment="1" applyProtection="1">
      <protection locked="0"/>
    </xf>
    <xf numFmtId="0" fontId="11" fillId="0" borderId="48" xfId="0" applyFont="1" applyFill="1" applyBorder="1" applyAlignment="1" applyProtection="1">
      <alignment horizontal="center" vertical="center"/>
      <protection hidden="1"/>
    </xf>
    <xf numFmtId="0" fontId="7" fillId="0" borderId="115" xfId="0" applyFont="1" applyBorder="1" applyAlignment="1" applyProtection="1">
      <protection hidden="1"/>
    </xf>
    <xf numFmtId="0" fontId="7" fillId="0" borderId="50" xfId="0" applyFont="1" applyBorder="1" applyAlignment="1" applyProtection="1">
      <protection hidden="1"/>
    </xf>
    <xf numFmtId="0" fontId="7" fillId="0" borderId="0" xfId="0" applyFont="1" applyBorder="1" applyAlignment="1" applyProtection="1">
      <protection hidden="1"/>
    </xf>
    <xf numFmtId="0" fontId="4" fillId="4" borderId="50" xfId="0" applyFont="1" applyFill="1" applyBorder="1" applyAlignment="1" applyProtection="1">
      <protection hidden="1"/>
    </xf>
    <xf numFmtId="0" fontId="0" fillId="0" borderId="0" xfId="0" applyAlignment="1"/>
    <xf numFmtId="0" fontId="0" fillId="0" borderId="131" xfId="0" applyBorder="1" applyAlignment="1"/>
    <xf numFmtId="0" fontId="0" fillId="0" borderId="96" xfId="0" applyBorder="1" applyAlignment="1"/>
    <xf numFmtId="0" fontId="0" fillId="0" borderId="132" xfId="0" applyBorder="1" applyAlignment="1"/>
    <xf numFmtId="0" fontId="111" fillId="0" borderId="383" xfId="0" applyFont="1" applyFill="1" applyBorder="1" applyAlignment="1" applyProtection="1">
      <alignment horizontal="center" vertical="center"/>
    </xf>
    <xf numFmtId="0" fontId="111" fillId="0" borderId="384" xfId="0" applyFont="1" applyFill="1" applyBorder="1" applyAlignment="1" applyProtection="1">
      <alignment horizontal="center" vertical="center"/>
    </xf>
    <xf numFmtId="0" fontId="0" fillId="0" borderId="385" xfId="0" applyBorder="1" applyAlignment="1">
      <alignment horizontal="center" vertical="center"/>
    </xf>
    <xf numFmtId="0" fontId="111" fillId="0" borderId="30" xfId="0" applyFont="1" applyFill="1" applyBorder="1" applyAlignment="1" applyProtection="1">
      <alignment horizontal="center" vertical="center"/>
    </xf>
    <xf numFmtId="0" fontId="111" fillId="0" borderId="29" xfId="0" applyFont="1" applyFill="1" applyBorder="1" applyAlignment="1" applyProtection="1">
      <alignment horizontal="center" vertical="center"/>
    </xf>
    <xf numFmtId="0" fontId="0" fillId="0" borderId="264" xfId="0" applyBorder="1" applyAlignment="1">
      <alignment horizontal="center" vertical="center"/>
    </xf>
    <xf numFmtId="0" fontId="7" fillId="0" borderId="127" xfId="0" applyFont="1" applyBorder="1" applyAlignment="1" applyProtection="1">
      <protection hidden="1"/>
    </xf>
    <xf numFmtId="0" fontId="7" fillId="0" borderId="128" xfId="0" applyFont="1" applyBorder="1" applyAlignment="1" applyProtection="1">
      <protection hidden="1"/>
    </xf>
    <xf numFmtId="0" fontId="0" fillId="0" borderId="128" xfId="0" applyBorder="1" applyAlignment="1"/>
    <xf numFmtId="0" fontId="0" fillId="0" borderId="129" xfId="0" applyBorder="1" applyAlignment="1"/>
    <xf numFmtId="0" fontId="4" fillId="0" borderId="48" xfId="0" applyFont="1" applyFill="1" applyBorder="1" applyAlignment="1" applyProtection="1">
      <protection hidden="1"/>
    </xf>
    <xf numFmtId="0" fontId="0" fillId="0" borderId="50" xfId="0" applyBorder="1" applyAlignment="1"/>
    <xf numFmtId="0" fontId="4" fillId="12" borderId="127" xfId="0" applyFont="1" applyFill="1" applyBorder="1" applyAlignment="1" applyProtection="1">
      <protection hidden="1"/>
    </xf>
    <xf numFmtId="0" fontId="0" fillId="12" borderId="129" xfId="0" applyFill="1" applyBorder="1" applyAlignment="1"/>
    <xf numFmtId="0" fontId="4" fillId="12" borderId="0" xfId="0" applyFont="1" applyFill="1" applyBorder="1" applyAlignment="1" applyProtection="1">
      <protection hidden="1"/>
    </xf>
    <xf numFmtId="0" fontId="0" fillId="12" borderId="0" xfId="0" applyFill="1" applyBorder="1" applyAlignment="1"/>
    <xf numFmtId="0" fontId="0" fillId="12" borderId="51" xfId="0" applyFill="1" applyBorder="1" applyAlignment="1"/>
    <xf numFmtId="0" fontId="0" fillId="0" borderId="221" xfId="0" applyBorder="1" applyAlignment="1"/>
    <xf numFmtId="0" fontId="0" fillId="0" borderId="95" xfId="0" applyBorder="1" applyAlignment="1"/>
    <xf numFmtId="0" fontId="0" fillId="0" borderId="45" xfId="0" applyBorder="1" applyAlignment="1"/>
    <xf numFmtId="0" fontId="22" fillId="7" borderId="46" xfId="0" applyFont="1" applyFill="1" applyBorder="1" applyAlignment="1" applyProtection="1">
      <alignment horizontal="center" wrapText="1"/>
      <protection hidden="1"/>
    </xf>
    <xf numFmtId="0" fontId="22" fillId="7" borderId="95" xfId="0" applyFont="1" applyFill="1" applyBorder="1" applyAlignment="1" applyProtection="1">
      <alignment horizontal="center" wrapText="1"/>
      <protection hidden="1"/>
    </xf>
    <xf numFmtId="0" fontId="22" fillId="7" borderId="45" xfId="0" applyFont="1" applyFill="1" applyBorder="1" applyAlignment="1" applyProtection="1">
      <alignment horizontal="center" wrapText="1"/>
      <protection hidden="1"/>
    </xf>
    <xf numFmtId="0" fontId="0" fillId="0" borderId="228" xfId="0" applyBorder="1" applyAlignment="1">
      <alignment horizontal="center" wrapText="1"/>
    </xf>
    <xf numFmtId="0" fontId="0" fillId="0" borderId="37" xfId="0" applyBorder="1" applyAlignment="1">
      <alignment horizontal="center" wrapText="1"/>
    </xf>
    <xf numFmtId="0" fontId="0" fillId="0" borderId="373" xfId="0" applyBorder="1" applyAlignment="1">
      <alignment horizontal="center" wrapText="1"/>
    </xf>
    <xf numFmtId="0" fontId="0" fillId="13" borderId="373" xfId="0" applyFill="1" applyBorder="1" applyAlignment="1">
      <alignment horizontal="center" wrapText="1"/>
    </xf>
    <xf numFmtId="0" fontId="4" fillId="20" borderId="371" xfId="0" applyFont="1" applyFill="1" applyBorder="1" applyAlignment="1" applyProtection="1">
      <alignment horizontal="center" wrapText="1"/>
      <protection hidden="1"/>
    </xf>
    <xf numFmtId="0" fontId="0" fillId="0" borderId="374" xfId="0" applyBorder="1" applyAlignment="1">
      <alignment horizontal="center" wrapText="1"/>
    </xf>
    <xf numFmtId="0" fontId="4" fillId="2" borderId="11" xfId="0" applyFont="1" applyFill="1" applyBorder="1" applyAlignment="1" applyProtection="1">
      <alignment horizontal="center"/>
    </xf>
    <xf numFmtId="0" fontId="0" fillId="0" borderId="10" xfId="0" applyBorder="1"/>
    <xf numFmtId="0" fontId="0" fillId="0" borderId="21" xfId="0" applyBorder="1"/>
    <xf numFmtId="0" fontId="53" fillId="0" borderId="21" xfId="0" applyFont="1" applyFill="1" applyBorder="1" applyAlignment="1" applyProtection="1">
      <alignment horizontal="center" vertical="center" wrapText="1"/>
    </xf>
    <xf numFmtId="0" fontId="54" fillId="0" borderId="21" xfId="0" applyFont="1" applyBorder="1" applyAlignment="1" applyProtection="1">
      <alignment horizontal="center" vertical="center" wrapText="1"/>
    </xf>
    <xf numFmtId="0" fontId="30" fillId="0" borderId="15" xfId="0" applyFont="1" applyFill="1" applyBorder="1" applyAlignment="1" applyProtection="1">
      <alignment horizontal="left"/>
    </xf>
    <xf numFmtId="0" fontId="50" fillId="0" borderId="12" xfId="0" applyFont="1" applyBorder="1" applyAlignment="1" applyProtection="1"/>
    <xf numFmtId="0" fontId="50" fillId="0" borderId="11" xfId="0" applyFont="1" applyBorder="1" applyAlignment="1" applyProtection="1"/>
    <xf numFmtId="0" fontId="22" fillId="0" borderId="0" xfId="0" applyFont="1" applyProtection="1"/>
    <xf numFmtId="0" fontId="28" fillId="0" borderId="207" xfId="0" applyFont="1" applyFill="1" applyBorder="1" applyAlignment="1" applyProtection="1">
      <alignment horizontal="center"/>
    </xf>
    <xf numFmtId="0" fontId="28" fillId="0" borderId="208" xfId="0" applyFont="1" applyFill="1" applyBorder="1" applyAlignment="1" applyProtection="1">
      <alignment horizontal="center"/>
    </xf>
    <xf numFmtId="0" fontId="81" fillId="4" borderId="48" xfId="0" applyFont="1" applyFill="1" applyBorder="1" applyAlignment="1" applyProtection="1">
      <alignment horizontal="center" vertical="center"/>
      <protection hidden="1"/>
    </xf>
    <xf numFmtId="0" fontId="0" fillId="0" borderId="127" xfId="0" applyBorder="1" applyAlignment="1"/>
    <xf numFmtId="0" fontId="29" fillId="0" borderId="111" xfId="0" applyFont="1" applyFill="1" applyBorder="1" applyAlignment="1" applyProtection="1">
      <alignment horizontal="center"/>
      <protection hidden="1"/>
    </xf>
    <xf numFmtId="0" fontId="29" fillId="0" borderId="217" xfId="0" applyFont="1" applyBorder="1" applyAlignment="1" applyProtection="1">
      <alignment horizontal="center"/>
      <protection hidden="1"/>
    </xf>
    <xf numFmtId="0" fontId="49" fillId="0" borderId="375" xfId="0" applyFont="1" applyFill="1" applyBorder="1" applyAlignment="1" applyProtection="1">
      <alignment horizontal="center" vertical="center"/>
    </xf>
    <xf numFmtId="0" fontId="49" fillId="0" borderId="325" xfId="0" applyFont="1" applyFill="1" applyBorder="1" applyAlignment="1" applyProtection="1">
      <alignment horizontal="center" vertical="center"/>
    </xf>
    <xf numFmtId="0" fontId="0" fillId="0" borderId="224" xfId="0" applyBorder="1" applyAlignment="1" applyProtection="1">
      <alignment horizontal="center" wrapText="1"/>
    </xf>
    <xf numFmtId="0" fontId="0" fillId="2" borderId="230" xfId="0" applyFill="1" applyBorder="1" applyAlignment="1" applyProtection="1">
      <alignment horizontal="center" wrapText="1"/>
      <protection hidden="1"/>
    </xf>
    <xf numFmtId="176" fontId="0" fillId="2" borderId="13" xfId="0" applyNumberFormat="1" applyFill="1" applyBorder="1" applyAlignment="1" applyProtection="1">
      <alignment horizontal="center" wrapText="1"/>
      <protection hidden="1"/>
    </xf>
    <xf numFmtId="0" fontId="0" fillId="2" borderId="98" xfId="0" applyFill="1" applyBorder="1" applyAlignment="1" applyProtection="1">
      <alignment horizontal="center" wrapText="1"/>
      <protection hidden="1"/>
    </xf>
    <xf numFmtId="0" fontId="0" fillId="0" borderId="230" xfId="0" applyBorder="1" applyAlignment="1" applyProtection="1">
      <alignment horizontal="center" wrapText="1"/>
    </xf>
    <xf numFmtId="0" fontId="0" fillId="0" borderId="372" xfId="0" applyBorder="1" applyAlignment="1">
      <alignment horizontal="center" wrapText="1"/>
    </xf>
    <xf numFmtId="0" fontId="0" fillId="0" borderId="109" xfId="0" applyBorder="1" applyAlignment="1" applyProtection="1">
      <alignment horizontal="center" wrapText="1"/>
    </xf>
    <xf numFmtId="0" fontId="0" fillId="2" borderId="16" xfId="0" applyFill="1" applyBorder="1" applyAlignment="1" applyProtection="1">
      <alignment horizontal="center" wrapText="1"/>
      <protection hidden="1"/>
    </xf>
    <xf numFmtId="0" fontId="0" fillId="2" borderId="255" xfId="0" applyFill="1" applyBorder="1" applyAlignment="1" applyProtection="1">
      <alignment horizontal="center" wrapText="1"/>
      <protection hidden="1"/>
    </xf>
    <xf numFmtId="0" fontId="0" fillId="2" borderId="110" xfId="0" applyFill="1" applyBorder="1" applyAlignment="1" applyProtection="1">
      <alignment horizontal="center" wrapText="1"/>
      <protection hidden="1"/>
    </xf>
    <xf numFmtId="176" fontId="29" fillId="2" borderId="13" xfId="0" applyNumberFormat="1" applyFont="1" applyFill="1" applyBorder="1" applyAlignment="1" applyProtection="1">
      <alignment horizontal="center" wrapText="1"/>
      <protection hidden="1"/>
    </xf>
    <xf numFmtId="0" fontId="4" fillId="0" borderId="0" xfId="0" applyFont="1" applyBorder="1" applyAlignment="1" applyProtection="1">
      <protection hidden="1"/>
    </xf>
    <xf numFmtId="0" fontId="4" fillId="0" borderId="96" xfId="0" applyFont="1" applyBorder="1" applyAlignment="1" applyProtection="1">
      <protection hidden="1"/>
    </xf>
    <xf numFmtId="0" fontId="0" fillId="0" borderId="96" xfId="0" applyBorder="1" applyAlignment="1" applyProtection="1"/>
    <xf numFmtId="1" fontId="0" fillId="2" borderId="13" xfId="0" applyNumberFormat="1" applyFill="1" applyBorder="1" applyAlignment="1" applyProtection="1">
      <alignment horizontal="center" wrapText="1"/>
      <protection hidden="1"/>
    </xf>
    <xf numFmtId="0" fontId="4" fillId="12" borderId="50" xfId="0" applyFont="1" applyFill="1" applyBorder="1" applyAlignment="1" applyProtection="1">
      <protection hidden="1"/>
    </xf>
    <xf numFmtId="0" fontId="0" fillId="12" borderId="0" xfId="0" applyFill="1" applyAlignment="1"/>
    <xf numFmtId="0" fontId="29" fillId="0" borderId="95" xfId="0" applyFont="1" applyBorder="1" applyAlignment="1">
      <alignment horizontal="center" vertical="center" wrapText="1"/>
    </xf>
    <xf numFmtId="0" fontId="29" fillId="0" borderId="379" xfId="0" applyFont="1" applyBorder="1" applyAlignment="1">
      <alignment horizontal="center" vertical="center" wrapText="1"/>
    </xf>
    <xf numFmtId="0" fontId="29" fillId="0" borderId="350" xfId="0" applyFont="1" applyFill="1" applyBorder="1" applyAlignment="1" applyProtection="1">
      <alignment horizontal="center" vertical="center" wrapText="1"/>
      <protection hidden="1"/>
    </xf>
    <xf numFmtId="0" fontId="29" fillId="0" borderId="355" xfId="0" applyFont="1" applyBorder="1" applyAlignment="1" applyProtection="1">
      <alignment horizontal="center" vertical="center" wrapText="1"/>
      <protection hidden="1"/>
    </xf>
    <xf numFmtId="0" fontId="29" fillId="0" borderId="4" xfId="0" applyFont="1" applyFill="1" applyBorder="1" applyAlignment="1" applyProtection="1">
      <alignment horizontal="center" vertical="center" wrapText="1"/>
      <protection hidden="1"/>
    </xf>
    <xf numFmtId="0" fontId="29" fillId="0" borderId="356" xfId="0" applyFont="1" applyBorder="1" applyAlignment="1" applyProtection="1">
      <alignment horizontal="center" vertical="center" wrapText="1"/>
      <protection hidden="1"/>
    </xf>
    <xf numFmtId="0" fontId="22" fillId="2" borderId="13" xfId="0" applyFont="1" applyFill="1" applyBorder="1" applyAlignment="1" applyProtection="1">
      <alignment horizontal="center" wrapText="1"/>
      <protection hidden="1"/>
    </xf>
    <xf numFmtId="0" fontId="22" fillId="0" borderId="98" xfId="0" applyFont="1" applyBorder="1" applyAlignment="1" applyProtection="1">
      <alignment horizontal="center" wrapText="1"/>
      <protection hidden="1"/>
    </xf>
    <xf numFmtId="0" fontId="22" fillId="0" borderId="98" xfId="0" applyFont="1" applyBorder="1" applyAlignment="1">
      <alignment wrapText="1"/>
    </xf>
    <xf numFmtId="0" fontId="22" fillId="2" borderId="54" xfId="0" applyFont="1" applyFill="1" applyBorder="1" applyAlignment="1" applyProtection="1">
      <alignment horizontal="center" wrapText="1"/>
      <protection hidden="1"/>
    </xf>
    <xf numFmtId="0" fontId="22" fillId="0" borderId="31" xfId="0" applyFont="1" applyBorder="1" applyAlignment="1" applyProtection="1">
      <alignment wrapText="1"/>
      <protection hidden="1"/>
    </xf>
    <xf numFmtId="0" fontId="12" fillId="5" borderId="80" xfId="0" applyFont="1" applyFill="1" applyBorder="1" applyAlignment="1" applyProtection="1">
      <alignment horizontal="center" vertical="center" wrapText="1"/>
      <protection hidden="1"/>
    </xf>
    <xf numFmtId="0" fontId="12" fillId="5" borderId="43" xfId="0" applyFont="1" applyFill="1" applyBorder="1" applyAlignment="1" applyProtection="1">
      <alignment horizontal="center" vertical="center" wrapText="1"/>
      <protection hidden="1"/>
    </xf>
    <xf numFmtId="0" fontId="30" fillId="0" borderId="43" xfId="0" applyFont="1" applyBorder="1" applyAlignment="1" applyProtection="1">
      <alignment wrapText="1"/>
      <protection hidden="1"/>
    </xf>
    <xf numFmtId="0" fontId="0" fillId="0" borderId="43" xfId="0" applyBorder="1" applyAlignment="1">
      <alignment wrapText="1"/>
    </xf>
    <xf numFmtId="0" fontId="0" fillId="0" borderId="46" xfId="0" applyBorder="1" applyAlignment="1">
      <alignment wrapText="1"/>
    </xf>
    <xf numFmtId="0" fontId="12" fillId="5" borderId="269" xfId="0" applyFont="1" applyFill="1" applyBorder="1" applyAlignment="1" applyProtection="1">
      <alignment horizontal="center" vertical="center" wrapText="1"/>
      <protection hidden="1"/>
    </xf>
    <xf numFmtId="0" fontId="12" fillId="5" borderId="96" xfId="0" applyFont="1" applyFill="1" applyBorder="1" applyAlignment="1" applyProtection="1">
      <alignment horizontal="center" vertical="center" wrapText="1"/>
      <protection hidden="1"/>
    </xf>
    <xf numFmtId="0" fontId="30" fillId="0" borderId="96" xfId="0" applyFont="1" applyBorder="1" applyAlignment="1" applyProtection="1">
      <alignment wrapText="1"/>
      <protection hidden="1"/>
    </xf>
    <xf numFmtId="0" fontId="0" fillId="0" borderId="96" xfId="0" applyBorder="1" applyAlignment="1">
      <alignment wrapText="1"/>
    </xf>
    <xf numFmtId="0" fontId="0" fillId="0" borderId="270" xfId="0" applyBorder="1" applyAlignment="1">
      <alignment wrapText="1"/>
    </xf>
    <xf numFmtId="0" fontId="22" fillId="2" borderId="53" xfId="0" applyFont="1" applyFill="1" applyBorder="1" applyAlignment="1" applyProtection="1">
      <alignment horizontal="center" wrapText="1"/>
      <protection hidden="1"/>
    </xf>
    <xf numFmtId="0" fontId="22" fillId="0" borderId="22" xfId="0" applyFont="1" applyBorder="1" applyAlignment="1" applyProtection="1">
      <alignment wrapText="1"/>
      <protection hidden="1"/>
    </xf>
    <xf numFmtId="0" fontId="22" fillId="2" borderId="280" xfId="0" applyFont="1" applyFill="1" applyBorder="1" applyAlignment="1" applyProtection="1">
      <alignment horizontal="center" wrapText="1"/>
      <protection hidden="1"/>
    </xf>
    <xf numFmtId="0" fontId="29" fillId="0" borderId="297" xfId="0" applyFont="1" applyFill="1" applyBorder="1" applyAlignment="1" applyProtection="1">
      <alignment horizontal="center" vertical="center" wrapText="1"/>
      <protection hidden="1"/>
    </xf>
    <xf numFmtId="0" fontId="29" fillId="0" borderId="296" xfId="0" applyFont="1" applyBorder="1" applyAlignment="1" applyProtection="1">
      <alignment horizontal="center" vertical="center" wrapText="1"/>
      <protection hidden="1"/>
    </xf>
    <xf numFmtId="0" fontId="29" fillId="0" borderId="242" xfId="0" applyFont="1" applyBorder="1" applyAlignment="1">
      <alignment horizontal="center" vertical="center" wrapText="1"/>
    </xf>
    <xf numFmtId="0" fontId="29" fillId="0" borderId="236" xfId="0" applyFont="1" applyBorder="1" applyAlignment="1">
      <alignment horizontal="center" vertical="center" wrapText="1"/>
    </xf>
    <xf numFmtId="0" fontId="29" fillId="0" borderId="311" xfId="0" applyFont="1" applyFill="1" applyBorder="1" applyAlignment="1" applyProtection="1">
      <alignment horizontal="center" vertical="center" wrapText="1"/>
      <protection hidden="1"/>
    </xf>
    <xf numFmtId="0" fontId="22" fillId="0" borderId="98" xfId="0" applyFont="1" applyBorder="1" applyAlignment="1">
      <alignment horizontal="center" vertical="center" wrapText="1"/>
    </xf>
    <xf numFmtId="0" fontId="30" fillId="0" borderId="1" xfId="0" applyFont="1" applyFill="1" applyBorder="1" applyAlignment="1" applyProtection="1">
      <alignment horizontal="center" vertical="center" wrapText="1"/>
      <protection hidden="1"/>
    </xf>
    <xf numFmtId="0" fontId="22" fillId="0" borderId="354" xfId="0" applyFont="1" applyBorder="1" applyAlignment="1" applyProtection="1">
      <alignment horizontal="center" vertical="center" wrapText="1"/>
      <protection hidden="1"/>
    </xf>
    <xf numFmtId="0" fontId="22" fillId="2" borderId="281" xfId="0" applyFont="1" applyFill="1" applyBorder="1" applyAlignment="1" applyProtection="1">
      <alignment horizontal="center" wrapText="1"/>
      <protection hidden="1"/>
    </xf>
    <xf numFmtId="0" fontId="22" fillId="0" borderId="35" xfId="0" applyFont="1" applyBorder="1" applyAlignment="1" applyProtection="1">
      <alignment wrapText="1"/>
      <protection hidden="1"/>
    </xf>
    <xf numFmtId="0" fontId="12" fillId="2" borderId="65" xfId="0" applyFont="1" applyFill="1" applyBorder="1" applyAlignment="1">
      <alignment horizontal="center" vertical="center" wrapText="1"/>
    </xf>
    <xf numFmtId="0" fontId="61" fillId="0" borderId="133" xfId="0" applyFont="1" applyFill="1" applyBorder="1" applyAlignment="1" applyProtection="1">
      <alignment horizontal="center" vertical="center" wrapText="1"/>
      <protection hidden="1"/>
    </xf>
    <xf numFmtId="0" fontId="121" fillId="0" borderId="133" xfId="0" applyFont="1" applyBorder="1" applyAlignment="1">
      <alignment wrapText="1"/>
    </xf>
    <xf numFmtId="0" fontId="121" fillId="0" borderId="244" xfId="0" applyFont="1" applyBorder="1" applyAlignment="1">
      <alignment wrapText="1"/>
    </xf>
    <xf numFmtId="0" fontId="12" fillId="0" borderId="50" xfId="0" applyFont="1" applyFill="1" applyBorder="1" applyAlignment="1" applyProtection="1">
      <alignment horizontal="center" vertical="center" wrapText="1"/>
      <protection hidden="1"/>
    </xf>
    <xf numFmtId="0" fontId="22" fillId="0" borderId="51" xfId="0" applyFont="1" applyBorder="1" applyAlignment="1">
      <alignment wrapText="1"/>
    </xf>
    <xf numFmtId="0" fontId="22" fillId="0" borderId="50" xfId="0" applyFont="1" applyBorder="1" applyAlignment="1">
      <alignment wrapText="1"/>
    </xf>
    <xf numFmtId="0" fontId="29" fillId="0" borderId="98" xfId="0" applyFont="1" applyBorder="1" applyAlignment="1" applyProtection="1">
      <alignment horizontal="center" vertical="center" wrapText="1"/>
      <protection hidden="1"/>
    </xf>
    <xf numFmtId="0" fontId="22" fillId="2" borderId="56" xfId="0" applyFont="1" applyFill="1" applyBorder="1" applyAlignment="1" applyProtection="1">
      <alignment horizontal="center" wrapText="1"/>
      <protection hidden="1"/>
    </xf>
    <xf numFmtId="0" fontId="22" fillId="0" borderId="22" xfId="0" applyFont="1" applyBorder="1" applyAlignment="1">
      <alignment wrapText="1"/>
    </xf>
    <xf numFmtId="0" fontId="30" fillId="2" borderId="13" xfId="0" applyFont="1" applyFill="1" applyBorder="1" applyAlignment="1" applyProtection="1">
      <alignment horizontal="center" vertical="center" wrapText="1"/>
      <protection hidden="1"/>
    </xf>
    <xf numFmtId="0" fontId="22" fillId="2" borderId="98" xfId="0" applyFont="1" applyFill="1" applyBorder="1" applyAlignment="1" applyProtection="1">
      <alignment horizontal="center" vertical="center" wrapText="1"/>
      <protection hidden="1"/>
    </xf>
    <xf numFmtId="0" fontId="22" fillId="2" borderId="198" xfId="0" applyFont="1" applyFill="1" applyBorder="1" applyAlignment="1" applyProtection="1">
      <alignment horizontal="center"/>
      <protection hidden="1"/>
    </xf>
    <xf numFmtId="0" fontId="22" fillId="2" borderId="276" xfId="0" applyFont="1" applyFill="1" applyBorder="1" applyAlignment="1" applyProtection="1">
      <alignment horizontal="center"/>
      <protection hidden="1"/>
    </xf>
    <xf numFmtId="0" fontId="22" fillId="0" borderId="199" xfId="0" applyFont="1" applyBorder="1" applyAlignment="1">
      <alignment horizontal="center"/>
    </xf>
    <xf numFmtId="0" fontId="20" fillId="14" borderId="54" xfId="0" applyFont="1" applyFill="1" applyBorder="1" applyAlignment="1" applyProtection="1">
      <alignment horizontal="center" wrapText="1"/>
      <protection hidden="1"/>
    </xf>
    <xf numFmtId="0" fontId="20" fillId="14" borderId="31" xfId="0" applyFont="1" applyFill="1" applyBorder="1" applyAlignment="1" applyProtection="1">
      <alignment horizontal="center" wrapText="1"/>
      <protection hidden="1"/>
    </xf>
    <xf numFmtId="0" fontId="12" fillId="0" borderId="285" xfId="0" applyFont="1" applyFill="1" applyBorder="1" applyAlignment="1" applyProtection="1">
      <alignment horizontal="center" vertical="center"/>
      <protection hidden="1"/>
    </xf>
    <xf numFmtId="0" fontId="12" fillId="0" borderId="286" xfId="0" applyFont="1" applyBorder="1" applyAlignment="1" applyProtection="1">
      <alignment horizontal="center" vertical="center"/>
      <protection hidden="1"/>
    </xf>
    <xf numFmtId="0" fontId="12" fillId="0" borderId="286" xfId="0" applyFont="1" applyBorder="1" applyAlignment="1">
      <alignment horizontal="center" vertical="center"/>
    </xf>
    <xf numFmtId="0" fontId="12" fillId="0" borderId="286" xfId="0" applyFont="1" applyBorder="1" applyAlignment="1"/>
    <xf numFmtId="0" fontId="0" fillId="0" borderId="286" xfId="0" applyBorder="1" applyAlignment="1"/>
    <xf numFmtId="0" fontId="0" fillId="0" borderId="287" xfId="0" applyBorder="1" applyAlignment="1"/>
    <xf numFmtId="0" fontId="22" fillId="0" borderId="27" xfId="0" applyFont="1" applyFill="1" applyBorder="1" applyAlignment="1" applyProtection="1">
      <alignment horizontal="center" vertical="center" wrapText="1"/>
      <protection hidden="1"/>
    </xf>
    <xf numFmtId="184" fontId="97" fillId="0" borderId="0" xfId="0" applyNumberFormat="1" applyFont="1" applyFill="1" applyBorder="1" applyAlignment="1" applyProtection="1">
      <alignment horizontal="left"/>
    </xf>
    <xf numFmtId="0" fontId="22" fillId="2" borderId="98" xfId="0" applyFont="1" applyFill="1" applyBorder="1" applyAlignment="1" applyProtection="1">
      <alignment horizontal="center" wrapText="1"/>
      <protection hidden="1"/>
    </xf>
    <xf numFmtId="0" fontId="30" fillId="0" borderId="350" xfId="0" applyFont="1" applyFill="1" applyBorder="1" applyAlignment="1" applyProtection="1">
      <alignment horizontal="center" vertical="center" wrapText="1"/>
      <protection hidden="1"/>
    </xf>
    <xf numFmtId="0" fontId="22" fillId="0" borderId="350" xfId="0" applyFont="1" applyBorder="1" applyAlignment="1" applyProtection="1">
      <alignment horizontal="center" vertical="center" wrapText="1"/>
      <protection hidden="1"/>
    </xf>
    <xf numFmtId="0" fontId="22" fillId="0" borderId="355" xfId="0" applyFont="1" applyBorder="1" applyAlignment="1" applyProtection="1">
      <alignment horizontal="center" vertical="center" wrapText="1"/>
      <protection hidden="1"/>
    </xf>
    <xf numFmtId="0" fontId="12" fillId="2" borderId="209" xfId="0" applyFont="1" applyFill="1" applyBorder="1" applyAlignment="1">
      <alignment horizontal="center" vertical="center" wrapText="1"/>
    </xf>
    <xf numFmtId="0" fontId="12" fillId="2" borderId="41" xfId="0" applyFont="1" applyFill="1" applyBorder="1" applyAlignment="1" applyProtection="1">
      <alignment horizontal="center" vertical="center" wrapText="1"/>
    </xf>
    <xf numFmtId="0" fontId="22" fillId="7" borderId="46" xfId="0" applyFont="1" applyFill="1" applyBorder="1"/>
    <xf numFmtId="0" fontId="22" fillId="7" borderId="95" xfId="0" applyFont="1" applyFill="1" applyBorder="1"/>
    <xf numFmtId="0" fontId="22" fillId="7" borderId="45" xfId="0" applyFont="1" applyFill="1" applyBorder="1"/>
    <xf numFmtId="0" fontId="22" fillId="7" borderId="228" xfId="0" applyFont="1" applyFill="1" applyBorder="1"/>
    <xf numFmtId="0" fontId="22" fillId="7" borderId="37" xfId="0" applyFont="1" applyFill="1" applyBorder="1"/>
    <xf numFmtId="0" fontId="30" fillId="7" borderId="273" xfId="0" applyFont="1" applyFill="1" applyBorder="1" applyAlignment="1" applyProtection="1">
      <alignment horizontal="center" wrapText="1"/>
      <protection hidden="1"/>
    </xf>
    <xf numFmtId="0" fontId="30" fillId="7" borderId="274" xfId="0" applyFont="1" applyFill="1" applyBorder="1" applyAlignment="1" applyProtection="1">
      <alignment horizontal="center" wrapText="1"/>
      <protection hidden="1"/>
    </xf>
    <xf numFmtId="0" fontId="30" fillId="7" borderId="133" xfId="0" applyFont="1" applyFill="1" applyBorder="1" applyAlignment="1" applyProtection="1">
      <alignment horizontal="center" wrapText="1"/>
      <protection hidden="1"/>
    </xf>
    <xf numFmtId="0" fontId="30" fillId="7" borderId="226" xfId="0" applyFont="1" applyFill="1" applyBorder="1" applyAlignment="1" applyProtection="1">
      <alignment horizontal="center" wrapText="1"/>
      <protection hidden="1"/>
    </xf>
    <xf numFmtId="0" fontId="12" fillId="7" borderId="273" xfId="0" applyFont="1" applyFill="1" applyBorder="1" applyAlignment="1" applyProtection="1">
      <alignment horizontal="center" vertical="center"/>
    </xf>
    <xf numFmtId="0" fontId="12" fillId="0" borderId="0" xfId="0" applyFont="1" applyFill="1" applyBorder="1" applyAlignment="1" applyProtection="1">
      <alignment horizontal="left" indent="3" shrinkToFit="1"/>
    </xf>
    <xf numFmtId="0" fontId="49" fillId="0" borderId="119" xfId="0" applyFont="1" applyFill="1" applyBorder="1" applyAlignment="1" applyProtection="1">
      <alignment horizontal="center" vertical="center" wrapText="1"/>
    </xf>
    <xf numFmtId="0" fontId="49" fillId="0" borderId="320" xfId="0" applyFont="1" applyFill="1" applyBorder="1" applyAlignment="1" applyProtection="1">
      <alignment horizontal="center" vertical="center" wrapText="1"/>
    </xf>
    <xf numFmtId="0" fontId="49" fillId="0" borderId="116" xfId="0" applyFont="1" applyFill="1" applyBorder="1" applyAlignment="1" applyProtection="1">
      <alignment horizontal="center" vertical="center" wrapText="1"/>
    </xf>
    <xf numFmtId="0" fontId="49" fillId="0" borderId="117" xfId="0" applyFont="1" applyFill="1" applyBorder="1" applyAlignment="1" applyProtection="1">
      <alignment horizontal="center" vertical="center" wrapText="1"/>
    </xf>
    <xf numFmtId="0" fontId="49" fillId="0" borderId="319" xfId="0" applyFont="1" applyFill="1" applyBorder="1" applyAlignment="1" applyProtection="1">
      <alignment horizontal="center" vertical="center" wrapText="1"/>
    </xf>
    <xf numFmtId="0" fontId="49" fillId="0" borderId="121" xfId="0" applyFont="1" applyFill="1" applyBorder="1" applyAlignment="1" applyProtection="1">
      <alignment horizontal="center" vertical="center" wrapText="1"/>
    </xf>
    <xf numFmtId="0" fontId="22" fillId="7" borderId="219" xfId="0" applyFont="1" applyFill="1" applyBorder="1" applyAlignment="1" applyProtection="1">
      <alignment horizontal="center" wrapText="1"/>
      <protection hidden="1"/>
    </xf>
    <xf numFmtId="0" fontId="22" fillId="7" borderId="252" xfId="0" applyFont="1" applyFill="1" applyBorder="1" applyAlignment="1">
      <alignment wrapText="1"/>
    </xf>
    <xf numFmtId="0" fontId="22" fillId="7" borderId="109" xfId="0" applyFont="1" applyFill="1" applyBorder="1" applyAlignment="1">
      <alignment wrapText="1"/>
    </xf>
    <xf numFmtId="0" fontId="22" fillId="2" borderId="17" xfId="0" applyFont="1" applyFill="1" applyBorder="1" applyAlignment="1" applyProtection="1">
      <alignment horizontal="center" wrapText="1"/>
      <protection hidden="1"/>
    </xf>
    <xf numFmtId="0" fontId="22" fillId="2" borderId="254" xfId="0" applyFont="1" applyFill="1" applyBorder="1" applyAlignment="1" applyProtection="1">
      <alignment wrapText="1"/>
      <protection hidden="1"/>
    </xf>
    <xf numFmtId="0" fontId="12" fillId="7" borderId="273" xfId="0" applyFont="1" applyFill="1" applyBorder="1" applyAlignment="1">
      <alignment horizontal="center" vertical="center" wrapText="1"/>
    </xf>
    <xf numFmtId="0" fontId="30" fillId="7" borderId="273" xfId="0" applyFont="1" applyFill="1" applyBorder="1" applyAlignment="1">
      <alignment horizontal="center" vertical="center" wrapText="1"/>
    </xf>
    <xf numFmtId="0" fontId="30" fillId="7" borderId="244" xfId="0" applyFont="1" applyFill="1" applyBorder="1" applyAlignment="1">
      <alignment horizontal="center" vertical="center" wrapText="1"/>
    </xf>
    <xf numFmtId="0" fontId="30" fillId="2" borderId="210" xfId="0" applyFont="1" applyFill="1" applyBorder="1" applyAlignment="1" applyProtection="1">
      <alignment horizontal="center" wrapText="1"/>
    </xf>
    <xf numFmtId="0" fontId="22" fillId="0" borderId="209" xfId="0" applyFont="1" applyBorder="1" applyAlignment="1">
      <alignment horizontal="center" wrapText="1"/>
    </xf>
    <xf numFmtId="0" fontId="22" fillId="0" borderId="105" xfId="0" applyFont="1" applyBorder="1" applyAlignment="1">
      <alignment horizontal="center" wrapText="1"/>
    </xf>
    <xf numFmtId="0" fontId="22" fillId="0" borderId="44" xfId="0" applyFont="1" applyBorder="1" applyAlignment="1">
      <alignment horizontal="center" wrapText="1"/>
    </xf>
    <xf numFmtId="0" fontId="22" fillId="0" borderId="39" xfId="0" applyFont="1" applyBorder="1" applyAlignment="1">
      <alignment horizontal="center" wrapText="1"/>
    </xf>
    <xf numFmtId="0" fontId="22" fillId="0" borderId="41" xfId="0" applyFont="1" applyBorder="1" applyAlignment="1">
      <alignment horizontal="center" wrapText="1"/>
    </xf>
    <xf numFmtId="0" fontId="22" fillId="7" borderId="218" xfId="0" applyFont="1" applyFill="1" applyBorder="1" applyAlignment="1" applyProtection="1">
      <alignment horizontal="center" wrapText="1"/>
      <protection hidden="1"/>
    </xf>
    <xf numFmtId="0" fontId="22" fillId="7" borderId="111" xfId="0" applyFont="1" applyFill="1" applyBorder="1" applyAlignment="1">
      <alignment wrapText="1"/>
    </xf>
    <xf numFmtId="0" fontId="22" fillId="7" borderId="110" xfId="0" applyFont="1" applyFill="1" applyBorder="1" applyAlignment="1">
      <alignment wrapText="1"/>
    </xf>
    <xf numFmtId="0" fontId="22" fillId="0" borderId="311" xfId="0" applyFont="1" applyFill="1" applyBorder="1" applyAlignment="1" applyProtection="1">
      <alignment horizontal="center" vertical="center" wrapText="1"/>
      <protection hidden="1"/>
    </xf>
    <xf numFmtId="0" fontId="22" fillId="0" borderId="297" xfId="0" applyFont="1" applyFill="1" applyBorder="1" applyAlignment="1" applyProtection="1">
      <alignment horizontal="center" vertical="center" wrapText="1"/>
      <protection hidden="1"/>
    </xf>
    <xf numFmtId="0" fontId="22" fillId="0" borderId="380" xfId="0" applyFont="1" applyFill="1" applyBorder="1" applyAlignment="1" applyProtection="1">
      <alignment horizontal="center" vertical="center" wrapText="1"/>
      <protection hidden="1"/>
    </xf>
    <xf numFmtId="0" fontId="22" fillId="0" borderId="244" xfId="0" applyFont="1" applyBorder="1" applyAlignment="1">
      <alignment horizontal="center" vertical="center" wrapText="1"/>
    </xf>
    <xf numFmtId="0" fontId="22" fillId="0" borderId="233" xfId="0" applyFont="1" applyBorder="1" applyAlignment="1">
      <alignment horizontal="center" vertical="center" wrapText="1"/>
    </xf>
    <xf numFmtId="0" fontId="22" fillId="0" borderId="239" xfId="0" applyFont="1" applyBorder="1" applyAlignment="1">
      <alignment horizontal="center" vertical="center" wrapText="1"/>
    </xf>
    <xf numFmtId="49" fontId="48" fillId="0" borderId="0" xfId="0" applyNumberFormat="1" applyFont="1" applyFill="1" applyBorder="1" applyAlignment="1" applyProtection="1">
      <alignment horizontal="left"/>
      <protection locked="0"/>
    </xf>
    <xf numFmtId="0" fontId="12" fillId="12" borderId="48" xfId="0" applyFont="1" applyFill="1" applyBorder="1" applyAlignment="1" applyProtection="1">
      <alignment horizontal="center" vertical="center" wrapText="1"/>
    </xf>
    <xf numFmtId="0" fontId="0" fillId="0" borderId="115" xfId="0" applyBorder="1" applyAlignment="1">
      <alignment horizontal="center" wrapText="1"/>
    </xf>
    <xf numFmtId="0" fontId="0" fillId="0" borderId="50" xfId="0" applyBorder="1" applyAlignment="1">
      <alignment horizontal="center" wrapText="1"/>
    </xf>
    <xf numFmtId="0" fontId="0" fillId="0" borderId="0" xfId="0" applyAlignment="1">
      <alignment horizontal="center" wrapText="1"/>
    </xf>
    <xf numFmtId="0" fontId="0" fillId="12" borderId="115" xfId="0" applyFill="1" applyBorder="1" applyAlignment="1">
      <alignment horizontal="center" wrapText="1"/>
    </xf>
    <xf numFmtId="0" fontId="0" fillId="12" borderId="49" xfId="0" applyFill="1" applyBorder="1" applyAlignment="1">
      <alignment horizontal="center" wrapText="1"/>
    </xf>
    <xf numFmtId="0" fontId="0" fillId="12" borderId="0" xfId="0" applyFill="1" applyBorder="1" applyAlignment="1">
      <alignment horizontal="center" wrapText="1"/>
    </xf>
    <xf numFmtId="0" fontId="0" fillId="12" borderId="128" xfId="0" applyFill="1" applyBorder="1" applyAlignment="1">
      <alignment horizontal="center" wrapText="1"/>
    </xf>
    <xf numFmtId="0" fontId="0" fillId="12" borderId="129" xfId="0" applyFill="1" applyBorder="1" applyAlignment="1">
      <alignment horizontal="center" wrapText="1"/>
    </xf>
    <xf numFmtId="0" fontId="61" fillId="0" borderId="387" xfId="0" applyFont="1" applyFill="1" applyBorder="1" applyAlignment="1" applyProtection="1">
      <alignment horizontal="center" vertical="center" wrapText="1"/>
      <protection hidden="1"/>
    </xf>
    <xf numFmtId="0" fontId="61" fillId="0" borderId="389" xfId="0" applyFont="1" applyFill="1" applyBorder="1" applyAlignment="1" applyProtection="1">
      <alignment horizontal="center" vertical="center" wrapText="1"/>
      <protection hidden="1"/>
    </xf>
    <xf numFmtId="0" fontId="29" fillId="0" borderId="388" xfId="0" applyFont="1" applyFill="1" applyBorder="1" applyAlignment="1" applyProtection="1">
      <alignment horizontal="center" vertical="center" wrapText="1"/>
    </xf>
    <xf numFmtId="0" fontId="121" fillId="0" borderId="390" xfId="0" applyFont="1" applyBorder="1" applyAlignment="1">
      <alignment horizontal="center" vertical="center"/>
    </xf>
    <xf numFmtId="0" fontId="22" fillId="12" borderId="127" xfId="0" applyFont="1" applyFill="1" applyBorder="1" applyAlignment="1" applyProtection="1">
      <alignment wrapText="1"/>
    </xf>
    <xf numFmtId="0" fontId="0" fillId="12" borderId="128" xfId="0" applyFill="1" applyBorder="1" applyAlignment="1">
      <alignment wrapText="1"/>
    </xf>
    <xf numFmtId="0" fontId="0" fillId="12" borderId="129" xfId="0" applyFill="1" applyBorder="1" applyAlignment="1">
      <alignment wrapText="1"/>
    </xf>
    <xf numFmtId="0" fontId="50" fillId="0" borderId="387" xfId="0" applyFont="1" applyFill="1" applyBorder="1" applyAlignment="1" applyProtection="1">
      <alignment horizontal="center" vertical="center" wrapText="1"/>
      <protection hidden="1"/>
    </xf>
    <xf numFmtId="0" fontId="50" fillId="0" borderId="389" xfId="0" applyFont="1" applyFill="1" applyBorder="1" applyAlignment="1" applyProtection="1">
      <alignment horizontal="center" vertical="center" wrapText="1"/>
      <protection hidden="1"/>
    </xf>
    <xf numFmtId="0" fontId="22" fillId="2" borderId="0" xfId="0" applyFont="1" applyFill="1" applyBorder="1" applyAlignment="1" applyProtection="1">
      <alignment horizontal="center" wrapText="1"/>
      <protection hidden="1"/>
    </xf>
    <xf numFmtId="0" fontId="22" fillId="0" borderId="0" xfId="0" applyFont="1" applyBorder="1" applyAlignment="1" applyProtection="1">
      <alignment wrapText="1"/>
      <protection hidden="1"/>
    </xf>
    <xf numFmtId="0" fontId="50" fillId="14" borderId="54" xfId="0" applyFont="1" applyFill="1" applyBorder="1" applyAlignment="1" applyProtection="1">
      <alignment horizontal="center" wrapText="1"/>
      <protection hidden="1"/>
    </xf>
    <xf numFmtId="0" fontId="50" fillId="14" borderId="31" xfId="0" applyFont="1" applyFill="1" applyBorder="1" applyAlignment="1" applyProtection="1">
      <alignment wrapText="1"/>
      <protection hidden="1"/>
    </xf>
    <xf numFmtId="0" fontId="22" fillId="2" borderId="65" xfId="0" applyFont="1" applyFill="1" applyBorder="1" applyAlignment="1" applyProtection="1">
      <alignment horizontal="center" wrapText="1"/>
      <protection hidden="1"/>
    </xf>
    <xf numFmtId="0" fontId="0" fillId="0" borderId="217" xfId="0" applyBorder="1" applyAlignment="1">
      <alignment wrapText="1"/>
    </xf>
    <xf numFmtId="0" fontId="0" fillId="0" borderId="230" xfId="0" applyBorder="1" applyAlignment="1">
      <alignment wrapText="1"/>
    </xf>
    <xf numFmtId="0" fontId="22" fillId="2" borderId="31" xfId="0" applyFont="1" applyFill="1" applyBorder="1" applyAlignment="1" applyProtection="1">
      <alignment horizontal="center" wrapText="1"/>
      <protection hidden="1"/>
    </xf>
    <xf numFmtId="0" fontId="22" fillId="0" borderId="98" xfId="0" applyFont="1" applyBorder="1" applyAlignment="1" applyProtection="1">
      <alignment wrapText="1"/>
      <protection hidden="1"/>
    </xf>
    <xf numFmtId="0" fontId="22" fillId="2" borderId="211" xfId="0" applyFont="1" applyFill="1" applyBorder="1" applyAlignment="1" applyProtection="1">
      <alignment horizontal="center" wrapText="1"/>
      <protection hidden="1"/>
    </xf>
    <xf numFmtId="0" fontId="22" fillId="2" borderId="40" xfId="0" applyFont="1" applyFill="1" applyBorder="1" applyAlignment="1" applyProtection="1">
      <alignment horizontal="center" wrapText="1"/>
      <protection hidden="1"/>
    </xf>
    <xf numFmtId="0" fontId="22" fillId="2" borderId="275" xfId="0" applyFont="1" applyFill="1" applyBorder="1" applyAlignment="1" applyProtection="1">
      <alignment horizontal="center"/>
      <protection hidden="1"/>
    </xf>
    <xf numFmtId="0" fontId="12" fillId="2" borderId="55" xfId="0" applyFont="1" applyFill="1" applyBorder="1" applyAlignment="1" applyProtection="1">
      <alignment horizontal="center"/>
    </xf>
    <xf numFmtId="0" fontId="22" fillId="0" borderId="55" xfId="0" applyFont="1" applyBorder="1" applyAlignment="1">
      <alignment horizontal="center"/>
    </xf>
    <xf numFmtId="0" fontId="22" fillId="0" borderId="31" xfId="0" applyFont="1" applyBorder="1" applyAlignment="1">
      <alignment wrapText="1"/>
    </xf>
    <xf numFmtId="0" fontId="22" fillId="2" borderId="275" xfId="0" applyFont="1" applyFill="1" applyBorder="1" applyAlignment="1" applyProtection="1">
      <alignment horizontal="center" wrapText="1"/>
      <protection hidden="1"/>
    </xf>
    <xf numFmtId="0" fontId="22" fillId="0" borderId="55" xfId="0" applyFont="1" applyBorder="1" applyAlignment="1">
      <alignment horizontal="center" wrapText="1"/>
    </xf>
    <xf numFmtId="0" fontId="22" fillId="2" borderId="235" xfId="0" applyFont="1" applyFill="1" applyBorder="1" applyAlignment="1" applyProtection="1">
      <alignment horizontal="center" wrapText="1"/>
      <protection hidden="1"/>
    </xf>
    <xf numFmtId="0" fontId="22" fillId="0" borderId="236" xfId="0" applyFont="1" applyBorder="1" applyAlignment="1" applyProtection="1">
      <alignment wrapText="1"/>
      <protection hidden="1"/>
    </xf>
    <xf numFmtId="0" fontId="22" fillId="0" borderId="211" xfId="0" applyFont="1" applyBorder="1" applyAlignment="1" applyProtection="1">
      <alignment horizontal="center" wrapText="1"/>
      <protection hidden="1"/>
    </xf>
    <xf numFmtId="14" fontId="30" fillId="2" borderId="0" xfId="0" applyNumberFormat="1" applyFont="1" applyFill="1" applyAlignment="1" applyProtection="1"/>
    <xf numFmtId="14" fontId="0" fillId="0" borderId="45" xfId="0" applyNumberFormat="1" applyBorder="1" applyAlignment="1"/>
    <xf numFmtId="0" fontId="22" fillId="2" borderId="98" xfId="0" applyFont="1" applyFill="1" applyBorder="1" applyAlignment="1" applyProtection="1">
      <alignment wrapText="1"/>
      <protection hidden="1"/>
    </xf>
    <xf numFmtId="0" fontId="22" fillId="7" borderId="7" xfId="0" applyFont="1" applyFill="1" applyBorder="1" applyAlignment="1" applyProtection="1">
      <alignment horizontal="center"/>
      <protection hidden="1"/>
    </xf>
    <xf numFmtId="0" fontId="22" fillId="7" borderId="64" xfId="0" applyFont="1" applyFill="1" applyBorder="1" applyAlignment="1" applyProtection="1">
      <alignment horizontal="center"/>
      <protection hidden="1"/>
    </xf>
    <xf numFmtId="0" fontId="22" fillId="7" borderId="106" xfId="0" applyFont="1" applyFill="1" applyBorder="1" applyAlignment="1" applyProtection="1">
      <alignment horizontal="center"/>
      <protection hidden="1"/>
    </xf>
    <xf numFmtId="0" fontId="22" fillId="2" borderId="31" xfId="0" applyFont="1" applyFill="1" applyBorder="1" applyAlignment="1" applyProtection="1">
      <alignment wrapText="1"/>
      <protection hidden="1"/>
    </xf>
    <xf numFmtId="0" fontId="22" fillId="14" borderId="54" xfId="0" applyFont="1" applyFill="1" applyBorder="1" applyAlignment="1" applyProtection="1">
      <alignment horizontal="center" wrapText="1"/>
      <protection hidden="1"/>
    </xf>
    <xf numFmtId="0" fontId="22" fillId="14" borderId="31" xfId="0" applyFont="1" applyFill="1" applyBorder="1" applyAlignment="1" applyProtection="1">
      <alignment wrapText="1"/>
      <protection hidden="1"/>
    </xf>
    <xf numFmtId="0" fontId="22" fillId="2" borderId="279" xfId="0" applyFont="1" applyFill="1" applyBorder="1" applyAlignment="1" applyProtection="1">
      <alignment horizontal="center" wrapText="1"/>
      <protection hidden="1"/>
    </xf>
    <xf numFmtId="0" fontId="22" fillId="2" borderId="260" xfId="0" applyFont="1" applyFill="1" applyBorder="1" applyAlignment="1" applyProtection="1">
      <alignment wrapText="1"/>
      <protection hidden="1"/>
    </xf>
    <xf numFmtId="0" fontId="30" fillId="2" borderId="16" xfId="0" applyFont="1" applyFill="1" applyBorder="1" applyAlignment="1" applyProtection="1">
      <alignment horizontal="center" vertical="center" wrapText="1"/>
      <protection hidden="1"/>
    </xf>
    <xf numFmtId="0" fontId="22" fillId="2" borderId="255" xfId="0" applyFont="1" applyFill="1" applyBorder="1" applyAlignment="1" applyProtection="1">
      <alignment horizontal="center" vertical="center" wrapText="1"/>
      <protection hidden="1"/>
    </xf>
    <xf numFmtId="0" fontId="105" fillId="13" borderId="0" xfId="0" applyFont="1" applyFill="1" applyAlignment="1" applyProtection="1">
      <alignment horizontal="center"/>
    </xf>
    <xf numFmtId="0" fontId="105" fillId="13" borderId="0" xfId="0" applyFont="1" applyFill="1" applyAlignment="1">
      <alignment horizontal="center"/>
    </xf>
    <xf numFmtId="0" fontId="22" fillId="2" borderId="211" xfId="0" applyFont="1" applyFill="1" applyBorder="1" applyAlignment="1" applyProtection="1">
      <alignment wrapText="1"/>
      <protection hidden="1"/>
    </xf>
    <xf numFmtId="0" fontId="50" fillId="14" borderId="31" xfId="0" applyFont="1" applyFill="1" applyBorder="1" applyAlignment="1" applyProtection="1">
      <alignment horizontal="center" wrapText="1"/>
      <protection hidden="1"/>
    </xf>
    <xf numFmtId="0" fontId="50" fillId="14" borderId="98" xfId="0" applyFont="1" applyFill="1" applyBorder="1" applyAlignment="1" applyProtection="1">
      <alignment wrapText="1"/>
      <protection hidden="1"/>
    </xf>
    <xf numFmtId="0" fontId="22" fillId="2" borderId="0" xfId="0" applyFont="1" applyFill="1" applyAlignment="1" applyProtection="1">
      <alignment textRotation="90"/>
    </xf>
    <xf numFmtId="0" fontId="0" fillId="0" borderId="0" xfId="0" applyAlignment="1">
      <alignment textRotation="90"/>
    </xf>
    <xf numFmtId="0" fontId="22" fillId="0" borderId="350" xfId="0" applyFont="1" applyFill="1" applyBorder="1" applyAlignment="1" applyProtection="1">
      <alignment horizontal="center" vertical="center" wrapText="1"/>
      <protection hidden="1"/>
    </xf>
    <xf numFmtId="0" fontId="12" fillId="0" borderId="80" xfId="0" applyFont="1" applyFill="1" applyBorder="1" applyAlignment="1" applyProtection="1">
      <alignment horizontal="center" vertical="center"/>
    </xf>
    <xf numFmtId="0" fontId="0" fillId="0" borderId="46" xfId="0" applyFill="1" applyBorder="1" applyAlignment="1" applyProtection="1">
      <alignment horizontal="center" vertical="center"/>
    </xf>
    <xf numFmtId="0" fontId="47" fillId="0" borderId="96" xfId="0" applyFont="1" applyFill="1" applyBorder="1" applyAlignment="1" applyProtection="1">
      <alignment horizontal="center" vertical="center"/>
    </xf>
    <xf numFmtId="0" fontId="61" fillId="0" borderId="381" xfId="0" applyFont="1" applyFill="1" applyBorder="1" applyAlignment="1" applyProtection="1">
      <alignment horizontal="center" vertical="center" wrapText="1"/>
      <protection hidden="1"/>
    </xf>
    <xf numFmtId="0" fontId="61" fillId="0" borderId="255" xfId="0" applyFont="1" applyFill="1" applyBorder="1" applyAlignment="1" applyProtection="1">
      <alignment horizontal="center" vertical="center" wrapText="1"/>
      <protection hidden="1"/>
    </xf>
    <xf numFmtId="0" fontId="29" fillId="0" borderId="382" xfId="0" applyFont="1" applyFill="1" applyBorder="1" applyAlignment="1" applyProtection="1">
      <alignment horizontal="center" vertical="center" wrapText="1"/>
    </xf>
    <xf numFmtId="0" fontId="121" fillId="0" borderId="386" xfId="0" applyFont="1" applyBorder="1" applyAlignment="1">
      <alignment horizontal="center" vertical="center"/>
    </xf>
    <xf numFmtId="0" fontId="22" fillId="0" borderId="242" xfId="0" applyFont="1" applyBorder="1" applyAlignment="1">
      <alignment horizontal="center" vertical="center" wrapText="1"/>
    </xf>
    <xf numFmtId="0" fontId="22" fillId="0" borderId="236" xfId="0" applyFont="1" applyBorder="1" applyAlignment="1">
      <alignment horizontal="center" vertical="center" wrapText="1"/>
    </xf>
    <xf numFmtId="0" fontId="30" fillId="7" borderId="8" xfId="0" applyFont="1" applyFill="1" applyBorder="1" applyAlignment="1" applyProtection="1">
      <alignment horizontal="center" wrapText="1"/>
      <protection hidden="1"/>
    </xf>
    <xf numFmtId="0" fontId="22" fillId="7" borderId="8" xfId="0" applyFont="1" applyFill="1" applyBorder="1" applyAlignment="1">
      <alignment wrapText="1"/>
    </xf>
    <xf numFmtId="0" fontId="22" fillId="7" borderId="17" xfId="0" applyFont="1" applyFill="1" applyBorder="1" applyAlignment="1">
      <alignment wrapText="1"/>
    </xf>
    <xf numFmtId="0" fontId="22" fillId="7" borderId="12" xfId="0" applyFont="1" applyFill="1" applyBorder="1" applyAlignment="1" applyProtection="1">
      <alignment horizontal="center" wrapText="1"/>
      <protection hidden="1"/>
    </xf>
    <xf numFmtId="0" fontId="22" fillId="7" borderId="12" xfId="0" applyFont="1" applyFill="1" applyBorder="1" applyAlignment="1">
      <alignment wrapText="1"/>
    </xf>
    <xf numFmtId="0" fontId="22" fillId="7" borderId="13" xfId="0" applyFont="1" applyFill="1" applyBorder="1" applyAlignment="1">
      <alignment wrapText="1"/>
    </xf>
    <xf numFmtId="0" fontId="22" fillId="7" borderId="234" xfId="0" applyFont="1" applyFill="1" applyBorder="1" applyAlignment="1" applyProtection="1">
      <alignment horizontal="center" wrapText="1"/>
      <protection hidden="1"/>
    </xf>
    <xf numFmtId="0" fontId="22" fillId="9" borderId="54" xfId="0" applyFont="1" applyFill="1" applyBorder="1" applyAlignment="1" applyProtection="1">
      <alignment horizontal="center" wrapText="1"/>
      <protection hidden="1"/>
    </xf>
    <xf numFmtId="0" fontId="22" fillId="9" borderId="31" xfId="0" applyFont="1" applyFill="1" applyBorder="1" applyAlignment="1" applyProtection="1">
      <alignment horizontal="center" wrapText="1"/>
      <protection hidden="1"/>
    </xf>
    <xf numFmtId="0" fontId="12" fillId="0" borderId="80" xfId="0" applyFont="1" applyFill="1" applyBorder="1" applyAlignment="1">
      <alignment horizontal="center" vertical="center"/>
    </xf>
    <xf numFmtId="0" fontId="0" fillId="0" borderId="46" xfId="0" applyFill="1" applyBorder="1" applyAlignment="1">
      <alignment horizontal="center" vertical="center"/>
    </xf>
    <xf numFmtId="0" fontId="22" fillId="14" borderId="31" xfId="0" applyFont="1" applyFill="1" applyBorder="1" applyAlignment="1" applyProtection="1">
      <alignment horizontal="center" wrapText="1"/>
      <protection hidden="1"/>
    </xf>
    <xf numFmtId="0" fontId="50" fillId="0" borderId="133" xfId="0" applyFont="1" applyFill="1" applyBorder="1" applyAlignment="1" applyProtection="1">
      <alignment horizontal="center" vertical="center" wrapText="1"/>
      <protection hidden="1"/>
    </xf>
    <xf numFmtId="0" fontId="0" fillId="0" borderId="133" xfId="0" applyBorder="1" applyAlignment="1">
      <alignment wrapText="1"/>
    </xf>
    <xf numFmtId="0" fontId="0" fillId="0" borderId="244" xfId="0" applyBorder="1" applyAlignment="1">
      <alignment wrapText="1"/>
    </xf>
    <xf numFmtId="0" fontId="50" fillId="0" borderId="381" xfId="0" applyFont="1" applyFill="1" applyBorder="1" applyAlignment="1" applyProtection="1">
      <alignment horizontal="center" vertical="center" wrapText="1"/>
      <protection hidden="1"/>
    </xf>
    <xf numFmtId="0" fontId="50" fillId="0" borderId="255" xfId="0" applyFont="1" applyFill="1" applyBorder="1" applyAlignment="1" applyProtection="1">
      <alignment horizontal="center" vertical="center" wrapText="1"/>
      <protection hidden="1"/>
    </xf>
    <xf numFmtId="0" fontId="22" fillId="12" borderId="127" xfId="0" applyFont="1" applyFill="1" applyBorder="1" applyAlignment="1" applyProtection="1"/>
    <xf numFmtId="0" fontId="0" fillId="12" borderId="128" xfId="0" applyFill="1" applyBorder="1" applyAlignment="1"/>
    <xf numFmtId="0" fontId="30" fillId="2" borderId="65" xfId="0" applyFont="1" applyFill="1" applyBorder="1" applyAlignment="1" applyProtection="1">
      <alignment horizontal="center" wrapText="1"/>
    </xf>
    <xf numFmtId="0" fontId="49" fillId="0" borderId="317" xfId="0" applyFont="1" applyFill="1" applyBorder="1" applyAlignment="1" applyProtection="1">
      <alignment horizontal="center" vertical="center" wrapText="1"/>
    </xf>
    <xf numFmtId="0" fontId="49" fillId="0" borderId="321" xfId="0" applyFont="1" applyFill="1" applyBorder="1" applyAlignment="1" applyProtection="1">
      <alignment horizontal="center" vertical="center" wrapText="1"/>
    </xf>
    <xf numFmtId="168" fontId="97" fillId="0" borderId="0" xfId="0" applyNumberFormat="1" applyFont="1" applyFill="1" applyBorder="1" applyAlignment="1" applyProtection="1">
      <alignment horizontal="left" indent="1"/>
    </xf>
    <xf numFmtId="0" fontId="12" fillId="2" borderId="292" xfId="0" applyFont="1" applyFill="1" applyBorder="1" applyAlignment="1" applyProtection="1">
      <alignment horizontal="center" vertical="center"/>
    </xf>
    <xf numFmtId="0" fontId="0" fillId="0" borderId="292" xfId="0" applyBorder="1" applyAlignment="1">
      <alignment horizontal="center" vertical="center"/>
    </xf>
    <xf numFmtId="0" fontId="12" fillId="2" borderId="0" xfId="0" applyFont="1" applyFill="1" applyBorder="1" applyAlignment="1" applyProtection="1">
      <alignment horizontal="center" vertical="center" wrapText="1"/>
    </xf>
    <xf numFmtId="0" fontId="0" fillId="0" borderId="0" xfId="0" applyAlignment="1">
      <alignment horizontal="center" vertical="center" wrapText="1"/>
    </xf>
    <xf numFmtId="0" fontId="49" fillId="0" borderId="251" xfId="0" applyFont="1" applyFill="1" applyBorder="1" applyAlignment="1" applyProtection="1">
      <alignment horizontal="center" vertical="center" wrapText="1"/>
    </xf>
    <xf numFmtId="0" fontId="49" fillId="0" borderId="250" xfId="0" applyFont="1" applyFill="1" applyBorder="1" applyAlignment="1" applyProtection="1">
      <alignment horizontal="center" vertical="center"/>
    </xf>
    <xf numFmtId="0" fontId="44" fillId="0" borderId="15" xfId="0" applyFont="1" applyFill="1" applyBorder="1" applyAlignment="1" applyProtection="1"/>
    <xf numFmtId="0" fontId="6" fillId="0" borderId="0" xfId="0" applyFont="1" applyFill="1" applyBorder="1" applyAlignment="1" applyProtection="1">
      <alignment horizontal="left" indent="1"/>
    </xf>
    <xf numFmtId="0" fontId="49" fillId="0" borderId="304" xfId="0" applyFont="1" applyFill="1" applyBorder="1" applyAlignment="1" applyProtection="1">
      <alignment horizontal="center" vertical="center" wrapText="1"/>
    </xf>
    <xf numFmtId="49" fontId="97" fillId="0" borderId="0" xfId="0" applyNumberFormat="1" applyFont="1" applyFill="1" applyBorder="1" applyAlignment="1" applyProtection="1">
      <alignment horizontal="left"/>
    </xf>
    <xf numFmtId="0" fontId="96" fillId="0" borderId="0" xfId="0" applyFont="1" applyAlignment="1" applyProtection="1"/>
    <xf numFmtId="0" fontId="49" fillId="0" borderId="249" xfId="0" applyFont="1" applyFill="1" applyBorder="1" applyAlignment="1" applyProtection="1">
      <alignment horizontal="center" vertical="center" wrapText="1"/>
    </xf>
    <xf numFmtId="0" fontId="49" fillId="0" borderId="288" xfId="0" applyFont="1" applyFill="1" applyBorder="1" applyAlignment="1" applyProtection="1">
      <alignment horizontal="center" vertical="center"/>
    </xf>
    <xf numFmtId="0" fontId="49" fillId="0" borderId="248" xfId="0" applyFont="1" applyFill="1" applyBorder="1" applyAlignment="1" applyProtection="1">
      <alignment horizontal="center" vertical="center"/>
    </xf>
    <xf numFmtId="0" fontId="49" fillId="0" borderId="289" xfId="0" applyFont="1" applyFill="1" applyBorder="1" applyAlignment="1" applyProtection="1">
      <alignment horizontal="center" vertical="center"/>
    </xf>
    <xf numFmtId="0" fontId="12" fillId="0" borderId="0" xfId="0" applyFont="1" applyAlignment="1" applyProtection="1">
      <alignment horizontal="left" indent="3" shrinkToFit="1"/>
    </xf>
    <xf numFmtId="0" fontId="96" fillId="0" borderId="21" xfId="0" applyFont="1" applyBorder="1" applyAlignment="1" applyProtection="1"/>
    <xf numFmtId="49" fontId="6" fillId="0" borderId="0" xfId="0" applyNumberFormat="1" applyFont="1" applyFill="1" applyBorder="1" applyAlignment="1" applyProtection="1">
      <alignment horizontal="left" vertical="top" indent="1"/>
    </xf>
    <xf numFmtId="49" fontId="16" fillId="0" borderId="0" xfId="0" applyNumberFormat="1" applyFont="1" applyFill="1" applyBorder="1" applyAlignment="1" applyProtection="1">
      <alignment horizontal="left" vertical="top" indent="1"/>
    </xf>
    <xf numFmtId="0" fontId="6" fillId="0" borderId="0" xfId="0" applyFont="1" applyFill="1" applyBorder="1" applyAlignment="1" applyProtection="1">
      <alignment horizontal="center"/>
    </xf>
    <xf numFmtId="0" fontId="29" fillId="0" borderId="349" xfId="0" applyFont="1" applyFill="1" applyBorder="1" applyAlignment="1" applyProtection="1">
      <alignment horizontal="center" vertical="center" wrapText="1"/>
      <protection hidden="1"/>
    </xf>
    <xf numFmtId="0" fontId="29" fillId="0" borderId="107" xfId="0" applyFont="1" applyFill="1" applyBorder="1" applyAlignment="1" applyProtection="1">
      <alignment horizontal="center" vertical="center" wrapText="1"/>
      <protection hidden="1"/>
    </xf>
    <xf numFmtId="0" fontId="49" fillId="0" borderId="288" xfId="0" applyFont="1" applyFill="1" applyBorder="1" applyAlignment="1" applyProtection="1">
      <alignment horizontal="center" vertical="center" wrapText="1"/>
    </xf>
    <xf numFmtId="0" fontId="49" fillId="0" borderId="318" xfId="0" applyFont="1" applyFill="1" applyBorder="1" applyAlignment="1" applyProtection="1">
      <alignment horizontal="center" vertical="center" wrapText="1"/>
    </xf>
    <xf numFmtId="0" fontId="49" fillId="0" borderId="249" xfId="0" applyFont="1" applyFill="1" applyBorder="1" applyAlignment="1" applyProtection="1">
      <alignment horizontal="center" vertical="center"/>
    </xf>
    <xf numFmtId="0" fontId="49" fillId="0" borderId="251" xfId="0" applyFont="1" applyFill="1" applyBorder="1" applyAlignment="1" applyProtection="1">
      <alignment horizontal="center" vertical="center"/>
    </xf>
    <xf numFmtId="0" fontId="49" fillId="0" borderId="248" xfId="0" applyFont="1" applyFill="1" applyBorder="1" applyAlignment="1" applyProtection="1">
      <alignment horizontal="center" vertical="center" wrapText="1"/>
    </xf>
    <xf numFmtId="0" fontId="49" fillId="0" borderId="250" xfId="0" applyFont="1" applyFill="1" applyBorder="1" applyAlignment="1" applyProtection="1">
      <alignment horizontal="center" vertical="center" wrapText="1"/>
    </xf>
    <xf numFmtId="0" fontId="50" fillId="0" borderId="289" xfId="0" applyFont="1" applyBorder="1" applyAlignment="1" applyProtection="1">
      <alignment horizontal="center" vertical="center" wrapText="1"/>
    </xf>
    <xf numFmtId="0" fontId="12" fillId="2" borderId="0" xfId="0" applyFont="1" applyFill="1" applyBorder="1" applyAlignment="1" applyProtection="1">
      <alignment horizontal="center" vertical="center"/>
    </xf>
    <xf numFmtId="0" fontId="0" fillId="0" borderId="0" xfId="0" applyAlignment="1">
      <alignment horizontal="center" vertical="center"/>
    </xf>
    <xf numFmtId="0" fontId="29" fillId="0" borderId="344" xfId="0" applyFont="1" applyFill="1" applyBorder="1" applyAlignment="1" applyProtection="1">
      <alignment horizontal="center" vertical="center" wrapText="1"/>
      <protection hidden="1"/>
    </xf>
    <xf numFmtId="0" fontId="29" fillId="0" borderId="347" xfId="0" applyFont="1" applyBorder="1" applyAlignment="1" applyProtection="1">
      <alignment horizontal="center" vertical="center" wrapText="1"/>
      <protection hidden="1"/>
    </xf>
    <xf numFmtId="0" fontId="12" fillId="5" borderId="48" xfId="0" applyFont="1" applyFill="1" applyBorder="1" applyAlignment="1" applyProtection="1">
      <alignment horizontal="center" vertical="center" wrapText="1"/>
      <protection hidden="1"/>
    </xf>
    <xf numFmtId="0" fontId="22" fillId="0" borderId="343" xfId="0" applyFont="1" applyFill="1" applyBorder="1" applyAlignment="1" applyProtection="1">
      <alignment horizontal="center" vertical="center" wrapText="1"/>
      <protection hidden="1"/>
    </xf>
    <xf numFmtId="0" fontId="22" fillId="0" borderId="346" xfId="0" applyFont="1" applyBorder="1" applyAlignment="1" applyProtection="1">
      <alignment horizontal="center" vertical="center" wrapText="1"/>
      <protection hidden="1"/>
    </xf>
    <xf numFmtId="0" fontId="22" fillId="0" borderId="344" xfId="0" applyFont="1" applyFill="1" applyBorder="1" applyAlignment="1" applyProtection="1">
      <alignment horizontal="center" vertical="center" wrapText="1"/>
      <protection hidden="1"/>
    </xf>
    <xf numFmtId="0" fontId="22" fillId="0" borderId="347" xfId="0" applyFont="1" applyBorder="1" applyAlignment="1" applyProtection="1">
      <alignment horizontal="center" vertical="center" wrapText="1"/>
      <protection hidden="1"/>
    </xf>
    <xf numFmtId="0" fontId="29" fillId="0" borderId="345" xfId="0" applyFont="1" applyFill="1" applyBorder="1" applyAlignment="1" applyProtection="1">
      <alignment horizontal="center" vertical="center" wrapText="1"/>
      <protection hidden="1"/>
    </xf>
    <xf numFmtId="0" fontId="29" fillId="0" borderId="348" xfId="0" applyFont="1" applyBorder="1" applyAlignment="1" applyProtection="1">
      <alignment horizontal="center" vertical="center" wrapText="1"/>
      <protection hidden="1"/>
    </xf>
    <xf numFmtId="0" fontId="49" fillId="0" borderId="61" xfId="0" applyFont="1" applyFill="1" applyBorder="1" applyAlignment="1" applyProtection="1">
      <alignment horizontal="center" vertical="center" wrapText="1"/>
    </xf>
    <xf numFmtId="0" fontId="50" fillId="0" borderId="61" xfId="0" applyFont="1" applyBorder="1" applyAlignment="1" applyProtection="1">
      <alignment horizontal="center" vertical="center" wrapText="1"/>
    </xf>
    <xf numFmtId="0" fontId="49" fillId="0" borderId="77" xfId="0" applyFont="1" applyFill="1" applyBorder="1" applyAlignment="1" applyProtection="1">
      <alignment horizontal="center" vertical="center" wrapText="1"/>
    </xf>
    <xf numFmtId="0" fontId="49" fillId="0" borderId="61" xfId="0" applyFont="1" applyFill="1" applyBorder="1" applyAlignment="1" applyProtection="1">
      <alignment horizontal="center" vertical="center"/>
    </xf>
    <xf numFmtId="0" fontId="49" fillId="0" borderId="60" xfId="0" applyFont="1" applyFill="1" applyBorder="1" applyAlignment="1" applyProtection="1">
      <alignment horizontal="center" vertical="center"/>
    </xf>
    <xf numFmtId="0" fontId="12" fillId="5" borderId="285" xfId="0" applyFont="1" applyFill="1" applyBorder="1" applyAlignment="1" applyProtection="1">
      <alignment horizontal="center" vertical="center" wrapText="1"/>
      <protection hidden="1"/>
    </xf>
    <xf numFmtId="0" fontId="0" fillId="0" borderId="286" xfId="0" applyBorder="1" applyAlignment="1">
      <alignment wrapText="1"/>
    </xf>
    <xf numFmtId="0" fontId="0" fillId="0" borderId="287" xfId="0" applyBorder="1" applyAlignment="1">
      <alignment wrapText="1"/>
    </xf>
  </cellXfs>
  <cellStyles count="4">
    <cellStyle name="Normal" xfId="0" builtinId="0"/>
    <cellStyle name="Normal 2" xfId="2" xr:uid="{00000000-0005-0000-0000-000001000000}"/>
    <cellStyle name="Normal 3" xfId="1" xr:uid="{00000000-0005-0000-0000-000002000000}"/>
    <cellStyle name="Normal 3 2" xfId="3" xr:uid="{00000000-0005-0000-0000-000003000000}"/>
  </cellStyles>
  <dxfs count="643">
    <dxf>
      <font>
        <b/>
        <i val="0"/>
        <color rgb="FFFF0000"/>
      </font>
    </dxf>
    <dxf>
      <font>
        <b/>
        <i val="0"/>
        <color rgb="FFFF0000"/>
      </font>
    </dxf>
    <dxf>
      <font>
        <b/>
        <i val="0"/>
        <color rgb="FFFF0000"/>
      </font>
    </dxf>
    <dxf>
      <font>
        <b/>
        <i val="0"/>
        <color rgb="FFFF0000"/>
      </font>
    </dxf>
    <dxf>
      <font>
        <b/>
        <i val="0"/>
        <color rgb="FF006600"/>
      </font>
      <fill>
        <patternFill>
          <bgColor rgb="FFF5EBF5"/>
        </patternFill>
      </fill>
    </dxf>
    <dxf>
      <font>
        <color rgb="FFFF0000"/>
      </font>
      <fill>
        <gradientFill type="path" left="0.5" right="0.5" top="0.5" bottom="0.5">
          <stop position="0">
            <color theme="0"/>
          </stop>
          <stop position="1">
            <color rgb="FFFFCCCC"/>
          </stop>
        </gradientFill>
      </fill>
    </dxf>
    <dxf>
      <font>
        <b/>
        <i val="0"/>
        <condense val="0"/>
        <extend val="0"/>
        <color indexed="10"/>
      </font>
    </dxf>
    <dxf>
      <font>
        <b/>
        <i val="0"/>
        <condense val="0"/>
        <extend val="0"/>
        <color indexed="10"/>
      </font>
    </dxf>
    <dxf>
      <font>
        <b/>
        <i val="0"/>
        <condense val="0"/>
        <extend val="0"/>
        <color indexed="10"/>
      </font>
    </dxf>
    <dxf>
      <font>
        <b/>
        <i val="0"/>
        <condense val="0"/>
        <extend val="0"/>
        <color indexed="9"/>
      </font>
      <fill>
        <patternFill>
          <bgColor indexed="10"/>
        </patternFill>
      </fill>
    </dxf>
    <dxf>
      <font>
        <b/>
        <i val="0"/>
        <condense val="0"/>
        <extend val="0"/>
        <color indexed="9"/>
      </font>
      <fill>
        <patternFill>
          <bgColor indexed="10"/>
        </patternFill>
      </fill>
    </dxf>
    <dxf>
      <border>
        <left/>
        <right/>
        <top/>
        <bottom/>
      </border>
    </dxf>
    <dxf>
      <font>
        <b/>
        <i val="0"/>
        <condense val="0"/>
        <extend val="0"/>
        <color indexed="10"/>
      </font>
    </dxf>
    <dxf>
      <fill>
        <patternFill>
          <bgColor rgb="FFFF0000"/>
        </patternFill>
      </fill>
    </dxf>
    <dxf>
      <font>
        <b/>
        <i val="0"/>
        <color rgb="FFFF0000"/>
      </font>
    </dxf>
    <dxf>
      <font>
        <color theme="0" tint="-0.34998626667073579"/>
      </font>
    </dxf>
    <dxf>
      <font>
        <color theme="0"/>
      </font>
      <fill>
        <patternFill>
          <bgColor theme="0"/>
        </patternFill>
      </fill>
    </dxf>
    <dxf>
      <font>
        <b/>
        <i val="0"/>
        <condense val="0"/>
        <extend val="0"/>
        <color indexed="10"/>
      </font>
    </dxf>
    <dxf>
      <border>
        <left/>
        <right/>
        <top/>
        <bottom/>
      </border>
    </dxf>
    <dxf>
      <font>
        <b/>
        <i val="0"/>
        <condense val="0"/>
        <extend val="0"/>
        <color indexed="10"/>
      </font>
    </dxf>
    <dxf>
      <font>
        <b/>
        <i val="0"/>
        <condense val="0"/>
        <extend val="0"/>
        <color indexed="10"/>
      </font>
    </dxf>
    <dxf>
      <font>
        <b/>
        <i val="0"/>
        <condense val="0"/>
        <extend val="0"/>
        <color indexed="10"/>
      </font>
    </dxf>
    <dxf>
      <fill>
        <patternFill>
          <bgColor indexed="10"/>
        </patternFill>
      </fill>
    </dxf>
    <dxf>
      <font>
        <color rgb="FF006600"/>
      </font>
      <fill>
        <gradientFill type="path" left="0.5" right="0.5" top="0.5" bottom="0.5">
          <stop position="0">
            <color theme="0"/>
          </stop>
          <stop position="1">
            <color rgb="FFFFCCCC"/>
          </stop>
        </gradientFill>
      </fill>
    </dxf>
    <dxf>
      <font>
        <b/>
        <i val="0"/>
        <condense val="0"/>
        <extend val="0"/>
        <color indexed="10"/>
      </font>
    </dxf>
    <dxf>
      <font>
        <b/>
        <i val="0"/>
        <condense val="0"/>
        <extend val="0"/>
        <color indexed="10"/>
      </font>
      <fill>
        <patternFill>
          <bgColor indexed="22"/>
        </patternFill>
      </fill>
    </dxf>
    <dxf>
      <font>
        <color rgb="FF006600"/>
      </font>
      <fill>
        <gradientFill type="path" left="0.5" right="0.5" top="0.5" bottom="0.5">
          <stop position="0">
            <color theme="0"/>
          </stop>
          <stop position="1">
            <color rgb="FFFFCCCC"/>
          </stop>
        </gradientFill>
      </fill>
    </dxf>
    <dxf>
      <font>
        <b/>
        <i val="0"/>
        <condense val="0"/>
        <extend val="0"/>
        <color indexed="10"/>
      </font>
    </dxf>
    <dxf>
      <font>
        <b/>
        <i val="0"/>
        <condense val="0"/>
        <extend val="0"/>
        <color indexed="10"/>
      </font>
      <fill>
        <patternFill>
          <bgColor indexed="22"/>
        </patternFill>
      </fill>
    </dxf>
    <dxf>
      <font>
        <condense val="0"/>
        <extend val="0"/>
        <color auto="1"/>
      </font>
      <fill>
        <gradientFill type="path" left="0.5" right="0.5" top="0.5" bottom="0.5">
          <stop position="0">
            <color theme="0"/>
          </stop>
          <stop position="1">
            <color rgb="FFFFCCCC"/>
          </stop>
        </gradientFill>
      </fill>
    </dxf>
    <dxf>
      <font>
        <b/>
        <i val="0"/>
        <condense val="0"/>
        <extend val="0"/>
        <color indexed="10"/>
      </font>
    </dxf>
    <dxf>
      <font>
        <b/>
        <i val="0"/>
        <condense val="0"/>
        <extend val="0"/>
        <color auto="1"/>
      </font>
      <fill>
        <patternFill>
          <bgColor indexed="10"/>
        </patternFill>
      </fill>
    </dxf>
    <dxf>
      <font>
        <b/>
        <i val="0"/>
        <condense val="0"/>
        <extend val="0"/>
        <color indexed="10"/>
      </font>
      <fill>
        <patternFill>
          <bgColor indexed="22"/>
        </patternFill>
      </fill>
    </dxf>
    <dxf>
      <font>
        <b/>
        <i val="0"/>
        <condense val="0"/>
        <extend val="0"/>
        <color indexed="10"/>
      </font>
    </dxf>
    <dxf>
      <font>
        <b/>
        <i val="0"/>
        <condense val="0"/>
        <extend val="0"/>
        <color auto="1"/>
      </font>
      <fill>
        <patternFill>
          <bgColor indexed="10"/>
        </patternFill>
      </fill>
    </dxf>
    <dxf>
      <font>
        <b/>
        <i val="0"/>
        <condense val="0"/>
        <extend val="0"/>
        <color indexed="10"/>
      </font>
      <fill>
        <patternFill>
          <bgColor indexed="22"/>
        </patternFill>
      </fill>
    </dxf>
    <dxf>
      <font>
        <b/>
        <i val="0"/>
        <condense val="0"/>
        <extend val="0"/>
        <color indexed="10"/>
      </font>
    </dxf>
    <dxf>
      <font>
        <b/>
        <i val="0"/>
        <condense val="0"/>
        <extend val="0"/>
        <color auto="1"/>
      </font>
      <fill>
        <patternFill>
          <bgColor indexed="10"/>
        </patternFill>
      </fill>
    </dxf>
    <dxf>
      <font>
        <b/>
        <i val="0"/>
        <condense val="0"/>
        <extend val="0"/>
        <color indexed="10"/>
      </font>
      <fill>
        <patternFill>
          <bgColor indexed="22"/>
        </patternFill>
      </fill>
    </dxf>
    <dxf>
      <font>
        <b/>
        <i val="0"/>
        <condense val="0"/>
        <extend val="0"/>
        <color indexed="10"/>
      </font>
    </dxf>
    <dxf>
      <font>
        <b/>
        <i val="0"/>
        <condense val="0"/>
        <extend val="0"/>
        <color auto="1"/>
      </font>
      <fill>
        <patternFill>
          <bgColor indexed="10"/>
        </patternFill>
      </fill>
    </dxf>
    <dxf>
      <font>
        <b/>
        <i val="0"/>
        <condense val="0"/>
        <extend val="0"/>
        <color indexed="10"/>
      </font>
      <fill>
        <patternFill>
          <bgColor indexed="22"/>
        </patternFill>
      </fill>
    </dxf>
    <dxf>
      <font>
        <b/>
        <i val="0"/>
        <condense val="0"/>
        <extend val="0"/>
        <color indexed="10"/>
      </font>
    </dxf>
    <dxf>
      <font>
        <b/>
        <i val="0"/>
        <color rgb="FFFF0000"/>
      </font>
    </dxf>
    <dxf>
      <font>
        <b/>
        <i val="0"/>
        <color rgb="FFFF0000"/>
      </font>
    </dxf>
    <dxf>
      <font>
        <b/>
        <i val="0"/>
        <color rgb="FFFF0000"/>
      </font>
    </dxf>
    <dxf>
      <font>
        <b/>
        <i val="0"/>
        <color rgb="FF006600"/>
      </font>
      <fill>
        <patternFill>
          <bgColor rgb="FFF5EBF5"/>
        </patternFill>
      </fill>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condense val="0"/>
        <extend val="0"/>
        <color indexed="10"/>
      </font>
    </dxf>
    <dxf>
      <font>
        <b/>
        <i val="0"/>
        <color rgb="FFFF0000"/>
      </font>
    </dxf>
    <dxf>
      <font>
        <b/>
        <i val="0"/>
        <color rgb="FF006600"/>
      </font>
      <fill>
        <patternFill>
          <bgColor rgb="FFF5EBF5"/>
        </patternFill>
      </fill>
    </dxf>
    <dxf>
      <font>
        <b/>
        <i val="0"/>
        <color rgb="FFFF0000"/>
      </font>
    </dxf>
    <dxf>
      <font>
        <color theme="0"/>
      </font>
    </dxf>
    <dxf>
      <font>
        <b/>
        <i val="0"/>
        <condense val="0"/>
        <extend val="0"/>
        <color indexed="10"/>
      </font>
    </dxf>
    <dxf>
      <font>
        <b/>
        <i val="0"/>
        <color rgb="FF006600"/>
      </font>
      <fill>
        <patternFill>
          <bgColor rgb="FFF5EBF5"/>
        </patternFill>
      </fill>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condense val="0"/>
        <extend val="0"/>
        <color indexed="10"/>
      </font>
    </dxf>
    <dxf>
      <font>
        <b/>
        <i val="0"/>
        <color rgb="FF006600"/>
      </font>
      <fill>
        <patternFill>
          <bgColor rgb="FFF5EBF5"/>
        </patternFill>
      </fill>
    </dxf>
    <dxf>
      <font>
        <color rgb="FF006600"/>
      </font>
      <fill>
        <gradientFill type="path" left="0.5" right="0.5" top="0.5" bottom="0.5">
          <stop position="0">
            <color theme="0"/>
          </stop>
          <stop position="1">
            <color rgb="FFFFCCCC"/>
          </stop>
        </gradientFill>
      </fill>
    </dxf>
    <dxf>
      <font>
        <b/>
        <i val="0"/>
        <condense val="0"/>
        <extend val="0"/>
        <color indexed="10"/>
      </font>
    </dxf>
    <dxf>
      <font>
        <color rgb="FF006600"/>
      </font>
      <fill>
        <gradientFill type="path" left="0.5" right="0.5" top="0.5" bottom="0.5">
          <stop position="0">
            <color theme="0"/>
          </stop>
          <stop position="1">
            <color rgb="FFFFCCCC"/>
          </stop>
        </gradientFill>
      </fill>
    </dxf>
    <dxf>
      <font>
        <b/>
        <i val="0"/>
        <condense val="0"/>
        <extend val="0"/>
        <color indexed="10"/>
      </font>
    </dxf>
    <dxf>
      <fill>
        <patternFill>
          <bgColor indexed="10"/>
        </patternFill>
      </fill>
    </dxf>
    <dxf>
      <font>
        <condense val="0"/>
        <extend val="0"/>
        <color indexed="10"/>
      </font>
    </dxf>
    <dxf>
      <font>
        <b/>
        <i val="0"/>
        <color rgb="FFFF0000"/>
      </font>
    </dxf>
    <dxf>
      <font>
        <b/>
        <i val="0"/>
        <condense val="0"/>
        <extend val="0"/>
        <color indexed="10"/>
      </font>
    </dxf>
    <dxf>
      <font>
        <b/>
        <i val="0"/>
        <condense val="0"/>
        <extend val="0"/>
        <color auto="1"/>
      </font>
      <fill>
        <patternFill>
          <bgColor indexed="10"/>
        </patternFill>
      </fill>
    </dxf>
    <dxf>
      <font>
        <b/>
        <i val="0"/>
        <condense val="0"/>
        <extend val="0"/>
        <color indexed="10"/>
      </font>
      <fill>
        <patternFill>
          <bgColor indexed="22"/>
        </patternFill>
      </fill>
    </dxf>
    <dxf>
      <font>
        <b/>
        <i val="0"/>
        <condense val="0"/>
        <extend val="0"/>
        <color indexed="10"/>
      </font>
    </dxf>
    <dxf>
      <font>
        <b/>
        <i val="0"/>
        <condense val="0"/>
        <extend val="0"/>
        <color auto="1"/>
      </font>
      <fill>
        <patternFill>
          <bgColor indexed="10"/>
        </patternFill>
      </fill>
    </dxf>
    <dxf>
      <font>
        <b/>
        <i val="0"/>
        <condense val="0"/>
        <extend val="0"/>
        <color indexed="10"/>
      </font>
      <fill>
        <patternFill>
          <bgColor indexed="22"/>
        </patternFill>
      </fill>
    </dxf>
    <dxf>
      <font>
        <b/>
        <i val="0"/>
        <condense val="0"/>
        <extend val="0"/>
        <color indexed="10"/>
      </font>
    </dxf>
    <dxf>
      <font>
        <b/>
        <i val="0"/>
        <condense val="0"/>
        <extend val="0"/>
        <color auto="1"/>
      </font>
      <fill>
        <patternFill>
          <bgColor indexed="10"/>
        </patternFill>
      </fill>
    </dxf>
    <dxf>
      <font>
        <b/>
        <i val="0"/>
        <condense val="0"/>
        <extend val="0"/>
        <color indexed="10"/>
      </font>
      <fill>
        <patternFill>
          <bgColor indexed="22"/>
        </patternFill>
      </fill>
    </dxf>
    <dxf>
      <font>
        <b/>
        <i val="0"/>
        <condense val="0"/>
        <extend val="0"/>
        <color indexed="10"/>
      </font>
    </dxf>
    <dxf>
      <font>
        <b/>
        <i val="0"/>
        <condense val="0"/>
        <extend val="0"/>
        <color auto="1"/>
      </font>
      <fill>
        <patternFill>
          <bgColor indexed="10"/>
        </patternFill>
      </fill>
    </dxf>
    <dxf>
      <font>
        <b/>
        <i val="0"/>
        <condense val="0"/>
        <extend val="0"/>
        <color indexed="10"/>
      </font>
      <fill>
        <patternFill>
          <bgColor indexed="22"/>
        </patternFill>
      </fill>
    </dxf>
    <dxf>
      <font>
        <b/>
        <i val="0"/>
        <condense val="0"/>
        <extend val="0"/>
        <color indexed="10"/>
      </font>
    </dxf>
    <dxf>
      <font>
        <b/>
        <i val="0"/>
        <color rgb="FFFF0000"/>
      </font>
    </dxf>
    <dxf>
      <font>
        <b/>
        <i val="0"/>
        <color rgb="FF006600"/>
      </font>
      <fill>
        <patternFill>
          <bgColor rgb="FFF5EBF5"/>
        </patternFill>
      </fill>
    </dxf>
    <dxf>
      <fill>
        <gradientFill type="path" left="0.5" right="0.5" top="0.5" bottom="0.5">
          <stop position="0">
            <color theme="0"/>
          </stop>
          <stop position="1">
            <color rgb="FFFFCCCC"/>
          </stop>
        </gradientFill>
      </fill>
    </dxf>
    <dxf>
      <font>
        <b/>
        <i val="0"/>
        <color rgb="FFFF0000"/>
      </font>
    </dxf>
    <dxf>
      <font>
        <b/>
        <i val="0"/>
        <condense val="0"/>
        <extend val="0"/>
        <color indexed="10"/>
      </font>
    </dxf>
    <dxf>
      <font>
        <color rgb="FF006600"/>
      </font>
      <fill>
        <gradientFill type="path" left="0.5" right="0.5" top="0.5" bottom="0.5">
          <stop position="0">
            <color theme="0"/>
          </stop>
          <stop position="1">
            <color rgb="FFFFCCCC"/>
          </stop>
        </gradientFill>
      </fill>
    </dxf>
    <dxf>
      <font>
        <color theme="0"/>
      </font>
    </dxf>
    <dxf>
      <font>
        <b/>
        <i val="0"/>
        <condense val="0"/>
        <extend val="0"/>
        <color indexed="10"/>
      </font>
    </dxf>
    <dxf>
      <font>
        <b/>
        <i val="0"/>
        <condense val="0"/>
        <extend val="0"/>
        <color indexed="10"/>
      </font>
    </dxf>
    <dxf>
      <font>
        <b/>
        <i val="0"/>
        <condense val="0"/>
        <extend val="0"/>
        <color indexed="9"/>
      </font>
      <fill>
        <patternFill>
          <bgColor indexed="10"/>
        </patternFill>
      </fill>
    </dxf>
    <dxf>
      <font>
        <strike val="0"/>
        <color rgb="FFFF0000"/>
      </font>
      <fill>
        <gradientFill type="path" left="0.5" right="0.5" top="0.5" bottom="0.5">
          <stop position="0">
            <color theme="0"/>
          </stop>
          <stop position="1">
            <color rgb="FFFFCCCC"/>
          </stop>
        </gradientFill>
      </fill>
    </dxf>
    <dxf>
      <font>
        <b/>
        <i val="0"/>
        <color auto="1"/>
      </font>
      <fill>
        <gradientFill type="path" left="0.5" right="0.5" top="0.5" bottom="0.5">
          <stop position="0">
            <color theme="0"/>
          </stop>
          <stop position="1">
            <color rgb="FFFFCCCC"/>
          </stop>
        </gradientFill>
      </fill>
    </dxf>
    <dxf>
      <fill>
        <gradientFill type="path" left="0.5" right="0.5" top="0.5" bottom="0.5">
          <stop position="0">
            <color theme="0"/>
          </stop>
          <stop position="1">
            <color rgb="FFFFCCCC"/>
          </stop>
        </gradientFill>
      </fill>
    </dxf>
    <dxf>
      <font>
        <condense val="0"/>
        <extend val="0"/>
        <color indexed="10"/>
      </font>
    </dxf>
    <dxf>
      <border>
        <left/>
        <right/>
        <top/>
        <bottom/>
      </border>
    </dxf>
    <dxf>
      <font>
        <condense val="0"/>
        <extend val="0"/>
        <color indexed="10"/>
      </font>
    </dxf>
    <dxf>
      <font>
        <condense val="0"/>
        <extend val="0"/>
        <color indexed="10"/>
      </font>
    </dxf>
    <dxf>
      <font>
        <b/>
        <i val="0"/>
        <color rgb="FF006600"/>
      </font>
      <fill>
        <patternFill>
          <bgColor rgb="FFF5EBF5"/>
        </patternFill>
      </fill>
    </dxf>
    <dxf>
      <font>
        <color rgb="FF006600"/>
      </font>
      <fill>
        <gradientFill type="path" left="0.5" right="0.5" top="0.5" bottom="0.5">
          <stop position="0">
            <color theme="0"/>
          </stop>
          <stop position="1">
            <color rgb="FFFFCCCC"/>
          </stop>
        </gradientFill>
      </fill>
    </dxf>
    <dxf>
      <font>
        <b/>
        <i val="0"/>
        <condense val="0"/>
        <extend val="0"/>
        <color indexed="10"/>
      </font>
    </dxf>
    <dxf>
      <font>
        <b/>
        <i val="0"/>
        <condense val="0"/>
        <extend val="0"/>
        <color indexed="10"/>
      </font>
    </dxf>
    <dxf>
      <font>
        <b/>
        <i val="0"/>
        <condense val="0"/>
        <extend val="0"/>
        <color indexed="10"/>
      </font>
    </dxf>
    <dxf>
      <font>
        <b/>
        <i val="0"/>
        <color rgb="FFFF0000"/>
      </font>
    </dxf>
    <dxf>
      <font>
        <b/>
        <i val="0"/>
        <color rgb="FFFF0000"/>
      </font>
    </dxf>
    <dxf>
      <font>
        <b/>
        <i val="0"/>
        <condense val="0"/>
        <extend val="0"/>
        <color indexed="10"/>
      </font>
    </dxf>
    <dxf>
      <fill>
        <patternFill>
          <bgColor indexed="10"/>
        </patternFill>
      </fill>
    </dxf>
    <dxf>
      <font>
        <condense val="0"/>
        <extend val="0"/>
        <color auto="1"/>
      </font>
      <fill>
        <patternFill>
          <bgColor indexed="10"/>
        </patternFill>
      </fill>
    </dxf>
    <dxf>
      <font>
        <b/>
        <i val="0"/>
        <condense val="0"/>
        <extend val="0"/>
        <color indexed="10"/>
      </font>
    </dxf>
    <dxf>
      <font>
        <b/>
        <i val="0"/>
        <condense val="0"/>
        <extend val="0"/>
        <color auto="1"/>
      </font>
      <fill>
        <patternFill>
          <bgColor indexed="10"/>
        </patternFill>
      </fill>
    </dxf>
    <dxf>
      <font>
        <b/>
        <i val="0"/>
        <condense val="0"/>
        <extend val="0"/>
        <color indexed="10"/>
      </font>
      <fill>
        <patternFill>
          <bgColor indexed="22"/>
        </patternFill>
      </fill>
    </dxf>
    <dxf>
      <font>
        <b/>
        <i val="0"/>
        <condense val="0"/>
        <extend val="0"/>
        <color indexed="10"/>
      </font>
    </dxf>
    <dxf>
      <font>
        <b/>
        <i val="0"/>
        <condense val="0"/>
        <extend val="0"/>
        <color auto="1"/>
      </font>
      <fill>
        <patternFill>
          <bgColor indexed="10"/>
        </patternFill>
      </fill>
    </dxf>
    <dxf>
      <font>
        <b/>
        <i val="0"/>
        <condense val="0"/>
        <extend val="0"/>
        <color indexed="10"/>
      </font>
      <fill>
        <patternFill>
          <bgColor indexed="22"/>
        </patternFill>
      </fill>
    </dxf>
    <dxf>
      <font>
        <b/>
        <i val="0"/>
        <condense val="0"/>
        <extend val="0"/>
        <color indexed="10"/>
      </font>
    </dxf>
    <dxf>
      <font>
        <b/>
        <i val="0"/>
        <condense val="0"/>
        <extend val="0"/>
        <color auto="1"/>
      </font>
      <fill>
        <patternFill>
          <bgColor indexed="10"/>
        </patternFill>
      </fill>
    </dxf>
    <dxf>
      <font>
        <b/>
        <i val="0"/>
        <condense val="0"/>
        <extend val="0"/>
        <color indexed="10"/>
      </font>
      <fill>
        <patternFill>
          <bgColor indexed="22"/>
        </patternFill>
      </fill>
    </dxf>
    <dxf>
      <font>
        <b/>
        <i val="0"/>
        <condense val="0"/>
        <extend val="0"/>
        <color indexed="10"/>
      </font>
    </dxf>
    <dxf>
      <font>
        <b/>
        <i val="0"/>
        <condense val="0"/>
        <extend val="0"/>
        <color auto="1"/>
      </font>
      <fill>
        <patternFill>
          <bgColor indexed="10"/>
        </patternFill>
      </fill>
    </dxf>
    <dxf>
      <font>
        <b/>
        <i val="0"/>
        <condense val="0"/>
        <extend val="0"/>
        <color indexed="10"/>
      </font>
      <fill>
        <patternFill>
          <bgColor indexed="22"/>
        </patternFill>
      </fill>
    </dxf>
    <dxf>
      <font>
        <b/>
        <i val="0"/>
        <condense val="0"/>
        <extend val="0"/>
        <color indexed="10"/>
      </font>
    </dxf>
    <dxf>
      <font>
        <b/>
        <i val="0"/>
        <condense val="0"/>
        <extend val="0"/>
        <color auto="1"/>
      </font>
      <fill>
        <patternFill>
          <bgColor indexed="10"/>
        </patternFill>
      </fill>
    </dxf>
    <dxf>
      <font>
        <b/>
        <i val="0"/>
        <condense val="0"/>
        <extend val="0"/>
        <color indexed="10"/>
      </font>
      <fill>
        <patternFill>
          <bgColor indexed="22"/>
        </patternFill>
      </fill>
    </dxf>
    <dxf>
      <font>
        <b/>
        <i val="0"/>
        <condense val="0"/>
        <extend val="0"/>
        <color indexed="10"/>
      </font>
    </dxf>
    <dxf>
      <font>
        <b/>
        <i val="0"/>
        <condense val="0"/>
        <extend val="0"/>
        <color auto="1"/>
      </font>
      <fill>
        <patternFill>
          <bgColor indexed="10"/>
        </patternFill>
      </fill>
    </dxf>
    <dxf>
      <font>
        <b/>
        <i val="0"/>
        <condense val="0"/>
        <extend val="0"/>
        <color indexed="10"/>
      </font>
      <fill>
        <patternFill>
          <bgColor indexed="22"/>
        </patternFill>
      </fill>
    </dxf>
    <dxf>
      <font>
        <b/>
        <i val="0"/>
        <condense val="0"/>
        <extend val="0"/>
        <color indexed="10"/>
      </font>
    </dxf>
    <dxf>
      <font>
        <b/>
        <i val="0"/>
        <condense val="0"/>
        <extend val="0"/>
        <color auto="1"/>
      </font>
      <fill>
        <patternFill>
          <bgColor indexed="10"/>
        </patternFill>
      </fill>
    </dxf>
    <dxf>
      <font>
        <b/>
        <i val="0"/>
        <condense val="0"/>
        <extend val="0"/>
        <color indexed="10"/>
      </font>
      <fill>
        <patternFill>
          <bgColor indexed="22"/>
        </patternFill>
      </fill>
    </dxf>
    <dxf>
      <font>
        <b/>
        <i val="0"/>
        <condense val="0"/>
        <extend val="0"/>
        <color indexed="10"/>
      </font>
    </dxf>
    <dxf>
      <font>
        <b/>
        <i val="0"/>
        <condense val="0"/>
        <extend val="0"/>
        <color auto="1"/>
      </font>
      <fill>
        <patternFill>
          <bgColor indexed="10"/>
        </patternFill>
      </fill>
    </dxf>
    <dxf>
      <font>
        <b/>
        <i val="0"/>
        <condense val="0"/>
        <extend val="0"/>
        <color indexed="10"/>
      </font>
      <fill>
        <patternFill>
          <bgColor indexed="22"/>
        </patternFill>
      </fill>
    </dxf>
    <dxf>
      <font>
        <b/>
        <i val="0"/>
        <color rgb="FFFF0000"/>
      </font>
    </dxf>
    <dxf>
      <font>
        <b/>
        <i val="0"/>
        <color rgb="FF006600"/>
      </font>
      <fill>
        <patternFill>
          <bgColor rgb="FFF5EBF5"/>
        </patternFill>
      </fill>
    </dxf>
    <dxf>
      <font>
        <b/>
        <i val="0"/>
        <color rgb="FF006600"/>
      </font>
      <fill>
        <patternFill>
          <bgColor rgb="FFF5EBF5"/>
        </patternFill>
      </fill>
    </dxf>
    <dxf>
      <fill>
        <patternFill>
          <bgColor indexed="10"/>
        </patternFill>
      </fill>
    </dxf>
    <dxf>
      <font>
        <color rgb="FFFF0000"/>
      </font>
    </dxf>
    <dxf>
      <font>
        <b/>
        <i val="0"/>
        <color rgb="FF006600"/>
      </font>
      <fill>
        <patternFill>
          <bgColor rgb="FFF5EBF5"/>
        </patternFill>
      </fill>
    </dxf>
    <dxf>
      <font>
        <color rgb="FFFF0000"/>
      </font>
    </dxf>
    <dxf>
      <font>
        <b/>
        <i val="0"/>
        <color rgb="FF006600"/>
      </font>
      <fill>
        <patternFill>
          <bgColor rgb="FFF5EBF5"/>
        </patternFill>
      </fill>
    </dxf>
    <dxf>
      <font>
        <b/>
        <i val="0"/>
        <color rgb="FF006600"/>
      </font>
      <fill>
        <patternFill>
          <bgColor rgb="FFF5EBF5"/>
        </patternFill>
      </fill>
    </dxf>
    <dxf>
      <font>
        <b/>
        <i val="0"/>
        <color rgb="FFFF0000"/>
      </font>
    </dxf>
    <dxf>
      <font>
        <b/>
        <i val="0"/>
        <color rgb="FFFF0000"/>
      </font>
    </dxf>
    <dxf>
      <font>
        <b/>
        <i val="0"/>
        <color rgb="FFFF0000"/>
      </font>
    </dxf>
    <dxf>
      <font>
        <b/>
        <i val="0"/>
        <color rgb="FF006600"/>
      </font>
      <fill>
        <patternFill>
          <bgColor rgb="FFF5EBF5"/>
        </patternFill>
      </fill>
    </dxf>
    <dxf>
      <font>
        <b/>
        <i val="0"/>
        <color rgb="FF006600"/>
      </font>
      <fill>
        <patternFill>
          <bgColor rgb="FFF5EBF5"/>
        </patternFill>
      </fill>
    </dxf>
    <dxf>
      <font>
        <color rgb="FF006600"/>
      </font>
      <fill>
        <gradientFill type="path" left="0.5" right="0.5" top="0.5" bottom="0.5">
          <stop position="0">
            <color theme="0"/>
          </stop>
          <stop position="1">
            <color rgb="FFFFCCCC"/>
          </stop>
        </gradientFill>
      </fill>
    </dxf>
    <dxf>
      <font>
        <b/>
        <i val="0"/>
        <condense val="0"/>
        <extend val="0"/>
        <color indexed="10"/>
      </font>
    </dxf>
    <dxf>
      <font>
        <color rgb="FF006600"/>
      </font>
      <fill>
        <gradientFill type="path" left="0.5" right="0.5" top="0.5" bottom="0.5">
          <stop position="0">
            <color theme="0"/>
          </stop>
          <stop position="1">
            <color rgb="FFFFCCCC"/>
          </stop>
        </gradientFill>
      </fill>
    </dxf>
    <dxf>
      <font>
        <b/>
        <i val="0"/>
        <condense val="0"/>
        <extend val="0"/>
        <color indexed="10"/>
      </font>
    </dxf>
    <dxf>
      <font>
        <b/>
        <i val="0"/>
        <condense val="0"/>
        <extend val="0"/>
        <color indexed="10"/>
      </font>
    </dxf>
    <dxf>
      <font>
        <b/>
        <i val="0"/>
        <color auto="1"/>
      </font>
      <fill>
        <patternFill>
          <bgColor rgb="FFF5EBF5"/>
        </patternFill>
      </fill>
    </dxf>
    <dxf>
      <font>
        <b/>
        <i val="0"/>
        <color rgb="FF006600"/>
      </font>
      <fill>
        <patternFill>
          <bgColor rgb="FFF5EBF5"/>
        </patternFill>
      </fill>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color theme="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color rgb="FFFF0000"/>
      </font>
    </dxf>
    <dxf>
      <font>
        <b/>
        <i val="0"/>
        <color rgb="FFFF0000"/>
      </font>
    </dxf>
    <dxf>
      <font>
        <color theme="0" tint="-0.499984740745262"/>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color rgb="FF006600"/>
      </font>
      <fill>
        <gradientFill type="path" left="0.5" right="0.5" top="0.5" bottom="0.5">
          <stop position="0">
            <color theme="0"/>
          </stop>
          <stop position="1">
            <color rgb="FFFFCCCC"/>
          </stop>
        </gradientFill>
      </fill>
    </dxf>
    <dxf>
      <font>
        <b/>
        <i val="0"/>
        <color rgb="FFFF0000"/>
      </font>
    </dxf>
    <dxf>
      <font>
        <b/>
        <i val="0"/>
        <color rgb="FFFF0000"/>
      </font>
    </dxf>
    <dxf>
      <font>
        <condense val="0"/>
        <extend val="0"/>
        <color indexed="10"/>
      </font>
      <fill>
        <patternFill>
          <bgColor indexed="22"/>
        </patternFill>
      </fill>
    </dxf>
    <dxf>
      <font>
        <b/>
        <i val="0"/>
        <color rgb="FFFF0000"/>
      </font>
    </dxf>
    <dxf>
      <font>
        <b/>
        <i val="0"/>
        <color rgb="FFFF0000"/>
      </font>
    </dxf>
    <dxf>
      <font>
        <condense val="0"/>
        <extend val="0"/>
        <color indexed="10"/>
      </font>
      <fill>
        <patternFill>
          <bgColor indexed="22"/>
        </patternFill>
      </fill>
    </dxf>
    <dxf>
      <font>
        <condense val="0"/>
        <extend val="0"/>
        <color indexed="10"/>
      </font>
      <fill>
        <patternFill>
          <bgColor indexed="22"/>
        </patternFill>
      </fill>
    </dxf>
    <dxf>
      <font>
        <condense val="0"/>
        <extend val="0"/>
        <color indexed="10"/>
      </font>
      <fill>
        <patternFill>
          <bgColor indexed="22"/>
        </patternFill>
      </fill>
    </dxf>
    <dxf>
      <font>
        <color theme="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9"/>
      </font>
      <fill>
        <patternFill>
          <bgColor indexed="10"/>
        </patternFill>
      </fill>
    </dxf>
    <dxf>
      <font>
        <color rgb="FFFF0000"/>
      </font>
      <fill>
        <gradientFill type="path" left="0.5" right="0.5" top="0.5" bottom="0.5">
          <stop position="0">
            <color theme="0"/>
          </stop>
          <stop position="1">
            <color rgb="FFFFCCCC"/>
          </stop>
        </gradientFill>
      </fill>
    </dxf>
    <dxf>
      <fill>
        <patternFill patternType="none">
          <bgColor auto="1"/>
        </patternFill>
      </fill>
    </dxf>
    <dxf>
      <font>
        <condense val="0"/>
        <extend val="0"/>
        <color indexed="10"/>
      </font>
    </dxf>
    <dxf>
      <font>
        <condense val="0"/>
        <extend val="0"/>
        <color indexed="10"/>
      </font>
    </dxf>
    <dxf>
      <border>
        <left/>
        <right/>
        <top/>
        <bottom/>
      </border>
    </dxf>
    <dxf>
      <fill>
        <patternFill>
          <bgColor indexed="55"/>
        </patternFill>
      </fill>
    </dxf>
    <dxf>
      <fill>
        <patternFill>
          <bgColor indexed="55"/>
        </patternFill>
      </fill>
    </dxf>
    <dxf>
      <fill>
        <patternFill>
          <bgColor indexed="55"/>
        </patternFill>
      </fill>
    </dxf>
    <dxf>
      <font>
        <b/>
        <i/>
        <condense val="0"/>
        <extend val="0"/>
        <color indexed="10"/>
      </font>
    </dxf>
    <dxf>
      <font>
        <b/>
        <i val="0"/>
        <color rgb="FF006600"/>
      </font>
      <fill>
        <patternFill>
          <bgColor rgb="FFF5EBF5"/>
        </patternFill>
      </fill>
    </dxf>
    <dxf>
      <fill>
        <gradientFill type="path" left="0.5" right="0.5" top="0.5" bottom="0.5">
          <stop position="0">
            <color theme="0"/>
          </stop>
          <stop position="1">
            <color rgb="FFFFCCCC"/>
          </stop>
        </gradientFill>
      </fill>
    </dxf>
    <dxf>
      <font>
        <b/>
        <i val="0"/>
        <color rgb="FF006600"/>
      </font>
      <fill>
        <patternFill>
          <bgColor rgb="FFF5EBF5"/>
        </patternFill>
      </fill>
    </dxf>
    <dxf>
      <font>
        <condense val="0"/>
        <extend val="0"/>
        <color indexed="8"/>
      </font>
      <fill>
        <patternFill>
          <bgColor indexed="10"/>
        </patternFill>
      </fill>
    </dxf>
    <dxf>
      <font>
        <condense val="0"/>
        <extend val="0"/>
        <color indexed="22"/>
      </font>
    </dxf>
    <dxf>
      <font>
        <condense val="0"/>
        <extend val="0"/>
        <color indexed="20"/>
      </font>
    </dxf>
    <dxf>
      <border>
        <left/>
        <right/>
        <top/>
        <bottom/>
      </border>
    </dxf>
    <dxf>
      <font>
        <b/>
        <i val="0"/>
        <color rgb="FF006600"/>
      </font>
      <fill>
        <patternFill>
          <bgColor rgb="FFF5EBF5"/>
        </patternFill>
      </fill>
    </dxf>
    <dxf>
      <font>
        <b/>
        <i val="0"/>
        <condense val="0"/>
        <extend val="0"/>
        <color indexed="10"/>
      </font>
    </dxf>
    <dxf>
      <font>
        <b/>
        <i val="0"/>
        <condense val="0"/>
        <extend val="0"/>
      </font>
    </dxf>
    <dxf>
      <font>
        <b/>
        <i val="0"/>
        <condense val="0"/>
        <extend val="0"/>
        <color indexed="10"/>
      </font>
    </dxf>
    <dxf>
      <border>
        <left/>
        <right/>
        <top/>
        <bottom/>
      </border>
    </dxf>
    <dxf>
      <font>
        <b/>
        <i val="0"/>
        <color rgb="FFFF0000"/>
      </font>
    </dxf>
    <dxf>
      <font>
        <color theme="0" tint="-0.34998626667073579"/>
      </font>
    </dxf>
    <dxf>
      <font>
        <color theme="0"/>
      </font>
      <fill>
        <patternFill>
          <bgColor theme="0"/>
        </patternFill>
      </fill>
    </dxf>
    <dxf>
      <border>
        <left/>
        <right/>
        <top/>
        <bottom/>
      </border>
    </dxf>
    <dxf>
      <border>
        <left/>
        <right/>
        <top/>
        <bottom/>
      </border>
    </dxf>
    <dxf>
      <font>
        <b/>
        <i val="0"/>
        <color rgb="FFFF0000"/>
      </font>
    </dxf>
    <dxf>
      <font>
        <b/>
        <i val="0"/>
        <color rgb="FFFF0000"/>
      </font>
    </dxf>
    <dxf>
      <font>
        <b/>
        <i val="0"/>
        <color rgb="FFFF0000"/>
      </font>
    </dxf>
    <dxf>
      <font>
        <b/>
        <i val="0"/>
        <color rgb="FFFF0000"/>
      </font>
    </dxf>
    <dxf>
      <font>
        <b/>
        <i val="0"/>
        <color rgb="FF006600"/>
      </font>
      <fill>
        <patternFill>
          <bgColor rgb="FFF5EBF5"/>
        </patternFill>
      </fill>
    </dxf>
    <dxf>
      <font>
        <color rgb="FFFF0000"/>
      </font>
      <fill>
        <gradientFill type="path" left="0.5" right="0.5" top="0.5" bottom="0.5">
          <stop position="0">
            <color theme="0"/>
          </stop>
          <stop position="1">
            <color rgb="FFFFCCCC"/>
          </stop>
        </gradientFill>
      </fill>
    </dxf>
    <dxf>
      <font>
        <b/>
        <i val="0"/>
        <condense val="0"/>
        <extend val="0"/>
        <color indexed="10"/>
      </font>
    </dxf>
    <dxf>
      <font>
        <b/>
        <i val="0"/>
        <condense val="0"/>
        <extend val="0"/>
        <color indexed="10"/>
      </font>
    </dxf>
    <dxf>
      <font>
        <b/>
        <i val="0"/>
        <condense val="0"/>
        <extend val="0"/>
        <color indexed="10"/>
      </font>
    </dxf>
    <dxf>
      <font>
        <b/>
        <i val="0"/>
        <condense val="0"/>
        <extend val="0"/>
        <color indexed="9"/>
      </font>
      <fill>
        <patternFill>
          <bgColor indexed="10"/>
        </patternFill>
      </fill>
    </dxf>
    <dxf>
      <font>
        <b/>
        <i val="0"/>
        <condense val="0"/>
        <extend val="0"/>
        <color indexed="9"/>
      </font>
      <fill>
        <patternFill>
          <bgColor indexed="10"/>
        </patternFill>
      </fill>
    </dxf>
    <dxf>
      <border>
        <left/>
        <right/>
        <top/>
        <bottom/>
      </border>
    </dxf>
    <dxf>
      <font>
        <b/>
        <i val="0"/>
        <condense val="0"/>
        <extend val="0"/>
        <color indexed="10"/>
      </font>
    </dxf>
    <dxf>
      <font>
        <b/>
        <i val="0"/>
        <color rgb="FFFF0000"/>
      </font>
    </dxf>
    <dxf>
      <font>
        <b/>
        <i val="0"/>
        <color rgb="FFFF0000"/>
      </font>
    </dxf>
    <dxf>
      <font>
        <b/>
        <i val="0"/>
        <color rgb="FFFF0000"/>
      </font>
    </dxf>
    <dxf>
      <font>
        <b/>
        <i val="0"/>
        <color rgb="FFFF0000"/>
      </font>
    </dxf>
    <dxf>
      <font>
        <b/>
        <i val="0"/>
        <condense val="0"/>
        <extend val="0"/>
        <color indexed="10"/>
      </font>
    </dxf>
    <dxf>
      <font>
        <b/>
        <i val="0"/>
        <color rgb="FF006600"/>
      </font>
      <fill>
        <patternFill>
          <bgColor rgb="FFF5EBF5"/>
        </patternFill>
      </fill>
    </dxf>
    <dxf>
      <font>
        <color rgb="FFFF0000"/>
      </font>
      <fill>
        <gradientFill type="path" left="0.5" right="0.5" top="0.5" bottom="0.5">
          <stop position="0">
            <color theme="0"/>
          </stop>
          <stop position="1">
            <color rgb="FFFFCCCC"/>
          </stop>
        </gradientFill>
      </fill>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9"/>
      </font>
      <fill>
        <patternFill>
          <bgColor indexed="10"/>
        </patternFill>
      </fill>
    </dxf>
    <dxf>
      <font>
        <b/>
        <i val="0"/>
        <condense val="0"/>
        <extend val="0"/>
        <color indexed="9"/>
      </font>
      <fill>
        <patternFill>
          <bgColor indexed="10"/>
        </patternFill>
      </fill>
    </dxf>
    <dxf>
      <border>
        <left/>
        <right/>
        <top/>
        <bottom/>
      </border>
    </dxf>
    <dxf>
      <fill>
        <patternFill>
          <bgColor indexed="10"/>
        </patternFill>
      </fill>
    </dxf>
    <dxf>
      <font>
        <color rgb="FF006600"/>
      </font>
      <fill>
        <gradientFill type="path" left="0.5" right="0.5" top="0.5" bottom="0.5">
          <stop position="0">
            <color theme="0"/>
          </stop>
          <stop position="1">
            <color rgb="FFFFCCCC"/>
          </stop>
        </gradientFill>
      </fill>
    </dxf>
    <dxf>
      <font>
        <b/>
        <i val="0"/>
        <condense val="0"/>
        <extend val="0"/>
        <color indexed="10"/>
      </font>
    </dxf>
    <dxf>
      <font>
        <b/>
        <i val="0"/>
        <condense val="0"/>
        <extend val="0"/>
        <color indexed="10"/>
      </font>
      <fill>
        <patternFill>
          <bgColor indexed="22"/>
        </patternFill>
      </fill>
    </dxf>
    <dxf>
      <font>
        <color rgb="FF006600"/>
      </font>
      <fill>
        <gradientFill type="path" left="0.5" right="0.5" top="0.5" bottom="0.5">
          <stop position="0">
            <color theme="0"/>
          </stop>
          <stop position="1">
            <color rgb="FFFFCCCC"/>
          </stop>
        </gradientFill>
      </fill>
    </dxf>
    <dxf>
      <font>
        <b/>
        <i val="0"/>
        <condense val="0"/>
        <extend val="0"/>
        <color indexed="10"/>
      </font>
    </dxf>
    <dxf>
      <font>
        <b/>
        <i val="0"/>
        <condense val="0"/>
        <extend val="0"/>
        <color indexed="10"/>
      </font>
      <fill>
        <patternFill>
          <bgColor indexed="22"/>
        </patternFill>
      </fill>
    </dxf>
    <dxf>
      <font>
        <condense val="0"/>
        <extend val="0"/>
        <color auto="1"/>
      </font>
      <fill>
        <gradientFill type="path" left="0.5" right="0.5" top="0.5" bottom="0.5">
          <stop position="0">
            <color theme="0"/>
          </stop>
          <stop position="1">
            <color rgb="FFFFCCCC"/>
          </stop>
        </gradientFill>
      </fill>
    </dxf>
    <dxf>
      <font>
        <b/>
        <i val="0"/>
        <condense val="0"/>
        <extend val="0"/>
        <color indexed="10"/>
      </font>
    </dxf>
    <dxf>
      <font>
        <b/>
        <i val="0"/>
        <condense val="0"/>
        <extend val="0"/>
        <color auto="1"/>
      </font>
      <fill>
        <patternFill>
          <bgColor indexed="10"/>
        </patternFill>
      </fill>
    </dxf>
    <dxf>
      <font>
        <b/>
        <i val="0"/>
        <condense val="0"/>
        <extend val="0"/>
        <color indexed="10"/>
      </font>
      <fill>
        <patternFill>
          <bgColor indexed="22"/>
        </patternFill>
      </fill>
    </dxf>
    <dxf>
      <font>
        <b/>
        <i val="0"/>
        <condense val="0"/>
        <extend val="0"/>
        <color indexed="10"/>
      </font>
    </dxf>
    <dxf>
      <font>
        <b/>
        <i val="0"/>
        <condense val="0"/>
        <extend val="0"/>
        <color auto="1"/>
      </font>
      <fill>
        <patternFill>
          <bgColor indexed="10"/>
        </patternFill>
      </fill>
    </dxf>
    <dxf>
      <font>
        <b/>
        <i val="0"/>
        <condense val="0"/>
        <extend val="0"/>
        <color indexed="10"/>
      </font>
      <fill>
        <patternFill>
          <bgColor indexed="22"/>
        </patternFill>
      </fill>
    </dxf>
    <dxf>
      <font>
        <b/>
        <i val="0"/>
        <condense val="0"/>
        <extend val="0"/>
        <color indexed="10"/>
      </font>
    </dxf>
    <dxf>
      <font>
        <b/>
        <i val="0"/>
        <condense val="0"/>
        <extend val="0"/>
        <color auto="1"/>
      </font>
      <fill>
        <patternFill>
          <bgColor indexed="10"/>
        </patternFill>
      </fill>
    </dxf>
    <dxf>
      <font>
        <b/>
        <i val="0"/>
        <condense val="0"/>
        <extend val="0"/>
        <color indexed="10"/>
      </font>
      <fill>
        <patternFill>
          <bgColor indexed="22"/>
        </patternFill>
      </fill>
    </dxf>
    <dxf>
      <font>
        <b/>
        <i val="0"/>
        <condense val="0"/>
        <extend val="0"/>
        <color indexed="10"/>
      </font>
    </dxf>
    <dxf>
      <font>
        <b/>
        <i val="0"/>
        <condense val="0"/>
        <extend val="0"/>
        <color auto="1"/>
      </font>
      <fill>
        <patternFill>
          <bgColor indexed="10"/>
        </patternFill>
      </fill>
    </dxf>
    <dxf>
      <font>
        <b/>
        <i val="0"/>
        <condense val="0"/>
        <extend val="0"/>
        <color indexed="10"/>
      </font>
      <fill>
        <patternFill>
          <bgColor indexed="22"/>
        </patternFill>
      </fill>
    </dxf>
    <dxf>
      <font>
        <b/>
        <i val="0"/>
        <condense val="0"/>
        <extend val="0"/>
        <color indexed="10"/>
      </font>
    </dxf>
    <dxf>
      <font>
        <b/>
        <i val="0"/>
        <color rgb="FFFF0000"/>
      </font>
    </dxf>
    <dxf>
      <font>
        <b/>
        <i val="0"/>
        <color rgb="FFFF0000"/>
      </font>
    </dxf>
    <dxf>
      <font>
        <b/>
        <i val="0"/>
        <color rgb="FFFF0000"/>
      </font>
    </dxf>
    <dxf>
      <font>
        <b/>
        <i val="0"/>
        <color rgb="FF006600"/>
      </font>
      <fill>
        <patternFill>
          <bgColor rgb="FFF5EBF5"/>
        </patternFill>
      </fill>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condense val="0"/>
        <extend val="0"/>
        <color indexed="10"/>
      </font>
    </dxf>
    <dxf>
      <font>
        <b/>
        <i val="0"/>
        <color rgb="FFFF0000"/>
      </font>
    </dxf>
    <dxf>
      <font>
        <b/>
        <i val="0"/>
        <color rgb="FF006600"/>
      </font>
      <fill>
        <patternFill>
          <bgColor rgb="FFF5EBF5"/>
        </patternFill>
      </fill>
    </dxf>
    <dxf>
      <font>
        <b/>
        <i val="0"/>
        <color rgb="FFFF0000"/>
      </font>
    </dxf>
    <dxf>
      <font>
        <color theme="0"/>
      </font>
    </dxf>
    <dxf>
      <font>
        <b/>
        <i val="0"/>
        <condense val="0"/>
        <extend val="0"/>
        <color indexed="10"/>
      </font>
    </dxf>
    <dxf>
      <font>
        <b/>
        <i val="0"/>
        <color rgb="FF006600"/>
      </font>
      <fill>
        <patternFill>
          <bgColor rgb="FFF5EBF5"/>
        </patternFill>
      </fill>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condense val="0"/>
        <extend val="0"/>
        <color indexed="10"/>
      </font>
    </dxf>
    <dxf>
      <font>
        <b/>
        <i val="0"/>
        <color rgb="FF006600"/>
      </font>
      <fill>
        <patternFill>
          <bgColor rgb="FFF5EBF5"/>
        </patternFill>
      </fill>
    </dxf>
    <dxf>
      <font>
        <color rgb="FF006600"/>
      </font>
      <fill>
        <gradientFill type="path" left="0.5" right="0.5" top="0.5" bottom="0.5">
          <stop position="0">
            <color theme="0"/>
          </stop>
          <stop position="1">
            <color rgb="FFFFCCCC"/>
          </stop>
        </gradientFill>
      </fill>
    </dxf>
    <dxf>
      <font>
        <b/>
        <i val="0"/>
        <condense val="0"/>
        <extend val="0"/>
        <color indexed="10"/>
      </font>
    </dxf>
    <dxf>
      <font>
        <color rgb="FF006600"/>
      </font>
      <fill>
        <gradientFill type="path" left="0.5" right="0.5" top="0.5" bottom="0.5">
          <stop position="0">
            <color theme="0"/>
          </stop>
          <stop position="1">
            <color rgb="FFFFCCCC"/>
          </stop>
        </gradientFill>
      </fill>
    </dxf>
    <dxf>
      <font>
        <b/>
        <i val="0"/>
        <condense val="0"/>
        <extend val="0"/>
        <color indexed="10"/>
      </font>
    </dxf>
    <dxf>
      <fill>
        <patternFill>
          <bgColor indexed="10"/>
        </patternFill>
      </fill>
    </dxf>
    <dxf>
      <font>
        <condense val="0"/>
        <extend val="0"/>
        <color indexed="10"/>
      </font>
    </dxf>
    <dxf>
      <font>
        <b/>
        <i val="0"/>
        <color rgb="FFFF0000"/>
      </font>
    </dxf>
    <dxf>
      <font>
        <b/>
        <i val="0"/>
        <condense val="0"/>
        <extend val="0"/>
        <color indexed="10"/>
      </font>
    </dxf>
    <dxf>
      <font>
        <b/>
        <i val="0"/>
        <condense val="0"/>
        <extend val="0"/>
        <color auto="1"/>
      </font>
      <fill>
        <patternFill>
          <bgColor indexed="10"/>
        </patternFill>
      </fill>
    </dxf>
    <dxf>
      <font>
        <b/>
        <i val="0"/>
        <condense val="0"/>
        <extend val="0"/>
        <color indexed="10"/>
      </font>
      <fill>
        <patternFill>
          <bgColor indexed="22"/>
        </patternFill>
      </fill>
    </dxf>
    <dxf>
      <font>
        <b/>
        <i val="0"/>
        <condense val="0"/>
        <extend val="0"/>
        <color indexed="10"/>
      </font>
    </dxf>
    <dxf>
      <font>
        <b/>
        <i val="0"/>
        <condense val="0"/>
        <extend val="0"/>
        <color auto="1"/>
      </font>
      <fill>
        <patternFill>
          <bgColor indexed="10"/>
        </patternFill>
      </fill>
    </dxf>
    <dxf>
      <font>
        <b/>
        <i val="0"/>
        <condense val="0"/>
        <extend val="0"/>
        <color indexed="10"/>
      </font>
      <fill>
        <patternFill>
          <bgColor indexed="22"/>
        </patternFill>
      </fill>
    </dxf>
    <dxf>
      <font>
        <b/>
        <i val="0"/>
        <condense val="0"/>
        <extend val="0"/>
        <color indexed="10"/>
      </font>
    </dxf>
    <dxf>
      <font>
        <b/>
        <i val="0"/>
        <condense val="0"/>
        <extend val="0"/>
        <color auto="1"/>
      </font>
      <fill>
        <patternFill>
          <bgColor indexed="10"/>
        </patternFill>
      </fill>
    </dxf>
    <dxf>
      <font>
        <b/>
        <i val="0"/>
        <condense val="0"/>
        <extend val="0"/>
        <color indexed="10"/>
      </font>
      <fill>
        <patternFill>
          <bgColor indexed="22"/>
        </patternFill>
      </fill>
    </dxf>
    <dxf>
      <font>
        <b/>
        <i val="0"/>
        <condense val="0"/>
        <extend val="0"/>
        <color indexed="10"/>
      </font>
    </dxf>
    <dxf>
      <font>
        <b/>
        <i val="0"/>
        <condense val="0"/>
        <extend val="0"/>
        <color auto="1"/>
      </font>
      <fill>
        <patternFill>
          <bgColor indexed="10"/>
        </patternFill>
      </fill>
    </dxf>
    <dxf>
      <font>
        <b/>
        <i val="0"/>
        <condense val="0"/>
        <extend val="0"/>
        <color indexed="10"/>
      </font>
      <fill>
        <patternFill>
          <bgColor indexed="22"/>
        </patternFill>
      </fill>
    </dxf>
    <dxf>
      <font>
        <b/>
        <i val="0"/>
        <condense val="0"/>
        <extend val="0"/>
        <color indexed="10"/>
      </font>
    </dxf>
    <dxf>
      <font>
        <b/>
        <i val="0"/>
        <color rgb="FFFF0000"/>
      </font>
    </dxf>
    <dxf>
      <font>
        <b/>
        <i val="0"/>
        <color rgb="FF006600"/>
      </font>
      <fill>
        <patternFill>
          <bgColor rgb="FFF5EBF5"/>
        </patternFill>
      </fill>
    </dxf>
    <dxf>
      <fill>
        <gradientFill type="path" left="0.5" right="0.5" top="0.5" bottom="0.5">
          <stop position="0">
            <color theme="0"/>
          </stop>
          <stop position="1">
            <color rgb="FFFFCCCC"/>
          </stop>
        </gradientFill>
      </fill>
    </dxf>
    <dxf>
      <font>
        <b/>
        <i val="0"/>
        <color rgb="FFFF0000"/>
      </font>
    </dxf>
    <dxf>
      <font>
        <b/>
        <i val="0"/>
        <condense val="0"/>
        <extend val="0"/>
        <color indexed="10"/>
      </font>
    </dxf>
    <dxf>
      <font>
        <color rgb="FF006600"/>
      </font>
      <fill>
        <gradientFill type="path" left="0.5" right="0.5" top="0.5" bottom="0.5">
          <stop position="0">
            <color theme="0"/>
          </stop>
          <stop position="1">
            <color rgb="FFFFCCCC"/>
          </stop>
        </gradientFill>
      </fill>
    </dxf>
    <dxf>
      <font>
        <color theme="0"/>
      </font>
    </dxf>
    <dxf>
      <font>
        <b/>
        <i val="0"/>
        <condense val="0"/>
        <extend val="0"/>
        <color indexed="10"/>
      </font>
    </dxf>
    <dxf>
      <font>
        <b/>
        <i val="0"/>
        <condense val="0"/>
        <extend val="0"/>
        <color indexed="10"/>
      </font>
    </dxf>
    <dxf>
      <font>
        <b/>
        <i val="0"/>
        <condense val="0"/>
        <extend val="0"/>
        <color indexed="9"/>
      </font>
      <fill>
        <patternFill>
          <bgColor indexed="10"/>
        </patternFill>
      </fill>
    </dxf>
    <dxf>
      <font>
        <strike val="0"/>
        <color rgb="FFFF0000"/>
      </font>
      <fill>
        <gradientFill type="path" left="0.5" right="0.5" top="0.5" bottom="0.5">
          <stop position="0">
            <color theme="0"/>
          </stop>
          <stop position="1">
            <color rgb="FFFFCCCC"/>
          </stop>
        </gradientFill>
      </fill>
    </dxf>
    <dxf>
      <font>
        <b/>
        <i val="0"/>
        <color auto="1"/>
      </font>
      <fill>
        <gradientFill type="path" left="0.5" right="0.5" top="0.5" bottom="0.5">
          <stop position="0">
            <color theme="0"/>
          </stop>
          <stop position="1">
            <color rgb="FFFFCCCC"/>
          </stop>
        </gradientFill>
      </fill>
    </dxf>
    <dxf>
      <fill>
        <gradientFill type="path" left="0.5" right="0.5" top="0.5" bottom="0.5">
          <stop position="0">
            <color theme="0"/>
          </stop>
          <stop position="1">
            <color rgb="FFFFCCCC"/>
          </stop>
        </gradientFill>
      </fill>
    </dxf>
    <dxf>
      <font>
        <condense val="0"/>
        <extend val="0"/>
        <color indexed="10"/>
      </font>
    </dxf>
    <dxf>
      <border>
        <left/>
        <right/>
        <top/>
        <bottom/>
      </border>
    </dxf>
    <dxf>
      <font>
        <condense val="0"/>
        <extend val="0"/>
        <color indexed="10"/>
      </font>
    </dxf>
    <dxf>
      <font>
        <condense val="0"/>
        <extend val="0"/>
        <color indexed="10"/>
      </font>
    </dxf>
    <dxf>
      <fill>
        <patternFill>
          <bgColor indexed="10"/>
        </patternFill>
      </fill>
    </dxf>
    <dxf>
      <font>
        <color rgb="FF006600"/>
      </font>
      <fill>
        <gradientFill type="path" left="0.5" right="0.5" top="0.5" bottom="0.5">
          <stop position="0">
            <color theme="0"/>
          </stop>
          <stop position="1">
            <color rgb="FFFFCCCC"/>
          </stop>
        </gradientFill>
      </fill>
    </dxf>
    <dxf>
      <font>
        <b/>
        <i val="0"/>
        <condense val="0"/>
        <extend val="0"/>
        <color indexed="10"/>
      </font>
    </dxf>
    <dxf>
      <font>
        <b/>
        <i val="0"/>
        <condense val="0"/>
        <extend val="0"/>
        <color indexed="10"/>
      </font>
      <fill>
        <patternFill>
          <bgColor indexed="22"/>
        </patternFill>
      </fill>
    </dxf>
    <dxf>
      <font>
        <color rgb="FF006600"/>
      </font>
      <fill>
        <gradientFill type="path" left="0.5" right="0.5" top="0.5" bottom="0.5">
          <stop position="0">
            <color theme="0"/>
          </stop>
          <stop position="1">
            <color rgb="FFFFCCCC"/>
          </stop>
        </gradientFill>
      </fill>
    </dxf>
    <dxf>
      <font>
        <b/>
        <i val="0"/>
        <condense val="0"/>
        <extend val="0"/>
        <color indexed="10"/>
      </font>
    </dxf>
    <dxf>
      <font>
        <b/>
        <i val="0"/>
        <condense val="0"/>
        <extend val="0"/>
        <color indexed="10"/>
      </font>
      <fill>
        <patternFill>
          <bgColor indexed="22"/>
        </patternFill>
      </fill>
    </dxf>
    <dxf>
      <font>
        <condense val="0"/>
        <extend val="0"/>
        <color auto="1"/>
      </font>
      <fill>
        <gradientFill type="path" left="0.5" right="0.5" top="0.5" bottom="0.5">
          <stop position="0">
            <color theme="0"/>
          </stop>
          <stop position="1">
            <color rgb="FFFFCCCC"/>
          </stop>
        </gradientFill>
      </fill>
    </dxf>
    <dxf>
      <font>
        <b/>
        <i val="0"/>
        <condense val="0"/>
        <extend val="0"/>
        <color indexed="10"/>
      </font>
    </dxf>
    <dxf>
      <font>
        <b/>
        <i val="0"/>
        <condense val="0"/>
        <extend val="0"/>
        <color auto="1"/>
      </font>
      <fill>
        <patternFill>
          <bgColor indexed="10"/>
        </patternFill>
      </fill>
    </dxf>
    <dxf>
      <font>
        <b/>
        <i val="0"/>
        <condense val="0"/>
        <extend val="0"/>
        <color indexed="10"/>
      </font>
      <fill>
        <patternFill>
          <bgColor indexed="22"/>
        </patternFill>
      </fill>
    </dxf>
    <dxf>
      <font>
        <b/>
        <i val="0"/>
        <condense val="0"/>
        <extend val="0"/>
        <color indexed="10"/>
      </font>
    </dxf>
    <dxf>
      <font>
        <b/>
        <i val="0"/>
        <condense val="0"/>
        <extend val="0"/>
        <color auto="1"/>
      </font>
      <fill>
        <patternFill>
          <bgColor indexed="10"/>
        </patternFill>
      </fill>
    </dxf>
    <dxf>
      <font>
        <b/>
        <i val="0"/>
        <condense val="0"/>
        <extend val="0"/>
        <color indexed="10"/>
      </font>
      <fill>
        <patternFill>
          <bgColor indexed="22"/>
        </patternFill>
      </fill>
    </dxf>
    <dxf>
      <font>
        <b/>
        <i val="0"/>
        <condense val="0"/>
        <extend val="0"/>
        <color indexed="10"/>
      </font>
    </dxf>
    <dxf>
      <font>
        <b/>
        <i val="0"/>
        <condense val="0"/>
        <extend val="0"/>
        <color auto="1"/>
      </font>
      <fill>
        <patternFill>
          <bgColor indexed="10"/>
        </patternFill>
      </fill>
    </dxf>
    <dxf>
      <font>
        <b/>
        <i val="0"/>
        <condense val="0"/>
        <extend val="0"/>
        <color indexed="10"/>
      </font>
      <fill>
        <patternFill>
          <bgColor indexed="22"/>
        </patternFill>
      </fill>
    </dxf>
    <dxf>
      <font>
        <b/>
        <i val="0"/>
        <condense val="0"/>
        <extend val="0"/>
        <color indexed="10"/>
      </font>
    </dxf>
    <dxf>
      <font>
        <b/>
        <i val="0"/>
        <condense val="0"/>
        <extend val="0"/>
        <color auto="1"/>
      </font>
      <fill>
        <patternFill>
          <bgColor indexed="10"/>
        </patternFill>
      </fill>
    </dxf>
    <dxf>
      <font>
        <b/>
        <i val="0"/>
        <condense val="0"/>
        <extend val="0"/>
        <color indexed="10"/>
      </font>
      <fill>
        <patternFill>
          <bgColor indexed="22"/>
        </patternFill>
      </fill>
    </dxf>
    <dxf>
      <font>
        <b/>
        <i val="0"/>
        <condense val="0"/>
        <extend val="0"/>
        <color indexed="10"/>
      </font>
    </dxf>
    <dxf>
      <font>
        <b/>
        <i val="0"/>
        <condense val="0"/>
        <extend val="0"/>
        <color auto="1"/>
      </font>
      <fill>
        <patternFill>
          <bgColor indexed="10"/>
        </patternFill>
      </fill>
    </dxf>
    <dxf>
      <font>
        <b/>
        <i val="0"/>
        <condense val="0"/>
        <extend val="0"/>
        <color indexed="10"/>
      </font>
      <fill>
        <patternFill>
          <bgColor indexed="22"/>
        </patternFill>
      </fill>
    </dxf>
    <dxf>
      <font>
        <b/>
        <i val="0"/>
        <condense val="0"/>
        <extend val="0"/>
        <color indexed="10"/>
      </font>
    </dxf>
    <dxf>
      <font>
        <b/>
        <i val="0"/>
        <condense val="0"/>
        <extend val="0"/>
        <color auto="1"/>
      </font>
      <fill>
        <patternFill>
          <bgColor indexed="10"/>
        </patternFill>
      </fill>
    </dxf>
    <dxf>
      <font>
        <b/>
        <i val="0"/>
        <condense val="0"/>
        <extend val="0"/>
        <color indexed="10"/>
      </font>
      <fill>
        <patternFill>
          <bgColor indexed="22"/>
        </patternFill>
      </fill>
    </dxf>
    <dxf>
      <font>
        <b/>
        <i val="0"/>
        <condense val="0"/>
        <extend val="0"/>
        <color indexed="10"/>
      </font>
    </dxf>
    <dxf>
      <font>
        <b/>
        <i val="0"/>
        <condense val="0"/>
        <extend val="0"/>
        <color auto="1"/>
      </font>
      <fill>
        <patternFill>
          <bgColor indexed="10"/>
        </patternFill>
      </fill>
    </dxf>
    <dxf>
      <font>
        <b/>
        <i val="0"/>
        <condense val="0"/>
        <extend val="0"/>
        <color indexed="10"/>
      </font>
      <fill>
        <patternFill>
          <bgColor indexed="22"/>
        </patternFill>
      </fill>
    </dxf>
    <dxf>
      <font>
        <b/>
        <i val="0"/>
        <condense val="0"/>
        <extend val="0"/>
        <color indexed="10"/>
      </font>
    </dxf>
    <dxf>
      <font>
        <b/>
        <i val="0"/>
        <condense val="0"/>
        <extend val="0"/>
        <color auto="1"/>
      </font>
      <fill>
        <patternFill>
          <bgColor indexed="10"/>
        </patternFill>
      </fill>
    </dxf>
    <dxf>
      <font>
        <b/>
        <i val="0"/>
        <condense val="0"/>
        <extend val="0"/>
        <color indexed="10"/>
      </font>
      <fill>
        <patternFill>
          <bgColor indexed="22"/>
        </patternFill>
      </fill>
    </dxf>
    <dxf>
      <font>
        <b/>
        <i val="0"/>
        <condense val="0"/>
        <extend val="0"/>
        <color indexed="10"/>
      </font>
    </dxf>
    <dxf>
      <font>
        <b/>
        <i val="0"/>
        <color rgb="FFFF0000"/>
      </font>
    </dxf>
    <dxf>
      <font>
        <b/>
        <i val="0"/>
        <condense val="0"/>
        <extend val="0"/>
        <color indexed="10"/>
      </font>
    </dxf>
    <dxf>
      <font>
        <b/>
        <i val="0"/>
        <color rgb="FFFF0000"/>
      </font>
    </dxf>
    <dxf>
      <font>
        <b/>
        <i val="0"/>
        <color rgb="FF006600"/>
      </font>
      <fill>
        <patternFill>
          <bgColor rgb="FFF5EBF5"/>
        </patternFill>
      </fill>
    </dxf>
    <dxf>
      <font>
        <b/>
        <i val="0"/>
        <color rgb="FF006600"/>
      </font>
      <fill>
        <patternFill>
          <bgColor rgb="FFF5EBF5"/>
        </patternFill>
      </fill>
    </dxf>
    <dxf>
      <font>
        <b/>
        <i val="0"/>
        <condense val="0"/>
        <extend val="0"/>
        <color indexed="10"/>
      </font>
    </dxf>
    <dxf>
      <font>
        <condense val="0"/>
        <extend val="0"/>
        <color indexed="10"/>
      </font>
    </dxf>
    <dxf>
      <font>
        <b/>
        <i val="0"/>
        <color rgb="FF006600"/>
      </font>
      <fill>
        <patternFill>
          <bgColor rgb="FFF5EBF5"/>
        </patternFill>
      </fill>
    </dxf>
    <dxf>
      <font>
        <b/>
        <i val="0"/>
        <color rgb="FFFF0000"/>
      </font>
    </dxf>
    <dxf>
      <font>
        <color theme="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condense val="0"/>
        <extend val="0"/>
        <color indexed="10"/>
      </font>
    </dxf>
    <dxf>
      <fill>
        <patternFill>
          <bgColor indexed="10"/>
        </patternFill>
      </fill>
    </dxf>
    <dxf>
      <font>
        <condense val="0"/>
        <extend val="0"/>
        <color indexed="10"/>
      </font>
    </dxf>
    <dxf>
      <font>
        <b/>
        <i val="0"/>
        <color rgb="FF006600"/>
      </font>
      <fill>
        <patternFill>
          <bgColor rgb="FFF5EBF5"/>
        </patternFill>
      </fill>
    </dxf>
    <dxf>
      <fill>
        <gradientFill type="path" left="0.5" right="0.5" top="0.5" bottom="0.5">
          <stop position="0">
            <color theme="0"/>
          </stop>
          <stop position="1">
            <color rgb="FFFFCCCC"/>
          </stop>
        </gradientFill>
      </fill>
    </dxf>
    <dxf>
      <font>
        <color rgb="FFFF0000"/>
      </font>
    </dxf>
    <dxf>
      <font>
        <b/>
        <i val="0"/>
        <color rgb="FFFF0000"/>
      </font>
    </dxf>
    <dxf>
      <font>
        <b/>
        <i val="0"/>
        <condense val="0"/>
        <extend val="0"/>
        <color indexed="10"/>
      </font>
    </dxf>
    <dxf>
      <font>
        <color rgb="FF006600"/>
      </font>
      <fill>
        <gradientFill type="path" left="0.5" right="0.5" top="0.5" bottom="0.5">
          <stop position="0">
            <color theme="0"/>
          </stop>
          <stop position="1">
            <color rgb="FFFFCCCC"/>
          </stop>
        </gradientFill>
      </fill>
    </dxf>
    <dxf>
      <font>
        <b/>
        <i val="0"/>
        <color rgb="FFFF0000"/>
      </font>
    </dxf>
    <dxf>
      <font>
        <b/>
        <i val="0"/>
        <color rgb="FFFF0000"/>
      </font>
    </dxf>
    <dxf>
      <font>
        <color rgb="FF006600"/>
      </font>
      <fill>
        <gradientFill type="path" left="0.5" right="0.5" top="0.5" bottom="0.5">
          <stop position="0">
            <color theme="0"/>
          </stop>
          <stop position="1">
            <color rgb="FFFFCCCC"/>
          </stop>
        </gradientFill>
      </fill>
    </dxf>
    <dxf>
      <font>
        <b/>
        <i val="0"/>
        <condense val="0"/>
        <extend val="0"/>
        <color indexed="10"/>
      </font>
    </dxf>
    <dxf>
      <font>
        <color rgb="FF006600"/>
      </font>
      <fill>
        <gradientFill type="path" left="0.5" right="0.5" top="0.5" bottom="0.5">
          <stop position="0">
            <color theme="0"/>
          </stop>
          <stop position="1">
            <color rgb="FFFFCCCC"/>
          </stop>
        </gradientFill>
      </fill>
    </dxf>
    <dxf>
      <font>
        <b/>
        <i val="0"/>
        <condense val="0"/>
        <extend val="0"/>
        <color indexed="10"/>
      </font>
    </dxf>
    <dxf>
      <font>
        <color theme="0"/>
      </font>
    </dxf>
    <dxf>
      <font>
        <color rgb="FFFF0000"/>
      </font>
      <fill>
        <gradientFill type="path" left="0.5" right="0.5" top="0.5" bottom="0.5">
          <stop position="0">
            <color theme="0"/>
          </stop>
          <stop position="1">
            <color rgb="FFFFCCCC"/>
          </stop>
        </gradientFill>
      </fill>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9"/>
      </font>
      <fill>
        <patternFill>
          <bgColor indexed="10"/>
        </patternFill>
      </fill>
    </dxf>
    <dxf>
      <font>
        <b/>
        <i val="0"/>
        <color auto="1"/>
      </font>
      <fill>
        <gradientFill type="path" left="0.5" right="0.5" top="0.5" bottom="0.5">
          <stop position="0">
            <color theme="0"/>
          </stop>
          <stop position="1">
            <color rgb="FFFFCCCC"/>
          </stop>
        </gradientFill>
      </fill>
    </dxf>
    <dxf>
      <fill>
        <gradientFill type="path" left="0.5" right="0.5" top="0.5" bottom="0.5">
          <stop position="0">
            <color theme="0"/>
          </stop>
          <stop position="1">
            <color rgb="FFFFCCCC"/>
          </stop>
        </gradientFill>
      </fill>
    </dxf>
    <dxf>
      <border>
        <left/>
        <right/>
        <top/>
        <bottom/>
      </border>
    </dxf>
    <dxf>
      <font>
        <b/>
        <i val="0"/>
        <condense val="0"/>
        <extend val="0"/>
        <color indexed="10"/>
      </font>
    </dxf>
    <dxf>
      <font>
        <condense val="0"/>
        <extend val="0"/>
        <color indexed="9"/>
      </font>
    </dxf>
    <dxf>
      <font>
        <condense val="0"/>
        <extend val="0"/>
        <color indexed="10"/>
      </font>
    </dxf>
    <dxf>
      <font>
        <condense val="0"/>
        <extend val="0"/>
        <color indexed="10"/>
      </font>
    </dxf>
    <dxf>
      <font>
        <b/>
        <i val="0"/>
        <condense val="0"/>
        <extend val="0"/>
        <color indexed="10"/>
      </font>
    </dxf>
    <dxf>
      <font>
        <b/>
        <i val="0"/>
        <color rgb="FF006600"/>
      </font>
      <fill>
        <patternFill>
          <bgColor rgb="FFF5EBF5"/>
        </patternFill>
      </fill>
    </dxf>
    <dxf>
      <font>
        <color rgb="FF006600"/>
      </font>
      <fill>
        <gradientFill type="path" left="0.5" right="0.5" top="0.5" bottom="0.5">
          <stop position="0">
            <color theme="0"/>
          </stop>
          <stop position="1">
            <color rgb="FFFFCCCC"/>
          </stop>
        </gradientFill>
      </fill>
    </dxf>
    <dxf>
      <font>
        <b/>
        <i val="0"/>
        <condense val="0"/>
        <extend val="0"/>
        <color indexed="10"/>
      </font>
    </dxf>
    <dxf>
      <font>
        <b/>
        <i val="0"/>
        <condense val="0"/>
        <extend val="0"/>
        <color indexed="10"/>
      </font>
    </dxf>
    <dxf>
      <font>
        <b/>
        <i val="0"/>
        <condense val="0"/>
        <extend val="0"/>
        <color indexed="10"/>
      </font>
    </dxf>
    <dxf>
      <font>
        <b/>
        <i val="0"/>
        <color rgb="FFFF0000"/>
      </font>
    </dxf>
    <dxf>
      <font>
        <b/>
        <i val="0"/>
        <color rgb="FFFF0000"/>
      </font>
    </dxf>
    <dxf>
      <font>
        <b/>
        <i val="0"/>
        <condense val="0"/>
        <extend val="0"/>
        <color indexed="10"/>
      </font>
    </dxf>
    <dxf>
      <fill>
        <patternFill>
          <bgColor indexed="10"/>
        </patternFill>
      </fill>
    </dxf>
    <dxf>
      <font>
        <condense val="0"/>
        <extend val="0"/>
        <color auto="1"/>
      </font>
      <fill>
        <patternFill>
          <bgColor indexed="10"/>
        </patternFill>
      </fill>
    </dxf>
    <dxf>
      <font>
        <b/>
        <i val="0"/>
        <condense val="0"/>
        <extend val="0"/>
        <color indexed="10"/>
      </font>
    </dxf>
    <dxf>
      <font>
        <b/>
        <i val="0"/>
        <condense val="0"/>
        <extend val="0"/>
        <color auto="1"/>
      </font>
      <fill>
        <patternFill>
          <bgColor indexed="10"/>
        </patternFill>
      </fill>
    </dxf>
    <dxf>
      <font>
        <b/>
        <i val="0"/>
        <condense val="0"/>
        <extend val="0"/>
        <color indexed="10"/>
      </font>
      <fill>
        <patternFill>
          <bgColor indexed="22"/>
        </patternFill>
      </fill>
    </dxf>
    <dxf>
      <font>
        <b/>
        <i val="0"/>
        <condense val="0"/>
        <extend val="0"/>
        <color indexed="10"/>
      </font>
    </dxf>
    <dxf>
      <font>
        <b/>
        <i val="0"/>
        <condense val="0"/>
        <extend val="0"/>
        <color auto="1"/>
      </font>
      <fill>
        <patternFill>
          <bgColor indexed="10"/>
        </patternFill>
      </fill>
    </dxf>
    <dxf>
      <font>
        <b/>
        <i val="0"/>
        <condense val="0"/>
        <extend val="0"/>
        <color indexed="10"/>
      </font>
      <fill>
        <patternFill>
          <bgColor indexed="22"/>
        </patternFill>
      </fill>
    </dxf>
    <dxf>
      <font>
        <b/>
        <i val="0"/>
        <condense val="0"/>
        <extend val="0"/>
        <color indexed="10"/>
      </font>
    </dxf>
    <dxf>
      <font>
        <b/>
        <i val="0"/>
        <condense val="0"/>
        <extend val="0"/>
        <color auto="1"/>
      </font>
      <fill>
        <patternFill>
          <bgColor indexed="10"/>
        </patternFill>
      </fill>
    </dxf>
    <dxf>
      <font>
        <b/>
        <i val="0"/>
        <condense val="0"/>
        <extend val="0"/>
        <color indexed="10"/>
      </font>
      <fill>
        <patternFill>
          <bgColor indexed="22"/>
        </patternFill>
      </fill>
    </dxf>
    <dxf>
      <font>
        <b/>
        <i val="0"/>
        <condense val="0"/>
        <extend val="0"/>
        <color indexed="10"/>
      </font>
    </dxf>
    <dxf>
      <font>
        <b/>
        <i val="0"/>
        <condense val="0"/>
        <extend val="0"/>
        <color auto="1"/>
      </font>
      <fill>
        <patternFill>
          <bgColor indexed="10"/>
        </patternFill>
      </fill>
    </dxf>
    <dxf>
      <font>
        <b/>
        <i val="0"/>
        <condense val="0"/>
        <extend val="0"/>
        <color indexed="10"/>
      </font>
      <fill>
        <patternFill>
          <bgColor indexed="22"/>
        </patternFill>
      </fill>
    </dxf>
    <dxf>
      <font>
        <b/>
        <i val="0"/>
        <condense val="0"/>
        <extend val="0"/>
        <color indexed="10"/>
      </font>
    </dxf>
    <dxf>
      <font>
        <b/>
        <i val="0"/>
        <condense val="0"/>
        <extend val="0"/>
        <color auto="1"/>
      </font>
      <fill>
        <patternFill>
          <bgColor indexed="10"/>
        </patternFill>
      </fill>
    </dxf>
    <dxf>
      <font>
        <b/>
        <i val="0"/>
        <condense val="0"/>
        <extend val="0"/>
        <color indexed="10"/>
      </font>
      <fill>
        <patternFill>
          <bgColor indexed="22"/>
        </patternFill>
      </fill>
    </dxf>
    <dxf>
      <font>
        <b/>
        <i val="0"/>
        <condense val="0"/>
        <extend val="0"/>
        <color indexed="10"/>
      </font>
    </dxf>
    <dxf>
      <font>
        <b/>
        <i val="0"/>
        <condense val="0"/>
        <extend val="0"/>
        <color auto="1"/>
      </font>
      <fill>
        <patternFill>
          <bgColor indexed="10"/>
        </patternFill>
      </fill>
    </dxf>
    <dxf>
      <font>
        <b/>
        <i val="0"/>
        <condense val="0"/>
        <extend val="0"/>
        <color indexed="10"/>
      </font>
      <fill>
        <patternFill>
          <bgColor indexed="22"/>
        </patternFill>
      </fill>
    </dxf>
    <dxf>
      <font>
        <b/>
        <i val="0"/>
        <condense val="0"/>
        <extend val="0"/>
        <color indexed="10"/>
      </font>
    </dxf>
    <dxf>
      <font>
        <b/>
        <i val="0"/>
        <condense val="0"/>
        <extend val="0"/>
        <color auto="1"/>
      </font>
      <fill>
        <patternFill>
          <bgColor indexed="10"/>
        </patternFill>
      </fill>
    </dxf>
    <dxf>
      <font>
        <b/>
        <i val="0"/>
        <condense val="0"/>
        <extend val="0"/>
        <color indexed="10"/>
      </font>
      <fill>
        <patternFill>
          <bgColor indexed="22"/>
        </patternFill>
      </fill>
    </dxf>
    <dxf>
      <font>
        <b/>
        <i val="0"/>
        <condense val="0"/>
        <extend val="0"/>
        <color indexed="10"/>
      </font>
    </dxf>
    <dxf>
      <font>
        <b/>
        <i val="0"/>
        <condense val="0"/>
        <extend val="0"/>
        <color auto="1"/>
      </font>
      <fill>
        <patternFill>
          <bgColor indexed="10"/>
        </patternFill>
      </fill>
    </dxf>
    <dxf>
      <font>
        <b/>
        <i val="0"/>
        <condense val="0"/>
        <extend val="0"/>
        <color indexed="10"/>
      </font>
      <fill>
        <patternFill>
          <bgColor indexed="22"/>
        </patternFill>
      </fill>
    </dxf>
    <dxf>
      <font>
        <b/>
        <i val="0"/>
        <color rgb="FFFF0000"/>
      </font>
    </dxf>
    <dxf>
      <font>
        <b/>
        <i val="0"/>
        <color rgb="FF006600"/>
      </font>
      <fill>
        <patternFill>
          <bgColor rgb="FFF5EBF5"/>
        </patternFill>
      </fill>
    </dxf>
    <dxf>
      <font>
        <b/>
        <i val="0"/>
        <color rgb="FF006600"/>
      </font>
      <fill>
        <patternFill>
          <bgColor rgb="FFF5EBF5"/>
        </patternFill>
      </fill>
    </dxf>
    <dxf>
      <fill>
        <patternFill>
          <bgColor indexed="10"/>
        </patternFill>
      </fill>
    </dxf>
    <dxf>
      <font>
        <color rgb="FFFF0000"/>
      </font>
    </dxf>
    <dxf>
      <font>
        <b/>
        <i val="0"/>
        <color rgb="FF006600"/>
      </font>
      <fill>
        <patternFill>
          <bgColor rgb="FFF5EBF5"/>
        </patternFill>
      </fill>
    </dxf>
    <dxf>
      <font>
        <color rgb="FFFF0000"/>
      </font>
    </dxf>
    <dxf>
      <font>
        <b/>
        <i val="0"/>
        <color rgb="FF006600"/>
      </font>
      <fill>
        <patternFill>
          <bgColor rgb="FFF5EBF5"/>
        </patternFill>
      </fill>
    </dxf>
    <dxf>
      <font>
        <b/>
        <i val="0"/>
        <color rgb="FF006600"/>
      </font>
      <fill>
        <patternFill>
          <bgColor rgb="FFF5EBF5"/>
        </patternFill>
      </fill>
    </dxf>
    <dxf>
      <font>
        <b/>
        <i val="0"/>
        <color rgb="FFFF0000"/>
      </font>
    </dxf>
    <dxf>
      <font>
        <b/>
        <i val="0"/>
        <color rgb="FFFF0000"/>
      </font>
    </dxf>
    <dxf>
      <font>
        <b/>
        <i val="0"/>
        <color rgb="FFFF0000"/>
      </font>
    </dxf>
    <dxf>
      <font>
        <b/>
        <i val="0"/>
        <color rgb="FF006600"/>
      </font>
      <fill>
        <patternFill>
          <bgColor rgb="FFF5EBF5"/>
        </patternFill>
      </fill>
    </dxf>
    <dxf>
      <font>
        <b/>
        <i val="0"/>
        <color rgb="FF006600"/>
      </font>
      <fill>
        <patternFill>
          <bgColor rgb="FFF5EBF5"/>
        </patternFill>
      </fill>
    </dxf>
    <dxf>
      <font>
        <color rgb="FF006600"/>
      </font>
      <fill>
        <gradientFill type="path" left="0.5" right="0.5" top="0.5" bottom="0.5">
          <stop position="0">
            <color theme="0"/>
          </stop>
          <stop position="1">
            <color rgb="FFFFCCCC"/>
          </stop>
        </gradientFill>
      </fill>
    </dxf>
    <dxf>
      <font>
        <b/>
        <i val="0"/>
        <condense val="0"/>
        <extend val="0"/>
        <color indexed="10"/>
      </font>
    </dxf>
    <dxf>
      <font>
        <color rgb="FF006600"/>
      </font>
      <fill>
        <gradientFill type="path" left="0.5" right="0.5" top="0.5" bottom="0.5">
          <stop position="0">
            <color theme="0"/>
          </stop>
          <stop position="1">
            <color rgb="FFFFCCCC"/>
          </stop>
        </gradientFill>
      </fill>
    </dxf>
    <dxf>
      <font>
        <b/>
        <i val="0"/>
        <condense val="0"/>
        <extend val="0"/>
        <color indexed="10"/>
      </font>
    </dxf>
    <dxf>
      <font>
        <b/>
        <i val="0"/>
        <condense val="0"/>
        <extend val="0"/>
        <color indexed="10"/>
      </font>
    </dxf>
    <dxf>
      <font>
        <b/>
        <i val="0"/>
        <color auto="1"/>
      </font>
      <fill>
        <patternFill>
          <bgColor rgb="FFF5EBF5"/>
        </patternFill>
      </fill>
    </dxf>
    <dxf>
      <font>
        <b/>
        <i val="0"/>
        <color rgb="FF006600"/>
      </font>
      <fill>
        <patternFill>
          <bgColor rgb="FFF5EBF5"/>
        </patternFill>
      </fill>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color theme="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color rgb="FFFF0000"/>
      </font>
    </dxf>
    <dxf>
      <font>
        <b/>
        <i val="0"/>
        <color rgb="FFFF0000"/>
      </font>
    </dxf>
    <dxf>
      <font>
        <color theme="0" tint="-0.499984740745262"/>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color rgb="FF006600"/>
      </font>
      <fill>
        <gradientFill type="path" left="0.5" right="0.5" top="0.5" bottom="0.5">
          <stop position="0">
            <color theme="0"/>
          </stop>
          <stop position="1">
            <color rgb="FFFFCCCC"/>
          </stop>
        </gradientFill>
      </fill>
    </dxf>
    <dxf>
      <font>
        <b/>
        <i val="0"/>
        <color rgb="FFFF0000"/>
      </font>
    </dxf>
    <dxf>
      <font>
        <b/>
        <i val="0"/>
        <color rgb="FFFF0000"/>
      </font>
    </dxf>
    <dxf>
      <font>
        <condense val="0"/>
        <extend val="0"/>
        <color indexed="10"/>
      </font>
      <fill>
        <patternFill>
          <bgColor indexed="22"/>
        </patternFill>
      </fill>
    </dxf>
    <dxf>
      <font>
        <b/>
        <i val="0"/>
        <color rgb="FFFF0000"/>
      </font>
    </dxf>
    <dxf>
      <font>
        <b/>
        <i val="0"/>
        <color rgb="FFFF0000"/>
      </font>
    </dxf>
    <dxf>
      <font>
        <condense val="0"/>
        <extend val="0"/>
        <color indexed="10"/>
      </font>
      <fill>
        <patternFill>
          <bgColor indexed="22"/>
        </patternFill>
      </fill>
    </dxf>
    <dxf>
      <font>
        <condense val="0"/>
        <extend val="0"/>
        <color indexed="10"/>
      </font>
      <fill>
        <patternFill>
          <bgColor indexed="22"/>
        </patternFill>
      </fill>
    </dxf>
    <dxf>
      <font>
        <condense val="0"/>
        <extend val="0"/>
        <color indexed="10"/>
      </font>
      <fill>
        <patternFill>
          <bgColor indexed="22"/>
        </patternFill>
      </fill>
    </dxf>
    <dxf>
      <font>
        <color theme="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9"/>
      </font>
      <fill>
        <patternFill>
          <bgColor indexed="10"/>
        </patternFill>
      </fill>
    </dxf>
    <dxf>
      <font>
        <color rgb="FFFF0000"/>
      </font>
      <fill>
        <gradientFill type="path" left="0.5" right="0.5" top="0.5" bottom="0.5">
          <stop position="0">
            <color theme="0"/>
          </stop>
          <stop position="1">
            <color rgb="FFFFCCCC"/>
          </stop>
        </gradientFill>
      </fill>
    </dxf>
    <dxf>
      <fill>
        <patternFill patternType="none">
          <bgColor auto="1"/>
        </patternFill>
      </fill>
    </dxf>
    <dxf>
      <font>
        <condense val="0"/>
        <extend val="0"/>
        <color indexed="10"/>
      </font>
    </dxf>
    <dxf>
      <font>
        <condense val="0"/>
        <extend val="0"/>
        <color indexed="10"/>
      </font>
    </dxf>
    <dxf>
      <border>
        <left/>
        <right/>
        <top/>
        <bottom/>
      </border>
    </dxf>
    <dxf>
      <fill>
        <patternFill>
          <bgColor indexed="55"/>
        </patternFill>
      </fill>
    </dxf>
    <dxf>
      <fill>
        <patternFill>
          <bgColor indexed="55"/>
        </patternFill>
      </fill>
    </dxf>
    <dxf>
      <fill>
        <patternFill>
          <bgColor indexed="55"/>
        </patternFill>
      </fill>
    </dxf>
    <dxf>
      <font>
        <b/>
        <i/>
        <condense val="0"/>
        <extend val="0"/>
        <color indexed="10"/>
      </font>
    </dxf>
    <dxf>
      <font>
        <b/>
        <i val="0"/>
        <color rgb="FF006600"/>
      </font>
      <fill>
        <patternFill>
          <bgColor rgb="FFF5EBF5"/>
        </patternFill>
      </fill>
    </dxf>
    <dxf>
      <font>
        <b/>
        <i val="0"/>
        <condense val="0"/>
        <extend val="0"/>
        <color indexed="10"/>
      </font>
    </dxf>
    <dxf>
      <fill>
        <patternFill>
          <bgColor indexed="10"/>
        </patternFill>
      </fill>
    </dxf>
    <dxf>
      <font>
        <b/>
        <i val="0"/>
        <condense val="0"/>
        <extend val="0"/>
        <color indexed="10"/>
      </font>
    </dxf>
    <dxf>
      <font>
        <b/>
        <i val="0"/>
        <condense val="0"/>
        <extend val="0"/>
        <color indexed="10"/>
      </font>
    </dxf>
    <dxf>
      <font>
        <b/>
        <i val="0"/>
        <condense val="0"/>
        <extend val="0"/>
        <color indexed="10"/>
      </font>
    </dxf>
    <dxf>
      <font>
        <b/>
        <i val="0"/>
        <color rgb="FFFF0000"/>
      </font>
    </dxf>
    <dxf>
      <font>
        <color rgb="FF006600"/>
      </font>
      <fill>
        <gradientFill type="path" left="0.5" right="0.5" top="0.5" bottom="0.5">
          <stop position="0">
            <color theme="0"/>
          </stop>
          <stop position="1">
            <color rgb="FFFFCCCC"/>
          </stop>
        </gradientFill>
      </fill>
    </dxf>
    <dxf>
      <font>
        <b/>
        <i val="0"/>
        <color rgb="FFFF0000"/>
      </font>
    </dxf>
    <dxf>
      <font>
        <b/>
        <i val="0"/>
        <condense val="0"/>
        <extend val="0"/>
        <color indexed="10"/>
      </font>
    </dxf>
    <dxf>
      <font>
        <condense val="0"/>
        <extend val="0"/>
        <color auto="1"/>
      </font>
      <fill>
        <patternFill>
          <bgColor indexed="10"/>
        </patternFill>
      </fill>
    </dxf>
    <dxf>
      <font>
        <b/>
        <i val="0"/>
        <condense val="0"/>
        <extend val="0"/>
        <color indexed="10"/>
      </font>
    </dxf>
    <dxf>
      <font>
        <b/>
        <i val="0"/>
        <condense val="0"/>
        <extend val="0"/>
        <color auto="1"/>
      </font>
      <fill>
        <patternFill>
          <bgColor indexed="10"/>
        </patternFill>
      </fill>
    </dxf>
    <dxf>
      <font>
        <b/>
        <i val="0"/>
        <condense val="0"/>
        <extend val="0"/>
        <color indexed="10"/>
      </font>
      <fill>
        <patternFill>
          <bgColor indexed="22"/>
        </patternFill>
      </fill>
    </dxf>
    <dxf>
      <font>
        <b/>
        <i val="0"/>
        <condense val="0"/>
        <extend val="0"/>
        <color indexed="10"/>
      </font>
    </dxf>
    <dxf>
      <font>
        <b/>
        <i val="0"/>
        <condense val="0"/>
        <extend val="0"/>
        <color auto="1"/>
      </font>
      <fill>
        <patternFill>
          <bgColor indexed="10"/>
        </patternFill>
      </fill>
    </dxf>
    <dxf>
      <font>
        <b/>
        <i val="0"/>
        <condense val="0"/>
        <extend val="0"/>
        <color indexed="10"/>
      </font>
      <fill>
        <patternFill>
          <bgColor indexed="22"/>
        </patternFill>
      </fill>
    </dxf>
    <dxf>
      <font>
        <b/>
        <i val="0"/>
        <condense val="0"/>
        <extend val="0"/>
        <color indexed="10"/>
      </font>
    </dxf>
    <dxf>
      <font>
        <b/>
        <i val="0"/>
        <condense val="0"/>
        <extend val="0"/>
        <color auto="1"/>
      </font>
      <fill>
        <patternFill>
          <bgColor indexed="10"/>
        </patternFill>
      </fill>
    </dxf>
    <dxf>
      <font>
        <b/>
        <i val="0"/>
        <condense val="0"/>
        <extend val="0"/>
        <color indexed="10"/>
      </font>
      <fill>
        <patternFill>
          <bgColor indexed="22"/>
        </patternFill>
      </fill>
    </dxf>
    <dxf>
      <font>
        <b/>
        <i val="0"/>
        <condense val="0"/>
        <extend val="0"/>
        <color indexed="10"/>
      </font>
    </dxf>
    <dxf>
      <font>
        <b/>
        <i val="0"/>
        <condense val="0"/>
        <extend val="0"/>
        <color auto="1"/>
      </font>
      <fill>
        <patternFill>
          <bgColor indexed="10"/>
        </patternFill>
      </fill>
    </dxf>
    <dxf>
      <font>
        <b/>
        <i val="0"/>
        <condense val="0"/>
        <extend val="0"/>
        <color indexed="10"/>
      </font>
      <fill>
        <patternFill>
          <bgColor indexed="22"/>
        </patternFill>
      </fill>
    </dxf>
    <dxf>
      <font>
        <b/>
        <i val="0"/>
        <condense val="0"/>
        <extend val="0"/>
        <color indexed="10"/>
      </font>
    </dxf>
    <dxf>
      <font>
        <b/>
        <i val="0"/>
        <condense val="0"/>
        <extend val="0"/>
        <color auto="1"/>
      </font>
      <fill>
        <patternFill>
          <bgColor indexed="10"/>
        </patternFill>
      </fill>
    </dxf>
    <dxf>
      <font>
        <b/>
        <i val="0"/>
        <condense val="0"/>
        <extend val="0"/>
        <color indexed="10"/>
      </font>
      <fill>
        <patternFill>
          <bgColor indexed="22"/>
        </patternFill>
      </fill>
    </dxf>
    <dxf>
      <font>
        <b/>
        <i val="0"/>
        <condense val="0"/>
        <extend val="0"/>
        <color indexed="10"/>
      </font>
    </dxf>
    <dxf>
      <font>
        <b/>
        <i val="0"/>
        <condense val="0"/>
        <extend val="0"/>
        <color auto="1"/>
      </font>
      <fill>
        <patternFill>
          <bgColor indexed="10"/>
        </patternFill>
      </fill>
    </dxf>
    <dxf>
      <font>
        <b/>
        <i val="0"/>
        <condense val="0"/>
        <extend val="0"/>
        <color indexed="10"/>
      </font>
      <fill>
        <patternFill>
          <bgColor indexed="22"/>
        </patternFill>
      </fill>
    </dxf>
    <dxf>
      <font>
        <b/>
        <i val="0"/>
        <condense val="0"/>
        <extend val="0"/>
        <color indexed="10"/>
      </font>
    </dxf>
    <dxf>
      <font>
        <b/>
        <i val="0"/>
        <condense val="0"/>
        <extend val="0"/>
        <color auto="1"/>
      </font>
      <fill>
        <patternFill>
          <bgColor indexed="10"/>
        </patternFill>
      </fill>
    </dxf>
    <dxf>
      <font>
        <b/>
        <i val="0"/>
        <condense val="0"/>
        <extend val="0"/>
        <color indexed="10"/>
      </font>
      <fill>
        <patternFill>
          <bgColor indexed="22"/>
        </patternFill>
      </fill>
    </dxf>
    <dxf>
      <font>
        <b/>
        <i val="0"/>
        <condense val="0"/>
        <extend val="0"/>
        <color indexed="10"/>
      </font>
    </dxf>
    <dxf>
      <font>
        <b/>
        <i val="0"/>
        <condense val="0"/>
        <extend val="0"/>
        <color auto="1"/>
      </font>
      <fill>
        <patternFill>
          <bgColor indexed="10"/>
        </patternFill>
      </fill>
    </dxf>
    <dxf>
      <font>
        <b/>
        <i val="0"/>
        <condense val="0"/>
        <extend val="0"/>
        <color indexed="10"/>
      </font>
      <fill>
        <patternFill>
          <bgColor indexed="22"/>
        </patternFill>
      </fill>
    </dxf>
    <dxf>
      <font>
        <b/>
        <i val="0"/>
        <color rgb="FF006600"/>
      </font>
      <fill>
        <patternFill>
          <bgColor rgb="FFF5EBF5"/>
        </patternFill>
      </fill>
    </dxf>
    <dxf>
      <font>
        <b/>
        <i val="0"/>
        <color rgb="FFFF0000"/>
      </font>
    </dxf>
    <dxf>
      <fill>
        <patternFill>
          <bgColor indexed="10"/>
        </patternFill>
      </fill>
    </dxf>
    <dxf>
      <font>
        <color rgb="FFFF0000"/>
      </font>
    </dxf>
    <dxf>
      <font>
        <b/>
        <i val="0"/>
        <color rgb="FF006600"/>
      </font>
      <fill>
        <patternFill>
          <bgColor rgb="FFF5EBF5"/>
        </patternFill>
      </fill>
    </dxf>
    <dxf>
      <font>
        <b/>
        <i val="0"/>
        <color rgb="FFFF0000"/>
      </font>
    </dxf>
    <dxf>
      <font>
        <b/>
        <i val="0"/>
        <color rgb="FFFF0000"/>
      </font>
    </dxf>
    <dxf>
      <font>
        <b/>
        <i val="0"/>
        <color rgb="FFFF0000"/>
      </font>
    </dxf>
    <dxf>
      <font>
        <b/>
        <i val="0"/>
        <color rgb="FF006600"/>
      </font>
      <fill>
        <patternFill>
          <bgColor rgb="FFF5EBF5"/>
        </patternFill>
      </fill>
    </dxf>
    <dxf>
      <font>
        <b/>
        <i val="0"/>
        <color rgb="FF006600"/>
      </font>
      <fill>
        <patternFill>
          <bgColor rgb="FFF5EBF5"/>
        </patternFill>
      </fill>
    </dxf>
    <dxf>
      <font>
        <color rgb="FFFF0000"/>
      </font>
    </dxf>
    <dxf>
      <font>
        <b/>
        <i val="0"/>
        <color rgb="FF006600"/>
      </font>
      <fill>
        <patternFill>
          <bgColor rgb="FFF5EBF5"/>
        </patternFill>
      </fill>
    </dxf>
    <dxf>
      <font>
        <b/>
        <i val="0"/>
        <color rgb="FF006600"/>
      </font>
      <fill>
        <patternFill>
          <bgColor rgb="FFF5EBF5"/>
        </patternFill>
      </fill>
    </dxf>
    <dxf>
      <font>
        <b/>
        <i val="0"/>
        <color rgb="FFFF0000"/>
      </font>
    </dxf>
    <dxf>
      <font>
        <b/>
        <i val="0"/>
        <color rgb="FFFF0000"/>
      </font>
    </dxf>
    <dxf>
      <font>
        <b/>
        <i val="0"/>
        <color rgb="FFFF0000"/>
      </font>
    </dxf>
    <dxf>
      <font>
        <color theme="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lor rgb="FFFF0000"/>
      </font>
    </dxf>
    <dxf>
      <font>
        <color theme="0" tint="-0.499984740745262"/>
      </font>
    </dxf>
    <dxf>
      <font>
        <color rgb="FFFF0000"/>
      </font>
    </dxf>
    <dxf>
      <font>
        <b/>
        <i val="0"/>
        <color rgb="FFFF0000"/>
      </font>
    </dxf>
    <dxf>
      <font>
        <b/>
        <i val="0"/>
        <color rgb="FFFF0000"/>
      </font>
    </dxf>
    <dxf>
      <font>
        <b/>
        <i val="0"/>
        <color rgb="FFFF0000"/>
      </font>
    </dxf>
    <dxf>
      <font>
        <b/>
        <i val="0"/>
        <color rgb="FFFF0000"/>
      </font>
    </dxf>
    <dxf>
      <font>
        <b/>
        <i val="0"/>
        <color rgb="FFFF0000"/>
      </font>
    </dxf>
    <dxf>
      <font>
        <color rgb="FF006600"/>
      </font>
      <fill>
        <gradientFill type="path" left="0.5" right="0.5" top="0.5" bottom="0.5">
          <stop position="0">
            <color theme="0"/>
          </stop>
          <stop position="1">
            <color rgb="FFFFCCCC"/>
          </stop>
        </gradientFill>
      </fill>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condense val="0"/>
        <extend val="0"/>
        <color indexed="10"/>
      </font>
      <fill>
        <patternFill>
          <bgColor indexed="22"/>
        </patternFill>
      </fill>
    </dxf>
    <dxf>
      <font>
        <b/>
        <i val="0"/>
        <color rgb="FFFF0000"/>
      </font>
    </dxf>
    <dxf>
      <font>
        <condense val="0"/>
        <extend val="0"/>
        <color indexed="10"/>
      </font>
      <fill>
        <patternFill>
          <bgColor indexed="22"/>
        </patternFill>
      </fill>
    </dxf>
    <dxf>
      <font>
        <condense val="0"/>
        <extend val="0"/>
        <color indexed="10"/>
      </font>
      <fill>
        <patternFill>
          <bgColor indexed="22"/>
        </patternFill>
      </fill>
    </dxf>
    <dxf>
      <font>
        <condense val="0"/>
        <extend val="0"/>
        <color indexed="10"/>
      </font>
      <fill>
        <patternFill>
          <bgColor indexed="22"/>
        </patternFill>
      </fill>
    </dxf>
    <dxf>
      <font>
        <color theme="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ill>
        <patternFill patternType="none">
          <bgColor auto="1"/>
        </patternFill>
      </fill>
    </dxf>
    <dxf>
      <font>
        <b/>
        <i val="0"/>
        <condense val="0"/>
        <extend val="0"/>
        <color indexed="9"/>
      </font>
      <fill>
        <patternFill>
          <bgColor indexed="10"/>
        </patternFill>
      </fill>
    </dxf>
    <dxf>
      <font>
        <color rgb="FFFF0000"/>
      </font>
      <fill>
        <gradientFill type="path" left="0.5" right="0.5" top="0.5" bottom="0.5">
          <stop position="0">
            <color theme="0"/>
          </stop>
          <stop position="1">
            <color rgb="FFFFCCCC"/>
          </stop>
        </gradientFill>
      </fill>
    </dxf>
    <dxf>
      <border>
        <left/>
        <right/>
        <top/>
        <bottom/>
      </border>
    </dxf>
    <dxf>
      <fill>
        <patternFill>
          <bgColor indexed="55"/>
        </patternFill>
      </fill>
    </dxf>
    <dxf>
      <fill>
        <patternFill>
          <bgColor indexed="55"/>
        </patternFill>
      </fill>
    </dxf>
    <dxf>
      <fill>
        <patternFill>
          <bgColor indexed="55"/>
        </patternFill>
      </fill>
    </dxf>
    <dxf>
      <font>
        <b/>
        <i/>
        <condense val="0"/>
        <extend val="0"/>
        <color indexed="10"/>
      </font>
    </dxf>
    <dxf>
      <font>
        <b/>
        <i val="0"/>
        <condense val="0"/>
        <extend val="0"/>
        <color indexed="10"/>
      </font>
    </dxf>
    <dxf>
      <font>
        <color rgb="FF006600"/>
      </font>
      <fill>
        <gradientFill type="path" left="0.5" right="0.5" top="0.5" bottom="0.5">
          <stop position="0">
            <color theme="0"/>
          </stop>
          <stop position="1">
            <color rgb="FFFFCCCC"/>
          </stop>
        </gradientFill>
      </fill>
    </dxf>
    <dxf>
      <font>
        <b/>
        <i val="0"/>
        <condense val="0"/>
        <extend val="0"/>
        <color indexed="10"/>
      </font>
    </dxf>
    <dxf>
      <font>
        <color rgb="FF006600"/>
      </font>
      <fill>
        <gradientFill type="path" left="0.5" right="0.5" top="0.5" bottom="0.5">
          <stop position="0">
            <color theme="0"/>
          </stop>
          <stop position="1">
            <color rgb="FFFFCCCC"/>
          </stop>
        </gradientFill>
      </fill>
    </dxf>
    <dxf>
      <font>
        <b/>
        <i val="0"/>
        <condense val="0"/>
        <extend val="0"/>
        <color indexed="10"/>
      </font>
    </dxf>
    <dxf>
      <font>
        <condense val="0"/>
        <extend val="0"/>
        <color indexed="10"/>
      </font>
    </dxf>
    <dxf>
      <font>
        <b/>
        <i val="0"/>
        <condense val="0"/>
        <extend val="0"/>
        <color indexed="10"/>
      </font>
    </dxf>
    <dxf>
      <font>
        <b/>
        <i val="0"/>
        <color rgb="FF006600"/>
      </font>
      <fill>
        <patternFill>
          <bgColor rgb="FFF5EBF5"/>
        </patternFill>
      </fill>
    </dxf>
    <dxf>
      <fill>
        <gradientFill type="path" left="0.5" right="0.5" top="0.5" bottom="0.5">
          <stop position="0">
            <color theme="0"/>
          </stop>
          <stop position="1">
            <color rgb="FFFFCCCC"/>
          </stop>
        </gradientFill>
      </fill>
    </dxf>
    <dxf>
      <font>
        <b/>
        <i val="0"/>
        <color rgb="FF006600"/>
      </font>
      <fill>
        <patternFill>
          <bgColor rgb="FFF5EBF5"/>
        </patternFill>
      </fill>
    </dxf>
    <dxf>
      <font>
        <condense val="0"/>
        <extend val="0"/>
        <color indexed="8"/>
      </font>
      <fill>
        <patternFill>
          <bgColor indexed="10"/>
        </patternFill>
      </fill>
    </dxf>
    <dxf>
      <font>
        <condense val="0"/>
        <extend val="0"/>
        <color indexed="22"/>
      </font>
    </dxf>
    <dxf>
      <font>
        <condense val="0"/>
        <extend val="0"/>
        <color indexed="20"/>
      </font>
    </dxf>
    <dxf>
      <border>
        <left/>
        <right/>
        <top/>
        <bottom/>
      </border>
    </dxf>
    <dxf>
      <font>
        <b/>
        <i val="0"/>
        <color rgb="FF006600"/>
      </font>
      <fill>
        <patternFill>
          <bgColor rgb="FFF5EBF5"/>
        </patternFill>
      </fill>
    </dxf>
    <dxf>
      <font>
        <b/>
        <i val="0"/>
        <condense val="0"/>
        <extend val="0"/>
        <color indexed="10"/>
      </font>
    </dxf>
    <dxf>
      <font>
        <b/>
        <i val="0"/>
        <condense val="0"/>
        <extend val="0"/>
      </font>
    </dxf>
    <dxf>
      <font>
        <b/>
        <i val="0"/>
        <condense val="0"/>
        <extend val="0"/>
        <color indexed="10"/>
      </font>
    </dxf>
    <dxf>
      <border>
        <left/>
        <right/>
        <top/>
        <bottom/>
      </border>
    </dxf>
    <dxf>
      <font>
        <b/>
        <i val="0"/>
        <color rgb="FFFF0000"/>
      </font>
    </dxf>
    <dxf>
      <font>
        <color theme="0" tint="-0.34998626667073579"/>
      </font>
    </dxf>
    <dxf>
      <font>
        <color theme="0"/>
      </font>
      <fill>
        <patternFill>
          <bgColor theme="0"/>
        </patternFill>
      </fill>
    </dxf>
    <dxf>
      <border>
        <left/>
        <right/>
        <top/>
        <bottom/>
      </border>
    </dxf>
    <dxf>
      <fill>
        <patternFill>
          <bgColor rgb="FFFF0000"/>
        </patternFill>
      </fill>
    </dxf>
    <dxf>
      <font>
        <b/>
        <i val="0"/>
        <color rgb="FFFF0000"/>
      </font>
    </dxf>
    <dxf>
      <font>
        <color theme="0" tint="-0.34998626667073579"/>
      </font>
    </dxf>
    <dxf>
      <font>
        <color theme="0"/>
      </font>
      <fill>
        <patternFill>
          <bgColor theme="0"/>
        </patternFill>
      </fill>
    </dxf>
    <dxf>
      <font>
        <b/>
        <i val="0"/>
        <condense val="0"/>
        <extend val="0"/>
        <color indexed="10"/>
      </font>
    </dxf>
    <dxf>
      <border>
        <left/>
        <right/>
        <top/>
        <bottom/>
      </border>
    </dxf>
    <dxf>
      <font>
        <b/>
        <i val="0"/>
        <condense val="0"/>
        <extend val="0"/>
        <color indexed="10"/>
      </font>
    </dxf>
    <dxf>
      <font>
        <b/>
        <i val="0"/>
        <condense val="0"/>
        <extend val="0"/>
        <color indexed="10"/>
      </font>
    </dxf>
    <dxf>
      <font>
        <b/>
        <i val="0"/>
        <condense val="0"/>
        <extend val="0"/>
        <color indexed="10"/>
      </font>
    </dxf>
    <dxf>
      <border>
        <left/>
        <right/>
        <top/>
        <bottom/>
      </border>
    </dxf>
  </dxfs>
  <tableStyles count="0" defaultTableStyle="TableStyleMedium2" defaultPivotStyle="PivotStyleLight16"/>
  <colors>
    <mruColors>
      <color rgb="FFFFCCCC"/>
      <color rgb="FFFFFFCC"/>
      <color rgb="FFFFFF99"/>
      <color rgb="FFFFFFFF"/>
      <color rgb="FFFF6600"/>
      <color rgb="FF006600"/>
      <color rgb="FF0099CC"/>
      <color rgb="FFC0C0C0"/>
      <color rgb="FFEAEAEA"/>
      <color rgb="FFDDDDD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_rels/activeX2.xml.rels><?xml version="1.0" encoding="UTF-8" standalone="yes"?>
<Relationships xmlns="http://schemas.openxmlformats.org/package/2006/relationships"><Relationship Id="rId1" Type="http://schemas.microsoft.com/office/2006/relationships/activeXControlBinary" Target="activeX2.bin"/></Relationships>
</file>

<file path=xl/activeX/activeX1.xml><?xml version="1.0" encoding="utf-8"?>
<ax:ocx xmlns:ax="http://schemas.microsoft.com/office/2006/activeX" xmlns:r="http://schemas.openxmlformats.org/officeDocument/2006/relationships" ax:classid="{D7053240-CE69-11CD-A777-00DD01143C57}" ax:persistence="persistStreamInit" r:id="rId1"/>
</file>

<file path=xl/activeX/activeX2.xml><?xml version="1.0" encoding="utf-8"?>
<ax:ocx xmlns:ax="http://schemas.microsoft.com/office/2006/activeX" xmlns:r="http://schemas.openxmlformats.org/officeDocument/2006/relationships" ax:classid="{D7053240-CE69-11CD-A777-00DD01143C57}" ax:persistence="persistStreamInit" r:id="rId1"/>
</file>

<file path=xl/drawings/_rels/drawing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1" Type="http://schemas.openxmlformats.org/officeDocument/2006/relationships/image" Target="../media/image2.jpeg"/></Relationships>
</file>

<file path=xl/drawings/_rels/drawing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xml.rels><?xml version="1.0" encoding="UTF-8" standalone="yes"?>
<Relationships xmlns="http://schemas.openxmlformats.org/package/2006/relationships"><Relationship Id="rId1" Type="http://schemas.openxmlformats.org/officeDocument/2006/relationships/image" Target="../media/image2.jpeg"/></Relationships>
</file>

<file path=xl/drawings/_rels/drawing6.xml.rels><?xml version="1.0" encoding="UTF-8" standalone="yes"?>
<Relationships xmlns="http://schemas.openxmlformats.org/package/2006/relationships"><Relationship Id="rId1" Type="http://schemas.openxmlformats.org/officeDocument/2006/relationships/image" Target="../media/image4.jpeg"/></Relationships>
</file>

<file path=xl/drawings/_rels/drawing7.xml.rels><?xml version="1.0" encoding="UTF-8" standalone="yes"?>
<Relationships xmlns="http://schemas.openxmlformats.org/package/2006/relationships"><Relationship Id="rId1" Type="http://schemas.openxmlformats.org/officeDocument/2006/relationships/image" Target="../media/image5.jpeg"/></Relationships>
</file>

<file path=xl/drawings/_rels/drawing8.xml.rels><?xml version="1.0" encoding="UTF-8" standalone="yes"?>
<Relationships xmlns="http://schemas.openxmlformats.org/package/2006/relationships"><Relationship Id="rId3" Type="http://schemas.openxmlformats.org/officeDocument/2006/relationships/image" Target="../media/image8.jpeg"/><Relationship Id="rId2" Type="http://schemas.openxmlformats.org/officeDocument/2006/relationships/image" Target="../media/image7.jpeg"/><Relationship Id="rId1" Type="http://schemas.openxmlformats.org/officeDocument/2006/relationships/image" Target="../media/image6.wmf"/></Relationships>
</file>

<file path=xl/drawings/_rels/drawing9.xml.rels><?xml version="1.0" encoding="UTF-8" standalone="yes"?>
<Relationships xmlns="http://schemas.openxmlformats.org/package/2006/relationships"><Relationship Id="rId1" Type="http://schemas.openxmlformats.org/officeDocument/2006/relationships/image" Target="../media/image8.jpeg"/></Relationships>
</file>

<file path=xl/drawings/_rels/drawing10.xml.rels><?xml version="1.0" encoding="UTF-8" standalone="yes"?>
<Relationships xmlns="http://schemas.openxmlformats.org/package/2006/relationships"><Relationship Id="rId2" Type="http://schemas.openxmlformats.org/officeDocument/2006/relationships/image" Target="../media/image7.jpeg"/><Relationship Id="rId1" Type="http://schemas.openxmlformats.org/officeDocument/2006/relationships/image" Target="../media/image9.wmf"/></Relationships>
</file>

<file path=xl/drawings/_rels/drawing11.xml.rels><?xml version="1.0" encoding="UTF-8" standalone="yes"?>
<Relationships xmlns="http://schemas.openxmlformats.org/package/2006/relationships"><Relationship Id="rId1" Type="http://schemas.openxmlformats.org/officeDocument/2006/relationships/image" Target="../media/image7.jpeg"/></Relationships>
</file>

<file path=xl/drawings/_rels/drawing12.xml.rels><?xml version="1.0" encoding="UTF-8" standalone="yes"?>
<Relationships xmlns="http://schemas.openxmlformats.org/package/2006/relationships"><Relationship Id="rId2" Type="http://schemas.openxmlformats.org/officeDocument/2006/relationships/image" Target="../media/image8.jpeg"/><Relationship Id="rId1" Type="http://schemas.openxmlformats.org/officeDocument/2006/relationships/image" Target="../media/image10.wmf"/></Relationships>
</file>

<file path=xl/drawings/_rels/drawing13.xml.rels><?xml version="1.0" encoding="UTF-8" standalone="yes"?>
<Relationships xmlns="http://schemas.openxmlformats.org/package/2006/relationships"><Relationship Id="rId1" Type="http://schemas.openxmlformats.org/officeDocument/2006/relationships/image" Target="../media/image8.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6.xml.rels><?xml version="1.0" encoding="UTF-8" standalone="yes"?>
<Relationships xmlns="http://schemas.openxmlformats.org/package/2006/relationships"><Relationship Id="rId1" Type="http://schemas.openxmlformats.org/officeDocument/2006/relationships/image" Target="../media/image4.jpeg"/></Relationships>
</file>

<file path=xl/drawings/_rels/drawing17.xml.rels><?xml version="1.0" encoding="UTF-8" standalone="yes"?>
<Relationships xmlns="http://schemas.openxmlformats.org/package/2006/relationships"><Relationship Id="rId1" Type="http://schemas.openxmlformats.org/officeDocument/2006/relationships/image" Target="../media/image5.jpeg"/></Relationships>
</file>

<file path=xl/drawings/_rels/drawing18.xml.rels><?xml version="1.0" encoding="UTF-8" standalone="yes"?>
<Relationships xmlns="http://schemas.openxmlformats.org/package/2006/relationships"><Relationship Id="rId1" Type="http://schemas.openxmlformats.org/officeDocument/2006/relationships/image" Target="../media/image8.jpeg"/></Relationships>
</file>

<file path=xl/drawings/_rels/drawing19.xml.rels><?xml version="1.0" encoding="UTF-8" standalone="yes"?>
<Relationships xmlns="http://schemas.openxmlformats.org/package/2006/relationships"><Relationship Id="rId1" Type="http://schemas.openxmlformats.org/officeDocument/2006/relationships/image" Target="../media/image7.jpeg"/></Relationships>
</file>

<file path=xl/drawings/_rels/drawing2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1.xml.rels><?xml version="1.0" encoding="UTF-8" standalone="yes"?>
<Relationships xmlns="http://schemas.openxmlformats.org/package/2006/relationships"><Relationship Id="rId1" Type="http://schemas.openxmlformats.org/officeDocument/2006/relationships/image" Target="../media/image8.jpeg"/></Relationships>
</file>

<file path=xl/drawings/_rels/vmlDrawing3.vml.rels><?xml version="1.0" encoding="UTF-8" standalone="yes"?>
<Relationships xmlns="http://schemas.openxmlformats.org/package/2006/relationships"><Relationship Id="rId1" Type="http://schemas.openxmlformats.org/officeDocument/2006/relationships/image" Target="../media/image3.emf"/></Relationships>
</file>

<file path=xl/drawings/_rels/vmlDrawing12.vml.rels><?xml version="1.0" encoding="UTF-8" standalone="yes"?>
<Relationships xmlns="http://schemas.openxmlformats.org/package/2006/relationships"><Relationship Id="rId1" Type="http://schemas.openxmlformats.org/officeDocument/2006/relationships/image" Target="../media/image11.emf"/></Relationships>
</file>

<file path=xl/drawings/drawing1.xml><?xml version="1.0" encoding="utf-8"?>
<xdr:wsDr xmlns:xdr="http://schemas.openxmlformats.org/drawingml/2006/spreadsheetDrawing" xmlns:a="http://schemas.openxmlformats.org/drawingml/2006/main">
  <xdr:twoCellAnchor>
    <xdr:from>
      <xdr:col>3</xdr:col>
      <xdr:colOff>0</xdr:colOff>
      <xdr:row>7</xdr:row>
      <xdr:rowOff>0</xdr:rowOff>
    </xdr:from>
    <xdr:to>
      <xdr:col>3</xdr:col>
      <xdr:colOff>0</xdr:colOff>
      <xdr:row>7</xdr:row>
      <xdr:rowOff>0</xdr:rowOff>
    </xdr:to>
    <xdr:sp macro="" textlink="">
      <xdr:nvSpPr>
        <xdr:cNvPr id="404485" name="Line 5">
          <a:extLst>
            <a:ext uri="{FF2B5EF4-FFF2-40B4-BE49-F238E27FC236}">
              <a16:creationId xmlns:a16="http://schemas.microsoft.com/office/drawing/2014/main" id="{00000000-0008-0000-0000-0000052C0600}"/>
            </a:ext>
          </a:extLst>
        </xdr:cNvPr>
        <xdr:cNvSpPr>
          <a:spLocks noChangeShapeType="1"/>
        </xdr:cNvSpPr>
      </xdr:nvSpPr>
      <xdr:spPr bwMode="auto">
        <a:xfrm>
          <a:off x="3581400" y="1762125"/>
          <a:ext cx="0" cy="0"/>
        </a:xfrm>
        <a:prstGeom prst="line">
          <a:avLst/>
        </a:prstGeom>
        <a:noFill/>
        <a:ln w="222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0</xdr:colOff>
      <xdr:row>7</xdr:row>
      <xdr:rowOff>0</xdr:rowOff>
    </xdr:from>
    <xdr:to>
      <xdr:col>3</xdr:col>
      <xdr:colOff>0</xdr:colOff>
      <xdr:row>7</xdr:row>
      <xdr:rowOff>0</xdr:rowOff>
    </xdr:to>
    <xdr:sp macro="" textlink="">
      <xdr:nvSpPr>
        <xdr:cNvPr id="404488" name="Line 8">
          <a:extLst>
            <a:ext uri="{FF2B5EF4-FFF2-40B4-BE49-F238E27FC236}">
              <a16:creationId xmlns:a16="http://schemas.microsoft.com/office/drawing/2014/main" id="{00000000-0008-0000-0000-0000082C0600}"/>
            </a:ext>
          </a:extLst>
        </xdr:cNvPr>
        <xdr:cNvSpPr>
          <a:spLocks noChangeShapeType="1"/>
        </xdr:cNvSpPr>
      </xdr:nvSpPr>
      <xdr:spPr bwMode="auto">
        <a:xfrm>
          <a:off x="3581400" y="1762125"/>
          <a:ext cx="0" cy="0"/>
        </a:xfrm>
        <a:prstGeom prst="line">
          <a:avLst/>
        </a:prstGeom>
        <a:noFill/>
        <a:ln w="222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0</xdr:colOff>
      <xdr:row>7</xdr:row>
      <xdr:rowOff>0</xdr:rowOff>
    </xdr:from>
    <xdr:to>
      <xdr:col>3</xdr:col>
      <xdr:colOff>0</xdr:colOff>
      <xdr:row>7</xdr:row>
      <xdr:rowOff>0</xdr:rowOff>
    </xdr:to>
    <xdr:sp macro="" textlink="">
      <xdr:nvSpPr>
        <xdr:cNvPr id="404489" name="Line 9">
          <a:extLst>
            <a:ext uri="{FF2B5EF4-FFF2-40B4-BE49-F238E27FC236}">
              <a16:creationId xmlns:a16="http://schemas.microsoft.com/office/drawing/2014/main" id="{00000000-0008-0000-0000-0000092C0600}"/>
            </a:ext>
          </a:extLst>
        </xdr:cNvPr>
        <xdr:cNvSpPr>
          <a:spLocks noChangeShapeType="1"/>
        </xdr:cNvSpPr>
      </xdr:nvSpPr>
      <xdr:spPr bwMode="auto">
        <a:xfrm>
          <a:off x="3581400" y="1762125"/>
          <a:ext cx="0" cy="0"/>
        </a:xfrm>
        <a:prstGeom prst="line">
          <a:avLst/>
        </a:prstGeom>
        <a:noFill/>
        <a:ln w="222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oneCellAnchor>
    <xdr:from>
      <xdr:col>5</xdr:col>
      <xdr:colOff>409575</xdr:colOff>
      <xdr:row>1</xdr:row>
      <xdr:rowOff>428625</xdr:rowOff>
    </xdr:from>
    <xdr:ext cx="82550" cy="117475"/>
    <xdr:sp macro="" textlink="">
      <xdr:nvSpPr>
        <xdr:cNvPr id="404493" name="Text Box 13">
          <a:extLst>
            <a:ext uri="{FF2B5EF4-FFF2-40B4-BE49-F238E27FC236}">
              <a16:creationId xmlns:a16="http://schemas.microsoft.com/office/drawing/2014/main" id="{00000000-0008-0000-0000-00000D2C0600}"/>
            </a:ext>
          </a:extLst>
        </xdr:cNvPr>
        <xdr:cNvSpPr txBox="1">
          <a:spLocks noChangeArrowheads="1"/>
        </xdr:cNvSpPr>
      </xdr:nvSpPr>
      <xdr:spPr bwMode="auto">
        <a:xfrm>
          <a:off x="5619750" y="933450"/>
          <a:ext cx="85725" cy="1143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wrap="none" lIns="0" tIns="0" rIns="0" bIns="0" anchor="ctr" upright="1">
          <a:spAutoFit/>
        </a:bodyPr>
        <a:lstStyle/>
        <a:p>
          <a:pPr algn="ctr" rtl="0">
            <a:defRPr sz="1000"/>
          </a:pPr>
          <a:r>
            <a:rPr lang="en-US" sz="700" b="0" i="0" u="none" strike="noStrike" baseline="0">
              <a:solidFill>
                <a:srgbClr val="000000"/>
              </a:solidFill>
              <a:latin typeface="Arial"/>
              <a:cs typeface="Arial"/>
            </a:rPr>
            <a:t>of</a:t>
          </a:r>
          <a:endParaRPr lang="en-US"/>
        </a:p>
      </xdr:txBody>
    </xdr:sp>
    <xdr:clientData/>
  </xdr:oneCellAnchor>
  <xdr:twoCellAnchor>
    <xdr:from>
      <xdr:col>8</xdr:col>
      <xdr:colOff>190500</xdr:colOff>
      <xdr:row>0</xdr:row>
      <xdr:rowOff>457200</xdr:rowOff>
    </xdr:from>
    <xdr:to>
      <xdr:col>14</xdr:col>
      <xdr:colOff>361950</xdr:colOff>
      <xdr:row>9</xdr:row>
      <xdr:rowOff>171450</xdr:rowOff>
    </xdr:to>
    <xdr:sp macro="" textlink="">
      <xdr:nvSpPr>
        <xdr:cNvPr id="9" name="Text Box 8">
          <a:extLst>
            <a:ext uri="{FF2B5EF4-FFF2-40B4-BE49-F238E27FC236}">
              <a16:creationId xmlns:a16="http://schemas.microsoft.com/office/drawing/2014/main" id="{00000000-0008-0000-0000-000009000000}"/>
            </a:ext>
          </a:extLst>
        </xdr:cNvPr>
        <xdr:cNvSpPr txBox="1">
          <a:spLocks noChangeArrowheads="1"/>
        </xdr:cNvSpPr>
      </xdr:nvSpPr>
      <xdr:spPr bwMode="auto">
        <a:xfrm>
          <a:off x="7035800" y="457200"/>
          <a:ext cx="3829050" cy="187325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en-US" sz="1200" b="0" i="0" u="none" strike="noStrike" baseline="0">
              <a:solidFill>
                <a:srgbClr val="000000"/>
              </a:solidFill>
              <a:latin typeface="Arial"/>
              <a:cs typeface="Arial"/>
            </a:rPr>
            <a:t>This sheet is intended to be used for general project notes and/or instructions from Detailing to Design.</a:t>
          </a:r>
        </a:p>
        <a:p>
          <a:pPr algn="l" rtl="0">
            <a:defRPr sz="1000"/>
          </a:pPr>
          <a:endParaRPr lang="en-US" sz="1200" b="0" i="0" u="none" strike="noStrike" baseline="0">
            <a:solidFill>
              <a:srgbClr val="000000"/>
            </a:solidFill>
            <a:latin typeface="Arial"/>
            <a:cs typeface="Arial"/>
          </a:endParaRPr>
        </a:p>
        <a:p>
          <a:pPr algn="l" rtl="0">
            <a:defRPr sz="1000"/>
          </a:pPr>
          <a:r>
            <a:rPr lang="en-US" sz="1200" b="0" i="0" u="none" strike="noStrike" baseline="0">
              <a:solidFill>
                <a:srgbClr val="000000"/>
              </a:solidFill>
              <a:latin typeface="Arial"/>
              <a:cs typeface="Arial"/>
            </a:rPr>
            <a:t>It is an </a:t>
          </a:r>
          <a:r>
            <a:rPr lang="en-US" sz="1400" b="1" i="0" u="sng" strike="noStrike" baseline="0">
              <a:solidFill>
                <a:srgbClr val="FF0000"/>
              </a:solidFill>
              <a:latin typeface="Arial"/>
              <a:cs typeface="Arial"/>
            </a:rPr>
            <a:t>internal document only</a:t>
          </a:r>
          <a:r>
            <a:rPr lang="en-US" sz="1200" b="0" i="0" u="none" strike="noStrike" baseline="0">
              <a:solidFill>
                <a:srgbClr val="000000"/>
              </a:solidFill>
              <a:latin typeface="Arial"/>
              <a:cs typeface="Arial"/>
            </a:rPr>
            <a:t> and should </a:t>
          </a:r>
          <a:r>
            <a:rPr lang="en-US" sz="1200" b="1" i="0" u="none" strike="noStrike" baseline="0">
              <a:solidFill>
                <a:srgbClr val="000000"/>
              </a:solidFill>
              <a:latin typeface="Arial"/>
              <a:cs typeface="Arial"/>
            </a:rPr>
            <a:t>NOT</a:t>
          </a:r>
          <a:r>
            <a:rPr lang="en-US" sz="1200" b="0" i="0" u="none" strike="noStrike" baseline="0">
              <a:solidFill>
                <a:srgbClr val="000000"/>
              </a:solidFill>
              <a:latin typeface="Arial"/>
              <a:cs typeface="Arial"/>
            </a:rPr>
            <a:t> be included in documentation sent outside of NMBS.</a:t>
          </a:r>
          <a:endParaRPr lang="en-US"/>
        </a:p>
      </xdr:txBody>
    </xdr:sp>
    <xdr:clientData fPrintsWithSheet="0"/>
  </xdr:twoCellAnchor>
</xdr:wsDr>
</file>

<file path=xl/drawings/drawing2.xml><?xml version="1.0" encoding="utf-8"?>
<xdr:wsDr xmlns:xdr="http://schemas.openxmlformats.org/drawingml/2006/spreadsheetDrawing" xmlns:a="http://schemas.openxmlformats.org/drawingml/2006/main">
  <xdr:twoCellAnchor>
    <xdr:from>
      <xdr:col>3</xdr:col>
      <xdr:colOff>0</xdr:colOff>
      <xdr:row>7</xdr:row>
      <xdr:rowOff>0</xdr:rowOff>
    </xdr:from>
    <xdr:to>
      <xdr:col>3</xdr:col>
      <xdr:colOff>0</xdr:colOff>
      <xdr:row>7</xdr:row>
      <xdr:rowOff>0</xdr:rowOff>
    </xdr:to>
    <xdr:sp macro="" textlink="">
      <xdr:nvSpPr>
        <xdr:cNvPr id="2454530" name="Line 2">
          <a:extLst>
            <a:ext uri="{FF2B5EF4-FFF2-40B4-BE49-F238E27FC236}">
              <a16:creationId xmlns:a16="http://schemas.microsoft.com/office/drawing/2014/main" id="{00000000-0008-0000-0100-000002742500}"/>
            </a:ext>
          </a:extLst>
        </xdr:cNvPr>
        <xdr:cNvSpPr>
          <a:spLocks noChangeShapeType="1"/>
        </xdr:cNvSpPr>
      </xdr:nvSpPr>
      <xdr:spPr bwMode="auto">
        <a:xfrm>
          <a:off x="3581400" y="1762125"/>
          <a:ext cx="0" cy="0"/>
        </a:xfrm>
        <a:prstGeom prst="line">
          <a:avLst/>
        </a:prstGeom>
        <a:noFill/>
        <a:ln w="222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0</xdr:colOff>
      <xdr:row>7</xdr:row>
      <xdr:rowOff>0</xdr:rowOff>
    </xdr:from>
    <xdr:to>
      <xdr:col>3</xdr:col>
      <xdr:colOff>0</xdr:colOff>
      <xdr:row>7</xdr:row>
      <xdr:rowOff>0</xdr:rowOff>
    </xdr:to>
    <xdr:sp macro="" textlink="">
      <xdr:nvSpPr>
        <xdr:cNvPr id="2454533" name="Line 5">
          <a:extLst>
            <a:ext uri="{FF2B5EF4-FFF2-40B4-BE49-F238E27FC236}">
              <a16:creationId xmlns:a16="http://schemas.microsoft.com/office/drawing/2014/main" id="{00000000-0008-0000-0100-000005742500}"/>
            </a:ext>
          </a:extLst>
        </xdr:cNvPr>
        <xdr:cNvSpPr>
          <a:spLocks noChangeShapeType="1"/>
        </xdr:cNvSpPr>
      </xdr:nvSpPr>
      <xdr:spPr bwMode="auto">
        <a:xfrm>
          <a:off x="3581400" y="1762125"/>
          <a:ext cx="0" cy="0"/>
        </a:xfrm>
        <a:prstGeom prst="line">
          <a:avLst/>
        </a:prstGeom>
        <a:noFill/>
        <a:ln w="222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0</xdr:colOff>
      <xdr:row>7</xdr:row>
      <xdr:rowOff>0</xdr:rowOff>
    </xdr:from>
    <xdr:to>
      <xdr:col>3</xdr:col>
      <xdr:colOff>0</xdr:colOff>
      <xdr:row>7</xdr:row>
      <xdr:rowOff>0</xdr:rowOff>
    </xdr:to>
    <xdr:sp macro="" textlink="">
      <xdr:nvSpPr>
        <xdr:cNvPr id="2454534" name="Line 6">
          <a:extLst>
            <a:ext uri="{FF2B5EF4-FFF2-40B4-BE49-F238E27FC236}">
              <a16:creationId xmlns:a16="http://schemas.microsoft.com/office/drawing/2014/main" id="{00000000-0008-0000-0100-000006742500}"/>
            </a:ext>
          </a:extLst>
        </xdr:cNvPr>
        <xdr:cNvSpPr>
          <a:spLocks noChangeShapeType="1"/>
        </xdr:cNvSpPr>
      </xdr:nvSpPr>
      <xdr:spPr bwMode="auto">
        <a:xfrm>
          <a:off x="3581400" y="1762125"/>
          <a:ext cx="0" cy="0"/>
        </a:xfrm>
        <a:prstGeom prst="line">
          <a:avLst/>
        </a:prstGeom>
        <a:noFill/>
        <a:ln w="222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oneCellAnchor>
    <xdr:from>
      <xdr:col>5</xdr:col>
      <xdr:colOff>409575</xdr:colOff>
      <xdr:row>1</xdr:row>
      <xdr:rowOff>428625</xdr:rowOff>
    </xdr:from>
    <xdr:ext cx="82550" cy="117475"/>
    <xdr:sp macro="" textlink="">
      <xdr:nvSpPr>
        <xdr:cNvPr id="2454535" name="Text Box 7">
          <a:extLst>
            <a:ext uri="{FF2B5EF4-FFF2-40B4-BE49-F238E27FC236}">
              <a16:creationId xmlns:a16="http://schemas.microsoft.com/office/drawing/2014/main" id="{00000000-0008-0000-0100-000007742500}"/>
            </a:ext>
          </a:extLst>
        </xdr:cNvPr>
        <xdr:cNvSpPr txBox="1">
          <a:spLocks noChangeArrowheads="1"/>
        </xdr:cNvSpPr>
      </xdr:nvSpPr>
      <xdr:spPr bwMode="auto">
        <a:xfrm>
          <a:off x="5619750" y="933450"/>
          <a:ext cx="85725" cy="1143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wrap="none" lIns="0" tIns="0" rIns="0" bIns="0" anchor="ctr" upright="1">
          <a:spAutoFit/>
        </a:bodyPr>
        <a:lstStyle/>
        <a:p>
          <a:pPr algn="ctr" rtl="0">
            <a:defRPr sz="1000"/>
          </a:pPr>
          <a:r>
            <a:rPr lang="en-US" sz="700" b="0" i="0" u="none" strike="noStrike" baseline="0">
              <a:solidFill>
                <a:srgbClr val="000000"/>
              </a:solidFill>
              <a:latin typeface="Arial"/>
              <a:cs typeface="Arial"/>
            </a:rPr>
            <a:t>of</a:t>
          </a:r>
          <a:endParaRPr lang="en-US"/>
        </a:p>
      </xdr:txBody>
    </xdr:sp>
    <xdr:clientData/>
  </xdr:oneCellAnchor>
  <xdr:twoCellAnchor editAs="absolute">
    <xdr:from>
      <xdr:col>0</xdr:col>
      <xdr:colOff>342900</xdr:colOff>
      <xdr:row>0</xdr:row>
      <xdr:rowOff>0</xdr:rowOff>
    </xdr:from>
    <xdr:to>
      <xdr:col>2</xdr:col>
      <xdr:colOff>1104900</xdr:colOff>
      <xdr:row>1</xdr:row>
      <xdr:rowOff>171450</xdr:rowOff>
    </xdr:to>
    <xdr:pic>
      <xdr:nvPicPr>
        <xdr:cNvPr id="6" name="Picture 30" descr="newmill_black_logo">
          <a:extLst>
            <a:ext uri="{FF2B5EF4-FFF2-40B4-BE49-F238E27FC236}">
              <a16:creationId xmlns:a16="http://schemas.microsoft.com/office/drawing/2014/main" id="{00000000-0008-0000-0100-000006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2900" y="0"/>
          <a:ext cx="2162175" cy="676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4</xdr:col>
      <xdr:colOff>0</xdr:colOff>
      <xdr:row>12</xdr:row>
      <xdr:rowOff>0</xdr:rowOff>
    </xdr:from>
    <xdr:to>
      <xdr:col>4</xdr:col>
      <xdr:colOff>0</xdr:colOff>
      <xdr:row>12</xdr:row>
      <xdr:rowOff>0</xdr:rowOff>
    </xdr:to>
    <xdr:sp macro="" textlink="">
      <xdr:nvSpPr>
        <xdr:cNvPr id="2" name="Line 3">
          <a:extLst>
            <a:ext uri="{FF2B5EF4-FFF2-40B4-BE49-F238E27FC236}">
              <a16:creationId xmlns:a16="http://schemas.microsoft.com/office/drawing/2014/main" id="{00000000-0008-0000-0200-000002000000}"/>
            </a:ext>
          </a:extLst>
        </xdr:cNvPr>
        <xdr:cNvSpPr>
          <a:spLocks noChangeShapeType="1"/>
        </xdr:cNvSpPr>
      </xdr:nvSpPr>
      <xdr:spPr bwMode="auto">
        <a:xfrm>
          <a:off x="3619500" y="1752600"/>
          <a:ext cx="0" cy="0"/>
        </a:xfrm>
        <a:prstGeom prst="line">
          <a:avLst/>
        </a:prstGeom>
        <a:noFill/>
        <a:ln w="222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0</xdr:colOff>
      <xdr:row>12</xdr:row>
      <xdr:rowOff>0</xdr:rowOff>
    </xdr:from>
    <xdr:to>
      <xdr:col>4</xdr:col>
      <xdr:colOff>0</xdr:colOff>
      <xdr:row>12</xdr:row>
      <xdr:rowOff>0</xdr:rowOff>
    </xdr:to>
    <xdr:sp macro="" textlink="">
      <xdr:nvSpPr>
        <xdr:cNvPr id="3" name="Line 6">
          <a:extLst>
            <a:ext uri="{FF2B5EF4-FFF2-40B4-BE49-F238E27FC236}">
              <a16:creationId xmlns:a16="http://schemas.microsoft.com/office/drawing/2014/main" id="{00000000-0008-0000-0200-000003000000}"/>
            </a:ext>
          </a:extLst>
        </xdr:cNvPr>
        <xdr:cNvSpPr>
          <a:spLocks noChangeShapeType="1"/>
        </xdr:cNvSpPr>
      </xdr:nvSpPr>
      <xdr:spPr bwMode="auto">
        <a:xfrm>
          <a:off x="3619500" y="1752600"/>
          <a:ext cx="0" cy="0"/>
        </a:xfrm>
        <a:prstGeom prst="line">
          <a:avLst/>
        </a:prstGeom>
        <a:noFill/>
        <a:ln w="222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0</xdr:colOff>
      <xdr:row>12</xdr:row>
      <xdr:rowOff>0</xdr:rowOff>
    </xdr:from>
    <xdr:to>
      <xdr:col>4</xdr:col>
      <xdr:colOff>0</xdr:colOff>
      <xdr:row>12</xdr:row>
      <xdr:rowOff>0</xdr:rowOff>
    </xdr:to>
    <xdr:sp macro="" textlink="">
      <xdr:nvSpPr>
        <xdr:cNvPr id="4" name="Line 7">
          <a:extLst>
            <a:ext uri="{FF2B5EF4-FFF2-40B4-BE49-F238E27FC236}">
              <a16:creationId xmlns:a16="http://schemas.microsoft.com/office/drawing/2014/main" id="{00000000-0008-0000-0200-000004000000}"/>
            </a:ext>
          </a:extLst>
        </xdr:cNvPr>
        <xdr:cNvSpPr>
          <a:spLocks noChangeShapeType="1"/>
        </xdr:cNvSpPr>
      </xdr:nvSpPr>
      <xdr:spPr bwMode="auto">
        <a:xfrm>
          <a:off x="3619500" y="1752600"/>
          <a:ext cx="0" cy="0"/>
        </a:xfrm>
        <a:prstGeom prst="line">
          <a:avLst/>
        </a:prstGeom>
        <a:noFill/>
        <a:ln w="222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editAs="absolute">
    <xdr:from>
      <xdr:col>0</xdr:col>
      <xdr:colOff>523875</xdr:colOff>
      <xdr:row>0</xdr:row>
      <xdr:rowOff>0</xdr:rowOff>
    </xdr:from>
    <xdr:to>
      <xdr:col>1</xdr:col>
      <xdr:colOff>1971675</xdr:colOff>
      <xdr:row>4</xdr:row>
      <xdr:rowOff>0</xdr:rowOff>
    </xdr:to>
    <xdr:pic>
      <xdr:nvPicPr>
        <xdr:cNvPr id="5" name="Picture 8" descr="newmill_black_logo">
          <a:extLst>
            <a:ext uri="{FF2B5EF4-FFF2-40B4-BE49-F238E27FC236}">
              <a16:creationId xmlns:a16="http://schemas.microsoft.com/office/drawing/2014/main" id="{00000000-0008-0000-02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23875" y="0"/>
          <a:ext cx="2162175" cy="676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76200</xdr:colOff>
      <xdr:row>0</xdr:row>
      <xdr:rowOff>38100</xdr:rowOff>
    </xdr:from>
    <xdr:to>
      <xdr:col>6</xdr:col>
      <xdr:colOff>76200</xdr:colOff>
      <xdr:row>5</xdr:row>
      <xdr:rowOff>0</xdr:rowOff>
    </xdr:to>
    <xdr:sp macro="" textlink="">
      <xdr:nvSpPr>
        <xdr:cNvPr id="6" name="Line 9">
          <a:extLst>
            <a:ext uri="{FF2B5EF4-FFF2-40B4-BE49-F238E27FC236}">
              <a16:creationId xmlns:a16="http://schemas.microsoft.com/office/drawing/2014/main" id="{00000000-0008-0000-0200-000006000000}"/>
            </a:ext>
          </a:extLst>
        </xdr:cNvPr>
        <xdr:cNvSpPr>
          <a:spLocks noChangeShapeType="1"/>
        </xdr:cNvSpPr>
      </xdr:nvSpPr>
      <xdr:spPr bwMode="auto">
        <a:xfrm>
          <a:off x="4552950" y="38100"/>
          <a:ext cx="0" cy="8001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4.xml><?xml version="1.0" encoding="utf-8"?>
<xdr:wsDr xmlns:xdr="http://schemas.openxmlformats.org/drawingml/2006/spreadsheetDrawing" xmlns:a="http://schemas.openxmlformats.org/drawingml/2006/main">
  <xdr:twoCellAnchor>
    <xdr:from>
      <xdr:col>6</xdr:col>
      <xdr:colOff>0</xdr:colOff>
      <xdr:row>12</xdr:row>
      <xdr:rowOff>0</xdr:rowOff>
    </xdr:from>
    <xdr:to>
      <xdr:col>6</xdr:col>
      <xdr:colOff>0</xdr:colOff>
      <xdr:row>12</xdr:row>
      <xdr:rowOff>0</xdr:rowOff>
    </xdr:to>
    <xdr:sp macro="" textlink="">
      <xdr:nvSpPr>
        <xdr:cNvPr id="1001474" name="Line 2">
          <a:extLst>
            <a:ext uri="{FF2B5EF4-FFF2-40B4-BE49-F238E27FC236}">
              <a16:creationId xmlns:a16="http://schemas.microsoft.com/office/drawing/2014/main" id="{00000000-0008-0000-0300-000002480F00}"/>
            </a:ext>
          </a:extLst>
        </xdr:cNvPr>
        <xdr:cNvSpPr>
          <a:spLocks noChangeShapeType="1"/>
        </xdr:cNvSpPr>
      </xdr:nvSpPr>
      <xdr:spPr bwMode="auto">
        <a:xfrm>
          <a:off x="2371725" y="1724025"/>
          <a:ext cx="0" cy="0"/>
        </a:xfrm>
        <a:prstGeom prst="line">
          <a:avLst/>
        </a:prstGeom>
        <a:noFill/>
        <a:ln w="222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0</xdr:colOff>
      <xdr:row>12</xdr:row>
      <xdr:rowOff>0</xdr:rowOff>
    </xdr:from>
    <xdr:to>
      <xdr:col>6</xdr:col>
      <xdr:colOff>0</xdr:colOff>
      <xdr:row>12</xdr:row>
      <xdr:rowOff>0</xdr:rowOff>
    </xdr:to>
    <xdr:sp macro="" textlink="">
      <xdr:nvSpPr>
        <xdr:cNvPr id="1001477" name="Line 5">
          <a:extLst>
            <a:ext uri="{FF2B5EF4-FFF2-40B4-BE49-F238E27FC236}">
              <a16:creationId xmlns:a16="http://schemas.microsoft.com/office/drawing/2014/main" id="{00000000-0008-0000-0300-000005480F00}"/>
            </a:ext>
          </a:extLst>
        </xdr:cNvPr>
        <xdr:cNvSpPr>
          <a:spLocks noChangeShapeType="1"/>
        </xdr:cNvSpPr>
      </xdr:nvSpPr>
      <xdr:spPr bwMode="auto">
        <a:xfrm>
          <a:off x="2371725" y="1724025"/>
          <a:ext cx="0" cy="0"/>
        </a:xfrm>
        <a:prstGeom prst="line">
          <a:avLst/>
        </a:prstGeom>
        <a:noFill/>
        <a:ln w="222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0</xdr:colOff>
      <xdr:row>12</xdr:row>
      <xdr:rowOff>0</xdr:rowOff>
    </xdr:from>
    <xdr:to>
      <xdr:col>6</xdr:col>
      <xdr:colOff>0</xdr:colOff>
      <xdr:row>12</xdr:row>
      <xdr:rowOff>0</xdr:rowOff>
    </xdr:to>
    <xdr:sp macro="" textlink="">
      <xdr:nvSpPr>
        <xdr:cNvPr id="1001478" name="Line 6">
          <a:extLst>
            <a:ext uri="{FF2B5EF4-FFF2-40B4-BE49-F238E27FC236}">
              <a16:creationId xmlns:a16="http://schemas.microsoft.com/office/drawing/2014/main" id="{00000000-0008-0000-0300-000006480F00}"/>
            </a:ext>
          </a:extLst>
        </xdr:cNvPr>
        <xdr:cNvSpPr>
          <a:spLocks noChangeShapeType="1"/>
        </xdr:cNvSpPr>
      </xdr:nvSpPr>
      <xdr:spPr bwMode="auto">
        <a:xfrm>
          <a:off x="2371725" y="1724025"/>
          <a:ext cx="0" cy="0"/>
        </a:xfrm>
        <a:prstGeom prst="line">
          <a:avLst/>
        </a:prstGeom>
        <a:noFill/>
        <a:ln w="222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571500</xdr:colOff>
      <xdr:row>0</xdr:row>
      <xdr:rowOff>0</xdr:rowOff>
    </xdr:from>
    <xdr:to>
      <xdr:col>11</xdr:col>
      <xdr:colOff>571500</xdr:colOff>
      <xdr:row>5</xdr:row>
      <xdr:rowOff>0</xdr:rowOff>
    </xdr:to>
    <xdr:sp macro="" textlink="">
      <xdr:nvSpPr>
        <xdr:cNvPr id="1001483" name="Line 11">
          <a:extLst>
            <a:ext uri="{FF2B5EF4-FFF2-40B4-BE49-F238E27FC236}">
              <a16:creationId xmlns:a16="http://schemas.microsoft.com/office/drawing/2014/main" id="{00000000-0008-0000-0300-00000B480F00}"/>
            </a:ext>
          </a:extLst>
        </xdr:cNvPr>
        <xdr:cNvSpPr>
          <a:spLocks noChangeShapeType="1"/>
        </xdr:cNvSpPr>
      </xdr:nvSpPr>
      <xdr:spPr bwMode="auto">
        <a:xfrm>
          <a:off x="4524375" y="0"/>
          <a:ext cx="0" cy="828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editAs="oneCell">
    <xdr:from>
      <xdr:col>58</xdr:col>
      <xdr:colOff>180975</xdr:colOff>
      <xdr:row>3</xdr:row>
      <xdr:rowOff>114300</xdr:rowOff>
    </xdr:from>
    <xdr:to>
      <xdr:col>66</xdr:col>
      <xdr:colOff>292100</xdr:colOff>
      <xdr:row>39</xdr:row>
      <xdr:rowOff>152400</xdr:rowOff>
    </xdr:to>
    <xdr:sp macro="" textlink="">
      <xdr:nvSpPr>
        <xdr:cNvPr id="1001498" name="Text Box 26">
          <a:extLst>
            <a:ext uri="{FF2B5EF4-FFF2-40B4-BE49-F238E27FC236}">
              <a16:creationId xmlns:a16="http://schemas.microsoft.com/office/drawing/2014/main" id="{00000000-0008-0000-0300-00001A480F00}"/>
            </a:ext>
          </a:extLst>
        </xdr:cNvPr>
        <xdr:cNvSpPr txBox="1">
          <a:spLocks noChangeArrowheads="1"/>
        </xdr:cNvSpPr>
      </xdr:nvSpPr>
      <xdr:spPr bwMode="auto">
        <a:xfrm>
          <a:off x="18488025" y="619125"/>
          <a:ext cx="4987925" cy="588645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7432" rIns="0" bIns="0" anchor="t" upright="1"/>
        <a:lstStyle/>
        <a:p>
          <a:pPr algn="l" rtl="0">
            <a:defRPr sz="1000"/>
          </a:pPr>
          <a:r>
            <a:rPr lang="en-US" sz="1100" b="1" i="0" u="none" strike="noStrike" baseline="0">
              <a:solidFill>
                <a:srgbClr val="FF0000"/>
              </a:solidFill>
              <a:latin typeface="Arial"/>
              <a:cs typeface="Arial"/>
            </a:rPr>
            <a:t>Net Uplift:</a:t>
          </a:r>
          <a:endParaRPr lang="en-US" sz="1100" b="0" i="0" u="none" strike="noStrike" baseline="0">
            <a:solidFill>
              <a:srgbClr val="000000"/>
            </a:solidFill>
            <a:latin typeface="Arial"/>
            <a:cs typeface="Arial"/>
          </a:endParaRPr>
        </a:p>
        <a:p>
          <a:pPr algn="l" rtl="0">
            <a:defRPr sz="1000"/>
          </a:pPr>
          <a:r>
            <a:rPr lang="en-US" sz="1100" b="0" i="0" u="none" strike="noStrike" baseline="0">
              <a:solidFill>
                <a:srgbClr val="000000"/>
              </a:solidFill>
              <a:latin typeface="Arial"/>
              <a:cs typeface="Arial"/>
            </a:rPr>
            <a:t>Net Uplift in the upward direction is a POSITIVE value.</a:t>
          </a:r>
        </a:p>
        <a:p>
          <a:pPr algn="l" rtl="0">
            <a:defRPr sz="1000"/>
          </a:pPr>
          <a:endParaRPr lang="en-US" sz="1100" b="0" i="0" u="none" strike="noStrike" baseline="0">
            <a:solidFill>
              <a:srgbClr val="000000"/>
            </a:solidFill>
            <a:latin typeface="Arial"/>
            <a:cs typeface="Arial"/>
          </a:endParaRPr>
        </a:p>
        <a:p>
          <a:pPr algn="l" rtl="0">
            <a:defRPr sz="1000"/>
          </a:pPr>
          <a:r>
            <a:rPr lang="en-US" sz="1100" b="1" i="0" u="none" strike="noStrike" baseline="0">
              <a:solidFill>
                <a:srgbClr val="FF0000"/>
              </a:solidFill>
              <a:latin typeface="Arial"/>
              <a:cs typeface="Arial"/>
            </a:rPr>
            <a:t>Concentrated Loads:</a:t>
          </a:r>
          <a:endParaRPr lang="en-US" sz="1100" b="0" i="0" u="none" strike="noStrike" baseline="0">
            <a:solidFill>
              <a:srgbClr val="000000"/>
            </a:solidFill>
            <a:latin typeface="Arial"/>
            <a:cs typeface="Arial"/>
          </a:endParaRPr>
        </a:p>
        <a:p>
          <a:pPr algn="l" rtl="0">
            <a:defRPr sz="1000"/>
          </a:pPr>
          <a:r>
            <a:rPr lang="en-US" sz="1100" b="0" i="0" u="none" strike="noStrike" baseline="0">
              <a:solidFill>
                <a:srgbClr val="000000"/>
              </a:solidFill>
              <a:latin typeface="Arial"/>
              <a:cs typeface="Arial"/>
            </a:rPr>
            <a:t>2 separate concentrated loads can be entered on the same line.</a:t>
          </a:r>
        </a:p>
        <a:p>
          <a:pPr algn="l" rtl="0">
            <a:defRPr sz="1000"/>
          </a:pPr>
          <a:endParaRPr lang="en-US" sz="1100" b="0" i="0" u="none" strike="noStrike" baseline="0">
            <a:solidFill>
              <a:srgbClr val="000000"/>
            </a:solidFill>
            <a:latin typeface="Arial"/>
            <a:cs typeface="Arial"/>
          </a:endParaRPr>
        </a:p>
        <a:p>
          <a:pPr algn="l" rtl="0">
            <a:defRPr sz="1000"/>
          </a:pPr>
          <a:r>
            <a:rPr lang="en-US" sz="1100" b="1" i="0" u="none" strike="noStrike" baseline="0">
              <a:solidFill>
                <a:srgbClr val="FF0000"/>
              </a:solidFill>
              <a:latin typeface="Arial"/>
              <a:cs typeface="Arial"/>
            </a:rPr>
            <a:t>C3 Loads:</a:t>
          </a:r>
          <a:endParaRPr lang="en-US" sz="1100" b="0" i="0" u="none" strike="noStrike" baseline="0">
            <a:solidFill>
              <a:srgbClr val="000000"/>
            </a:solidFill>
            <a:latin typeface="Arial"/>
            <a:cs typeface="Arial"/>
          </a:endParaRPr>
        </a:p>
        <a:p>
          <a:pPr algn="l" rtl="0">
            <a:defRPr sz="1000"/>
          </a:pPr>
          <a:r>
            <a:rPr lang="en-US" sz="1100" b="0" i="0" u="none" strike="noStrike" baseline="0">
              <a:solidFill>
                <a:srgbClr val="000000"/>
              </a:solidFill>
              <a:latin typeface="Arial"/>
              <a:cs typeface="Arial"/>
            </a:rPr>
            <a:t>C3 load is applied to each panel point withing 3'-0" of the location specified.  Extra Vertical detail should be used to reinforce the chord for localized bending if the load does not occur at a panel point.</a:t>
          </a:r>
        </a:p>
        <a:p>
          <a:pPr algn="l" rtl="0">
            <a:defRPr sz="1000"/>
          </a:pPr>
          <a:endParaRPr lang="en-US" sz="1100" b="0" i="0" u="none" strike="noStrike" baseline="0">
            <a:solidFill>
              <a:srgbClr val="000000"/>
            </a:solidFill>
            <a:latin typeface="Arial"/>
            <a:cs typeface="Arial"/>
          </a:endParaRPr>
        </a:p>
        <a:p>
          <a:pPr algn="l" rtl="0">
            <a:defRPr sz="1000"/>
          </a:pPr>
          <a:r>
            <a:rPr lang="en-US" sz="1100" b="1" i="0" u="none" strike="noStrike" baseline="0">
              <a:solidFill>
                <a:srgbClr val="FF0000"/>
              </a:solidFill>
              <a:latin typeface="Arial"/>
              <a:cs typeface="Arial"/>
            </a:rPr>
            <a:t>Reference:</a:t>
          </a:r>
          <a:endParaRPr lang="en-US" sz="1100" b="0" i="0" u="none" strike="noStrike" baseline="0">
            <a:solidFill>
              <a:srgbClr val="000000"/>
            </a:solidFill>
            <a:latin typeface="Arial"/>
            <a:cs typeface="Arial"/>
          </a:endParaRPr>
        </a:p>
        <a:p>
          <a:pPr algn="l" rtl="0">
            <a:defRPr sz="1000"/>
          </a:pPr>
          <a:r>
            <a:rPr lang="en-US" sz="1100" b="0" i="0" u="none" strike="noStrike" baseline="0">
              <a:solidFill>
                <a:srgbClr val="000000"/>
              </a:solidFill>
              <a:latin typeface="Arial"/>
              <a:cs typeface="Arial"/>
            </a:rPr>
            <a:t>L-OAL = Left end from Overall Length</a:t>
          </a:r>
        </a:p>
        <a:p>
          <a:pPr algn="l" rtl="0">
            <a:defRPr sz="1000"/>
          </a:pPr>
          <a:r>
            <a:rPr lang="en-US" sz="1100" b="0" i="0" u="none" strike="noStrike" baseline="0">
              <a:solidFill>
                <a:srgbClr val="000000"/>
              </a:solidFill>
              <a:latin typeface="Arial"/>
              <a:cs typeface="Arial"/>
            </a:rPr>
            <a:t>L-PTP* = Left end from "Point to Point" (or Bay Reference)</a:t>
          </a:r>
        </a:p>
        <a:p>
          <a:pPr algn="l" rtl="0">
            <a:defRPr sz="1000"/>
          </a:pPr>
          <a:r>
            <a:rPr lang="en-US" sz="1100" b="0" i="0" u="none" strike="noStrike" baseline="0">
              <a:solidFill>
                <a:srgbClr val="000000"/>
              </a:solidFill>
              <a:latin typeface="Arial"/>
              <a:cs typeface="Arial"/>
            </a:rPr>
            <a:t>              (Center of Beam/Column or Face of CMU)</a:t>
          </a:r>
        </a:p>
        <a:p>
          <a:pPr algn="l" rtl="0">
            <a:defRPr sz="1000"/>
          </a:pPr>
          <a:r>
            <a:rPr lang="en-US" sz="1100" b="0" i="0" u="none" strike="noStrike" baseline="0">
              <a:solidFill>
                <a:srgbClr val="000000"/>
              </a:solidFill>
              <a:latin typeface="Arial"/>
              <a:cs typeface="Arial"/>
            </a:rPr>
            <a:t>L-BL    = Left end from Base Length</a:t>
          </a:r>
        </a:p>
        <a:p>
          <a:pPr algn="l" rtl="0">
            <a:defRPr sz="1000"/>
          </a:pPr>
          <a:endParaRPr lang="en-US" sz="1100" b="0" i="0" u="none" strike="noStrike" baseline="0">
            <a:solidFill>
              <a:srgbClr val="000000"/>
            </a:solidFill>
            <a:latin typeface="Arial"/>
            <a:cs typeface="Arial"/>
          </a:endParaRPr>
        </a:p>
        <a:p>
          <a:pPr algn="l" rtl="0">
            <a:defRPr sz="1000"/>
          </a:pPr>
          <a:r>
            <a:rPr lang="en-US" sz="1100" b="0" i="0" u="none" strike="noStrike" baseline="0">
              <a:solidFill>
                <a:srgbClr val="000000"/>
              </a:solidFill>
              <a:latin typeface="Arial"/>
              <a:cs typeface="Arial"/>
            </a:rPr>
            <a:t>R-OAL, R-PTP, R-BL = Same as above, but referenced from the right end.</a:t>
          </a:r>
        </a:p>
        <a:p>
          <a:pPr algn="l" rtl="0">
            <a:defRPr sz="1000"/>
          </a:pPr>
          <a:endParaRPr lang="en-US" sz="1100" b="0" i="0" u="none" strike="noStrike" baseline="0">
            <a:solidFill>
              <a:srgbClr val="000000"/>
            </a:solidFill>
            <a:latin typeface="Arial"/>
            <a:cs typeface="Arial"/>
          </a:endParaRPr>
        </a:p>
        <a:p>
          <a:pPr algn="l" rtl="0">
            <a:defRPr sz="1000"/>
          </a:pPr>
          <a:endParaRPr lang="en-US" sz="1100" b="0" i="0" u="none" strike="noStrike" baseline="0">
            <a:solidFill>
              <a:srgbClr val="000000"/>
            </a:solidFill>
            <a:latin typeface="Arial"/>
            <a:cs typeface="Arial"/>
          </a:endParaRPr>
        </a:p>
        <a:p>
          <a:pPr algn="l" rtl="0">
            <a:defRPr sz="1000"/>
          </a:pPr>
          <a:r>
            <a:rPr lang="en-US" sz="1100" b="1" i="0" u="none" strike="noStrike" baseline="0">
              <a:solidFill>
                <a:srgbClr val="000000"/>
              </a:solidFill>
              <a:latin typeface="Arial"/>
              <a:cs typeface="Arial"/>
            </a:rPr>
            <a:t>* To use PTP references you must fill out the PTP info and keep it updated.  The AutoCalc BOM will keep the PTP info updated automatically.</a:t>
          </a:r>
        </a:p>
        <a:p>
          <a:pPr algn="l" rtl="0">
            <a:defRPr sz="1000"/>
          </a:pPr>
          <a:endParaRPr lang="en-US" sz="1100" b="1" i="0" u="none" strike="noStrike" baseline="0">
            <a:solidFill>
              <a:srgbClr val="000000"/>
            </a:solidFill>
            <a:latin typeface="Arial"/>
            <a:cs typeface="Arial"/>
          </a:endParaRPr>
        </a:p>
        <a:p>
          <a:pPr algn="l" rtl="0">
            <a:defRPr sz="1000"/>
          </a:pPr>
          <a:r>
            <a:rPr lang="en-US" sz="1100" b="1" i="0" u="none" strike="noStrike" baseline="0">
              <a:solidFill>
                <a:srgbClr val="FF0000"/>
              </a:solidFill>
              <a:latin typeface="Arial"/>
              <a:cs typeface="Arial"/>
            </a:rPr>
            <a:t>Load Cases:</a:t>
          </a:r>
          <a:endParaRPr lang="en-US" sz="1100" b="0" i="0" u="none" strike="noStrike" baseline="0">
            <a:solidFill>
              <a:srgbClr val="000000"/>
            </a:solidFill>
            <a:latin typeface="Arial"/>
            <a:cs typeface="Arial"/>
          </a:endParaRPr>
        </a:p>
        <a:p>
          <a:pPr algn="l" rtl="0">
            <a:defRPr sz="1000"/>
          </a:pPr>
          <a:r>
            <a:rPr lang="en-US" sz="1100" b="0" i="0" u="none" strike="noStrike" baseline="0">
              <a:solidFill>
                <a:srgbClr val="000000"/>
              </a:solidFill>
              <a:latin typeface="Arial"/>
              <a:cs typeface="Arial"/>
            </a:rPr>
            <a:t>A blank LC cell is always "Load Case #1".  Load Cases 2-9 must be defined.  Make sure you include all required loads in each load case.  For example, make sure uniform LL and DL's that apply to all load cases are included in each load case.  You will have to enter some loads several times, once for each LC.</a:t>
          </a:r>
        </a:p>
        <a:p>
          <a:pPr algn="l" rtl="0">
            <a:defRPr sz="1000"/>
          </a:pPr>
          <a:r>
            <a:rPr lang="en-US" sz="1100" b="1" i="0" u="none" strike="noStrike" baseline="0">
              <a:solidFill>
                <a:srgbClr val="FF0000"/>
              </a:solidFill>
              <a:latin typeface="Arial"/>
              <a:cs typeface="Arial"/>
            </a:rPr>
            <a:t>***Note: You no longer need the "LC" prefix for the Load Case numbers.</a:t>
          </a:r>
          <a:endParaRPr lang="en-US" b="1">
            <a:solidFill>
              <a:srgbClr val="FF0000"/>
            </a:solidFill>
          </a:endParaRPr>
        </a:p>
      </xdr:txBody>
    </xdr:sp>
    <xdr:clientData fPrintsWithSheet="0"/>
  </xdr:twoCellAnchor>
  <xdr:twoCellAnchor editAs="absolute">
    <xdr:from>
      <xdr:col>1</xdr:col>
      <xdr:colOff>142875</xdr:colOff>
      <xdr:row>0</xdr:row>
      <xdr:rowOff>0</xdr:rowOff>
    </xdr:from>
    <xdr:to>
      <xdr:col>7</xdr:col>
      <xdr:colOff>200025</xdr:colOff>
      <xdr:row>4</xdr:row>
      <xdr:rowOff>9525</xdr:rowOff>
    </xdr:to>
    <xdr:pic>
      <xdr:nvPicPr>
        <xdr:cNvPr id="1001502" name="Picture 30" descr="newmill_black_logo">
          <a:extLst>
            <a:ext uri="{FF2B5EF4-FFF2-40B4-BE49-F238E27FC236}">
              <a16:creationId xmlns:a16="http://schemas.microsoft.com/office/drawing/2014/main" id="{00000000-0008-0000-0300-00001E480F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57225" y="0"/>
          <a:ext cx="2162175" cy="676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19</xdr:col>
      <xdr:colOff>383381</xdr:colOff>
      <xdr:row>1</xdr:row>
      <xdr:rowOff>97631</xdr:rowOff>
    </xdr:from>
    <xdr:to>
      <xdr:col>31</xdr:col>
      <xdr:colOff>311943</xdr:colOff>
      <xdr:row>12</xdr:row>
      <xdr:rowOff>69057</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9575006" y="278606"/>
          <a:ext cx="5300662" cy="15144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latin typeface="Arial" panose="020B0604020202020204" pitchFamily="34" charset="0"/>
              <a:cs typeface="Arial" panose="020B0604020202020204" pitchFamily="34" charset="0"/>
            </a:rPr>
            <a:t>Add "area load" for PSF uniform</a:t>
          </a:r>
          <a:r>
            <a:rPr lang="en-US" sz="1200" baseline="0">
              <a:latin typeface="Arial" panose="020B0604020202020204" pitchFamily="34" charset="0"/>
              <a:cs typeface="Arial" panose="020B0604020202020204" pitchFamily="34" charset="0"/>
            </a:rPr>
            <a:t> l</a:t>
          </a:r>
          <a:r>
            <a:rPr lang="en-US" sz="1200">
              <a:latin typeface="Arial" panose="020B0604020202020204" pitchFamily="34" charset="0"/>
              <a:cs typeface="Arial" panose="020B0604020202020204" pitchFamily="34" charset="0"/>
            </a:rPr>
            <a:t>oad input - make "Load1" distance be the trib </a:t>
          </a:r>
          <a:r>
            <a:rPr lang="en-US" sz="1200" baseline="0">
              <a:latin typeface="Arial" panose="020B0604020202020204" pitchFamily="34" charset="0"/>
              <a:cs typeface="Arial" panose="020B0604020202020204" pitchFamily="34" charset="0"/>
            </a:rPr>
            <a:t> area.</a:t>
          </a:r>
        </a:p>
        <a:p>
          <a:r>
            <a:rPr lang="en-US" sz="1200" baseline="0">
              <a:latin typeface="Arial" panose="020B0604020202020204" pitchFamily="34" charset="0"/>
              <a:cs typeface="Arial" panose="020B0604020202020204" pitchFamily="34" charset="0"/>
            </a:rPr>
            <a:t> -&gt; Move"position" and "ref" lists to the right to allow for new (and future) load types.</a:t>
          </a:r>
        </a:p>
        <a:p>
          <a:endParaRPr lang="en-US" sz="1200" baseline="0">
            <a:latin typeface="Arial" panose="020B0604020202020204" pitchFamily="34" charset="0"/>
            <a:cs typeface="Arial" panose="020B0604020202020204" pitchFamily="34" charset="0"/>
          </a:endParaRPr>
        </a:p>
        <a:p>
          <a:r>
            <a:rPr lang="en-US" sz="1200" baseline="0">
              <a:latin typeface="Arial" panose="020B0604020202020204" pitchFamily="34" charset="0"/>
              <a:cs typeface="Arial" panose="020B0604020202020204" pitchFamily="34" charset="0"/>
            </a:rPr>
            <a:t>JDS allows invalid info /combinations to be input  - add </a:t>
          </a:r>
          <a:r>
            <a:rPr lang="en-US" sz="1200" b="1" baseline="0">
              <a:solidFill>
                <a:srgbClr val="FF0000"/>
              </a:solidFill>
              <a:latin typeface="Arial" panose="020B0604020202020204" pitchFamily="34" charset="0"/>
              <a:cs typeface="Arial" panose="020B0604020202020204" pitchFamily="34" charset="0"/>
            </a:rPr>
            <a:t>validation</a:t>
          </a:r>
          <a:r>
            <a:rPr lang="en-US" sz="1200" baseline="0">
              <a:latin typeface="Arial" panose="020B0604020202020204" pitchFamily="34" charset="0"/>
              <a:cs typeface="Arial" panose="020B0604020202020204" pitchFamily="34" charset="0"/>
            </a:rPr>
            <a:t> for incompattible combinations.....</a:t>
          </a:r>
          <a:endParaRPr lang="en-US" sz="1200">
            <a:latin typeface="Arial" panose="020B0604020202020204" pitchFamily="34" charset="0"/>
            <a:cs typeface="Arial" panose="020B0604020202020204" pitchFamily="34" charset="0"/>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4</xdr:col>
      <xdr:colOff>0</xdr:colOff>
      <xdr:row>12</xdr:row>
      <xdr:rowOff>0</xdr:rowOff>
    </xdr:from>
    <xdr:to>
      <xdr:col>4</xdr:col>
      <xdr:colOff>0</xdr:colOff>
      <xdr:row>12</xdr:row>
      <xdr:rowOff>0</xdr:rowOff>
    </xdr:to>
    <xdr:sp macro="" textlink="">
      <xdr:nvSpPr>
        <xdr:cNvPr id="905219" name="Line 3">
          <a:extLst>
            <a:ext uri="{FF2B5EF4-FFF2-40B4-BE49-F238E27FC236}">
              <a16:creationId xmlns:a16="http://schemas.microsoft.com/office/drawing/2014/main" id="{00000000-0008-0000-0400-000003D00D00}"/>
            </a:ext>
          </a:extLst>
        </xdr:cNvPr>
        <xdr:cNvSpPr>
          <a:spLocks noChangeShapeType="1"/>
        </xdr:cNvSpPr>
      </xdr:nvSpPr>
      <xdr:spPr bwMode="auto">
        <a:xfrm>
          <a:off x="3619500" y="1752600"/>
          <a:ext cx="0" cy="0"/>
        </a:xfrm>
        <a:prstGeom prst="line">
          <a:avLst/>
        </a:prstGeom>
        <a:noFill/>
        <a:ln w="222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0</xdr:colOff>
      <xdr:row>12</xdr:row>
      <xdr:rowOff>0</xdr:rowOff>
    </xdr:from>
    <xdr:to>
      <xdr:col>4</xdr:col>
      <xdr:colOff>0</xdr:colOff>
      <xdr:row>12</xdr:row>
      <xdr:rowOff>0</xdr:rowOff>
    </xdr:to>
    <xdr:sp macro="" textlink="">
      <xdr:nvSpPr>
        <xdr:cNvPr id="905222" name="Line 6">
          <a:extLst>
            <a:ext uri="{FF2B5EF4-FFF2-40B4-BE49-F238E27FC236}">
              <a16:creationId xmlns:a16="http://schemas.microsoft.com/office/drawing/2014/main" id="{00000000-0008-0000-0400-000006D00D00}"/>
            </a:ext>
          </a:extLst>
        </xdr:cNvPr>
        <xdr:cNvSpPr>
          <a:spLocks noChangeShapeType="1"/>
        </xdr:cNvSpPr>
      </xdr:nvSpPr>
      <xdr:spPr bwMode="auto">
        <a:xfrm>
          <a:off x="3619500" y="1752600"/>
          <a:ext cx="0" cy="0"/>
        </a:xfrm>
        <a:prstGeom prst="line">
          <a:avLst/>
        </a:prstGeom>
        <a:noFill/>
        <a:ln w="222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0</xdr:colOff>
      <xdr:row>12</xdr:row>
      <xdr:rowOff>0</xdr:rowOff>
    </xdr:from>
    <xdr:to>
      <xdr:col>4</xdr:col>
      <xdr:colOff>0</xdr:colOff>
      <xdr:row>12</xdr:row>
      <xdr:rowOff>0</xdr:rowOff>
    </xdr:to>
    <xdr:sp macro="" textlink="">
      <xdr:nvSpPr>
        <xdr:cNvPr id="905223" name="Line 7">
          <a:extLst>
            <a:ext uri="{FF2B5EF4-FFF2-40B4-BE49-F238E27FC236}">
              <a16:creationId xmlns:a16="http://schemas.microsoft.com/office/drawing/2014/main" id="{00000000-0008-0000-0400-000007D00D00}"/>
            </a:ext>
          </a:extLst>
        </xdr:cNvPr>
        <xdr:cNvSpPr>
          <a:spLocks noChangeShapeType="1"/>
        </xdr:cNvSpPr>
      </xdr:nvSpPr>
      <xdr:spPr bwMode="auto">
        <a:xfrm>
          <a:off x="3619500" y="1752600"/>
          <a:ext cx="0" cy="0"/>
        </a:xfrm>
        <a:prstGeom prst="line">
          <a:avLst/>
        </a:prstGeom>
        <a:noFill/>
        <a:ln w="222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editAs="absolute">
    <xdr:from>
      <xdr:col>0</xdr:col>
      <xdr:colOff>523875</xdr:colOff>
      <xdr:row>0</xdr:row>
      <xdr:rowOff>0</xdr:rowOff>
    </xdr:from>
    <xdr:to>
      <xdr:col>1</xdr:col>
      <xdr:colOff>1971675</xdr:colOff>
      <xdr:row>4</xdr:row>
      <xdr:rowOff>0</xdr:rowOff>
    </xdr:to>
    <xdr:pic>
      <xdr:nvPicPr>
        <xdr:cNvPr id="905224" name="Picture 8" descr="newmill_black_logo">
          <a:extLst>
            <a:ext uri="{FF2B5EF4-FFF2-40B4-BE49-F238E27FC236}">
              <a16:creationId xmlns:a16="http://schemas.microsoft.com/office/drawing/2014/main" id="{00000000-0008-0000-0400-000008D00D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23875" y="0"/>
          <a:ext cx="2162175" cy="676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76200</xdr:colOff>
      <xdr:row>0</xdr:row>
      <xdr:rowOff>38100</xdr:rowOff>
    </xdr:from>
    <xdr:to>
      <xdr:col>6</xdr:col>
      <xdr:colOff>76200</xdr:colOff>
      <xdr:row>5</xdr:row>
      <xdr:rowOff>0</xdr:rowOff>
    </xdr:to>
    <xdr:sp macro="" textlink="">
      <xdr:nvSpPr>
        <xdr:cNvPr id="905225" name="Line 9">
          <a:extLst>
            <a:ext uri="{FF2B5EF4-FFF2-40B4-BE49-F238E27FC236}">
              <a16:creationId xmlns:a16="http://schemas.microsoft.com/office/drawing/2014/main" id="{00000000-0008-0000-0400-000009D00D00}"/>
            </a:ext>
          </a:extLst>
        </xdr:cNvPr>
        <xdr:cNvSpPr>
          <a:spLocks noChangeShapeType="1"/>
        </xdr:cNvSpPr>
      </xdr:nvSpPr>
      <xdr:spPr bwMode="auto">
        <a:xfrm>
          <a:off x="4552950" y="38100"/>
          <a:ext cx="0" cy="8001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0</xdr:colOff>
      <xdr:row>12</xdr:row>
      <xdr:rowOff>0</xdr:rowOff>
    </xdr:from>
    <xdr:to>
      <xdr:col>4</xdr:col>
      <xdr:colOff>0</xdr:colOff>
      <xdr:row>12</xdr:row>
      <xdr:rowOff>0</xdr:rowOff>
    </xdr:to>
    <xdr:sp macro="" textlink="">
      <xdr:nvSpPr>
        <xdr:cNvPr id="1820675" name="Line 3">
          <a:extLst>
            <a:ext uri="{FF2B5EF4-FFF2-40B4-BE49-F238E27FC236}">
              <a16:creationId xmlns:a16="http://schemas.microsoft.com/office/drawing/2014/main" id="{00000000-0008-0000-0500-000003C81B00}"/>
            </a:ext>
          </a:extLst>
        </xdr:cNvPr>
        <xdr:cNvSpPr>
          <a:spLocks noChangeShapeType="1"/>
        </xdr:cNvSpPr>
      </xdr:nvSpPr>
      <xdr:spPr bwMode="auto">
        <a:xfrm>
          <a:off x="1724025" y="1752600"/>
          <a:ext cx="0" cy="0"/>
        </a:xfrm>
        <a:prstGeom prst="line">
          <a:avLst/>
        </a:prstGeom>
        <a:noFill/>
        <a:ln w="222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0</xdr:colOff>
      <xdr:row>12</xdr:row>
      <xdr:rowOff>0</xdr:rowOff>
    </xdr:from>
    <xdr:to>
      <xdr:col>4</xdr:col>
      <xdr:colOff>0</xdr:colOff>
      <xdr:row>12</xdr:row>
      <xdr:rowOff>0</xdr:rowOff>
    </xdr:to>
    <xdr:sp macro="" textlink="">
      <xdr:nvSpPr>
        <xdr:cNvPr id="1820678" name="Line 6">
          <a:extLst>
            <a:ext uri="{FF2B5EF4-FFF2-40B4-BE49-F238E27FC236}">
              <a16:creationId xmlns:a16="http://schemas.microsoft.com/office/drawing/2014/main" id="{00000000-0008-0000-0500-000006C81B00}"/>
            </a:ext>
          </a:extLst>
        </xdr:cNvPr>
        <xdr:cNvSpPr>
          <a:spLocks noChangeShapeType="1"/>
        </xdr:cNvSpPr>
      </xdr:nvSpPr>
      <xdr:spPr bwMode="auto">
        <a:xfrm>
          <a:off x="1724025" y="1752600"/>
          <a:ext cx="0" cy="0"/>
        </a:xfrm>
        <a:prstGeom prst="line">
          <a:avLst/>
        </a:prstGeom>
        <a:noFill/>
        <a:ln w="222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0</xdr:colOff>
      <xdr:row>12</xdr:row>
      <xdr:rowOff>0</xdr:rowOff>
    </xdr:from>
    <xdr:to>
      <xdr:col>4</xdr:col>
      <xdr:colOff>0</xdr:colOff>
      <xdr:row>12</xdr:row>
      <xdr:rowOff>0</xdr:rowOff>
    </xdr:to>
    <xdr:sp macro="" textlink="">
      <xdr:nvSpPr>
        <xdr:cNvPr id="1820679" name="Line 7">
          <a:extLst>
            <a:ext uri="{FF2B5EF4-FFF2-40B4-BE49-F238E27FC236}">
              <a16:creationId xmlns:a16="http://schemas.microsoft.com/office/drawing/2014/main" id="{00000000-0008-0000-0500-000007C81B00}"/>
            </a:ext>
          </a:extLst>
        </xdr:cNvPr>
        <xdr:cNvSpPr>
          <a:spLocks noChangeShapeType="1"/>
        </xdr:cNvSpPr>
      </xdr:nvSpPr>
      <xdr:spPr bwMode="auto">
        <a:xfrm>
          <a:off x="1724025" y="1752600"/>
          <a:ext cx="0" cy="0"/>
        </a:xfrm>
        <a:prstGeom prst="line">
          <a:avLst/>
        </a:prstGeom>
        <a:noFill/>
        <a:ln w="222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10</xdr:col>
      <xdr:colOff>76200</xdr:colOff>
      <xdr:row>0</xdr:row>
      <xdr:rowOff>38100</xdr:rowOff>
    </xdr:from>
    <xdr:to>
      <xdr:col>10</xdr:col>
      <xdr:colOff>76200</xdr:colOff>
      <xdr:row>5</xdr:row>
      <xdr:rowOff>0</xdr:rowOff>
    </xdr:to>
    <xdr:sp macro="" textlink="">
      <xdr:nvSpPr>
        <xdr:cNvPr id="1820680" name="Line 8">
          <a:extLst>
            <a:ext uri="{FF2B5EF4-FFF2-40B4-BE49-F238E27FC236}">
              <a16:creationId xmlns:a16="http://schemas.microsoft.com/office/drawing/2014/main" id="{00000000-0008-0000-0500-000008C81B00}"/>
            </a:ext>
          </a:extLst>
        </xdr:cNvPr>
        <xdr:cNvSpPr>
          <a:spLocks noChangeShapeType="1"/>
        </xdr:cNvSpPr>
      </xdr:nvSpPr>
      <xdr:spPr bwMode="auto">
        <a:xfrm>
          <a:off x="4486275" y="38100"/>
          <a:ext cx="0" cy="7905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editAs="absolute">
    <xdr:from>
      <xdr:col>0</xdr:col>
      <xdr:colOff>657225</xdr:colOff>
      <xdr:row>0</xdr:row>
      <xdr:rowOff>0</xdr:rowOff>
    </xdr:from>
    <xdr:to>
      <xdr:col>6</xdr:col>
      <xdr:colOff>95250</xdr:colOff>
      <xdr:row>3</xdr:row>
      <xdr:rowOff>142875</xdr:rowOff>
    </xdr:to>
    <xdr:pic>
      <xdr:nvPicPr>
        <xdr:cNvPr id="1820688" name="Picture 16" descr="newmill_black_logo">
          <a:extLst>
            <a:ext uri="{FF2B5EF4-FFF2-40B4-BE49-F238E27FC236}">
              <a16:creationId xmlns:a16="http://schemas.microsoft.com/office/drawing/2014/main" id="{00000000-0008-0000-0500-000010C81B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57225" y="0"/>
          <a:ext cx="2057400" cy="647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absolute">
    <xdr:from>
      <xdr:col>40</xdr:col>
      <xdr:colOff>85725</xdr:colOff>
      <xdr:row>2</xdr:row>
      <xdr:rowOff>9525</xdr:rowOff>
    </xdr:from>
    <xdr:to>
      <xdr:col>47</xdr:col>
      <xdr:colOff>130175</xdr:colOff>
      <xdr:row>19</xdr:row>
      <xdr:rowOff>114300</xdr:rowOff>
    </xdr:to>
    <xdr:sp macro="" textlink="">
      <xdr:nvSpPr>
        <xdr:cNvPr id="1820695" name="Text Box 23">
          <a:extLst>
            <a:ext uri="{FF2B5EF4-FFF2-40B4-BE49-F238E27FC236}">
              <a16:creationId xmlns:a16="http://schemas.microsoft.com/office/drawing/2014/main" id="{00000000-0008-0000-0500-000017C81B00}"/>
            </a:ext>
          </a:extLst>
        </xdr:cNvPr>
        <xdr:cNvSpPr txBox="1">
          <a:spLocks noChangeArrowheads="1"/>
        </xdr:cNvSpPr>
      </xdr:nvSpPr>
      <xdr:spPr bwMode="auto">
        <a:xfrm>
          <a:off x="8601075" y="352425"/>
          <a:ext cx="4311650" cy="29146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36576" tIns="22860" rIns="0" bIns="0" anchor="t" upright="1"/>
        <a:lstStyle/>
        <a:p>
          <a:pPr algn="l" rtl="0">
            <a:defRPr sz="1000"/>
          </a:pPr>
          <a:r>
            <a:rPr lang="en-US" sz="1200" b="0" i="0" u="none" strike="noStrike" baseline="0">
              <a:solidFill>
                <a:srgbClr val="000000"/>
              </a:solidFill>
              <a:latin typeface="Arial"/>
              <a:cs typeface="Arial"/>
            </a:rPr>
            <a:t>Color Tags are validated in 3 drop-down lists (columns B, C &amp; D).  Single tags must be indicated in column B, double tags in B&amp;C and triple tags in B-D.</a:t>
          </a:r>
        </a:p>
        <a:p>
          <a:pPr algn="l" rtl="0">
            <a:defRPr sz="1000"/>
          </a:pPr>
          <a:endParaRPr lang="en-US" sz="1200" b="0" i="0" u="none" strike="noStrike" baseline="0">
            <a:solidFill>
              <a:srgbClr val="000000"/>
            </a:solidFill>
            <a:latin typeface="Arial"/>
            <a:cs typeface="Arial"/>
          </a:endParaRPr>
        </a:p>
        <a:p>
          <a:pPr algn="l" rtl="0">
            <a:defRPr sz="1000"/>
          </a:pPr>
          <a:r>
            <a:rPr lang="en-US" sz="1200" b="0" i="0" u="none" strike="noStrike" baseline="0">
              <a:solidFill>
                <a:srgbClr val="000000"/>
              </a:solidFill>
              <a:latin typeface="Arial"/>
              <a:cs typeface="Arial"/>
            </a:rPr>
            <a:t>When you enter a color in B, that color is automatically removed from the list in C (you can't specify white/white).  Colors noted in B &amp; C are removed from the list in D.</a:t>
          </a:r>
        </a:p>
        <a:p>
          <a:pPr algn="l" rtl="0">
            <a:defRPr sz="1000"/>
          </a:pPr>
          <a:endParaRPr lang="en-US" sz="1200" b="0" i="0" u="none" strike="noStrike" baseline="0">
            <a:solidFill>
              <a:srgbClr val="000000"/>
            </a:solidFill>
            <a:latin typeface="Arial"/>
            <a:cs typeface="Arial"/>
          </a:endParaRPr>
        </a:p>
        <a:p>
          <a:pPr algn="l" rtl="0">
            <a:defRPr sz="1000"/>
          </a:pPr>
          <a:r>
            <a:rPr lang="en-US" sz="1200" b="0" i="0" u="none" strike="noStrike" baseline="0">
              <a:solidFill>
                <a:srgbClr val="000000"/>
              </a:solidFill>
              <a:latin typeface="Arial"/>
              <a:cs typeface="Arial"/>
            </a:rPr>
            <a:t>You cannot enter a color that is not in the list.</a:t>
          </a:r>
        </a:p>
        <a:p>
          <a:pPr algn="l" rtl="0">
            <a:defRPr sz="1000"/>
          </a:pPr>
          <a:endParaRPr lang="en-US" sz="1200" b="0" i="0" u="none" strike="noStrike" baseline="0">
            <a:solidFill>
              <a:srgbClr val="000000"/>
            </a:solidFill>
            <a:latin typeface="Arial"/>
            <a:cs typeface="Arial"/>
          </a:endParaRPr>
        </a:p>
        <a:p>
          <a:pPr algn="l" rtl="0">
            <a:defRPr sz="1000"/>
          </a:pPr>
          <a:r>
            <a:rPr lang="en-US" sz="1200" b="0" i="0" u="none" strike="noStrike" baseline="0">
              <a:solidFill>
                <a:srgbClr val="000000"/>
              </a:solidFill>
              <a:latin typeface="Arial"/>
              <a:cs typeface="Arial"/>
            </a:rPr>
            <a:t>"Apply Color Tag" button will add color tags assuming:</a:t>
          </a:r>
        </a:p>
        <a:p>
          <a:pPr algn="l" rtl="0">
            <a:defRPr sz="1000"/>
          </a:pPr>
          <a:r>
            <a:rPr lang="en-US" sz="1200" b="0" i="0" u="none" strike="noStrike" baseline="0">
              <a:solidFill>
                <a:srgbClr val="000000"/>
              </a:solidFill>
              <a:latin typeface="Arial"/>
              <a:cs typeface="Arial"/>
            </a:rPr>
            <a:t>Row 13 = White (Seq 1)</a:t>
          </a:r>
        </a:p>
        <a:p>
          <a:pPr algn="l" rtl="0">
            <a:defRPr sz="1000"/>
          </a:pPr>
          <a:r>
            <a:rPr lang="en-US" sz="1200" b="0" i="0" u="none" strike="noStrike" baseline="0">
              <a:solidFill>
                <a:srgbClr val="000000"/>
              </a:solidFill>
              <a:latin typeface="Arial"/>
              <a:cs typeface="Arial"/>
            </a:rPr>
            <a:t>Row 14 = Brown (Seq 2)</a:t>
          </a:r>
        </a:p>
        <a:p>
          <a:pPr algn="l" rtl="0">
            <a:defRPr sz="1000"/>
          </a:pPr>
          <a:r>
            <a:rPr lang="en-US" sz="1200" b="0" i="0" u="none" strike="noStrike" baseline="0">
              <a:solidFill>
                <a:srgbClr val="000000"/>
              </a:solidFill>
              <a:latin typeface="Arial"/>
              <a:cs typeface="Arial"/>
            </a:rPr>
            <a:t>etc...</a:t>
          </a:r>
        </a:p>
        <a:p>
          <a:pPr algn="l" rtl="0">
            <a:defRPr sz="1000"/>
          </a:pPr>
          <a:r>
            <a:rPr lang="en-US" sz="1200" b="0" i="0" u="none" strike="noStrike" baseline="0">
              <a:solidFill>
                <a:srgbClr val="000000"/>
              </a:solidFill>
              <a:latin typeface="Arial"/>
              <a:cs typeface="Arial"/>
            </a:rPr>
            <a:t>Color Tags already applied to a row will NOT be over-written.</a:t>
          </a:r>
        </a:p>
        <a:p>
          <a:pPr algn="l" rtl="0">
            <a:defRPr sz="1000"/>
          </a:pPr>
          <a:endParaRPr lang="en-US"/>
        </a:p>
      </xdr:txBody>
    </xdr:sp>
    <xdr:clientData fPrintsWithSheet="0"/>
  </xdr:twoCellAnchor>
  <mc:AlternateContent xmlns:mc="http://schemas.openxmlformats.org/markup-compatibility/2006">
    <mc:Choice xmlns:a14="http://schemas.microsoft.com/office/drawing/2010/main" Requires="a14">
      <xdr:twoCellAnchor editAs="oneCell">
        <xdr:from>
          <xdr:col>14</xdr:col>
          <xdr:colOff>171450</xdr:colOff>
          <xdr:row>12</xdr:row>
          <xdr:rowOff>28575</xdr:rowOff>
        </xdr:from>
        <xdr:to>
          <xdr:col>39</xdr:col>
          <xdr:colOff>180975</xdr:colOff>
          <xdr:row>13</xdr:row>
          <xdr:rowOff>180975</xdr:rowOff>
        </xdr:to>
        <xdr:sp macro="" textlink="">
          <xdr:nvSpPr>
            <xdr:cNvPr id="1820687" name="btnColorTag" hidden="1">
              <a:extLst>
                <a:ext uri="{63B3BB69-23CF-44E3-9099-C40C66FF867C}">
                  <a14:compatExt spid="_x0000_s1820687"/>
                </a:ext>
                <a:ext uri="{FF2B5EF4-FFF2-40B4-BE49-F238E27FC236}">
                  <a16:creationId xmlns:a16="http://schemas.microsoft.com/office/drawing/2014/main" id="{00000000-0008-0000-0500-00000FC81B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7.xml><?xml version="1.0" encoding="utf-8"?>
<xdr:wsDr xmlns:xdr="http://schemas.openxmlformats.org/drawingml/2006/spreadsheetDrawing" xmlns:a="http://schemas.openxmlformats.org/drawingml/2006/main">
  <xdr:twoCellAnchor>
    <xdr:from>
      <xdr:col>6</xdr:col>
      <xdr:colOff>0</xdr:colOff>
      <xdr:row>12</xdr:row>
      <xdr:rowOff>0</xdr:rowOff>
    </xdr:from>
    <xdr:to>
      <xdr:col>6</xdr:col>
      <xdr:colOff>0</xdr:colOff>
      <xdr:row>12</xdr:row>
      <xdr:rowOff>0</xdr:rowOff>
    </xdr:to>
    <xdr:sp macro="" textlink="">
      <xdr:nvSpPr>
        <xdr:cNvPr id="1920002" name="Line 2">
          <a:extLst>
            <a:ext uri="{FF2B5EF4-FFF2-40B4-BE49-F238E27FC236}">
              <a16:creationId xmlns:a16="http://schemas.microsoft.com/office/drawing/2014/main" id="{00000000-0008-0000-0600-0000024C1D00}"/>
            </a:ext>
          </a:extLst>
        </xdr:cNvPr>
        <xdr:cNvSpPr>
          <a:spLocks noChangeShapeType="1"/>
        </xdr:cNvSpPr>
      </xdr:nvSpPr>
      <xdr:spPr bwMode="auto">
        <a:xfrm>
          <a:off x="2724150" y="1752600"/>
          <a:ext cx="0" cy="0"/>
        </a:xfrm>
        <a:prstGeom prst="line">
          <a:avLst/>
        </a:prstGeom>
        <a:noFill/>
        <a:ln w="222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0</xdr:colOff>
      <xdr:row>12</xdr:row>
      <xdr:rowOff>0</xdr:rowOff>
    </xdr:from>
    <xdr:to>
      <xdr:col>6</xdr:col>
      <xdr:colOff>0</xdr:colOff>
      <xdr:row>12</xdr:row>
      <xdr:rowOff>0</xdr:rowOff>
    </xdr:to>
    <xdr:sp macro="" textlink="">
      <xdr:nvSpPr>
        <xdr:cNvPr id="1920004" name="Line 4">
          <a:extLst>
            <a:ext uri="{FF2B5EF4-FFF2-40B4-BE49-F238E27FC236}">
              <a16:creationId xmlns:a16="http://schemas.microsoft.com/office/drawing/2014/main" id="{00000000-0008-0000-0600-0000044C1D00}"/>
            </a:ext>
          </a:extLst>
        </xdr:cNvPr>
        <xdr:cNvSpPr>
          <a:spLocks noChangeShapeType="1"/>
        </xdr:cNvSpPr>
      </xdr:nvSpPr>
      <xdr:spPr bwMode="auto">
        <a:xfrm>
          <a:off x="2724150" y="1752600"/>
          <a:ext cx="0" cy="0"/>
        </a:xfrm>
        <a:prstGeom prst="line">
          <a:avLst/>
        </a:prstGeom>
        <a:noFill/>
        <a:ln w="222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0</xdr:colOff>
      <xdr:row>12</xdr:row>
      <xdr:rowOff>0</xdr:rowOff>
    </xdr:from>
    <xdr:to>
      <xdr:col>6</xdr:col>
      <xdr:colOff>0</xdr:colOff>
      <xdr:row>12</xdr:row>
      <xdr:rowOff>0</xdr:rowOff>
    </xdr:to>
    <xdr:sp macro="" textlink="">
      <xdr:nvSpPr>
        <xdr:cNvPr id="1920005" name="Line 5">
          <a:extLst>
            <a:ext uri="{FF2B5EF4-FFF2-40B4-BE49-F238E27FC236}">
              <a16:creationId xmlns:a16="http://schemas.microsoft.com/office/drawing/2014/main" id="{00000000-0008-0000-0600-0000054C1D00}"/>
            </a:ext>
          </a:extLst>
        </xdr:cNvPr>
        <xdr:cNvSpPr>
          <a:spLocks noChangeShapeType="1"/>
        </xdr:cNvSpPr>
      </xdr:nvSpPr>
      <xdr:spPr bwMode="auto">
        <a:xfrm>
          <a:off x="2724150" y="1752600"/>
          <a:ext cx="0" cy="0"/>
        </a:xfrm>
        <a:prstGeom prst="line">
          <a:avLst/>
        </a:prstGeom>
        <a:noFill/>
        <a:ln w="222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0</xdr:colOff>
      <xdr:row>12</xdr:row>
      <xdr:rowOff>0</xdr:rowOff>
    </xdr:from>
    <xdr:to>
      <xdr:col>6</xdr:col>
      <xdr:colOff>0</xdr:colOff>
      <xdr:row>12</xdr:row>
      <xdr:rowOff>0</xdr:rowOff>
    </xdr:to>
    <xdr:sp macro="" textlink="">
      <xdr:nvSpPr>
        <xdr:cNvPr id="1920006" name="Line 6">
          <a:extLst>
            <a:ext uri="{FF2B5EF4-FFF2-40B4-BE49-F238E27FC236}">
              <a16:creationId xmlns:a16="http://schemas.microsoft.com/office/drawing/2014/main" id="{00000000-0008-0000-0600-0000064C1D00}"/>
            </a:ext>
          </a:extLst>
        </xdr:cNvPr>
        <xdr:cNvSpPr>
          <a:spLocks noChangeShapeType="1"/>
        </xdr:cNvSpPr>
      </xdr:nvSpPr>
      <xdr:spPr bwMode="auto">
        <a:xfrm>
          <a:off x="2724150" y="1752600"/>
          <a:ext cx="0" cy="0"/>
        </a:xfrm>
        <a:prstGeom prst="line">
          <a:avLst/>
        </a:prstGeom>
        <a:noFill/>
        <a:ln w="222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0</xdr:colOff>
      <xdr:row>12</xdr:row>
      <xdr:rowOff>0</xdr:rowOff>
    </xdr:from>
    <xdr:to>
      <xdr:col>6</xdr:col>
      <xdr:colOff>0</xdr:colOff>
      <xdr:row>12</xdr:row>
      <xdr:rowOff>0</xdr:rowOff>
    </xdr:to>
    <xdr:sp macro="" textlink="">
      <xdr:nvSpPr>
        <xdr:cNvPr id="1920007" name="Line 7">
          <a:extLst>
            <a:ext uri="{FF2B5EF4-FFF2-40B4-BE49-F238E27FC236}">
              <a16:creationId xmlns:a16="http://schemas.microsoft.com/office/drawing/2014/main" id="{00000000-0008-0000-0600-0000074C1D00}"/>
            </a:ext>
          </a:extLst>
        </xdr:cNvPr>
        <xdr:cNvSpPr>
          <a:spLocks noChangeShapeType="1"/>
        </xdr:cNvSpPr>
      </xdr:nvSpPr>
      <xdr:spPr bwMode="auto">
        <a:xfrm>
          <a:off x="2724150" y="1752600"/>
          <a:ext cx="0" cy="0"/>
        </a:xfrm>
        <a:prstGeom prst="line">
          <a:avLst/>
        </a:prstGeom>
        <a:noFill/>
        <a:ln w="222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0</xdr:colOff>
      <xdr:row>12</xdr:row>
      <xdr:rowOff>0</xdr:rowOff>
    </xdr:from>
    <xdr:to>
      <xdr:col>6</xdr:col>
      <xdr:colOff>0</xdr:colOff>
      <xdr:row>12</xdr:row>
      <xdr:rowOff>0</xdr:rowOff>
    </xdr:to>
    <xdr:sp macro="" textlink="">
      <xdr:nvSpPr>
        <xdr:cNvPr id="1920008" name="Line 8">
          <a:extLst>
            <a:ext uri="{FF2B5EF4-FFF2-40B4-BE49-F238E27FC236}">
              <a16:creationId xmlns:a16="http://schemas.microsoft.com/office/drawing/2014/main" id="{00000000-0008-0000-0600-0000084C1D00}"/>
            </a:ext>
          </a:extLst>
        </xdr:cNvPr>
        <xdr:cNvSpPr>
          <a:spLocks noChangeShapeType="1"/>
        </xdr:cNvSpPr>
      </xdr:nvSpPr>
      <xdr:spPr bwMode="auto">
        <a:xfrm>
          <a:off x="2724150" y="1752600"/>
          <a:ext cx="0" cy="0"/>
        </a:xfrm>
        <a:prstGeom prst="line">
          <a:avLst/>
        </a:prstGeom>
        <a:noFill/>
        <a:ln w="222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10</xdr:col>
      <xdr:colOff>180975</xdr:colOff>
      <xdr:row>0</xdr:row>
      <xdr:rowOff>57150</xdr:rowOff>
    </xdr:from>
    <xdr:to>
      <xdr:col>10</xdr:col>
      <xdr:colOff>180975</xdr:colOff>
      <xdr:row>5</xdr:row>
      <xdr:rowOff>0</xdr:rowOff>
    </xdr:to>
    <xdr:sp macro="" textlink="">
      <xdr:nvSpPr>
        <xdr:cNvPr id="1920011" name="Line 11">
          <a:extLst>
            <a:ext uri="{FF2B5EF4-FFF2-40B4-BE49-F238E27FC236}">
              <a16:creationId xmlns:a16="http://schemas.microsoft.com/office/drawing/2014/main" id="{00000000-0008-0000-0600-00000B4C1D00}"/>
            </a:ext>
          </a:extLst>
        </xdr:cNvPr>
        <xdr:cNvSpPr>
          <a:spLocks noChangeShapeType="1"/>
        </xdr:cNvSpPr>
      </xdr:nvSpPr>
      <xdr:spPr bwMode="auto">
        <a:xfrm>
          <a:off x="4619625" y="57150"/>
          <a:ext cx="0" cy="7715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editAs="oneCell">
    <xdr:from>
      <xdr:col>37</xdr:col>
      <xdr:colOff>98425</xdr:colOff>
      <xdr:row>1</xdr:row>
      <xdr:rowOff>88900</xdr:rowOff>
    </xdr:from>
    <xdr:to>
      <xdr:col>47</xdr:col>
      <xdr:colOff>485775</xdr:colOff>
      <xdr:row>23</xdr:row>
      <xdr:rowOff>117475</xdr:rowOff>
    </xdr:to>
    <xdr:sp macro="" textlink="">
      <xdr:nvSpPr>
        <xdr:cNvPr id="1920012" name="Text Box 12">
          <a:extLst>
            <a:ext uri="{FF2B5EF4-FFF2-40B4-BE49-F238E27FC236}">
              <a16:creationId xmlns:a16="http://schemas.microsoft.com/office/drawing/2014/main" id="{00000000-0008-0000-0600-00000C4C1D00}"/>
            </a:ext>
          </a:extLst>
        </xdr:cNvPr>
        <xdr:cNvSpPr txBox="1">
          <a:spLocks noChangeArrowheads="1"/>
        </xdr:cNvSpPr>
      </xdr:nvSpPr>
      <xdr:spPr bwMode="auto">
        <a:xfrm>
          <a:off x="7327900" y="269875"/>
          <a:ext cx="6483350" cy="38004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en-US" sz="1200" b="1" i="0" u="none" strike="noStrike" baseline="0">
              <a:solidFill>
                <a:srgbClr val="000000"/>
              </a:solidFill>
              <a:latin typeface="Arial"/>
              <a:cs typeface="Arial"/>
            </a:rPr>
            <a:t>If Summary page is part of the </a:t>
          </a:r>
          <a:r>
            <a:rPr lang="en-US" sz="1200" b="1" i="1" u="sng" strike="noStrike" baseline="0">
              <a:solidFill>
                <a:srgbClr val="FF9900"/>
              </a:solidFill>
              <a:latin typeface="Arial"/>
              <a:cs typeface="Arial"/>
            </a:rPr>
            <a:t>Master</a:t>
          </a:r>
          <a:r>
            <a:rPr lang="en-US" sz="1200" b="1" i="0" u="none" strike="noStrike" baseline="0">
              <a:solidFill>
                <a:srgbClr val="000000"/>
              </a:solidFill>
              <a:latin typeface="Arial"/>
              <a:cs typeface="Arial"/>
            </a:rPr>
            <a:t> set:</a:t>
          </a:r>
        </a:p>
        <a:p>
          <a:pPr algn="l" rtl="0">
            <a:defRPr sz="1000"/>
          </a:pPr>
          <a:r>
            <a:rPr lang="en-US" sz="1200" b="1" i="0" u="none" strike="noStrike" baseline="0">
              <a:solidFill>
                <a:srgbClr val="000000"/>
              </a:solidFill>
              <a:latin typeface="Arial"/>
              <a:cs typeface="Arial"/>
            </a:rPr>
            <a:t> - </a:t>
          </a:r>
          <a:r>
            <a:rPr lang="en-US" sz="1200" b="1" i="0" u="none" strike="noStrike" baseline="0">
              <a:solidFill>
                <a:srgbClr val="008000"/>
              </a:solidFill>
              <a:latin typeface="Arial"/>
              <a:cs typeface="Arial"/>
            </a:rPr>
            <a:t>Green</a:t>
          </a:r>
          <a:r>
            <a:rPr lang="en-US" sz="1200" b="1" i="0" u="none" strike="noStrike" baseline="0">
              <a:solidFill>
                <a:srgbClr val="000000"/>
              </a:solidFill>
              <a:latin typeface="Arial"/>
              <a:cs typeface="Arial"/>
            </a:rPr>
            <a:t> quantities indicate </a:t>
          </a:r>
          <a:r>
            <a:rPr lang="en-US" sz="1200" b="1" i="0" u="sng" strike="noStrike" baseline="0">
              <a:solidFill>
                <a:srgbClr val="000000"/>
              </a:solidFill>
              <a:latin typeface="Arial"/>
              <a:cs typeface="Arial"/>
            </a:rPr>
            <a:t>no</a:t>
          </a:r>
          <a:r>
            <a:rPr lang="en-US" sz="1200" b="1" i="0" u="none" strike="noStrike" baseline="0">
              <a:solidFill>
                <a:srgbClr val="000000"/>
              </a:solidFill>
              <a:latin typeface="Arial"/>
              <a:cs typeface="Arial"/>
            </a:rPr>
            <a:t> joist marks in that sequence have been released.</a:t>
          </a:r>
        </a:p>
        <a:p>
          <a:pPr algn="l" rtl="0">
            <a:defRPr sz="1000"/>
          </a:pPr>
          <a:r>
            <a:rPr lang="en-US" sz="1200" b="1" i="0" u="none" strike="noStrike" baseline="0">
              <a:solidFill>
                <a:srgbClr val="000000"/>
              </a:solidFill>
              <a:latin typeface="Arial"/>
              <a:cs typeface="Arial"/>
            </a:rPr>
            <a:t> - </a:t>
          </a:r>
          <a:r>
            <a:rPr lang="en-US" sz="1200" b="1" i="0" u="none" strike="noStrike" baseline="0">
              <a:solidFill>
                <a:srgbClr val="800080"/>
              </a:solidFill>
              <a:latin typeface="Arial"/>
              <a:cs typeface="Arial"/>
            </a:rPr>
            <a:t>Purple</a:t>
          </a:r>
          <a:r>
            <a:rPr lang="en-US" sz="1200" b="1" i="0" u="none" strike="noStrike" baseline="0">
              <a:solidFill>
                <a:srgbClr val="000000"/>
              </a:solidFill>
              <a:latin typeface="Arial"/>
              <a:cs typeface="Arial"/>
            </a:rPr>
            <a:t> quantities inidicate a </a:t>
          </a:r>
          <a:r>
            <a:rPr lang="en-US" sz="1200" b="1" i="0" u="sng" strike="noStrike" baseline="0">
              <a:solidFill>
                <a:srgbClr val="000000"/>
              </a:solidFill>
              <a:latin typeface="Arial"/>
              <a:cs typeface="Arial"/>
            </a:rPr>
            <a:t>partial release</a:t>
          </a:r>
          <a:r>
            <a:rPr lang="en-US" sz="1200" b="1" i="0" u="none" strike="noStrike" baseline="0">
              <a:solidFill>
                <a:srgbClr val="000000"/>
              </a:solidFill>
              <a:latin typeface="Arial"/>
              <a:cs typeface="Arial"/>
            </a:rPr>
            <a:t> of  joists in that sequence.</a:t>
          </a:r>
        </a:p>
        <a:p>
          <a:pPr algn="l" rtl="0">
            <a:defRPr sz="1000"/>
          </a:pPr>
          <a:r>
            <a:rPr lang="en-US" sz="1200" b="1" i="0" u="none" strike="noStrike" baseline="0">
              <a:solidFill>
                <a:srgbClr val="000000"/>
              </a:solidFill>
              <a:latin typeface="Arial"/>
              <a:cs typeface="Arial"/>
            </a:rPr>
            <a:t> - </a:t>
          </a:r>
          <a:r>
            <a:rPr lang="en-US" sz="1200" b="1" i="0" u="none" strike="noStrike" baseline="0">
              <a:solidFill>
                <a:srgbClr val="969696"/>
              </a:solidFill>
              <a:latin typeface="Arial"/>
              <a:cs typeface="Arial"/>
            </a:rPr>
            <a:t>Gray</a:t>
          </a:r>
          <a:r>
            <a:rPr lang="en-US" sz="1200" b="1" i="0" u="none" strike="noStrike" baseline="0">
              <a:solidFill>
                <a:srgbClr val="000000"/>
              </a:solidFill>
              <a:latin typeface="Arial"/>
              <a:cs typeface="Arial"/>
            </a:rPr>
            <a:t> quantities indicate joist marks in that sequence have been </a:t>
          </a:r>
          <a:r>
            <a:rPr lang="en-US" sz="1200" b="1" i="0" u="sng" strike="noStrike" baseline="0">
              <a:solidFill>
                <a:srgbClr val="000000"/>
              </a:solidFill>
              <a:latin typeface="Arial"/>
              <a:cs typeface="Arial"/>
            </a:rPr>
            <a:t>completely released</a:t>
          </a:r>
          <a:r>
            <a:rPr lang="en-US" sz="1200" b="1" i="0" u="none" strike="noStrike" baseline="0">
              <a:solidFill>
                <a:srgbClr val="000000"/>
              </a:solidFill>
              <a:latin typeface="Arial"/>
              <a:cs typeface="Arial"/>
            </a:rPr>
            <a:t>.</a:t>
          </a:r>
        </a:p>
        <a:p>
          <a:pPr algn="l" rtl="0">
            <a:defRPr sz="1000"/>
          </a:pPr>
          <a:r>
            <a:rPr lang="en-US" sz="1200" b="1" i="0" u="none" strike="noStrike" baseline="0">
              <a:solidFill>
                <a:srgbClr val="000000"/>
              </a:solidFill>
              <a:latin typeface="Arial"/>
              <a:cs typeface="Arial"/>
            </a:rPr>
            <a:t> - </a:t>
          </a:r>
          <a:r>
            <a:rPr lang="en-US" sz="1200" b="1" i="0" u="none" strike="noStrike" baseline="0">
              <a:solidFill>
                <a:srgbClr val="FF0000"/>
              </a:solidFill>
              <a:latin typeface="Arial"/>
              <a:cs typeface="Arial"/>
            </a:rPr>
            <a:t>Red Background</a:t>
          </a:r>
          <a:r>
            <a:rPr lang="en-US" sz="1200" b="1" i="0" u="none" strike="noStrike" baseline="0">
              <a:solidFill>
                <a:srgbClr val="000000"/>
              </a:solidFill>
              <a:latin typeface="Arial"/>
              <a:cs typeface="Arial"/>
            </a:rPr>
            <a:t> indicates total quantity is less than quantity already released in that sequence.  In other words, the total quantity required for that mark in that sequence is less than what has already been released.</a:t>
          </a:r>
        </a:p>
        <a:p>
          <a:pPr algn="l" rtl="0">
            <a:defRPr sz="1000"/>
          </a:pPr>
          <a:endParaRPr lang="en-US" sz="1200" b="1" i="0" u="none" strike="noStrike" baseline="0">
            <a:solidFill>
              <a:srgbClr val="000000"/>
            </a:solidFill>
            <a:latin typeface="Arial"/>
            <a:cs typeface="Arial"/>
          </a:endParaRPr>
        </a:p>
        <a:p>
          <a:pPr algn="l" rtl="0">
            <a:defRPr sz="1000"/>
          </a:pPr>
          <a:r>
            <a:rPr lang="en-US" sz="1200" b="1" i="0" u="none" strike="noStrike" baseline="0">
              <a:solidFill>
                <a:srgbClr val="000000"/>
              </a:solidFill>
              <a:latin typeface="Arial"/>
              <a:cs typeface="Arial"/>
            </a:rPr>
            <a:t>If Summary page is part of a </a:t>
          </a:r>
          <a:r>
            <a:rPr lang="en-US" sz="1200" b="1" i="1" u="sng" strike="noStrike" baseline="0">
              <a:solidFill>
                <a:srgbClr val="FF9900"/>
              </a:solidFill>
              <a:latin typeface="Arial"/>
              <a:cs typeface="Arial"/>
            </a:rPr>
            <a:t>Partial Release</a:t>
          </a:r>
          <a:r>
            <a:rPr lang="en-US" sz="1200" b="1" i="0" u="none" strike="noStrike" baseline="0">
              <a:solidFill>
                <a:srgbClr val="000000"/>
              </a:solidFill>
              <a:latin typeface="Arial"/>
              <a:cs typeface="Arial"/>
            </a:rPr>
            <a:t> set:</a:t>
          </a:r>
        </a:p>
        <a:p>
          <a:pPr algn="l" rtl="0">
            <a:defRPr sz="1000"/>
          </a:pPr>
          <a:r>
            <a:rPr lang="en-US" sz="1200" b="1" i="0" u="none" strike="noStrike" baseline="0">
              <a:solidFill>
                <a:srgbClr val="000000"/>
              </a:solidFill>
              <a:latin typeface="Arial"/>
              <a:cs typeface="Arial"/>
            </a:rPr>
            <a:t> - </a:t>
          </a:r>
          <a:r>
            <a:rPr lang="en-US" sz="1200" b="1" i="0" u="none" strike="noStrike" baseline="0">
              <a:solidFill>
                <a:srgbClr val="008000"/>
              </a:solidFill>
              <a:latin typeface="Arial"/>
              <a:cs typeface="Arial"/>
            </a:rPr>
            <a:t>Green</a:t>
          </a:r>
          <a:r>
            <a:rPr lang="en-US" sz="1200" b="1" i="0" u="none" strike="noStrike" baseline="0">
              <a:solidFill>
                <a:srgbClr val="000000"/>
              </a:solidFill>
              <a:latin typeface="Arial"/>
              <a:cs typeface="Arial"/>
            </a:rPr>
            <a:t> quantities indicate quantity to release = total remaining quantity.</a:t>
          </a:r>
        </a:p>
        <a:p>
          <a:pPr algn="l" rtl="0">
            <a:defRPr sz="1000"/>
          </a:pPr>
          <a:r>
            <a:rPr lang="en-US" sz="1200" b="1" i="0" u="none" strike="noStrike" baseline="0">
              <a:solidFill>
                <a:srgbClr val="000000"/>
              </a:solidFill>
              <a:latin typeface="Arial"/>
              <a:cs typeface="Arial"/>
            </a:rPr>
            <a:t>   ***full release of the joist mark in that sequence is being prepared.</a:t>
          </a:r>
        </a:p>
        <a:p>
          <a:pPr algn="l" rtl="0">
            <a:defRPr sz="1000"/>
          </a:pPr>
          <a:r>
            <a:rPr lang="en-US" sz="1200" b="1" i="0" u="none" strike="noStrike" baseline="0">
              <a:solidFill>
                <a:srgbClr val="000000"/>
              </a:solidFill>
              <a:latin typeface="Arial"/>
              <a:cs typeface="Arial"/>
            </a:rPr>
            <a:t> - </a:t>
          </a:r>
          <a:r>
            <a:rPr lang="en-US" sz="1200" b="1" i="0" u="none" strike="noStrike" baseline="0">
              <a:solidFill>
                <a:srgbClr val="800080"/>
              </a:solidFill>
              <a:latin typeface="Arial"/>
              <a:cs typeface="Arial"/>
            </a:rPr>
            <a:t>Purple</a:t>
          </a:r>
          <a:r>
            <a:rPr lang="en-US" sz="1200" b="1" i="0" u="none" strike="noStrike" baseline="0">
              <a:solidFill>
                <a:srgbClr val="000000"/>
              </a:solidFill>
              <a:latin typeface="Arial"/>
              <a:cs typeface="Arial"/>
            </a:rPr>
            <a:t> quantities inidicate quantity to release &lt; remaining quantity.</a:t>
          </a:r>
        </a:p>
        <a:p>
          <a:pPr algn="l" rtl="0">
            <a:defRPr sz="1000"/>
          </a:pPr>
          <a:r>
            <a:rPr lang="en-US" sz="1200" b="1" i="0" u="none" strike="noStrike" baseline="0">
              <a:solidFill>
                <a:srgbClr val="000000"/>
              </a:solidFill>
              <a:latin typeface="Arial"/>
              <a:cs typeface="Arial"/>
            </a:rPr>
            <a:t>   ***partial release of the joist mark in that sequence is being prepared.</a:t>
          </a:r>
        </a:p>
        <a:p>
          <a:pPr algn="l" rtl="0">
            <a:defRPr sz="1000"/>
          </a:pPr>
          <a:r>
            <a:rPr lang="en-US" sz="1200" b="1" i="0" u="none" strike="noStrike" baseline="0">
              <a:solidFill>
                <a:srgbClr val="000000"/>
              </a:solidFill>
              <a:latin typeface="Arial"/>
              <a:cs typeface="Arial"/>
            </a:rPr>
            <a:t> - </a:t>
          </a:r>
          <a:r>
            <a:rPr lang="en-US" sz="1200" b="1" i="0" u="none" strike="noStrike" baseline="0">
              <a:solidFill>
                <a:srgbClr val="FF0000"/>
              </a:solidFill>
              <a:latin typeface="Arial"/>
              <a:cs typeface="Arial"/>
            </a:rPr>
            <a:t>Red Background</a:t>
          </a:r>
          <a:r>
            <a:rPr lang="en-US" sz="1200" b="1" i="0" u="none" strike="noStrike" baseline="0">
              <a:solidFill>
                <a:srgbClr val="000000"/>
              </a:solidFill>
              <a:latin typeface="Arial"/>
              <a:cs typeface="Arial"/>
            </a:rPr>
            <a:t> indicates quantity to release is greater than remaining quantity.</a:t>
          </a:r>
        </a:p>
        <a:p>
          <a:pPr algn="l" rtl="0">
            <a:defRPr sz="1000"/>
          </a:pPr>
          <a:r>
            <a:rPr lang="en-US" sz="1200" b="1" i="0" u="none" strike="noStrike" baseline="0">
              <a:solidFill>
                <a:srgbClr val="000000"/>
              </a:solidFill>
              <a:latin typeface="Arial"/>
              <a:cs typeface="Arial"/>
            </a:rPr>
            <a:t>   ***you will not be able to "Release for Fab" if any quantities have a </a:t>
          </a:r>
          <a:r>
            <a:rPr lang="en-US" sz="1200" b="1" i="0" u="none" strike="noStrike" baseline="0">
              <a:solidFill>
                <a:srgbClr val="FF0000"/>
              </a:solidFill>
              <a:latin typeface="Arial"/>
              <a:cs typeface="Arial"/>
            </a:rPr>
            <a:t>Red Background</a:t>
          </a:r>
          <a:r>
            <a:rPr lang="en-US" sz="1200" b="1" i="0" u="none" strike="noStrike" baseline="0">
              <a:solidFill>
                <a:srgbClr val="000000"/>
              </a:solidFill>
              <a:latin typeface="Arial"/>
              <a:cs typeface="Arial"/>
            </a:rPr>
            <a:t>!!</a:t>
          </a:r>
          <a:endParaRPr lang="en-US"/>
        </a:p>
      </xdr:txBody>
    </xdr:sp>
    <xdr:clientData/>
  </xdr:twoCellAnchor>
  <xdr:twoCellAnchor editAs="absolute">
    <xdr:from>
      <xdr:col>1</xdr:col>
      <xdr:colOff>76200</xdr:colOff>
      <xdr:row>0</xdr:row>
      <xdr:rowOff>0</xdr:rowOff>
    </xdr:from>
    <xdr:to>
      <xdr:col>5</xdr:col>
      <xdr:colOff>419100</xdr:colOff>
      <xdr:row>3</xdr:row>
      <xdr:rowOff>142875</xdr:rowOff>
    </xdr:to>
    <xdr:pic>
      <xdr:nvPicPr>
        <xdr:cNvPr id="1920014" name="Picture 14" descr="newmill_black_logo">
          <a:extLst>
            <a:ext uri="{FF2B5EF4-FFF2-40B4-BE49-F238E27FC236}">
              <a16:creationId xmlns:a16="http://schemas.microsoft.com/office/drawing/2014/main" id="{00000000-0008-0000-0600-00000E4C1D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57225" y="0"/>
          <a:ext cx="2057400" cy="647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76200</xdr:colOff>
      <xdr:row>10</xdr:row>
      <xdr:rowOff>28575</xdr:rowOff>
    </xdr:from>
    <xdr:to>
      <xdr:col>26</xdr:col>
      <xdr:colOff>247650</xdr:colOff>
      <xdr:row>23</xdr:row>
      <xdr:rowOff>28575</xdr:rowOff>
    </xdr:to>
    <xdr:pic>
      <xdr:nvPicPr>
        <xdr:cNvPr id="909341" name="Picture 29" descr="Girder BOM">
          <a:extLst>
            <a:ext uri="{FF2B5EF4-FFF2-40B4-BE49-F238E27FC236}">
              <a16:creationId xmlns:a16="http://schemas.microsoft.com/office/drawing/2014/main" id="{00000000-0008-0000-0700-00001DE00D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1613" t="32478" r="-1807" b="34035"/>
        <a:stretch>
          <a:fillRect/>
        </a:stretch>
      </xdr:blipFill>
      <xdr:spPr bwMode="auto">
        <a:xfrm>
          <a:off x="76200" y="1514475"/>
          <a:ext cx="8905875" cy="1990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absolute">
    <xdr:from>
      <xdr:col>1</xdr:col>
      <xdr:colOff>76200</xdr:colOff>
      <xdr:row>0</xdr:row>
      <xdr:rowOff>0</xdr:rowOff>
    </xdr:from>
    <xdr:to>
      <xdr:col>5</xdr:col>
      <xdr:colOff>285750</xdr:colOff>
      <xdr:row>3</xdr:row>
      <xdr:rowOff>142875</xdr:rowOff>
    </xdr:to>
    <xdr:pic>
      <xdr:nvPicPr>
        <xdr:cNvPr id="909336" name="Picture 24" descr="newmill_black_logo">
          <a:extLst>
            <a:ext uri="{FF2B5EF4-FFF2-40B4-BE49-F238E27FC236}">
              <a16:creationId xmlns:a16="http://schemas.microsoft.com/office/drawing/2014/main" id="{00000000-0008-0000-0700-000018E00D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57200" y="0"/>
          <a:ext cx="2057400" cy="647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22</xdr:col>
      <xdr:colOff>0</xdr:colOff>
      <xdr:row>0</xdr:row>
      <xdr:rowOff>0</xdr:rowOff>
    </xdr:from>
    <xdr:to>
      <xdr:col>22</xdr:col>
      <xdr:colOff>0</xdr:colOff>
      <xdr:row>3</xdr:row>
      <xdr:rowOff>142875</xdr:rowOff>
    </xdr:to>
    <xdr:sp macro="" textlink="">
      <xdr:nvSpPr>
        <xdr:cNvPr id="909337" name="Line 25">
          <a:extLst>
            <a:ext uri="{FF2B5EF4-FFF2-40B4-BE49-F238E27FC236}">
              <a16:creationId xmlns:a16="http://schemas.microsoft.com/office/drawing/2014/main" id="{00000000-0008-0000-0700-000019E00D00}"/>
            </a:ext>
          </a:extLst>
        </xdr:cNvPr>
        <xdr:cNvSpPr>
          <a:spLocks noChangeShapeType="1"/>
        </xdr:cNvSpPr>
      </xdr:nvSpPr>
      <xdr:spPr bwMode="auto">
        <a:xfrm>
          <a:off x="6610350" y="0"/>
          <a:ext cx="0" cy="6477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52</xdr:col>
      <xdr:colOff>0</xdr:colOff>
      <xdr:row>0</xdr:row>
      <xdr:rowOff>0</xdr:rowOff>
    </xdr:from>
    <xdr:to>
      <xdr:col>52</xdr:col>
      <xdr:colOff>0</xdr:colOff>
      <xdr:row>3</xdr:row>
      <xdr:rowOff>142875</xdr:rowOff>
    </xdr:to>
    <xdr:sp macro="" textlink="">
      <xdr:nvSpPr>
        <xdr:cNvPr id="909338" name="Line 26">
          <a:extLst>
            <a:ext uri="{FF2B5EF4-FFF2-40B4-BE49-F238E27FC236}">
              <a16:creationId xmlns:a16="http://schemas.microsoft.com/office/drawing/2014/main" id="{00000000-0008-0000-0700-00001AE00D00}"/>
            </a:ext>
          </a:extLst>
        </xdr:cNvPr>
        <xdr:cNvSpPr>
          <a:spLocks noChangeShapeType="1"/>
        </xdr:cNvSpPr>
      </xdr:nvSpPr>
      <xdr:spPr bwMode="auto">
        <a:xfrm>
          <a:off x="16021050" y="0"/>
          <a:ext cx="0" cy="6477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105</xdr:col>
      <xdr:colOff>47623</xdr:colOff>
      <xdr:row>24</xdr:row>
      <xdr:rowOff>22225</xdr:rowOff>
    </xdr:from>
    <xdr:to>
      <xdr:col>106</xdr:col>
      <xdr:colOff>1323975</xdr:colOff>
      <xdr:row>26</xdr:row>
      <xdr:rowOff>28574</xdr:rowOff>
    </xdr:to>
    <xdr:sp macro="" textlink="">
      <xdr:nvSpPr>
        <xdr:cNvPr id="909364" name="Text Box 52">
          <a:extLst>
            <a:ext uri="{FF2B5EF4-FFF2-40B4-BE49-F238E27FC236}">
              <a16:creationId xmlns:a16="http://schemas.microsoft.com/office/drawing/2014/main" id="{00000000-0008-0000-0700-000034E00D00}"/>
            </a:ext>
          </a:extLst>
        </xdr:cNvPr>
        <xdr:cNvSpPr txBox="1">
          <a:spLocks noChangeArrowheads="1"/>
        </xdr:cNvSpPr>
      </xdr:nvSpPr>
      <xdr:spPr bwMode="auto">
        <a:xfrm>
          <a:off x="28936948" y="3651250"/>
          <a:ext cx="2657477" cy="311149"/>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27432" bIns="0" anchor="t" upright="1"/>
        <a:lstStyle/>
        <a:p>
          <a:pPr algn="ctr" rtl="0">
            <a:defRPr sz="1000"/>
          </a:pPr>
          <a:r>
            <a:rPr lang="en-US" sz="900" b="0" i="0" u="none" strike="noStrike" baseline="0">
              <a:solidFill>
                <a:srgbClr val="000000"/>
              </a:solidFill>
              <a:latin typeface="Arial"/>
              <a:cs typeface="Arial"/>
            </a:rPr>
            <a:t>Notes:</a:t>
          </a:r>
          <a:endParaRPr lang="en-US" sz="800" b="0" i="0" u="none" strike="noStrike" baseline="0">
            <a:solidFill>
              <a:srgbClr val="000000"/>
            </a:solidFill>
            <a:latin typeface="Arial"/>
            <a:cs typeface="Arial"/>
          </a:endParaRPr>
        </a:p>
        <a:p>
          <a:pPr algn="ctr" rtl="0">
            <a:defRPr sz="1000"/>
          </a:pPr>
          <a:r>
            <a:rPr lang="en-US" sz="800" b="0" i="0" u="none" strike="noStrike" baseline="0">
              <a:solidFill>
                <a:srgbClr val="FF0000"/>
              </a:solidFill>
              <a:latin typeface="Arial"/>
              <a:cs typeface="Arial"/>
            </a:rPr>
            <a:t>No "( )" or "[ ]" required.</a:t>
          </a:r>
        </a:p>
        <a:p>
          <a:pPr algn="ctr" rtl="0">
            <a:defRPr sz="1000"/>
          </a:pPr>
          <a:r>
            <a:rPr lang="en-US" sz="800" b="0" i="0" u="none" strike="noStrike" baseline="0">
              <a:solidFill>
                <a:srgbClr val="000000"/>
              </a:solidFill>
              <a:latin typeface="Arial"/>
              <a:cs typeface="Arial"/>
            </a:rPr>
            <a:t>comma delimited.</a:t>
          </a:r>
          <a:endParaRPr lang="en-US"/>
        </a:p>
      </xdr:txBody>
    </xdr:sp>
    <xdr:clientData/>
  </xdr:twoCellAnchor>
  <xdr:twoCellAnchor>
    <xdr:from>
      <xdr:col>97</xdr:col>
      <xdr:colOff>257175</xdr:colOff>
      <xdr:row>0</xdr:row>
      <xdr:rowOff>28575</xdr:rowOff>
    </xdr:from>
    <xdr:to>
      <xdr:col>104</xdr:col>
      <xdr:colOff>133350</xdr:colOff>
      <xdr:row>18</xdr:row>
      <xdr:rowOff>0</xdr:rowOff>
    </xdr:to>
    <xdr:sp macro="" textlink="">
      <xdr:nvSpPr>
        <xdr:cNvPr id="2380984" name="Text Box 15544">
          <a:extLst>
            <a:ext uri="{FF2B5EF4-FFF2-40B4-BE49-F238E27FC236}">
              <a16:creationId xmlns:a16="http://schemas.microsoft.com/office/drawing/2014/main" id="{00000000-0008-0000-0700-0000B8542400}"/>
            </a:ext>
          </a:extLst>
        </xdr:cNvPr>
        <xdr:cNvSpPr txBox="1">
          <a:spLocks noChangeArrowheads="1"/>
        </xdr:cNvSpPr>
      </xdr:nvSpPr>
      <xdr:spPr bwMode="auto">
        <a:xfrm>
          <a:off x="28032075" y="28575"/>
          <a:ext cx="4308475" cy="27019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txBody>
        <a:bodyPr vertOverflow="clip" wrap="square" lIns="27432" tIns="22860" rIns="0" bIns="0" anchor="t" upright="1"/>
        <a:lstStyle/>
        <a:p>
          <a:pPr algn="l" rtl="0">
            <a:defRPr sz="1000"/>
          </a:pPr>
          <a:r>
            <a:rPr lang="en-US" sz="800" b="1" i="0" u="none" strike="noStrike" baseline="0">
              <a:solidFill>
                <a:srgbClr val="000000"/>
              </a:solidFill>
              <a:latin typeface="Arial"/>
              <a:cs typeface="Arial"/>
            </a:rPr>
            <a:t>Girder BOM tips:</a:t>
          </a:r>
        </a:p>
        <a:p>
          <a:pPr algn="l" rtl="0">
            <a:defRPr sz="1000"/>
          </a:pPr>
          <a:r>
            <a:rPr lang="en-US" sz="800" b="0" i="0" u="sng" strike="noStrike" baseline="0">
              <a:solidFill>
                <a:srgbClr val="000000"/>
              </a:solidFill>
              <a:latin typeface="Arial"/>
              <a:cs typeface="Arial"/>
            </a:rPr>
            <a:t>When entering </a:t>
          </a:r>
          <a:r>
            <a:rPr lang="en-US" sz="800" b="1" i="0" u="sng" strike="noStrike" baseline="0">
              <a:solidFill>
                <a:srgbClr val="000000"/>
              </a:solidFill>
              <a:latin typeface="Arial"/>
              <a:cs typeface="Arial"/>
            </a:rPr>
            <a:t>Joist Spacing on Girder TC</a:t>
          </a:r>
          <a:r>
            <a:rPr lang="en-US" sz="800" b="0" i="0" u="sng" strike="noStrike" baseline="0">
              <a:solidFill>
                <a:srgbClr val="000000"/>
              </a:solidFill>
              <a:latin typeface="Arial"/>
              <a:cs typeface="Arial"/>
            </a:rPr>
            <a:t>:</a:t>
          </a:r>
          <a:endParaRPr lang="en-US" sz="800" b="0" i="0" u="none" strike="noStrike" baseline="0">
            <a:solidFill>
              <a:srgbClr val="000000"/>
            </a:solidFill>
            <a:latin typeface="Arial"/>
            <a:cs typeface="Arial"/>
          </a:endParaRPr>
        </a:p>
        <a:p>
          <a:pPr algn="l" rtl="0">
            <a:defRPr sz="1000"/>
          </a:pPr>
          <a:r>
            <a:rPr lang="en-US" sz="800" b="0" i="0" u="none" strike="noStrike" baseline="0">
              <a:solidFill>
                <a:srgbClr val="000000"/>
              </a:solidFill>
              <a:latin typeface="Arial"/>
              <a:cs typeface="Arial"/>
            </a:rPr>
            <a:t> - if the joists are all equally spaced along the girder span, you only need to enter the number of spaces in the "N" column.  For example, you have a 36G8N12K spanning 40' from column to column and the joist spacing is 8 spaces at 5'-0.  The joist spacing can be entered like this: A=5'-0, N=7  </a:t>
          </a:r>
          <a:r>
            <a:rPr lang="en-US" sz="800" b="1" i="0" u="none" strike="noStrike" baseline="0">
              <a:solidFill>
                <a:srgbClr val="000000"/>
              </a:solidFill>
              <a:latin typeface="Arial"/>
              <a:cs typeface="Arial"/>
            </a:rPr>
            <a:t> *or*</a:t>
          </a:r>
          <a:r>
            <a:rPr lang="en-US" sz="800" b="0" i="0" u="none" strike="noStrike" baseline="0">
              <a:solidFill>
                <a:srgbClr val="000000"/>
              </a:solidFill>
              <a:latin typeface="Arial"/>
              <a:cs typeface="Arial"/>
            </a:rPr>
            <a:t>  simply N=8.</a:t>
          </a:r>
        </a:p>
        <a:p>
          <a:pPr algn="l" rtl="0">
            <a:defRPr sz="1000"/>
          </a:pPr>
          <a:r>
            <a:rPr lang="en-US" sz="800" b="0" i="0" u="none" strike="noStrike" baseline="0">
              <a:solidFill>
                <a:srgbClr val="000000"/>
              </a:solidFill>
              <a:latin typeface="Arial"/>
              <a:cs typeface="Arial"/>
            </a:rPr>
            <a:t> - The "B" dimension is calculated so the sum of the spacing is always equal to the girder bay.</a:t>
          </a:r>
        </a:p>
        <a:p>
          <a:pPr algn="l" rtl="0">
            <a:defRPr sz="1000"/>
          </a:pPr>
          <a:endParaRPr lang="en-US" sz="800" b="0" i="0" u="none" strike="noStrike" baseline="0">
            <a:solidFill>
              <a:srgbClr val="000000"/>
            </a:solidFill>
            <a:latin typeface="Arial"/>
            <a:cs typeface="Arial"/>
          </a:endParaRPr>
        </a:p>
        <a:p>
          <a:pPr algn="l" rtl="0">
            <a:defRPr sz="1000"/>
          </a:pPr>
          <a:r>
            <a:rPr lang="en-US" sz="800" b="0" i="0" u="none" strike="noStrike" baseline="0">
              <a:solidFill>
                <a:srgbClr val="000000"/>
              </a:solidFill>
              <a:latin typeface="Arial"/>
              <a:cs typeface="Arial"/>
            </a:rPr>
            <a:t> </a:t>
          </a:r>
          <a:r>
            <a:rPr lang="en-US" sz="800" b="1" i="0" u="none" strike="noStrike" baseline="0">
              <a:solidFill>
                <a:srgbClr val="000000"/>
              </a:solidFill>
              <a:latin typeface="Arial"/>
              <a:cs typeface="Arial"/>
            </a:rPr>
            <a:t>**Note: </a:t>
          </a:r>
          <a:r>
            <a:rPr lang="en-US" sz="800" b="0" i="0" u="none" strike="noStrike" baseline="0">
              <a:solidFill>
                <a:srgbClr val="000000"/>
              </a:solidFill>
              <a:latin typeface="Arial"/>
              <a:cs typeface="Arial"/>
            </a:rPr>
            <a:t>Make sure you hover over the cells with comments (</a:t>
          </a:r>
          <a:r>
            <a:rPr lang="en-US" sz="800" b="0" i="0" u="none" strike="noStrike" baseline="0">
              <a:solidFill>
                <a:srgbClr val="FF0000"/>
              </a:solidFill>
              <a:latin typeface="Arial"/>
              <a:cs typeface="Arial"/>
            </a:rPr>
            <a:t>red triangle in upper right corner</a:t>
          </a:r>
          <a:r>
            <a:rPr lang="en-US" sz="800" b="0" i="0" u="none" strike="noStrike" baseline="0">
              <a:solidFill>
                <a:srgbClr val="000000"/>
              </a:solidFill>
              <a:latin typeface="Arial"/>
              <a:cs typeface="Arial"/>
            </a:rPr>
            <a:t>) for specific instructions or tips entering information in those columns.</a:t>
          </a:r>
        </a:p>
        <a:p>
          <a:pPr algn="l" rtl="0">
            <a:defRPr sz="1000"/>
          </a:pPr>
          <a:endParaRPr lang="en-US" sz="800" b="0" i="0" u="none" strike="noStrike" baseline="0">
            <a:solidFill>
              <a:srgbClr val="000000"/>
            </a:solidFill>
            <a:latin typeface="Arial"/>
            <a:cs typeface="Arial"/>
          </a:endParaRPr>
        </a:p>
        <a:p>
          <a:pPr algn="l" rtl="0">
            <a:defRPr sz="1000"/>
          </a:pPr>
          <a:r>
            <a:rPr lang="en-US" sz="800" b="0" i="0" u="none" strike="noStrike" baseline="0">
              <a:solidFill>
                <a:srgbClr val="000000"/>
              </a:solidFill>
              <a:latin typeface="Arial"/>
              <a:cs typeface="Arial"/>
            </a:rPr>
            <a:t> </a:t>
          </a:r>
          <a:r>
            <a:rPr lang="en-US" sz="800" b="1" i="0" u="none" strike="noStrike" baseline="0">
              <a:solidFill>
                <a:srgbClr val="000000"/>
              </a:solidFill>
              <a:latin typeface="Arial"/>
              <a:cs typeface="Arial"/>
            </a:rPr>
            <a:t>**Note: </a:t>
          </a:r>
          <a:r>
            <a:rPr lang="en-US" sz="800" b="0" i="0" u="none" strike="noStrike" baseline="0">
              <a:solidFill>
                <a:srgbClr val="000000"/>
              </a:solidFill>
              <a:latin typeface="Arial"/>
              <a:cs typeface="Arial"/>
            </a:rPr>
            <a:t>Dims on this page are ALWAYS plan dimensions and are ALWAYS from the "Bay" point.  Dims on the BOM are calculated to account for Girder TC slope, BCX Kick, Base Length variances from Bay Point, etc.</a:t>
          </a:r>
        </a:p>
        <a:p>
          <a:pPr algn="l" rtl="0">
            <a:defRPr sz="1000"/>
          </a:pPr>
          <a:endParaRPr lang="en-US" sz="800" b="0" i="0" u="none" strike="noStrike" baseline="0">
            <a:solidFill>
              <a:srgbClr val="000000"/>
            </a:solidFill>
            <a:latin typeface="Arial"/>
            <a:cs typeface="Arial"/>
          </a:endParaRPr>
        </a:p>
        <a:p>
          <a:pPr algn="l" rtl="0">
            <a:defRPr sz="1000"/>
          </a:pPr>
          <a:r>
            <a:rPr lang="en-US" sz="800" b="1" i="0" u="none" strike="noStrike" baseline="0">
              <a:solidFill>
                <a:srgbClr val="000000"/>
              </a:solidFill>
              <a:latin typeface="Arial"/>
              <a:cs typeface="Arial"/>
            </a:rPr>
            <a:t> **Note:</a:t>
          </a:r>
          <a:r>
            <a:rPr lang="en-US" sz="800" b="0" i="0" u="none" strike="noStrike" baseline="0">
              <a:solidFill>
                <a:srgbClr val="000000"/>
              </a:solidFill>
              <a:latin typeface="Arial"/>
              <a:cs typeface="Arial"/>
            </a:rPr>
            <a:t> </a:t>
          </a:r>
          <a:r>
            <a:rPr lang="en-US" sz="800" b="1" i="0" u="none" strike="noStrike" baseline="0">
              <a:solidFill>
                <a:srgbClr val="FF0000"/>
              </a:solidFill>
              <a:latin typeface="Arial"/>
              <a:cs typeface="Arial"/>
            </a:rPr>
            <a:t>Bearing Slope</a:t>
          </a:r>
          <a:r>
            <a:rPr lang="en-US" sz="800" b="0" i="0" u="none" strike="noStrike" baseline="0">
              <a:solidFill>
                <a:srgbClr val="000000"/>
              </a:solidFill>
              <a:latin typeface="Arial"/>
              <a:cs typeface="Arial"/>
            </a:rPr>
            <a:t> (Brg Slope) at the right or left support is to be used </a:t>
          </a:r>
          <a:r>
            <a:rPr lang="en-US" sz="800" b="0" i="0" u="none" strike="noStrike" baseline="0">
              <a:solidFill>
                <a:srgbClr val="FF0000"/>
              </a:solidFill>
              <a:latin typeface="Arial"/>
              <a:cs typeface="Arial"/>
            </a:rPr>
            <a:t>ONLY</a:t>
          </a:r>
          <a:r>
            <a:rPr lang="en-US" sz="800" b="0" i="0" u="none" strike="noStrike" baseline="0">
              <a:solidFill>
                <a:srgbClr val="000000"/>
              </a:solidFill>
              <a:latin typeface="Arial"/>
              <a:cs typeface="Arial"/>
            </a:rPr>
            <a:t> if the bearing surface is not level, such as with a hip or valley beam.  This value is typically blank (or zero).</a:t>
          </a:r>
          <a:endParaRPr lang="en-US"/>
        </a:p>
      </xdr:txBody>
    </xdr:sp>
    <xdr:clientData/>
  </xdr:twoCellAnchor>
  <xdr:twoCellAnchor>
    <xdr:from>
      <xdr:col>91</xdr:col>
      <xdr:colOff>95250</xdr:colOff>
      <xdr:row>0</xdr:row>
      <xdr:rowOff>28575</xdr:rowOff>
    </xdr:from>
    <xdr:to>
      <xdr:col>97</xdr:col>
      <xdr:colOff>161925</xdr:colOff>
      <xdr:row>12</xdr:row>
      <xdr:rowOff>133350</xdr:rowOff>
    </xdr:to>
    <xdr:grpSp>
      <xdr:nvGrpSpPr>
        <xdr:cNvPr id="2381745" name="Group 16305">
          <a:extLst>
            <a:ext uri="{FF2B5EF4-FFF2-40B4-BE49-F238E27FC236}">
              <a16:creationId xmlns:a16="http://schemas.microsoft.com/office/drawing/2014/main" id="{00000000-0008-0000-0700-0000B1572400}"/>
            </a:ext>
          </a:extLst>
        </xdr:cNvPr>
        <xdr:cNvGrpSpPr>
          <a:grpSpLocks/>
        </xdr:cNvGrpSpPr>
      </xdr:nvGrpSpPr>
      <xdr:grpSpPr bwMode="auto">
        <a:xfrm>
          <a:off x="23660100" y="28575"/>
          <a:ext cx="2133600" cy="1790700"/>
          <a:chOff x="2623" y="3"/>
          <a:chExt cx="296" cy="188"/>
        </a:xfrm>
      </xdr:grpSpPr>
      <xdr:grpSp>
        <xdr:nvGrpSpPr>
          <xdr:cNvPr id="2381613" name="Group 16173">
            <a:extLst>
              <a:ext uri="{FF2B5EF4-FFF2-40B4-BE49-F238E27FC236}">
                <a16:creationId xmlns:a16="http://schemas.microsoft.com/office/drawing/2014/main" id="{00000000-0008-0000-0700-00002D572400}"/>
              </a:ext>
            </a:extLst>
          </xdr:cNvPr>
          <xdr:cNvGrpSpPr>
            <a:grpSpLocks/>
          </xdr:cNvGrpSpPr>
        </xdr:nvGrpSpPr>
        <xdr:grpSpPr bwMode="auto">
          <a:xfrm>
            <a:off x="2623" y="3"/>
            <a:ext cx="296" cy="188"/>
            <a:chOff x="4176" y="233"/>
            <a:chExt cx="346" cy="217"/>
          </a:xfrm>
        </xdr:grpSpPr>
        <xdr:sp macro="" textlink="">
          <xdr:nvSpPr>
            <xdr:cNvPr id="2366626" name="Rectangle 1186">
              <a:extLst>
                <a:ext uri="{FF2B5EF4-FFF2-40B4-BE49-F238E27FC236}">
                  <a16:creationId xmlns:a16="http://schemas.microsoft.com/office/drawing/2014/main" id="{00000000-0008-0000-0700-0000A21C2400}"/>
                </a:ext>
              </a:extLst>
            </xdr:cNvPr>
            <xdr:cNvSpPr>
              <a:spLocks noChangeArrowheads="1"/>
            </xdr:cNvSpPr>
          </xdr:nvSpPr>
          <xdr:spPr bwMode="auto">
            <a:xfrm>
              <a:off x="4176" y="233"/>
              <a:ext cx="346" cy="217"/>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2366627" name="Text Box 1187">
              <a:extLst>
                <a:ext uri="{FF2B5EF4-FFF2-40B4-BE49-F238E27FC236}">
                  <a16:creationId xmlns:a16="http://schemas.microsoft.com/office/drawing/2014/main" id="{00000000-0008-0000-0700-0000A31C2400}"/>
                </a:ext>
              </a:extLst>
            </xdr:cNvPr>
            <xdr:cNvSpPr txBox="1">
              <a:spLocks noChangeArrowheads="1"/>
            </xdr:cNvSpPr>
          </xdr:nvSpPr>
          <xdr:spPr bwMode="auto">
            <a:xfrm>
              <a:off x="4277" y="238"/>
              <a:ext cx="153" cy="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27432" bIns="0" anchor="t" upright="1"/>
            <a:lstStyle/>
            <a:p>
              <a:pPr algn="ctr" rtl="0">
                <a:defRPr sz="1000"/>
              </a:pPr>
              <a:r>
                <a:rPr lang="en-US" sz="800" b="1" i="0" u="sng" strike="noStrike" baseline="0">
                  <a:solidFill>
                    <a:srgbClr val="000000"/>
                  </a:solidFill>
                  <a:latin typeface="Arial"/>
                  <a:cs typeface="Arial"/>
                </a:rPr>
                <a:t>Skew Angle Key</a:t>
              </a:r>
              <a:endParaRPr lang="en-US"/>
            </a:p>
          </xdr:txBody>
        </xdr:sp>
        <xdr:grpSp>
          <xdr:nvGrpSpPr>
            <xdr:cNvPr id="2381610" name="Group 16170">
              <a:extLst>
                <a:ext uri="{FF2B5EF4-FFF2-40B4-BE49-F238E27FC236}">
                  <a16:creationId xmlns:a16="http://schemas.microsoft.com/office/drawing/2014/main" id="{00000000-0008-0000-0700-00002A572400}"/>
                </a:ext>
              </a:extLst>
            </xdr:cNvPr>
            <xdr:cNvGrpSpPr>
              <a:grpSpLocks/>
            </xdr:cNvGrpSpPr>
          </xdr:nvGrpSpPr>
          <xdr:grpSpPr bwMode="auto">
            <a:xfrm>
              <a:off x="4194" y="285"/>
              <a:ext cx="146" cy="150"/>
              <a:chOff x="4194" y="285"/>
              <a:chExt cx="146" cy="150"/>
            </a:xfrm>
          </xdr:grpSpPr>
          <xdr:sp macro="" textlink="">
            <xdr:nvSpPr>
              <xdr:cNvPr id="2366629" name="Line 1189">
                <a:extLst>
                  <a:ext uri="{FF2B5EF4-FFF2-40B4-BE49-F238E27FC236}">
                    <a16:creationId xmlns:a16="http://schemas.microsoft.com/office/drawing/2014/main" id="{00000000-0008-0000-0700-0000A51C2400}"/>
                  </a:ext>
                </a:extLst>
              </xdr:cNvPr>
              <xdr:cNvSpPr>
                <a:spLocks noChangeShapeType="1"/>
              </xdr:cNvSpPr>
            </xdr:nvSpPr>
            <xdr:spPr bwMode="auto">
              <a:xfrm rot="16200000" flipV="1">
                <a:off x="4295" y="328"/>
                <a:ext cx="0" cy="9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66630" name="Line 1190">
                <a:extLst>
                  <a:ext uri="{FF2B5EF4-FFF2-40B4-BE49-F238E27FC236}">
                    <a16:creationId xmlns:a16="http://schemas.microsoft.com/office/drawing/2014/main" id="{00000000-0008-0000-0700-0000A61C2400}"/>
                  </a:ext>
                </a:extLst>
              </xdr:cNvPr>
              <xdr:cNvSpPr>
                <a:spLocks noChangeShapeType="1"/>
              </xdr:cNvSpPr>
            </xdr:nvSpPr>
            <xdr:spPr bwMode="auto">
              <a:xfrm rot="16200000" flipV="1">
                <a:off x="4295" y="310"/>
                <a:ext cx="0" cy="9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66631" name="Line 1191">
                <a:extLst>
                  <a:ext uri="{FF2B5EF4-FFF2-40B4-BE49-F238E27FC236}">
                    <a16:creationId xmlns:a16="http://schemas.microsoft.com/office/drawing/2014/main" id="{00000000-0008-0000-0700-0000A71C2400}"/>
                  </a:ext>
                </a:extLst>
              </xdr:cNvPr>
              <xdr:cNvSpPr>
                <a:spLocks noChangeShapeType="1"/>
              </xdr:cNvSpPr>
            </xdr:nvSpPr>
            <xdr:spPr bwMode="auto">
              <a:xfrm rot="16200000">
                <a:off x="4239" y="365"/>
                <a:ext cx="18"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66632" name="Line 1192">
                <a:extLst>
                  <a:ext uri="{FF2B5EF4-FFF2-40B4-BE49-F238E27FC236}">
                    <a16:creationId xmlns:a16="http://schemas.microsoft.com/office/drawing/2014/main" id="{00000000-0008-0000-0700-0000A81C2400}"/>
                  </a:ext>
                </a:extLst>
              </xdr:cNvPr>
              <xdr:cNvSpPr>
                <a:spLocks noChangeShapeType="1"/>
              </xdr:cNvSpPr>
            </xdr:nvSpPr>
            <xdr:spPr bwMode="auto">
              <a:xfrm rot="16200000" flipV="1">
                <a:off x="4170" y="309"/>
                <a:ext cx="150" cy="101"/>
              </a:xfrm>
              <a:prstGeom prst="line">
                <a:avLst/>
              </a:prstGeom>
              <a:noFill/>
              <a:ln w="9525">
                <a:solidFill>
                  <a:srgbClr xmlns:mc="http://schemas.openxmlformats.org/markup-compatibility/2006" xmlns:a14="http://schemas.microsoft.com/office/drawing/2010/main" val="000000" mc:Ignorable="a14" a14:legacySpreadsheetColorIndex="64"/>
                </a:solidFill>
                <a:prstDash val="lgDashDot"/>
                <a:round/>
                <a:headEnd/>
                <a:tailEnd/>
              </a:ln>
              <a:extLst>
                <a:ext uri="{909E8E84-426E-40DD-AFC4-6F175D3DCCD1}">
                  <a14:hiddenFill xmlns:a14="http://schemas.microsoft.com/office/drawing/2010/main">
                    <a:noFill/>
                  </a14:hiddenFill>
                </a:ext>
              </a:extLst>
            </xdr:spPr>
          </xdr:sp>
          <xdr:sp macro="" textlink="">
            <xdr:nvSpPr>
              <xdr:cNvPr id="2366633" name="Line 1193">
                <a:extLst>
                  <a:ext uri="{FF2B5EF4-FFF2-40B4-BE49-F238E27FC236}">
                    <a16:creationId xmlns:a16="http://schemas.microsoft.com/office/drawing/2014/main" id="{00000000-0008-0000-0700-0000A91C2400}"/>
                  </a:ext>
                </a:extLst>
              </xdr:cNvPr>
              <xdr:cNvSpPr>
                <a:spLocks noChangeShapeType="1"/>
              </xdr:cNvSpPr>
            </xdr:nvSpPr>
            <xdr:spPr bwMode="auto">
              <a:xfrm flipV="1">
                <a:off x="4249" y="312"/>
                <a:ext cx="0" cy="4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66635" name="Line 1195">
                <a:extLst>
                  <a:ext uri="{FF2B5EF4-FFF2-40B4-BE49-F238E27FC236}">
                    <a16:creationId xmlns:a16="http://schemas.microsoft.com/office/drawing/2014/main" id="{00000000-0008-0000-0700-0000AB1C2400}"/>
                  </a:ext>
                </a:extLst>
              </xdr:cNvPr>
              <xdr:cNvSpPr>
                <a:spLocks noChangeShapeType="1"/>
              </xdr:cNvSpPr>
            </xdr:nvSpPr>
            <xdr:spPr bwMode="auto">
              <a:xfrm flipH="1">
                <a:off x="4221" y="320"/>
                <a:ext cx="14" cy="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sp macro="" textlink="">
            <xdr:nvSpPr>
              <xdr:cNvPr id="2366636" name="Line 1196">
                <a:extLst>
                  <a:ext uri="{FF2B5EF4-FFF2-40B4-BE49-F238E27FC236}">
                    <a16:creationId xmlns:a16="http://schemas.microsoft.com/office/drawing/2014/main" id="{00000000-0008-0000-0700-0000AC1C2400}"/>
                  </a:ext>
                </a:extLst>
              </xdr:cNvPr>
              <xdr:cNvSpPr>
                <a:spLocks noChangeShapeType="1"/>
              </xdr:cNvSpPr>
            </xdr:nvSpPr>
            <xdr:spPr bwMode="auto">
              <a:xfrm flipV="1">
                <a:off x="4235" y="318"/>
                <a:ext cx="14" cy="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grpSp>
        <xdr:grpSp>
          <xdr:nvGrpSpPr>
            <xdr:cNvPr id="2381611" name="Group 16171">
              <a:extLst>
                <a:ext uri="{FF2B5EF4-FFF2-40B4-BE49-F238E27FC236}">
                  <a16:creationId xmlns:a16="http://schemas.microsoft.com/office/drawing/2014/main" id="{00000000-0008-0000-0700-00002B572400}"/>
                </a:ext>
              </a:extLst>
            </xdr:cNvPr>
            <xdr:cNvGrpSpPr>
              <a:grpSpLocks/>
            </xdr:cNvGrpSpPr>
          </xdr:nvGrpSpPr>
          <xdr:grpSpPr bwMode="auto">
            <a:xfrm>
              <a:off x="4365" y="285"/>
              <a:ext cx="141" cy="152"/>
              <a:chOff x="4365" y="285"/>
              <a:chExt cx="141" cy="152"/>
            </a:xfrm>
          </xdr:grpSpPr>
          <xdr:sp macro="" textlink="">
            <xdr:nvSpPr>
              <xdr:cNvPr id="2366638" name="Line 1198">
                <a:extLst>
                  <a:ext uri="{FF2B5EF4-FFF2-40B4-BE49-F238E27FC236}">
                    <a16:creationId xmlns:a16="http://schemas.microsoft.com/office/drawing/2014/main" id="{00000000-0008-0000-0700-0000AE1C2400}"/>
                  </a:ext>
                </a:extLst>
              </xdr:cNvPr>
              <xdr:cNvSpPr>
                <a:spLocks noChangeShapeType="1"/>
              </xdr:cNvSpPr>
            </xdr:nvSpPr>
            <xdr:spPr bwMode="auto">
              <a:xfrm rot="5400000" flipV="1">
                <a:off x="4411" y="310"/>
                <a:ext cx="0" cy="9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66639" name="Line 1199">
                <a:extLst>
                  <a:ext uri="{FF2B5EF4-FFF2-40B4-BE49-F238E27FC236}">
                    <a16:creationId xmlns:a16="http://schemas.microsoft.com/office/drawing/2014/main" id="{00000000-0008-0000-0700-0000AF1C2400}"/>
                  </a:ext>
                </a:extLst>
              </xdr:cNvPr>
              <xdr:cNvSpPr>
                <a:spLocks noChangeShapeType="1"/>
              </xdr:cNvSpPr>
            </xdr:nvSpPr>
            <xdr:spPr bwMode="auto">
              <a:xfrm rot="5400000" flipV="1">
                <a:off x="4411" y="328"/>
                <a:ext cx="0" cy="9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66640" name="Line 1200">
                <a:extLst>
                  <a:ext uri="{FF2B5EF4-FFF2-40B4-BE49-F238E27FC236}">
                    <a16:creationId xmlns:a16="http://schemas.microsoft.com/office/drawing/2014/main" id="{00000000-0008-0000-0700-0000B01C2400}"/>
                  </a:ext>
                </a:extLst>
              </xdr:cNvPr>
              <xdr:cNvSpPr>
                <a:spLocks noChangeShapeType="1"/>
              </xdr:cNvSpPr>
            </xdr:nvSpPr>
            <xdr:spPr bwMode="auto">
              <a:xfrm rot="27000000">
                <a:off x="4448" y="365"/>
                <a:ext cx="18"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66641" name="Line 1201">
                <a:extLst>
                  <a:ext uri="{FF2B5EF4-FFF2-40B4-BE49-F238E27FC236}">
                    <a16:creationId xmlns:a16="http://schemas.microsoft.com/office/drawing/2014/main" id="{00000000-0008-0000-0700-0000B11C2400}"/>
                  </a:ext>
                </a:extLst>
              </xdr:cNvPr>
              <xdr:cNvSpPr>
                <a:spLocks noChangeShapeType="1"/>
              </xdr:cNvSpPr>
            </xdr:nvSpPr>
            <xdr:spPr bwMode="auto">
              <a:xfrm rot="5400000" flipV="1">
                <a:off x="4379" y="309"/>
                <a:ext cx="152" cy="103"/>
              </a:xfrm>
              <a:prstGeom prst="line">
                <a:avLst/>
              </a:prstGeom>
              <a:noFill/>
              <a:ln w="9525">
                <a:solidFill>
                  <a:srgbClr xmlns:mc="http://schemas.openxmlformats.org/markup-compatibility/2006" xmlns:a14="http://schemas.microsoft.com/office/drawing/2010/main" val="000000" mc:Ignorable="a14" a14:legacySpreadsheetColorIndex="64"/>
                </a:solidFill>
                <a:prstDash val="lgDashDot"/>
                <a:round/>
                <a:headEnd/>
                <a:tailEnd/>
              </a:ln>
              <a:extLst>
                <a:ext uri="{909E8E84-426E-40DD-AFC4-6F175D3DCCD1}">
                  <a14:hiddenFill xmlns:a14="http://schemas.microsoft.com/office/drawing/2010/main">
                    <a:noFill/>
                  </a14:hiddenFill>
                </a:ext>
              </a:extLst>
            </xdr:spPr>
          </xdr:sp>
          <xdr:sp macro="" textlink="">
            <xdr:nvSpPr>
              <xdr:cNvPr id="2366642" name="Line 1202">
                <a:extLst>
                  <a:ext uri="{FF2B5EF4-FFF2-40B4-BE49-F238E27FC236}">
                    <a16:creationId xmlns:a16="http://schemas.microsoft.com/office/drawing/2014/main" id="{00000000-0008-0000-0700-0000B21C2400}"/>
                  </a:ext>
                </a:extLst>
              </xdr:cNvPr>
              <xdr:cNvSpPr>
                <a:spLocks noChangeShapeType="1"/>
              </xdr:cNvSpPr>
            </xdr:nvSpPr>
            <xdr:spPr bwMode="auto">
              <a:xfrm rot="10800000" flipV="1">
                <a:off x="4457" y="378"/>
                <a:ext cx="0" cy="4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66644" name="Line 1204">
                <a:extLst>
                  <a:ext uri="{FF2B5EF4-FFF2-40B4-BE49-F238E27FC236}">
                    <a16:creationId xmlns:a16="http://schemas.microsoft.com/office/drawing/2014/main" id="{00000000-0008-0000-0700-0000B41C2400}"/>
                  </a:ext>
                </a:extLst>
              </xdr:cNvPr>
              <xdr:cNvSpPr>
                <a:spLocks noChangeShapeType="1"/>
              </xdr:cNvSpPr>
            </xdr:nvSpPr>
            <xdr:spPr bwMode="auto">
              <a:xfrm rot="10800000" flipH="1">
                <a:off x="4469" y="403"/>
                <a:ext cx="14" cy="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sp macro="" textlink="">
            <xdr:nvSpPr>
              <xdr:cNvPr id="2366645" name="Line 1205">
                <a:extLst>
                  <a:ext uri="{FF2B5EF4-FFF2-40B4-BE49-F238E27FC236}">
                    <a16:creationId xmlns:a16="http://schemas.microsoft.com/office/drawing/2014/main" id="{00000000-0008-0000-0700-0000B51C2400}"/>
                  </a:ext>
                </a:extLst>
              </xdr:cNvPr>
              <xdr:cNvSpPr>
                <a:spLocks noChangeShapeType="1"/>
              </xdr:cNvSpPr>
            </xdr:nvSpPr>
            <xdr:spPr bwMode="auto">
              <a:xfrm rot="10800000" flipV="1">
                <a:off x="4457" y="408"/>
                <a:ext cx="14" cy="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2381604" name="Text Box 16164">
              <a:extLst>
                <a:ext uri="{FF2B5EF4-FFF2-40B4-BE49-F238E27FC236}">
                  <a16:creationId xmlns:a16="http://schemas.microsoft.com/office/drawing/2014/main" id="{00000000-0008-0000-0700-000024572400}"/>
                </a:ext>
              </a:extLst>
            </xdr:cNvPr>
            <xdr:cNvSpPr txBox="1">
              <a:spLocks noChangeArrowheads="1"/>
            </xdr:cNvSpPr>
          </xdr:nvSpPr>
          <xdr:spPr bwMode="auto">
            <a:xfrm>
              <a:off x="4185" y="269"/>
              <a:ext cx="80" cy="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27432" bIns="0" anchor="t" upright="1"/>
            <a:lstStyle/>
            <a:p>
              <a:pPr algn="ctr" rtl="0">
                <a:defRPr sz="1000"/>
              </a:pPr>
              <a:r>
                <a:rPr lang="en-US" sz="800" b="0" i="0" u="none" strike="noStrike" baseline="0">
                  <a:solidFill>
                    <a:srgbClr val="000000"/>
                  </a:solidFill>
                  <a:latin typeface="Arial"/>
                  <a:cs typeface="Arial"/>
                </a:rPr>
                <a:t>CL Support</a:t>
              </a:r>
              <a:endParaRPr lang="en-US"/>
            </a:p>
          </xdr:txBody>
        </xdr:sp>
        <xdr:sp macro="" textlink="">
          <xdr:nvSpPr>
            <xdr:cNvPr id="2381605" name="Text Box 16165">
              <a:extLst>
                <a:ext uri="{FF2B5EF4-FFF2-40B4-BE49-F238E27FC236}">
                  <a16:creationId xmlns:a16="http://schemas.microsoft.com/office/drawing/2014/main" id="{00000000-0008-0000-0700-000025572400}"/>
                </a:ext>
              </a:extLst>
            </xdr:cNvPr>
            <xdr:cNvSpPr txBox="1">
              <a:spLocks noChangeArrowheads="1"/>
            </xdr:cNvSpPr>
          </xdr:nvSpPr>
          <xdr:spPr bwMode="auto">
            <a:xfrm>
              <a:off x="4394" y="269"/>
              <a:ext cx="80" cy="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27432" bIns="0" anchor="t" upright="1"/>
            <a:lstStyle/>
            <a:p>
              <a:pPr algn="ctr" rtl="0">
                <a:defRPr sz="1000"/>
              </a:pPr>
              <a:r>
                <a:rPr lang="en-US" sz="800" b="0" i="0" u="none" strike="noStrike" baseline="0">
                  <a:solidFill>
                    <a:srgbClr val="000000"/>
                  </a:solidFill>
                  <a:latin typeface="Arial"/>
                  <a:cs typeface="Arial"/>
                </a:rPr>
                <a:t>CL Support</a:t>
              </a:r>
              <a:endParaRPr lang="en-US"/>
            </a:p>
          </xdr:txBody>
        </xdr:sp>
        <xdr:sp macro="" textlink="">
          <xdr:nvSpPr>
            <xdr:cNvPr id="2381607" name="Text Box 16167">
              <a:extLst>
                <a:ext uri="{FF2B5EF4-FFF2-40B4-BE49-F238E27FC236}">
                  <a16:creationId xmlns:a16="http://schemas.microsoft.com/office/drawing/2014/main" id="{00000000-0008-0000-0700-000027572400}"/>
                </a:ext>
              </a:extLst>
            </xdr:cNvPr>
            <xdr:cNvSpPr txBox="1">
              <a:spLocks noChangeArrowheads="1"/>
            </xdr:cNvSpPr>
          </xdr:nvSpPr>
          <xdr:spPr bwMode="auto">
            <a:xfrm>
              <a:off x="4329" y="357"/>
              <a:ext cx="44" cy="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27432" bIns="0" anchor="t" upright="1"/>
            <a:lstStyle/>
            <a:p>
              <a:pPr algn="ctr" rtl="0">
                <a:defRPr sz="1000"/>
              </a:pPr>
              <a:r>
                <a:rPr lang="en-US" sz="800" b="0" i="0" u="none" strike="noStrike" baseline="0">
                  <a:solidFill>
                    <a:srgbClr val="000000"/>
                  </a:solidFill>
                  <a:latin typeface="Arial"/>
                  <a:cs typeface="Arial"/>
                </a:rPr>
                <a:t>Girder</a:t>
              </a:r>
              <a:endParaRPr lang="en-US"/>
            </a:p>
          </xdr:txBody>
        </xdr:sp>
        <xdr:sp macro="" textlink="">
          <xdr:nvSpPr>
            <xdr:cNvPr id="2381608" name="Line 16168">
              <a:extLst>
                <a:ext uri="{FF2B5EF4-FFF2-40B4-BE49-F238E27FC236}">
                  <a16:creationId xmlns:a16="http://schemas.microsoft.com/office/drawing/2014/main" id="{00000000-0008-0000-0700-000028572400}"/>
                </a:ext>
              </a:extLst>
            </xdr:cNvPr>
            <xdr:cNvSpPr>
              <a:spLocks noChangeShapeType="1"/>
            </xdr:cNvSpPr>
          </xdr:nvSpPr>
          <xdr:spPr bwMode="auto">
            <a:xfrm>
              <a:off x="4233" y="365"/>
              <a:ext cx="90" cy="0"/>
            </a:xfrm>
            <a:prstGeom prst="line">
              <a:avLst/>
            </a:prstGeom>
            <a:noFill/>
            <a:ln w="9525">
              <a:solidFill>
                <a:srgbClr xmlns:mc="http://schemas.openxmlformats.org/markup-compatibility/2006" xmlns:a14="http://schemas.microsoft.com/office/drawing/2010/main" val="000000" mc:Ignorable="a14" a14:legacySpreadsheetColorIndex="64"/>
              </a:solidFill>
              <a:prstDash val="lgDashDot"/>
              <a:round/>
              <a:headEnd/>
              <a:tailEnd/>
            </a:ln>
            <a:extLst>
              <a:ext uri="{909E8E84-426E-40DD-AFC4-6F175D3DCCD1}">
                <a14:hiddenFill xmlns:a14="http://schemas.microsoft.com/office/drawing/2010/main">
                  <a:noFill/>
                </a14:hiddenFill>
              </a:ext>
            </a:extLst>
          </xdr:spPr>
        </xdr:sp>
        <xdr:sp macro="" textlink="">
          <xdr:nvSpPr>
            <xdr:cNvPr id="2381609" name="Line 16169">
              <a:extLst>
                <a:ext uri="{FF2B5EF4-FFF2-40B4-BE49-F238E27FC236}">
                  <a16:creationId xmlns:a16="http://schemas.microsoft.com/office/drawing/2014/main" id="{00000000-0008-0000-0700-000029572400}"/>
                </a:ext>
              </a:extLst>
            </xdr:cNvPr>
            <xdr:cNvSpPr>
              <a:spLocks noChangeShapeType="1"/>
            </xdr:cNvSpPr>
          </xdr:nvSpPr>
          <xdr:spPr bwMode="auto">
            <a:xfrm>
              <a:off x="4381" y="365"/>
              <a:ext cx="90" cy="0"/>
            </a:xfrm>
            <a:prstGeom prst="line">
              <a:avLst/>
            </a:prstGeom>
            <a:noFill/>
            <a:ln w="9525">
              <a:solidFill>
                <a:srgbClr xmlns:mc="http://schemas.openxmlformats.org/markup-compatibility/2006" xmlns:a14="http://schemas.microsoft.com/office/drawing/2010/main" val="000000" mc:Ignorable="a14" a14:legacySpreadsheetColorIndex="64"/>
              </a:solidFill>
              <a:prstDash val="lgDashDot"/>
              <a:round/>
              <a:headEnd/>
              <a:tailEnd/>
            </a:ln>
            <a:extLst>
              <a:ext uri="{909E8E84-426E-40DD-AFC4-6F175D3DCCD1}">
                <a14:hiddenFill xmlns:a14="http://schemas.microsoft.com/office/drawing/2010/main">
                  <a:noFill/>
                </a14:hiddenFill>
              </a:ext>
            </a:extLst>
          </xdr:spPr>
        </xdr:sp>
      </xdr:grpSp>
      <xdr:sp macro="" textlink="">
        <xdr:nvSpPr>
          <xdr:cNvPr id="2381616" name="Text Box 16176">
            <a:extLst>
              <a:ext uri="{FF2B5EF4-FFF2-40B4-BE49-F238E27FC236}">
                <a16:creationId xmlns:a16="http://schemas.microsoft.com/office/drawing/2014/main" id="{00000000-0008-0000-0700-000030572400}"/>
              </a:ext>
            </a:extLst>
          </xdr:cNvPr>
          <xdr:cNvSpPr txBox="1">
            <a:spLocks noChangeArrowheads="1"/>
          </xdr:cNvSpPr>
        </xdr:nvSpPr>
        <xdr:spPr bwMode="auto">
          <a:xfrm>
            <a:off x="2658" y="62"/>
            <a:ext cx="30" cy="13"/>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27432" bIns="0" anchor="t" upright="1"/>
          <a:lstStyle/>
          <a:p>
            <a:pPr algn="ctr" rtl="0">
              <a:defRPr sz="1000"/>
            </a:pPr>
            <a:r>
              <a:rPr lang="en-US" sz="800" b="1" i="0" u="none" strike="noStrike" baseline="0">
                <a:solidFill>
                  <a:srgbClr val="000000"/>
                </a:solidFill>
                <a:latin typeface="Arial"/>
                <a:cs typeface="Arial"/>
              </a:rPr>
              <a:t>"+"</a:t>
            </a:r>
            <a:endParaRPr lang="en-US"/>
          </a:p>
        </xdr:txBody>
      </xdr:sp>
      <xdr:sp macro="" textlink="">
        <xdr:nvSpPr>
          <xdr:cNvPr id="2381617" name="Text Box 16177">
            <a:extLst>
              <a:ext uri="{FF2B5EF4-FFF2-40B4-BE49-F238E27FC236}">
                <a16:creationId xmlns:a16="http://schemas.microsoft.com/office/drawing/2014/main" id="{00000000-0008-0000-0700-000031572400}"/>
              </a:ext>
            </a:extLst>
          </xdr:cNvPr>
          <xdr:cNvSpPr txBox="1">
            <a:spLocks noChangeArrowheads="1"/>
          </xdr:cNvSpPr>
        </xdr:nvSpPr>
        <xdr:spPr bwMode="auto">
          <a:xfrm>
            <a:off x="2860" y="157"/>
            <a:ext cx="31" cy="1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27432" bIns="0" anchor="t" upright="1"/>
          <a:lstStyle/>
          <a:p>
            <a:pPr algn="ctr" rtl="0">
              <a:defRPr sz="1000"/>
            </a:pPr>
            <a:r>
              <a:rPr lang="en-US" sz="800" b="1" i="0" u="none" strike="noStrike" baseline="0">
                <a:solidFill>
                  <a:srgbClr val="000000"/>
                </a:solidFill>
                <a:latin typeface="Arial"/>
                <a:cs typeface="Arial"/>
              </a:rPr>
              <a:t>"+"</a:t>
            </a:r>
            <a:endParaRPr lang="en-US"/>
          </a:p>
        </xdr:txBody>
      </xdr:sp>
    </xdr:grpSp>
    <xdr:clientData/>
  </xdr:twoCellAnchor>
  <xdr:twoCellAnchor>
    <xdr:from>
      <xdr:col>85</xdr:col>
      <xdr:colOff>161925</xdr:colOff>
      <xdr:row>0</xdr:row>
      <xdr:rowOff>57150</xdr:rowOff>
    </xdr:from>
    <xdr:to>
      <xdr:col>91</xdr:col>
      <xdr:colOff>28575</xdr:colOff>
      <xdr:row>12</xdr:row>
      <xdr:rowOff>123825</xdr:rowOff>
    </xdr:to>
    <xdr:grpSp>
      <xdr:nvGrpSpPr>
        <xdr:cNvPr id="2381676" name="Group 16236">
          <a:extLst>
            <a:ext uri="{FF2B5EF4-FFF2-40B4-BE49-F238E27FC236}">
              <a16:creationId xmlns:a16="http://schemas.microsoft.com/office/drawing/2014/main" id="{00000000-0008-0000-0700-00006C572400}"/>
            </a:ext>
          </a:extLst>
        </xdr:cNvPr>
        <xdr:cNvGrpSpPr>
          <a:grpSpLocks/>
        </xdr:cNvGrpSpPr>
      </xdr:nvGrpSpPr>
      <xdr:grpSpPr bwMode="auto">
        <a:xfrm>
          <a:off x="21621750" y="57150"/>
          <a:ext cx="1971675" cy="1752600"/>
          <a:chOff x="4176" y="123"/>
          <a:chExt cx="353" cy="199"/>
        </a:xfrm>
      </xdr:grpSpPr>
      <xdr:sp macro="" textlink="">
        <xdr:nvSpPr>
          <xdr:cNvPr id="2381614" name="Rectangle 16174">
            <a:extLst>
              <a:ext uri="{FF2B5EF4-FFF2-40B4-BE49-F238E27FC236}">
                <a16:creationId xmlns:a16="http://schemas.microsoft.com/office/drawing/2014/main" id="{00000000-0008-0000-0700-00002E572400}"/>
              </a:ext>
            </a:extLst>
          </xdr:cNvPr>
          <xdr:cNvSpPr>
            <a:spLocks noChangeArrowheads="1"/>
          </xdr:cNvSpPr>
        </xdr:nvSpPr>
        <xdr:spPr bwMode="auto">
          <a:xfrm>
            <a:off x="4176" y="123"/>
            <a:ext cx="353" cy="199"/>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2381615" name="Text Box 16175">
            <a:extLst>
              <a:ext uri="{FF2B5EF4-FFF2-40B4-BE49-F238E27FC236}">
                <a16:creationId xmlns:a16="http://schemas.microsoft.com/office/drawing/2014/main" id="{00000000-0008-0000-0700-00002F572400}"/>
              </a:ext>
            </a:extLst>
          </xdr:cNvPr>
          <xdr:cNvSpPr txBox="1">
            <a:spLocks noChangeArrowheads="1"/>
          </xdr:cNvSpPr>
        </xdr:nvSpPr>
        <xdr:spPr bwMode="auto">
          <a:xfrm>
            <a:off x="4285" y="127"/>
            <a:ext cx="141" cy="18"/>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27432" bIns="0" anchor="t" upright="1"/>
          <a:lstStyle/>
          <a:p>
            <a:pPr algn="ctr" rtl="0">
              <a:defRPr sz="1000"/>
            </a:pPr>
            <a:r>
              <a:rPr lang="en-US" sz="800" b="1" i="0" u="sng" strike="noStrike" baseline="0">
                <a:solidFill>
                  <a:srgbClr val="000000"/>
                </a:solidFill>
                <a:latin typeface="Arial"/>
                <a:cs typeface="Arial"/>
              </a:rPr>
              <a:t>Bearing Slope Key</a:t>
            </a:r>
            <a:endParaRPr lang="en-US"/>
          </a:p>
        </xdr:txBody>
      </xdr:sp>
      <xdr:grpSp>
        <xdr:nvGrpSpPr>
          <xdr:cNvPr id="2381632" name="Group 16192">
            <a:extLst>
              <a:ext uri="{FF2B5EF4-FFF2-40B4-BE49-F238E27FC236}">
                <a16:creationId xmlns:a16="http://schemas.microsoft.com/office/drawing/2014/main" id="{00000000-0008-0000-0700-000040572400}"/>
              </a:ext>
            </a:extLst>
          </xdr:cNvPr>
          <xdr:cNvGrpSpPr>
            <a:grpSpLocks/>
          </xdr:cNvGrpSpPr>
        </xdr:nvGrpSpPr>
        <xdr:grpSpPr bwMode="auto">
          <a:xfrm>
            <a:off x="4211" y="155"/>
            <a:ext cx="103" cy="42"/>
            <a:chOff x="4198" y="199"/>
            <a:chExt cx="96" cy="42"/>
          </a:xfrm>
        </xdr:grpSpPr>
        <xdr:sp macro="" textlink="">
          <xdr:nvSpPr>
            <xdr:cNvPr id="2381618" name="Line 16178">
              <a:extLst>
                <a:ext uri="{FF2B5EF4-FFF2-40B4-BE49-F238E27FC236}">
                  <a16:creationId xmlns:a16="http://schemas.microsoft.com/office/drawing/2014/main" id="{00000000-0008-0000-0700-000032572400}"/>
                </a:ext>
              </a:extLst>
            </xdr:cNvPr>
            <xdr:cNvSpPr>
              <a:spLocks noChangeShapeType="1"/>
            </xdr:cNvSpPr>
          </xdr:nvSpPr>
          <xdr:spPr bwMode="auto">
            <a:xfrm flipV="1">
              <a:off x="4211" y="199"/>
              <a:ext cx="82"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81619" name="Line 16179">
              <a:extLst>
                <a:ext uri="{FF2B5EF4-FFF2-40B4-BE49-F238E27FC236}">
                  <a16:creationId xmlns:a16="http://schemas.microsoft.com/office/drawing/2014/main" id="{00000000-0008-0000-0700-000033572400}"/>
                </a:ext>
              </a:extLst>
            </xdr:cNvPr>
            <xdr:cNvSpPr>
              <a:spLocks noChangeShapeType="1"/>
            </xdr:cNvSpPr>
          </xdr:nvSpPr>
          <xdr:spPr bwMode="auto">
            <a:xfrm>
              <a:off x="4211" y="199"/>
              <a:ext cx="0" cy="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81620" name="Line 16180">
              <a:extLst>
                <a:ext uri="{FF2B5EF4-FFF2-40B4-BE49-F238E27FC236}">
                  <a16:creationId xmlns:a16="http://schemas.microsoft.com/office/drawing/2014/main" id="{00000000-0008-0000-0700-000034572400}"/>
                </a:ext>
              </a:extLst>
            </xdr:cNvPr>
            <xdr:cNvSpPr>
              <a:spLocks noChangeShapeType="1"/>
            </xdr:cNvSpPr>
          </xdr:nvSpPr>
          <xdr:spPr bwMode="auto">
            <a:xfrm>
              <a:off x="4198" y="208"/>
              <a:ext cx="25" cy="5"/>
            </a:xfrm>
            <a:prstGeom prst="line">
              <a:avLst/>
            </a:prstGeom>
            <a:noFill/>
            <a:ln w="1905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81621" name="Line 16181">
              <a:extLst>
                <a:ext uri="{FF2B5EF4-FFF2-40B4-BE49-F238E27FC236}">
                  <a16:creationId xmlns:a16="http://schemas.microsoft.com/office/drawing/2014/main" id="{00000000-0008-0000-0700-000035572400}"/>
                </a:ext>
              </a:extLst>
            </xdr:cNvPr>
            <xdr:cNvSpPr>
              <a:spLocks noChangeShapeType="1"/>
            </xdr:cNvSpPr>
          </xdr:nvSpPr>
          <xdr:spPr bwMode="auto">
            <a:xfrm>
              <a:off x="4210" y="211"/>
              <a:ext cx="0" cy="27"/>
            </a:xfrm>
            <a:prstGeom prst="line">
              <a:avLst/>
            </a:prstGeom>
            <a:noFill/>
            <a:ln w="1905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81622" name="Line 16182">
              <a:extLst>
                <a:ext uri="{FF2B5EF4-FFF2-40B4-BE49-F238E27FC236}">
                  <a16:creationId xmlns:a16="http://schemas.microsoft.com/office/drawing/2014/main" id="{00000000-0008-0000-0700-000036572400}"/>
                </a:ext>
              </a:extLst>
            </xdr:cNvPr>
            <xdr:cNvSpPr>
              <a:spLocks noChangeShapeType="1"/>
            </xdr:cNvSpPr>
          </xdr:nvSpPr>
          <xdr:spPr bwMode="auto">
            <a:xfrm>
              <a:off x="4198" y="236"/>
              <a:ext cx="25" cy="5"/>
            </a:xfrm>
            <a:prstGeom prst="line">
              <a:avLst/>
            </a:prstGeom>
            <a:noFill/>
            <a:ln w="1905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81623" name="Line 16183">
              <a:extLst>
                <a:ext uri="{FF2B5EF4-FFF2-40B4-BE49-F238E27FC236}">
                  <a16:creationId xmlns:a16="http://schemas.microsoft.com/office/drawing/2014/main" id="{00000000-0008-0000-0700-000037572400}"/>
                </a:ext>
              </a:extLst>
            </xdr:cNvPr>
            <xdr:cNvSpPr>
              <a:spLocks noChangeShapeType="1"/>
            </xdr:cNvSpPr>
          </xdr:nvSpPr>
          <xdr:spPr bwMode="auto">
            <a:xfrm>
              <a:off x="4211" y="207"/>
              <a:ext cx="14" cy="3"/>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81624" name="Line 16184">
              <a:extLst>
                <a:ext uri="{FF2B5EF4-FFF2-40B4-BE49-F238E27FC236}">
                  <a16:creationId xmlns:a16="http://schemas.microsoft.com/office/drawing/2014/main" id="{00000000-0008-0000-0700-000038572400}"/>
                </a:ext>
              </a:extLst>
            </xdr:cNvPr>
            <xdr:cNvSpPr>
              <a:spLocks noChangeShapeType="1"/>
            </xdr:cNvSpPr>
          </xdr:nvSpPr>
          <xdr:spPr bwMode="auto">
            <a:xfrm flipV="1">
              <a:off x="4225" y="203"/>
              <a:ext cx="0" cy="7"/>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81625" name="Line 16185">
              <a:extLst>
                <a:ext uri="{FF2B5EF4-FFF2-40B4-BE49-F238E27FC236}">
                  <a16:creationId xmlns:a16="http://schemas.microsoft.com/office/drawing/2014/main" id="{00000000-0008-0000-0700-000039572400}"/>
                </a:ext>
              </a:extLst>
            </xdr:cNvPr>
            <xdr:cNvSpPr>
              <a:spLocks noChangeShapeType="1"/>
            </xdr:cNvSpPr>
          </xdr:nvSpPr>
          <xdr:spPr bwMode="auto">
            <a:xfrm>
              <a:off x="4225" y="203"/>
              <a:ext cx="32" cy="23"/>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81629" name="Line 16189">
              <a:extLst>
                <a:ext uri="{FF2B5EF4-FFF2-40B4-BE49-F238E27FC236}">
                  <a16:creationId xmlns:a16="http://schemas.microsoft.com/office/drawing/2014/main" id="{00000000-0008-0000-0700-00003D572400}"/>
                </a:ext>
              </a:extLst>
            </xdr:cNvPr>
            <xdr:cNvSpPr>
              <a:spLocks noChangeShapeType="1"/>
            </xdr:cNvSpPr>
          </xdr:nvSpPr>
          <xdr:spPr bwMode="auto">
            <a:xfrm flipV="1">
              <a:off x="4247" y="231"/>
              <a:ext cx="47"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81630" name="Line 16190">
              <a:extLst>
                <a:ext uri="{FF2B5EF4-FFF2-40B4-BE49-F238E27FC236}">
                  <a16:creationId xmlns:a16="http://schemas.microsoft.com/office/drawing/2014/main" id="{00000000-0008-0000-0700-00003E572400}"/>
                </a:ext>
              </a:extLst>
            </xdr:cNvPr>
            <xdr:cNvSpPr>
              <a:spLocks noChangeShapeType="1"/>
            </xdr:cNvSpPr>
          </xdr:nvSpPr>
          <xdr:spPr bwMode="auto">
            <a:xfrm flipV="1">
              <a:off x="4247" y="226"/>
              <a:ext cx="1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81631" name="Line 16191">
              <a:extLst>
                <a:ext uri="{FF2B5EF4-FFF2-40B4-BE49-F238E27FC236}">
                  <a16:creationId xmlns:a16="http://schemas.microsoft.com/office/drawing/2014/main" id="{00000000-0008-0000-0700-00003F572400}"/>
                </a:ext>
              </a:extLst>
            </xdr:cNvPr>
            <xdr:cNvSpPr>
              <a:spLocks noChangeShapeType="1"/>
            </xdr:cNvSpPr>
          </xdr:nvSpPr>
          <xdr:spPr bwMode="auto">
            <a:xfrm>
              <a:off x="4247" y="226"/>
              <a:ext cx="0" cy="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grpSp>
      <xdr:grpSp>
        <xdr:nvGrpSpPr>
          <xdr:cNvPr id="2381674" name="Group 16234">
            <a:extLst>
              <a:ext uri="{FF2B5EF4-FFF2-40B4-BE49-F238E27FC236}">
                <a16:creationId xmlns:a16="http://schemas.microsoft.com/office/drawing/2014/main" id="{00000000-0008-0000-0700-00006A572400}"/>
              </a:ext>
            </a:extLst>
          </xdr:cNvPr>
          <xdr:cNvGrpSpPr>
            <a:grpSpLocks/>
          </xdr:cNvGrpSpPr>
        </xdr:nvGrpSpPr>
        <xdr:grpSpPr bwMode="auto">
          <a:xfrm>
            <a:off x="4210" y="245"/>
            <a:ext cx="104" cy="44"/>
            <a:chOff x="4210" y="245"/>
            <a:chExt cx="97" cy="44"/>
          </a:xfrm>
        </xdr:grpSpPr>
        <xdr:sp macro="" textlink="">
          <xdr:nvSpPr>
            <xdr:cNvPr id="2381634" name="Line 16194">
              <a:extLst>
                <a:ext uri="{FF2B5EF4-FFF2-40B4-BE49-F238E27FC236}">
                  <a16:creationId xmlns:a16="http://schemas.microsoft.com/office/drawing/2014/main" id="{00000000-0008-0000-0700-000042572400}"/>
                </a:ext>
              </a:extLst>
            </xdr:cNvPr>
            <xdr:cNvSpPr>
              <a:spLocks noChangeShapeType="1"/>
            </xdr:cNvSpPr>
          </xdr:nvSpPr>
          <xdr:spPr bwMode="auto">
            <a:xfrm flipV="1">
              <a:off x="4224" y="245"/>
              <a:ext cx="82"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81635" name="Line 16195">
              <a:extLst>
                <a:ext uri="{FF2B5EF4-FFF2-40B4-BE49-F238E27FC236}">
                  <a16:creationId xmlns:a16="http://schemas.microsoft.com/office/drawing/2014/main" id="{00000000-0008-0000-0700-000043572400}"/>
                </a:ext>
              </a:extLst>
            </xdr:cNvPr>
            <xdr:cNvSpPr>
              <a:spLocks noChangeShapeType="1"/>
            </xdr:cNvSpPr>
          </xdr:nvSpPr>
          <xdr:spPr bwMode="auto">
            <a:xfrm>
              <a:off x="4224" y="245"/>
              <a:ext cx="0" cy="1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81636" name="Line 16196">
              <a:extLst>
                <a:ext uri="{FF2B5EF4-FFF2-40B4-BE49-F238E27FC236}">
                  <a16:creationId xmlns:a16="http://schemas.microsoft.com/office/drawing/2014/main" id="{00000000-0008-0000-0700-000044572400}"/>
                </a:ext>
              </a:extLst>
            </xdr:cNvPr>
            <xdr:cNvSpPr>
              <a:spLocks noChangeShapeType="1"/>
            </xdr:cNvSpPr>
          </xdr:nvSpPr>
          <xdr:spPr bwMode="auto">
            <a:xfrm flipH="1">
              <a:off x="4210" y="256"/>
              <a:ext cx="25" cy="5"/>
            </a:xfrm>
            <a:prstGeom prst="line">
              <a:avLst/>
            </a:prstGeom>
            <a:noFill/>
            <a:ln w="1905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81637" name="Line 16197">
              <a:extLst>
                <a:ext uri="{FF2B5EF4-FFF2-40B4-BE49-F238E27FC236}">
                  <a16:creationId xmlns:a16="http://schemas.microsoft.com/office/drawing/2014/main" id="{00000000-0008-0000-0700-000045572400}"/>
                </a:ext>
              </a:extLst>
            </xdr:cNvPr>
            <xdr:cNvSpPr>
              <a:spLocks noChangeShapeType="1"/>
            </xdr:cNvSpPr>
          </xdr:nvSpPr>
          <xdr:spPr bwMode="auto">
            <a:xfrm flipH="1">
              <a:off x="4223" y="259"/>
              <a:ext cx="0" cy="27"/>
            </a:xfrm>
            <a:prstGeom prst="line">
              <a:avLst/>
            </a:prstGeom>
            <a:noFill/>
            <a:ln w="1905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81638" name="Line 16198">
              <a:extLst>
                <a:ext uri="{FF2B5EF4-FFF2-40B4-BE49-F238E27FC236}">
                  <a16:creationId xmlns:a16="http://schemas.microsoft.com/office/drawing/2014/main" id="{00000000-0008-0000-0700-000046572400}"/>
                </a:ext>
              </a:extLst>
            </xdr:cNvPr>
            <xdr:cNvSpPr>
              <a:spLocks noChangeShapeType="1"/>
            </xdr:cNvSpPr>
          </xdr:nvSpPr>
          <xdr:spPr bwMode="auto">
            <a:xfrm flipH="1">
              <a:off x="4210" y="284"/>
              <a:ext cx="25" cy="5"/>
            </a:xfrm>
            <a:prstGeom prst="line">
              <a:avLst/>
            </a:prstGeom>
            <a:noFill/>
            <a:ln w="1905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81639" name="Line 16199">
              <a:extLst>
                <a:ext uri="{FF2B5EF4-FFF2-40B4-BE49-F238E27FC236}">
                  <a16:creationId xmlns:a16="http://schemas.microsoft.com/office/drawing/2014/main" id="{00000000-0008-0000-0700-000047572400}"/>
                </a:ext>
              </a:extLst>
            </xdr:cNvPr>
            <xdr:cNvSpPr>
              <a:spLocks noChangeShapeType="1"/>
            </xdr:cNvSpPr>
          </xdr:nvSpPr>
          <xdr:spPr bwMode="auto">
            <a:xfrm flipH="1">
              <a:off x="4224" y="252"/>
              <a:ext cx="14" cy="3"/>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81640" name="Line 16200">
              <a:extLst>
                <a:ext uri="{FF2B5EF4-FFF2-40B4-BE49-F238E27FC236}">
                  <a16:creationId xmlns:a16="http://schemas.microsoft.com/office/drawing/2014/main" id="{00000000-0008-0000-0700-000048572400}"/>
                </a:ext>
              </a:extLst>
            </xdr:cNvPr>
            <xdr:cNvSpPr>
              <a:spLocks noChangeShapeType="1"/>
            </xdr:cNvSpPr>
          </xdr:nvSpPr>
          <xdr:spPr bwMode="auto">
            <a:xfrm flipV="1">
              <a:off x="4238" y="249"/>
              <a:ext cx="0" cy="3"/>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81641" name="Line 16201">
              <a:extLst>
                <a:ext uri="{FF2B5EF4-FFF2-40B4-BE49-F238E27FC236}">
                  <a16:creationId xmlns:a16="http://schemas.microsoft.com/office/drawing/2014/main" id="{00000000-0008-0000-0700-000049572400}"/>
                </a:ext>
              </a:extLst>
            </xdr:cNvPr>
            <xdr:cNvSpPr>
              <a:spLocks noChangeShapeType="1"/>
            </xdr:cNvSpPr>
          </xdr:nvSpPr>
          <xdr:spPr bwMode="auto">
            <a:xfrm>
              <a:off x="4238" y="249"/>
              <a:ext cx="32" cy="23"/>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81642" name="Line 16202">
              <a:extLst>
                <a:ext uri="{FF2B5EF4-FFF2-40B4-BE49-F238E27FC236}">
                  <a16:creationId xmlns:a16="http://schemas.microsoft.com/office/drawing/2014/main" id="{00000000-0008-0000-0700-00004A572400}"/>
                </a:ext>
              </a:extLst>
            </xdr:cNvPr>
            <xdr:cNvSpPr>
              <a:spLocks noChangeShapeType="1"/>
            </xdr:cNvSpPr>
          </xdr:nvSpPr>
          <xdr:spPr bwMode="auto">
            <a:xfrm flipV="1">
              <a:off x="4260" y="277"/>
              <a:ext cx="47"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81643" name="Line 16203">
              <a:extLst>
                <a:ext uri="{FF2B5EF4-FFF2-40B4-BE49-F238E27FC236}">
                  <a16:creationId xmlns:a16="http://schemas.microsoft.com/office/drawing/2014/main" id="{00000000-0008-0000-0700-00004B572400}"/>
                </a:ext>
              </a:extLst>
            </xdr:cNvPr>
            <xdr:cNvSpPr>
              <a:spLocks noChangeShapeType="1"/>
            </xdr:cNvSpPr>
          </xdr:nvSpPr>
          <xdr:spPr bwMode="auto">
            <a:xfrm flipV="1">
              <a:off x="4260" y="272"/>
              <a:ext cx="1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81644" name="Line 16204">
              <a:extLst>
                <a:ext uri="{FF2B5EF4-FFF2-40B4-BE49-F238E27FC236}">
                  <a16:creationId xmlns:a16="http://schemas.microsoft.com/office/drawing/2014/main" id="{00000000-0008-0000-0700-00004C572400}"/>
                </a:ext>
              </a:extLst>
            </xdr:cNvPr>
            <xdr:cNvSpPr>
              <a:spLocks noChangeShapeType="1"/>
            </xdr:cNvSpPr>
          </xdr:nvSpPr>
          <xdr:spPr bwMode="auto">
            <a:xfrm>
              <a:off x="4260" y="272"/>
              <a:ext cx="0" cy="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grpSp>
      <xdr:sp macro="" textlink="">
        <xdr:nvSpPr>
          <xdr:cNvPr id="2381646" name="Text Box 16206">
            <a:extLst>
              <a:ext uri="{FF2B5EF4-FFF2-40B4-BE49-F238E27FC236}">
                <a16:creationId xmlns:a16="http://schemas.microsoft.com/office/drawing/2014/main" id="{00000000-0008-0000-0700-00004E572400}"/>
              </a:ext>
            </a:extLst>
          </xdr:cNvPr>
          <xdr:cNvSpPr txBox="1">
            <a:spLocks noChangeArrowheads="1"/>
          </xdr:cNvSpPr>
        </xdr:nvSpPr>
        <xdr:spPr bwMode="auto">
          <a:xfrm>
            <a:off x="4227" y="207"/>
            <a:ext cx="85" cy="18"/>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27432" bIns="0" anchor="t" upright="1"/>
          <a:lstStyle/>
          <a:p>
            <a:pPr algn="ctr" rtl="0">
              <a:defRPr sz="1000"/>
            </a:pPr>
            <a:r>
              <a:rPr lang="en-US" sz="800" b="0" i="0" u="none" strike="noStrike" baseline="0">
                <a:solidFill>
                  <a:srgbClr val="000000"/>
                </a:solidFill>
                <a:latin typeface="Arial"/>
                <a:cs typeface="Arial"/>
              </a:rPr>
              <a:t>"+" Brg </a:t>
            </a:r>
            <a:r>
              <a:rPr lang="en-US" sz="1000" b="0" i="0" u="none" strike="noStrike" baseline="0">
                <a:solidFill>
                  <a:srgbClr val="000000"/>
                </a:solidFill>
                <a:latin typeface="Arial"/>
                <a:cs typeface="Arial"/>
              </a:rPr>
              <a:t>Slope</a:t>
            </a:r>
            <a:endParaRPr lang="en-US"/>
          </a:p>
        </xdr:txBody>
      </xdr:sp>
      <xdr:sp macro="" textlink="">
        <xdr:nvSpPr>
          <xdr:cNvPr id="2381647" name="Text Box 16207">
            <a:extLst>
              <a:ext uri="{FF2B5EF4-FFF2-40B4-BE49-F238E27FC236}">
                <a16:creationId xmlns:a16="http://schemas.microsoft.com/office/drawing/2014/main" id="{00000000-0008-0000-0700-00004F572400}"/>
              </a:ext>
            </a:extLst>
          </xdr:cNvPr>
          <xdr:cNvSpPr txBox="1">
            <a:spLocks noChangeArrowheads="1"/>
          </xdr:cNvSpPr>
        </xdr:nvSpPr>
        <xdr:spPr bwMode="auto">
          <a:xfrm>
            <a:off x="4227" y="296"/>
            <a:ext cx="85" cy="18"/>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27432" bIns="0" anchor="t" upright="1"/>
          <a:lstStyle/>
          <a:p>
            <a:pPr algn="ctr" rtl="0">
              <a:defRPr sz="1000"/>
            </a:pPr>
            <a:r>
              <a:rPr lang="en-US" sz="800" b="0" i="0" u="none" strike="noStrike" baseline="0">
                <a:solidFill>
                  <a:srgbClr val="000000"/>
                </a:solidFill>
                <a:latin typeface="Arial"/>
                <a:cs typeface="Arial"/>
              </a:rPr>
              <a:t>"-" Brg </a:t>
            </a:r>
            <a:r>
              <a:rPr lang="en-US" sz="1000" b="0" i="0" u="none" strike="noStrike" baseline="0">
                <a:solidFill>
                  <a:srgbClr val="000000"/>
                </a:solidFill>
                <a:latin typeface="Arial"/>
                <a:cs typeface="Arial"/>
              </a:rPr>
              <a:t>Slope</a:t>
            </a:r>
            <a:endParaRPr lang="en-US"/>
          </a:p>
        </xdr:txBody>
      </xdr:sp>
      <xdr:grpSp>
        <xdr:nvGrpSpPr>
          <xdr:cNvPr id="2381648" name="Group 16208">
            <a:extLst>
              <a:ext uri="{FF2B5EF4-FFF2-40B4-BE49-F238E27FC236}">
                <a16:creationId xmlns:a16="http://schemas.microsoft.com/office/drawing/2014/main" id="{00000000-0008-0000-0700-000050572400}"/>
              </a:ext>
            </a:extLst>
          </xdr:cNvPr>
          <xdr:cNvGrpSpPr>
            <a:grpSpLocks/>
          </xdr:cNvGrpSpPr>
        </xdr:nvGrpSpPr>
        <xdr:grpSpPr bwMode="auto">
          <a:xfrm flipH="1">
            <a:off x="4400" y="155"/>
            <a:ext cx="96" cy="42"/>
            <a:chOff x="4198" y="199"/>
            <a:chExt cx="96" cy="42"/>
          </a:xfrm>
        </xdr:grpSpPr>
        <xdr:sp macro="" textlink="">
          <xdr:nvSpPr>
            <xdr:cNvPr id="2381649" name="Line 16209">
              <a:extLst>
                <a:ext uri="{FF2B5EF4-FFF2-40B4-BE49-F238E27FC236}">
                  <a16:creationId xmlns:a16="http://schemas.microsoft.com/office/drawing/2014/main" id="{00000000-0008-0000-0700-000051572400}"/>
                </a:ext>
              </a:extLst>
            </xdr:cNvPr>
            <xdr:cNvSpPr>
              <a:spLocks noChangeShapeType="1"/>
            </xdr:cNvSpPr>
          </xdr:nvSpPr>
          <xdr:spPr bwMode="auto">
            <a:xfrm flipV="1">
              <a:off x="4211" y="199"/>
              <a:ext cx="82"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81650" name="Line 16210">
              <a:extLst>
                <a:ext uri="{FF2B5EF4-FFF2-40B4-BE49-F238E27FC236}">
                  <a16:creationId xmlns:a16="http://schemas.microsoft.com/office/drawing/2014/main" id="{00000000-0008-0000-0700-000052572400}"/>
                </a:ext>
              </a:extLst>
            </xdr:cNvPr>
            <xdr:cNvSpPr>
              <a:spLocks noChangeShapeType="1"/>
            </xdr:cNvSpPr>
          </xdr:nvSpPr>
          <xdr:spPr bwMode="auto">
            <a:xfrm>
              <a:off x="4211" y="199"/>
              <a:ext cx="0" cy="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81651" name="Line 16211">
              <a:extLst>
                <a:ext uri="{FF2B5EF4-FFF2-40B4-BE49-F238E27FC236}">
                  <a16:creationId xmlns:a16="http://schemas.microsoft.com/office/drawing/2014/main" id="{00000000-0008-0000-0700-000053572400}"/>
                </a:ext>
              </a:extLst>
            </xdr:cNvPr>
            <xdr:cNvSpPr>
              <a:spLocks noChangeShapeType="1"/>
            </xdr:cNvSpPr>
          </xdr:nvSpPr>
          <xdr:spPr bwMode="auto">
            <a:xfrm>
              <a:off x="4198" y="208"/>
              <a:ext cx="25" cy="5"/>
            </a:xfrm>
            <a:prstGeom prst="line">
              <a:avLst/>
            </a:prstGeom>
            <a:noFill/>
            <a:ln w="1905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81652" name="Line 16212">
              <a:extLst>
                <a:ext uri="{FF2B5EF4-FFF2-40B4-BE49-F238E27FC236}">
                  <a16:creationId xmlns:a16="http://schemas.microsoft.com/office/drawing/2014/main" id="{00000000-0008-0000-0700-000054572400}"/>
                </a:ext>
              </a:extLst>
            </xdr:cNvPr>
            <xdr:cNvSpPr>
              <a:spLocks noChangeShapeType="1"/>
            </xdr:cNvSpPr>
          </xdr:nvSpPr>
          <xdr:spPr bwMode="auto">
            <a:xfrm>
              <a:off x="4210" y="211"/>
              <a:ext cx="0" cy="27"/>
            </a:xfrm>
            <a:prstGeom prst="line">
              <a:avLst/>
            </a:prstGeom>
            <a:noFill/>
            <a:ln w="1905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81653" name="Line 16213">
              <a:extLst>
                <a:ext uri="{FF2B5EF4-FFF2-40B4-BE49-F238E27FC236}">
                  <a16:creationId xmlns:a16="http://schemas.microsoft.com/office/drawing/2014/main" id="{00000000-0008-0000-0700-000055572400}"/>
                </a:ext>
              </a:extLst>
            </xdr:cNvPr>
            <xdr:cNvSpPr>
              <a:spLocks noChangeShapeType="1"/>
            </xdr:cNvSpPr>
          </xdr:nvSpPr>
          <xdr:spPr bwMode="auto">
            <a:xfrm>
              <a:off x="4198" y="236"/>
              <a:ext cx="25" cy="5"/>
            </a:xfrm>
            <a:prstGeom prst="line">
              <a:avLst/>
            </a:prstGeom>
            <a:noFill/>
            <a:ln w="1905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81654" name="Line 16214">
              <a:extLst>
                <a:ext uri="{FF2B5EF4-FFF2-40B4-BE49-F238E27FC236}">
                  <a16:creationId xmlns:a16="http://schemas.microsoft.com/office/drawing/2014/main" id="{00000000-0008-0000-0700-000056572400}"/>
                </a:ext>
              </a:extLst>
            </xdr:cNvPr>
            <xdr:cNvSpPr>
              <a:spLocks noChangeShapeType="1"/>
            </xdr:cNvSpPr>
          </xdr:nvSpPr>
          <xdr:spPr bwMode="auto">
            <a:xfrm>
              <a:off x="4211" y="207"/>
              <a:ext cx="14" cy="3"/>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81655" name="Line 16215">
              <a:extLst>
                <a:ext uri="{FF2B5EF4-FFF2-40B4-BE49-F238E27FC236}">
                  <a16:creationId xmlns:a16="http://schemas.microsoft.com/office/drawing/2014/main" id="{00000000-0008-0000-0700-000057572400}"/>
                </a:ext>
              </a:extLst>
            </xdr:cNvPr>
            <xdr:cNvSpPr>
              <a:spLocks noChangeShapeType="1"/>
            </xdr:cNvSpPr>
          </xdr:nvSpPr>
          <xdr:spPr bwMode="auto">
            <a:xfrm flipV="1">
              <a:off x="4225" y="203"/>
              <a:ext cx="0" cy="7"/>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81656" name="Line 16216">
              <a:extLst>
                <a:ext uri="{FF2B5EF4-FFF2-40B4-BE49-F238E27FC236}">
                  <a16:creationId xmlns:a16="http://schemas.microsoft.com/office/drawing/2014/main" id="{00000000-0008-0000-0700-000058572400}"/>
                </a:ext>
              </a:extLst>
            </xdr:cNvPr>
            <xdr:cNvSpPr>
              <a:spLocks noChangeShapeType="1"/>
            </xdr:cNvSpPr>
          </xdr:nvSpPr>
          <xdr:spPr bwMode="auto">
            <a:xfrm>
              <a:off x="4225" y="203"/>
              <a:ext cx="32" cy="23"/>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81657" name="Line 16217">
              <a:extLst>
                <a:ext uri="{FF2B5EF4-FFF2-40B4-BE49-F238E27FC236}">
                  <a16:creationId xmlns:a16="http://schemas.microsoft.com/office/drawing/2014/main" id="{00000000-0008-0000-0700-000059572400}"/>
                </a:ext>
              </a:extLst>
            </xdr:cNvPr>
            <xdr:cNvSpPr>
              <a:spLocks noChangeShapeType="1"/>
            </xdr:cNvSpPr>
          </xdr:nvSpPr>
          <xdr:spPr bwMode="auto">
            <a:xfrm flipV="1">
              <a:off x="4247" y="231"/>
              <a:ext cx="47"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81658" name="Line 16218">
              <a:extLst>
                <a:ext uri="{FF2B5EF4-FFF2-40B4-BE49-F238E27FC236}">
                  <a16:creationId xmlns:a16="http://schemas.microsoft.com/office/drawing/2014/main" id="{00000000-0008-0000-0700-00005A572400}"/>
                </a:ext>
              </a:extLst>
            </xdr:cNvPr>
            <xdr:cNvSpPr>
              <a:spLocks noChangeShapeType="1"/>
            </xdr:cNvSpPr>
          </xdr:nvSpPr>
          <xdr:spPr bwMode="auto">
            <a:xfrm flipV="1">
              <a:off x="4247" y="226"/>
              <a:ext cx="1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81659" name="Line 16219">
              <a:extLst>
                <a:ext uri="{FF2B5EF4-FFF2-40B4-BE49-F238E27FC236}">
                  <a16:creationId xmlns:a16="http://schemas.microsoft.com/office/drawing/2014/main" id="{00000000-0008-0000-0700-00005B572400}"/>
                </a:ext>
              </a:extLst>
            </xdr:cNvPr>
            <xdr:cNvSpPr>
              <a:spLocks noChangeShapeType="1"/>
            </xdr:cNvSpPr>
          </xdr:nvSpPr>
          <xdr:spPr bwMode="auto">
            <a:xfrm>
              <a:off x="4247" y="226"/>
              <a:ext cx="0" cy="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grpSp>
      <xdr:grpSp>
        <xdr:nvGrpSpPr>
          <xdr:cNvPr id="2381675" name="Group 16235">
            <a:extLst>
              <a:ext uri="{FF2B5EF4-FFF2-40B4-BE49-F238E27FC236}">
                <a16:creationId xmlns:a16="http://schemas.microsoft.com/office/drawing/2014/main" id="{00000000-0008-0000-0700-00006B572400}"/>
              </a:ext>
            </a:extLst>
          </xdr:cNvPr>
          <xdr:cNvGrpSpPr>
            <a:grpSpLocks/>
          </xdr:cNvGrpSpPr>
        </xdr:nvGrpSpPr>
        <xdr:grpSpPr bwMode="auto">
          <a:xfrm>
            <a:off x="4399" y="245"/>
            <a:ext cx="97" cy="44"/>
            <a:chOff x="4392" y="245"/>
            <a:chExt cx="97" cy="44"/>
          </a:xfrm>
        </xdr:grpSpPr>
        <xdr:sp macro="" textlink="">
          <xdr:nvSpPr>
            <xdr:cNvPr id="2381661" name="Line 16221">
              <a:extLst>
                <a:ext uri="{FF2B5EF4-FFF2-40B4-BE49-F238E27FC236}">
                  <a16:creationId xmlns:a16="http://schemas.microsoft.com/office/drawing/2014/main" id="{00000000-0008-0000-0700-00005D572400}"/>
                </a:ext>
              </a:extLst>
            </xdr:cNvPr>
            <xdr:cNvSpPr>
              <a:spLocks noChangeShapeType="1"/>
            </xdr:cNvSpPr>
          </xdr:nvSpPr>
          <xdr:spPr bwMode="auto">
            <a:xfrm flipH="1" flipV="1">
              <a:off x="4393" y="245"/>
              <a:ext cx="82"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81662" name="Line 16222">
              <a:extLst>
                <a:ext uri="{FF2B5EF4-FFF2-40B4-BE49-F238E27FC236}">
                  <a16:creationId xmlns:a16="http://schemas.microsoft.com/office/drawing/2014/main" id="{00000000-0008-0000-0700-00005E572400}"/>
                </a:ext>
              </a:extLst>
            </xdr:cNvPr>
            <xdr:cNvSpPr>
              <a:spLocks noChangeShapeType="1"/>
            </xdr:cNvSpPr>
          </xdr:nvSpPr>
          <xdr:spPr bwMode="auto">
            <a:xfrm flipH="1">
              <a:off x="4475" y="245"/>
              <a:ext cx="0" cy="1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81663" name="Line 16223">
              <a:extLst>
                <a:ext uri="{FF2B5EF4-FFF2-40B4-BE49-F238E27FC236}">
                  <a16:creationId xmlns:a16="http://schemas.microsoft.com/office/drawing/2014/main" id="{00000000-0008-0000-0700-00005F572400}"/>
                </a:ext>
              </a:extLst>
            </xdr:cNvPr>
            <xdr:cNvSpPr>
              <a:spLocks noChangeShapeType="1"/>
            </xdr:cNvSpPr>
          </xdr:nvSpPr>
          <xdr:spPr bwMode="auto">
            <a:xfrm>
              <a:off x="4464" y="256"/>
              <a:ext cx="25" cy="5"/>
            </a:xfrm>
            <a:prstGeom prst="line">
              <a:avLst/>
            </a:prstGeom>
            <a:noFill/>
            <a:ln w="1905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81664" name="Line 16224">
              <a:extLst>
                <a:ext uri="{FF2B5EF4-FFF2-40B4-BE49-F238E27FC236}">
                  <a16:creationId xmlns:a16="http://schemas.microsoft.com/office/drawing/2014/main" id="{00000000-0008-0000-0700-000060572400}"/>
                </a:ext>
              </a:extLst>
            </xdr:cNvPr>
            <xdr:cNvSpPr>
              <a:spLocks noChangeShapeType="1"/>
            </xdr:cNvSpPr>
          </xdr:nvSpPr>
          <xdr:spPr bwMode="auto">
            <a:xfrm>
              <a:off x="4476" y="259"/>
              <a:ext cx="0" cy="27"/>
            </a:xfrm>
            <a:prstGeom prst="line">
              <a:avLst/>
            </a:prstGeom>
            <a:noFill/>
            <a:ln w="1905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81665" name="Line 16225">
              <a:extLst>
                <a:ext uri="{FF2B5EF4-FFF2-40B4-BE49-F238E27FC236}">
                  <a16:creationId xmlns:a16="http://schemas.microsoft.com/office/drawing/2014/main" id="{00000000-0008-0000-0700-000061572400}"/>
                </a:ext>
              </a:extLst>
            </xdr:cNvPr>
            <xdr:cNvSpPr>
              <a:spLocks noChangeShapeType="1"/>
            </xdr:cNvSpPr>
          </xdr:nvSpPr>
          <xdr:spPr bwMode="auto">
            <a:xfrm>
              <a:off x="4464" y="284"/>
              <a:ext cx="25" cy="5"/>
            </a:xfrm>
            <a:prstGeom prst="line">
              <a:avLst/>
            </a:prstGeom>
            <a:noFill/>
            <a:ln w="1905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81666" name="Line 16226">
              <a:extLst>
                <a:ext uri="{FF2B5EF4-FFF2-40B4-BE49-F238E27FC236}">
                  <a16:creationId xmlns:a16="http://schemas.microsoft.com/office/drawing/2014/main" id="{00000000-0008-0000-0700-000062572400}"/>
                </a:ext>
              </a:extLst>
            </xdr:cNvPr>
            <xdr:cNvSpPr>
              <a:spLocks noChangeShapeType="1"/>
            </xdr:cNvSpPr>
          </xdr:nvSpPr>
          <xdr:spPr bwMode="auto">
            <a:xfrm>
              <a:off x="4461" y="252"/>
              <a:ext cx="14" cy="3"/>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81667" name="Line 16227">
              <a:extLst>
                <a:ext uri="{FF2B5EF4-FFF2-40B4-BE49-F238E27FC236}">
                  <a16:creationId xmlns:a16="http://schemas.microsoft.com/office/drawing/2014/main" id="{00000000-0008-0000-0700-000063572400}"/>
                </a:ext>
              </a:extLst>
            </xdr:cNvPr>
            <xdr:cNvSpPr>
              <a:spLocks noChangeShapeType="1"/>
            </xdr:cNvSpPr>
          </xdr:nvSpPr>
          <xdr:spPr bwMode="auto">
            <a:xfrm flipH="1" flipV="1">
              <a:off x="4461" y="249"/>
              <a:ext cx="0" cy="3"/>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81668" name="Line 16228">
              <a:extLst>
                <a:ext uri="{FF2B5EF4-FFF2-40B4-BE49-F238E27FC236}">
                  <a16:creationId xmlns:a16="http://schemas.microsoft.com/office/drawing/2014/main" id="{00000000-0008-0000-0700-000064572400}"/>
                </a:ext>
              </a:extLst>
            </xdr:cNvPr>
            <xdr:cNvSpPr>
              <a:spLocks noChangeShapeType="1"/>
            </xdr:cNvSpPr>
          </xdr:nvSpPr>
          <xdr:spPr bwMode="auto">
            <a:xfrm flipH="1">
              <a:off x="4429" y="249"/>
              <a:ext cx="32" cy="23"/>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81669" name="Line 16229">
              <a:extLst>
                <a:ext uri="{FF2B5EF4-FFF2-40B4-BE49-F238E27FC236}">
                  <a16:creationId xmlns:a16="http://schemas.microsoft.com/office/drawing/2014/main" id="{00000000-0008-0000-0700-000065572400}"/>
                </a:ext>
              </a:extLst>
            </xdr:cNvPr>
            <xdr:cNvSpPr>
              <a:spLocks noChangeShapeType="1"/>
            </xdr:cNvSpPr>
          </xdr:nvSpPr>
          <xdr:spPr bwMode="auto">
            <a:xfrm flipH="1" flipV="1">
              <a:off x="4392" y="277"/>
              <a:ext cx="47"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81670" name="Line 16230">
              <a:extLst>
                <a:ext uri="{FF2B5EF4-FFF2-40B4-BE49-F238E27FC236}">
                  <a16:creationId xmlns:a16="http://schemas.microsoft.com/office/drawing/2014/main" id="{00000000-0008-0000-0700-000066572400}"/>
                </a:ext>
              </a:extLst>
            </xdr:cNvPr>
            <xdr:cNvSpPr>
              <a:spLocks noChangeShapeType="1"/>
            </xdr:cNvSpPr>
          </xdr:nvSpPr>
          <xdr:spPr bwMode="auto">
            <a:xfrm flipH="1" flipV="1">
              <a:off x="4429" y="272"/>
              <a:ext cx="1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81671" name="Line 16231">
              <a:extLst>
                <a:ext uri="{FF2B5EF4-FFF2-40B4-BE49-F238E27FC236}">
                  <a16:creationId xmlns:a16="http://schemas.microsoft.com/office/drawing/2014/main" id="{00000000-0008-0000-0700-000067572400}"/>
                </a:ext>
              </a:extLst>
            </xdr:cNvPr>
            <xdr:cNvSpPr>
              <a:spLocks noChangeShapeType="1"/>
            </xdr:cNvSpPr>
          </xdr:nvSpPr>
          <xdr:spPr bwMode="auto">
            <a:xfrm flipH="1">
              <a:off x="4439" y="272"/>
              <a:ext cx="0" cy="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grpSp>
      <xdr:sp macro="" textlink="">
        <xdr:nvSpPr>
          <xdr:cNvPr id="2381672" name="Text Box 16232">
            <a:extLst>
              <a:ext uri="{FF2B5EF4-FFF2-40B4-BE49-F238E27FC236}">
                <a16:creationId xmlns:a16="http://schemas.microsoft.com/office/drawing/2014/main" id="{00000000-0008-0000-0700-000068572400}"/>
              </a:ext>
            </a:extLst>
          </xdr:cNvPr>
          <xdr:cNvSpPr txBox="1">
            <a:spLocks noChangeArrowheads="1"/>
          </xdr:cNvSpPr>
        </xdr:nvSpPr>
        <xdr:spPr bwMode="auto">
          <a:xfrm>
            <a:off x="4405" y="207"/>
            <a:ext cx="85" cy="18"/>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27432" bIns="0" anchor="t" upright="1"/>
          <a:lstStyle/>
          <a:p>
            <a:pPr algn="ctr" rtl="0">
              <a:defRPr sz="1000"/>
            </a:pPr>
            <a:r>
              <a:rPr lang="en-US" sz="800" b="0" i="0" u="none" strike="noStrike" baseline="0">
                <a:solidFill>
                  <a:srgbClr val="000000"/>
                </a:solidFill>
                <a:latin typeface="Arial"/>
                <a:cs typeface="Arial"/>
              </a:rPr>
              <a:t>"+" Brg </a:t>
            </a:r>
            <a:r>
              <a:rPr lang="en-US" sz="1000" b="0" i="0" u="none" strike="noStrike" baseline="0">
                <a:solidFill>
                  <a:srgbClr val="000000"/>
                </a:solidFill>
                <a:latin typeface="Arial"/>
                <a:cs typeface="Arial"/>
              </a:rPr>
              <a:t>Slope</a:t>
            </a:r>
            <a:endParaRPr lang="en-US"/>
          </a:p>
        </xdr:txBody>
      </xdr:sp>
      <xdr:sp macro="" textlink="">
        <xdr:nvSpPr>
          <xdr:cNvPr id="2381673" name="Text Box 16233">
            <a:extLst>
              <a:ext uri="{FF2B5EF4-FFF2-40B4-BE49-F238E27FC236}">
                <a16:creationId xmlns:a16="http://schemas.microsoft.com/office/drawing/2014/main" id="{00000000-0008-0000-0700-000069572400}"/>
              </a:ext>
            </a:extLst>
          </xdr:cNvPr>
          <xdr:cNvSpPr txBox="1">
            <a:spLocks noChangeArrowheads="1"/>
          </xdr:cNvSpPr>
        </xdr:nvSpPr>
        <xdr:spPr bwMode="auto">
          <a:xfrm>
            <a:off x="4405" y="296"/>
            <a:ext cx="85" cy="18"/>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27432" bIns="0" anchor="t" upright="1"/>
          <a:lstStyle/>
          <a:p>
            <a:pPr algn="ctr" rtl="0">
              <a:defRPr sz="1000"/>
            </a:pPr>
            <a:r>
              <a:rPr lang="en-US" sz="800" b="0" i="0" u="none" strike="noStrike" baseline="0">
                <a:solidFill>
                  <a:srgbClr val="000000"/>
                </a:solidFill>
                <a:latin typeface="Arial"/>
                <a:cs typeface="Arial"/>
              </a:rPr>
              <a:t>"-" Brg </a:t>
            </a:r>
            <a:r>
              <a:rPr lang="en-US" sz="1000" b="0" i="0" u="none" strike="noStrike" baseline="0">
                <a:solidFill>
                  <a:srgbClr val="000000"/>
                </a:solidFill>
                <a:latin typeface="Arial"/>
                <a:cs typeface="Arial"/>
              </a:rPr>
              <a:t>Slope</a:t>
            </a:r>
            <a:endParaRPr lang="en-US"/>
          </a:p>
        </xdr:txBody>
      </xdr:sp>
    </xdr:grpSp>
    <xdr:clientData/>
  </xdr:twoCellAnchor>
  <xdr:twoCellAnchor editAs="absolute">
    <xdr:from>
      <xdr:col>28</xdr:col>
      <xdr:colOff>104775</xdr:colOff>
      <xdr:row>0</xdr:row>
      <xdr:rowOff>0</xdr:rowOff>
    </xdr:from>
    <xdr:to>
      <xdr:col>36</xdr:col>
      <xdr:colOff>228600</xdr:colOff>
      <xdr:row>3</xdr:row>
      <xdr:rowOff>142875</xdr:rowOff>
    </xdr:to>
    <xdr:pic>
      <xdr:nvPicPr>
        <xdr:cNvPr id="2381720" name="Picture 16280" descr="newmill_black_logo">
          <a:extLst>
            <a:ext uri="{FF2B5EF4-FFF2-40B4-BE49-F238E27FC236}">
              <a16:creationId xmlns:a16="http://schemas.microsoft.com/office/drawing/2014/main" id="{00000000-0008-0000-0700-0000985724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486900" y="0"/>
          <a:ext cx="2057400" cy="647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27</xdr:col>
      <xdr:colOff>14287</xdr:colOff>
      <xdr:row>0</xdr:row>
      <xdr:rowOff>9525</xdr:rowOff>
    </xdr:from>
    <xdr:to>
      <xdr:col>27</xdr:col>
      <xdr:colOff>14287</xdr:colOff>
      <xdr:row>45</xdr:row>
      <xdr:rowOff>9525</xdr:rowOff>
    </xdr:to>
    <xdr:sp macro="" textlink="">
      <xdr:nvSpPr>
        <xdr:cNvPr id="909339" name="Line 27">
          <a:extLst>
            <a:ext uri="{FF2B5EF4-FFF2-40B4-BE49-F238E27FC236}">
              <a16:creationId xmlns:a16="http://schemas.microsoft.com/office/drawing/2014/main" id="{00000000-0008-0000-0700-00001BE00D00}"/>
            </a:ext>
          </a:extLst>
        </xdr:cNvPr>
        <xdr:cNvSpPr>
          <a:spLocks noChangeShapeType="1"/>
        </xdr:cNvSpPr>
      </xdr:nvSpPr>
      <xdr:spPr bwMode="auto">
        <a:xfrm>
          <a:off x="9043987" y="9525"/>
          <a:ext cx="0" cy="6829425"/>
        </a:xfrm>
        <a:prstGeom prst="line">
          <a:avLst/>
        </a:prstGeom>
        <a:noFill/>
        <a:ln w="15875">
          <a:solidFill>
            <a:srgbClr xmlns:mc="http://schemas.openxmlformats.org/markup-compatibility/2006" xmlns:a14="http://schemas.microsoft.com/office/drawing/2010/main" val="3366FF" mc:Ignorable="a14" a14:legacySpreadsheetColorIndex="48"/>
          </a:solidFill>
          <a:round/>
          <a:headEnd/>
          <a:tailEnd/>
        </a:ln>
        <a:extLst>
          <a:ext uri="{909E8E84-426E-40DD-AFC4-6F175D3DCCD1}">
            <a14:hiddenFill xmlns:a14="http://schemas.microsoft.com/office/drawing/2010/main">
              <a:noFill/>
            </a14:hiddenFill>
          </a:ext>
        </a:extLst>
      </xdr:spPr>
    </xdr:sp>
    <xdr:clientData fPrintsWithSheet="0"/>
  </xdr:twoCellAnchor>
  <xdr:twoCellAnchor>
    <xdr:from>
      <xdr:col>165</xdr:col>
      <xdr:colOff>114300</xdr:colOff>
      <xdr:row>0</xdr:row>
      <xdr:rowOff>95250</xdr:rowOff>
    </xdr:from>
    <xdr:to>
      <xdr:col>168</xdr:col>
      <xdr:colOff>57150</xdr:colOff>
      <xdr:row>14</xdr:row>
      <xdr:rowOff>123825</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61398150" y="95250"/>
          <a:ext cx="1685925" cy="2133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strike="sngStrike" baseline="0">
              <a:latin typeface="Arial" panose="020B0604020202020204" pitchFamily="34" charset="0"/>
              <a:cs typeface="Arial" panose="020B0604020202020204" pitchFamily="34" charset="0"/>
            </a:rPr>
            <a:t>Add conditional formatting to "User Input" and "Trad" fields.</a:t>
          </a:r>
        </a:p>
        <a:p>
          <a:endParaRPr lang="en-US" sz="800">
            <a:latin typeface="Arial" panose="020B0604020202020204" pitchFamily="34" charset="0"/>
            <a:cs typeface="Arial" panose="020B0604020202020204" pitchFamily="34" charset="0"/>
          </a:endParaRPr>
        </a:p>
        <a:p>
          <a:r>
            <a:rPr lang="en-US" sz="800" strike="sngStrike">
              <a:latin typeface="Arial" panose="020B0604020202020204" pitchFamily="34" charset="0"/>
              <a:cs typeface="Arial" panose="020B0604020202020204" pitchFamily="34" charset="0"/>
            </a:rPr>
            <a:t>Look for string</a:t>
          </a:r>
          <a:r>
            <a:rPr lang="en-US" sz="800" strike="sngStrike" baseline="0">
              <a:latin typeface="Arial" panose="020B0604020202020204" pitchFamily="34" charset="0"/>
              <a:cs typeface="Arial" panose="020B0604020202020204" pitchFamily="34" charset="0"/>
            </a:rPr>
            <a:t> other than "#??" in inch column?</a:t>
          </a:r>
        </a:p>
        <a:p>
          <a:endParaRPr lang="en-US" sz="800" strike="sngStrike" baseline="0">
            <a:latin typeface="Arial" panose="020B0604020202020204" pitchFamily="34" charset="0"/>
            <a:cs typeface="Arial" panose="020B0604020202020204" pitchFamily="34" charset="0"/>
          </a:endParaRPr>
        </a:p>
        <a:p>
          <a:r>
            <a:rPr lang="en-US" sz="800" strike="sngStrike" baseline="0">
              <a:latin typeface="Arial" panose="020B0604020202020204" pitchFamily="34" charset="0"/>
              <a:cs typeface="Arial" panose="020B0604020202020204" pitchFamily="34" charset="0"/>
            </a:rPr>
            <a:t>Also, look for a "#" number that exceeds the number of joist spaces ("N" in designation) minus one.....</a:t>
          </a:r>
        </a:p>
        <a:p>
          <a:endParaRPr lang="en-US" sz="800" strike="sngStrike" baseline="0">
            <a:latin typeface="Arial" panose="020B0604020202020204" pitchFamily="34" charset="0"/>
            <a:cs typeface="Arial" panose="020B0604020202020204" pitchFamily="34" charset="0"/>
          </a:endParaRPr>
        </a:p>
        <a:p>
          <a:r>
            <a:rPr lang="en-US" sz="800" baseline="0">
              <a:solidFill>
                <a:schemeClr val="dk1"/>
              </a:solidFill>
              <a:effectLst/>
              <a:latin typeface="Arial" panose="020B0604020202020204" pitchFamily="34" charset="0"/>
              <a:ea typeface="+mn-ea"/>
              <a:cs typeface="Arial" panose="020B0604020202020204" pitchFamily="34" charset="0"/>
            </a:rPr>
            <a:t>Validate P#?? location against "??N"-1.</a:t>
          </a:r>
        </a:p>
        <a:p>
          <a:endParaRPr lang="en-US" sz="800">
            <a:effectLst/>
            <a:latin typeface="Arial" panose="020B0604020202020204" pitchFamily="34" charset="0"/>
            <a:cs typeface="Arial" panose="020B0604020202020204" pitchFamily="34" charset="0"/>
          </a:endParaRPr>
        </a:p>
        <a:p>
          <a:r>
            <a:rPr lang="en-US" sz="800" baseline="0">
              <a:solidFill>
                <a:schemeClr val="dk1"/>
              </a:solidFill>
              <a:effectLst/>
              <a:latin typeface="Arial" panose="020B0604020202020204" pitchFamily="34" charset="0"/>
              <a:ea typeface="+mn-ea"/>
              <a:cs typeface="Arial" panose="020B0604020202020204" pitchFamily="34" charset="0"/>
            </a:rPr>
            <a:t>Validate dimensional location against girder OL dimension?</a:t>
          </a:r>
          <a:endParaRPr lang="en-US" sz="800">
            <a:effectLst/>
            <a:latin typeface="Arial" panose="020B0604020202020204" pitchFamily="34" charset="0"/>
            <a:cs typeface="Arial" panose="020B0604020202020204" pitchFamily="34" charset="0"/>
          </a:endParaRPr>
        </a:p>
        <a:p>
          <a:endParaRPr lang="en-US" sz="800">
            <a:latin typeface="Arial" panose="020B0604020202020204" pitchFamily="34" charset="0"/>
            <a:cs typeface="Arial" panose="020B0604020202020204" pitchFamily="34" charset="0"/>
          </a:endParaRPr>
        </a:p>
        <a:p>
          <a:endParaRPr lang="en-US" sz="800">
            <a:latin typeface="Arial" panose="020B0604020202020204" pitchFamily="34" charset="0"/>
            <a:cs typeface="Arial" panose="020B0604020202020204" pitchFamily="34" charset="0"/>
          </a:endParaRPr>
        </a:p>
      </xdr:txBody>
    </xdr:sp>
    <xdr:clientData/>
  </xdr:twoCellAnchor>
  <xdr:twoCellAnchor>
    <xdr:from>
      <xdr:col>5</xdr:col>
      <xdr:colOff>0</xdr:colOff>
      <xdr:row>82</xdr:row>
      <xdr:rowOff>0</xdr:rowOff>
    </xdr:from>
    <xdr:to>
      <xdr:col>23</xdr:col>
      <xdr:colOff>276225</xdr:colOff>
      <xdr:row>85</xdr:row>
      <xdr:rowOff>85725</xdr:rowOff>
    </xdr:to>
    <xdr:sp macro="" textlink="">
      <xdr:nvSpPr>
        <xdr:cNvPr id="115" name="TextBox 114">
          <a:extLst>
            <a:ext uri="{FF2B5EF4-FFF2-40B4-BE49-F238E27FC236}">
              <a16:creationId xmlns:a16="http://schemas.microsoft.com/office/drawing/2014/main" id="{00000000-0008-0000-0700-000073000000}"/>
            </a:ext>
          </a:extLst>
        </xdr:cNvPr>
        <xdr:cNvSpPr txBox="1"/>
      </xdr:nvSpPr>
      <xdr:spPr>
        <a:xfrm>
          <a:off x="2257425" y="12763500"/>
          <a:ext cx="4914900" cy="5429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Row</a:t>
          </a:r>
          <a:r>
            <a:rPr lang="en-US" sz="1100" baseline="0"/>
            <a:t> 87 </a:t>
          </a:r>
          <a:r>
            <a:rPr lang="en-US" sz="1100"/>
            <a:t>TCXL/R contains conditional formatting for TCX&lt;2"</a:t>
          </a:r>
          <a:r>
            <a:rPr lang="en-US" sz="1100" baseline="0"/>
            <a:t> and TCX Type="X"......</a:t>
          </a:r>
          <a:endParaRPr lang="en-US" sz="1100"/>
        </a:p>
      </xdr:txBody>
    </xdr:sp>
    <xdr:clientData/>
  </xdr:twoCellAnchor>
  <xdr:twoCellAnchor>
    <xdr:from>
      <xdr:col>79</xdr:col>
      <xdr:colOff>276241</xdr:colOff>
      <xdr:row>0</xdr:row>
      <xdr:rowOff>95250</xdr:rowOff>
    </xdr:from>
    <xdr:to>
      <xdr:col>85</xdr:col>
      <xdr:colOff>9541</xdr:colOff>
      <xdr:row>5</xdr:row>
      <xdr:rowOff>123825</xdr:rowOff>
    </xdr:to>
    <xdr:sp macro="" textlink="">
      <xdr:nvSpPr>
        <xdr:cNvPr id="116" name="Text Box 176">
          <a:extLst>
            <a:ext uri="{FF2B5EF4-FFF2-40B4-BE49-F238E27FC236}">
              <a16:creationId xmlns:a16="http://schemas.microsoft.com/office/drawing/2014/main" id="{00000000-0008-0000-0700-000074000000}"/>
            </a:ext>
          </a:extLst>
        </xdr:cNvPr>
        <xdr:cNvSpPr txBox="1">
          <a:spLocks noChangeArrowheads="1"/>
        </xdr:cNvSpPr>
      </xdr:nvSpPr>
      <xdr:spPr bwMode="auto">
        <a:xfrm>
          <a:off x="18859516" y="95250"/>
          <a:ext cx="3286125" cy="857250"/>
        </a:xfrm>
        <a:prstGeom prst="rect">
          <a:avLst/>
        </a:prstGeom>
        <a:solidFill>
          <a:srgbClr val="66FFFF"/>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en-US" sz="800" b="1" i="0" u="sng" strike="noStrike" baseline="0">
              <a:solidFill>
                <a:srgbClr val="000000"/>
              </a:solidFill>
              <a:latin typeface="Arial"/>
              <a:cs typeface="Arial"/>
            </a:rPr>
            <a:t>Detailer Note:</a:t>
          </a:r>
        </a:p>
        <a:p>
          <a:pPr algn="l" rtl="0">
            <a:defRPr sz="1000"/>
          </a:pPr>
          <a:r>
            <a:rPr lang="en-US" sz="800" b="0" i="0" u="none" strike="noStrike" baseline="0">
              <a:solidFill>
                <a:srgbClr val="000000"/>
              </a:solidFill>
              <a:latin typeface="Arial"/>
              <a:cs typeface="Arial"/>
            </a:rPr>
            <a:t>If a cell is highlighted (background color) in a bright Blue outline, this indicates that the User Input value for that cell </a:t>
          </a:r>
          <a:r>
            <a:rPr lang="en-US" sz="800" b="1" i="0" u="none" strike="noStrike" baseline="0">
              <a:solidFill>
                <a:srgbClr val="000000"/>
              </a:solidFill>
              <a:latin typeface="Arial"/>
              <a:cs typeface="Arial"/>
            </a:rPr>
            <a:t>does not match</a:t>
          </a:r>
          <a:r>
            <a:rPr lang="en-US" sz="800" b="0" i="0" u="none" strike="noStrike" baseline="0">
              <a:solidFill>
                <a:srgbClr val="000000"/>
              </a:solidFill>
              <a:latin typeface="Arial"/>
              <a:cs typeface="Arial"/>
            </a:rPr>
            <a:t> the value that JDS is reporting.</a:t>
          </a:r>
        </a:p>
        <a:p>
          <a:pPr algn="l" rtl="0">
            <a:defRPr sz="1000"/>
          </a:pPr>
          <a:r>
            <a:rPr lang="en-US" sz="800" b="0" i="0" u="none" strike="noStrike" baseline="0">
              <a:solidFill>
                <a:srgbClr val="000000"/>
              </a:solidFill>
              <a:latin typeface="Arial"/>
              <a:cs typeface="Arial"/>
            </a:rPr>
            <a:t> - In other words, highlighted values have been modified by the user and should be closely checked.</a:t>
          </a:r>
          <a:endParaRPr lang="en-US"/>
        </a:p>
      </xdr:txBody>
    </xdr:sp>
    <xdr:clientData/>
  </xdr:twoCellAnchor>
  <xdr:twoCellAnchor>
    <xdr:from>
      <xdr:col>79</xdr:col>
      <xdr:colOff>276241</xdr:colOff>
      <xdr:row>5</xdr:row>
      <xdr:rowOff>123801</xdr:rowOff>
    </xdr:from>
    <xdr:to>
      <xdr:col>85</xdr:col>
      <xdr:colOff>9541</xdr:colOff>
      <xdr:row>10</xdr:row>
      <xdr:rowOff>28609</xdr:rowOff>
    </xdr:to>
    <xdr:sp macro="" textlink="">
      <xdr:nvSpPr>
        <xdr:cNvPr id="117" name="Text Box 180">
          <a:extLst>
            <a:ext uri="{FF2B5EF4-FFF2-40B4-BE49-F238E27FC236}">
              <a16:creationId xmlns:a16="http://schemas.microsoft.com/office/drawing/2014/main" id="{00000000-0008-0000-0700-000075000000}"/>
            </a:ext>
          </a:extLst>
        </xdr:cNvPr>
        <xdr:cNvSpPr txBox="1">
          <a:spLocks noChangeArrowheads="1"/>
        </xdr:cNvSpPr>
      </xdr:nvSpPr>
      <xdr:spPr bwMode="auto">
        <a:xfrm>
          <a:off x="18859516" y="952476"/>
          <a:ext cx="3286125" cy="562033"/>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en-US" sz="800" b="1" i="0" u="none" strike="noStrike" baseline="0">
              <a:solidFill>
                <a:srgbClr val="000000"/>
              </a:solidFill>
              <a:latin typeface="Arial"/>
              <a:cs typeface="Arial"/>
            </a:rPr>
            <a:t>Detailer Note:</a:t>
          </a:r>
        </a:p>
        <a:p>
          <a:pPr algn="l" rtl="0">
            <a:defRPr sz="1000"/>
          </a:pPr>
          <a:r>
            <a:rPr lang="en-US" sz="800" b="0" i="0" u="none" strike="noStrike" baseline="0">
              <a:solidFill>
                <a:srgbClr val="000000"/>
              </a:solidFill>
              <a:latin typeface="Arial"/>
              <a:cs typeface="Arial"/>
            </a:rPr>
            <a:t>If any values are </a:t>
          </a:r>
          <a:r>
            <a:rPr lang="en-US" sz="800" b="1" i="0" u="none" strike="noStrike" baseline="0">
              <a:solidFill>
                <a:srgbClr val="FF0000"/>
              </a:solidFill>
              <a:latin typeface="Arial"/>
              <a:cs typeface="Arial"/>
            </a:rPr>
            <a:t>bold red</a:t>
          </a:r>
          <a:r>
            <a:rPr lang="en-US" sz="800" b="0" i="0" u="none" strike="noStrike" baseline="0">
              <a:solidFill>
                <a:srgbClr val="000000"/>
              </a:solidFill>
              <a:latin typeface="Arial"/>
              <a:cs typeface="Arial"/>
            </a:rPr>
            <a:t> in the User Input Area, please refer to the comments for that column for information regarding the condition that is being reported.</a:t>
          </a:r>
        </a:p>
      </xdr:txBody>
    </xdr:sp>
    <xdr:clientData/>
  </xdr:twoCellAnchor>
  <xdr:twoCellAnchor>
    <xdr:from>
      <xdr:col>79</xdr:col>
      <xdr:colOff>276225</xdr:colOff>
      <xdr:row>10</xdr:row>
      <xdr:rowOff>28595</xdr:rowOff>
    </xdr:from>
    <xdr:to>
      <xdr:col>85</xdr:col>
      <xdr:colOff>9525</xdr:colOff>
      <xdr:row>13</xdr:row>
      <xdr:rowOff>90522</xdr:rowOff>
    </xdr:to>
    <xdr:sp macro="" textlink="">
      <xdr:nvSpPr>
        <xdr:cNvPr id="118" name="Text Box 180">
          <a:extLst>
            <a:ext uri="{FF2B5EF4-FFF2-40B4-BE49-F238E27FC236}">
              <a16:creationId xmlns:a16="http://schemas.microsoft.com/office/drawing/2014/main" id="{00000000-0008-0000-0700-000076000000}"/>
            </a:ext>
          </a:extLst>
        </xdr:cNvPr>
        <xdr:cNvSpPr txBox="1">
          <a:spLocks noChangeArrowheads="1"/>
        </xdr:cNvSpPr>
      </xdr:nvSpPr>
      <xdr:spPr bwMode="auto">
        <a:xfrm>
          <a:off x="18859500" y="1514495"/>
          <a:ext cx="3286125" cy="528652"/>
        </a:xfrm>
        <a:prstGeom prst="rect">
          <a:avLst/>
        </a:prstGeom>
        <a:solidFill>
          <a:schemeClr val="bg1">
            <a:lumMod val="85000"/>
          </a:schemeClr>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en-US" sz="800" b="1" i="0" u="none" strike="noStrike" baseline="0">
              <a:solidFill>
                <a:srgbClr val="000000"/>
              </a:solidFill>
              <a:latin typeface="Arial"/>
              <a:cs typeface="Arial"/>
            </a:rPr>
            <a:t>Detailer Note:</a:t>
          </a:r>
        </a:p>
        <a:p>
          <a:pPr algn="l" rtl="0">
            <a:defRPr sz="1000"/>
          </a:pPr>
          <a:r>
            <a:rPr lang="en-US" sz="800" b="0" i="0" u="none" strike="noStrike" baseline="0">
              <a:solidFill>
                <a:srgbClr val="000000"/>
              </a:solidFill>
              <a:latin typeface="Arial"/>
              <a:cs typeface="Arial"/>
            </a:rPr>
            <a:t>If a cell's backgroound greyed out, the dimensions in the specified section will be used - no user input is required in those cells.</a:t>
          </a:r>
        </a:p>
        <a:p>
          <a:pPr algn="l" rtl="0">
            <a:defRPr sz="1000"/>
          </a:pPr>
          <a:r>
            <a:rPr lang="en-US" sz="800" b="0" i="0" u="none" strike="noStrike" baseline="0">
              <a:solidFill>
                <a:srgbClr val="000000"/>
              </a:solidFill>
              <a:latin typeface="Arial"/>
              <a:cs typeface="Arial"/>
            </a:rPr>
            <a:t> **Entering data in those cells MAY produce </a:t>
          </a:r>
          <a:r>
            <a:rPr lang="en-US" sz="800" b="1" i="0" u="sng" strike="noStrike" baseline="0">
              <a:solidFill>
                <a:srgbClr val="FF0000"/>
              </a:solidFill>
              <a:uFill>
                <a:solidFill>
                  <a:srgbClr val="FF0000"/>
                </a:solidFill>
              </a:uFill>
              <a:latin typeface="Arial"/>
              <a:cs typeface="Arial"/>
            </a:rPr>
            <a:t>unexpected results</a:t>
          </a:r>
          <a:r>
            <a:rPr lang="en-US" sz="800" b="0" i="0" u="none" strike="noStrike" baseline="0">
              <a:solidFill>
                <a:srgbClr val="000000"/>
              </a:solidFill>
              <a:latin typeface="Arial"/>
              <a:cs typeface="Arial"/>
            </a:rPr>
            <a:t>!!</a:t>
          </a:r>
          <a:endParaRPr lang="en-US"/>
        </a:p>
      </xdr:txBody>
    </xdr:sp>
    <xdr:clientData/>
  </xdr:twoCellAnchor>
  <xdr:twoCellAnchor>
    <xdr:from>
      <xdr:col>224</xdr:col>
      <xdr:colOff>152400</xdr:colOff>
      <xdr:row>52</xdr:row>
      <xdr:rowOff>10584</xdr:rowOff>
    </xdr:from>
    <xdr:to>
      <xdr:col>234</xdr:col>
      <xdr:colOff>514350</xdr:colOff>
      <xdr:row>72</xdr:row>
      <xdr:rowOff>63500</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98916067" y="7990417"/>
          <a:ext cx="6182783" cy="3016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Move All "Compare" Columns for Girders</a:t>
          </a:r>
          <a:r>
            <a:rPr lang="en-US" sz="1100" baseline="0"/>
            <a:t> to the right 9 columns:</a:t>
          </a:r>
        </a:p>
        <a:p>
          <a:r>
            <a:rPr lang="en-US" sz="1100" baseline="0"/>
            <a:t>Add 8 to all Cell(R,C) column references.</a:t>
          </a:r>
        </a:p>
        <a:p>
          <a:r>
            <a:rPr lang="en-US" sz="1100" baseline="0"/>
            <a:t>**I think only ranges are "lettered"</a:t>
          </a:r>
        </a:p>
        <a:p>
          <a:endParaRPr lang="en-US" sz="1100" baseline="0"/>
        </a:p>
        <a:p>
          <a:r>
            <a:rPr lang="en-US" sz="1100" baseline="0"/>
            <a:t>**Keep a "placeholder" on Trad for separating SP/LD Notes.</a:t>
          </a:r>
        </a:p>
        <a:p>
          <a:r>
            <a:rPr lang="en-US" sz="1100" baseline="0"/>
            <a:t>**With placeholder, "Page2" for Trad is identical between G and tblData pages</a:t>
          </a:r>
        </a:p>
        <a:p>
          <a:endParaRPr lang="en-US" sz="1100" baseline="0"/>
        </a:p>
        <a:p>
          <a:r>
            <a:rPr lang="en-US" sz="1100" baseline="0"/>
            <a:t>***Do same thing on tblData tab!!</a:t>
          </a:r>
          <a:endParaRPr 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editAs="absolute">
    <xdr:from>
      <xdr:col>1</xdr:col>
      <xdr:colOff>76200</xdr:colOff>
      <xdr:row>0</xdr:row>
      <xdr:rowOff>0</xdr:rowOff>
    </xdr:from>
    <xdr:to>
      <xdr:col>5</xdr:col>
      <xdr:colOff>285750</xdr:colOff>
      <xdr:row>3</xdr:row>
      <xdr:rowOff>142875</xdr:rowOff>
    </xdr:to>
    <xdr:pic>
      <xdr:nvPicPr>
        <xdr:cNvPr id="2449426" name="Picture 18" descr="newmill_black_logo">
          <a:extLst>
            <a:ext uri="{FF2B5EF4-FFF2-40B4-BE49-F238E27FC236}">
              <a16:creationId xmlns:a16="http://schemas.microsoft.com/office/drawing/2014/main" id="{00000000-0008-0000-0800-0000126025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57200" y="0"/>
          <a:ext cx="2057400" cy="647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22</xdr:col>
      <xdr:colOff>0</xdr:colOff>
      <xdr:row>0</xdr:row>
      <xdr:rowOff>0</xdr:rowOff>
    </xdr:from>
    <xdr:to>
      <xdr:col>22</xdr:col>
      <xdr:colOff>0</xdr:colOff>
      <xdr:row>3</xdr:row>
      <xdr:rowOff>133350</xdr:rowOff>
    </xdr:to>
    <xdr:sp macro="" textlink="">
      <xdr:nvSpPr>
        <xdr:cNvPr id="2449427" name="Line 19">
          <a:extLst>
            <a:ext uri="{FF2B5EF4-FFF2-40B4-BE49-F238E27FC236}">
              <a16:creationId xmlns:a16="http://schemas.microsoft.com/office/drawing/2014/main" id="{00000000-0008-0000-0800-000013602500}"/>
            </a:ext>
          </a:extLst>
        </xdr:cNvPr>
        <xdr:cNvSpPr>
          <a:spLocks noChangeShapeType="1"/>
        </xdr:cNvSpPr>
      </xdr:nvSpPr>
      <xdr:spPr bwMode="auto">
        <a:xfrm>
          <a:off x="6610350" y="0"/>
          <a:ext cx="0" cy="638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52</xdr:col>
      <xdr:colOff>0</xdr:colOff>
      <xdr:row>0</xdr:row>
      <xdr:rowOff>0</xdr:rowOff>
    </xdr:from>
    <xdr:to>
      <xdr:col>52</xdr:col>
      <xdr:colOff>0</xdr:colOff>
      <xdr:row>3</xdr:row>
      <xdr:rowOff>123825</xdr:rowOff>
    </xdr:to>
    <xdr:sp macro="" textlink="">
      <xdr:nvSpPr>
        <xdr:cNvPr id="2449428" name="Line 20">
          <a:extLst>
            <a:ext uri="{FF2B5EF4-FFF2-40B4-BE49-F238E27FC236}">
              <a16:creationId xmlns:a16="http://schemas.microsoft.com/office/drawing/2014/main" id="{00000000-0008-0000-0800-000014602500}"/>
            </a:ext>
          </a:extLst>
        </xdr:cNvPr>
        <xdr:cNvSpPr>
          <a:spLocks noChangeShapeType="1"/>
        </xdr:cNvSpPr>
      </xdr:nvSpPr>
      <xdr:spPr bwMode="auto">
        <a:xfrm>
          <a:off x="16021050" y="0"/>
          <a:ext cx="0" cy="6286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27</xdr:col>
      <xdr:colOff>7152</xdr:colOff>
      <xdr:row>0</xdr:row>
      <xdr:rowOff>0</xdr:rowOff>
    </xdr:from>
    <xdr:to>
      <xdr:col>27</xdr:col>
      <xdr:colOff>7152</xdr:colOff>
      <xdr:row>45</xdr:row>
      <xdr:rowOff>0</xdr:rowOff>
    </xdr:to>
    <xdr:sp macro="" textlink="">
      <xdr:nvSpPr>
        <xdr:cNvPr id="2449429" name="Line 21">
          <a:extLst>
            <a:ext uri="{FF2B5EF4-FFF2-40B4-BE49-F238E27FC236}">
              <a16:creationId xmlns:a16="http://schemas.microsoft.com/office/drawing/2014/main" id="{00000000-0008-0000-0800-000015602500}"/>
            </a:ext>
          </a:extLst>
        </xdr:cNvPr>
        <xdr:cNvSpPr>
          <a:spLocks noChangeShapeType="1"/>
        </xdr:cNvSpPr>
      </xdr:nvSpPr>
      <xdr:spPr bwMode="auto">
        <a:xfrm>
          <a:off x="9036852" y="0"/>
          <a:ext cx="0" cy="6829425"/>
        </a:xfrm>
        <a:prstGeom prst="line">
          <a:avLst/>
        </a:prstGeom>
        <a:noFill/>
        <a:ln w="15875">
          <a:solidFill>
            <a:srgbClr xmlns:mc="http://schemas.openxmlformats.org/markup-compatibility/2006" xmlns:a14="http://schemas.microsoft.com/office/drawing/2010/main" val="3366FF" mc:Ignorable="a14" a14:legacySpreadsheetColorIndex="48"/>
          </a:solidFill>
          <a:round/>
          <a:headEnd/>
          <a:tailEnd/>
        </a:ln>
        <a:extLst>
          <a:ext uri="{909E8E84-426E-40DD-AFC4-6F175D3DCCD1}">
            <a14:hiddenFill xmlns:a14="http://schemas.microsoft.com/office/drawing/2010/main">
              <a:noFill/>
            </a14:hiddenFill>
          </a:ext>
        </a:extLst>
      </xdr:spPr>
    </xdr:sp>
    <xdr:clientData fPrintsWithSheet="0"/>
  </xdr:twoCellAnchor>
  <xdr:twoCellAnchor>
    <xdr:from>
      <xdr:col>104</xdr:col>
      <xdr:colOff>300036</xdr:colOff>
      <xdr:row>6</xdr:row>
      <xdr:rowOff>9525</xdr:rowOff>
    </xdr:from>
    <xdr:to>
      <xdr:col>107</xdr:col>
      <xdr:colOff>133349</xdr:colOff>
      <xdr:row>11</xdr:row>
      <xdr:rowOff>42863</xdr:rowOff>
    </xdr:to>
    <xdr:sp macro="" textlink="">
      <xdr:nvSpPr>
        <xdr:cNvPr id="2449433" name="Text Box 25">
          <a:extLst>
            <a:ext uri="{FF2B5EF4-FFF2-40B4-BE49-F238E27FC236}">
              <a16:creationId xmlns:a16="http://schemas.microsoft.com/office/drawing/2014/main" id="{00000000-0008-0000-0800-000019602500}"/>
            </a:ext>
          </a:extLst>
        </xdr:cNvPr>
        <xdr:cNvSpPr txBox="1">
          <a:spLocks noChangeArrowheads="1"/>
        </xdr:cNvSpPr>
      </xdr:nvSpPr>
      <xdr:spPr bwMode="auto">
        <a:xfrm>
          <a:off x="32494536" y="1000125"/>
          <a:ext cx="1376363" cy="576263"/>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27432" bIns="0" anchor="t" upright="1"/>
        <a:lstStyle/>
        <a:p>
          <a:pPr algn="ctr" rtl="0">
            <a:defRPr sz="1000"/>
          </a:pPr>
          <a:r>
            <a:rPr lang="en-US" sz="900" b="0" i="0" u="none" strike="noStrike" baseline="0">
              <a:solidFill>
                <a:srgbClr val="000000"/>
              </a:solidFill>
              <a:latin typeface="Arial"/>
              <a:cs typeface="Arial"/>
            </a:rPr>
            <a:t>Notes:</a:t>
          </a:r>
          <a:endParaRPr lang="en-US" sz="800" b="0" i="0" u="none" strike="noStrike" baseline="0">
            <a:solidFill>
              <a:srgbClr val="000000"/>
            </a:solidFill>
            <a:latin typeface="Arial"/>
            <a:cs typeface="Arial"/>
          </a:endParaRPr>
        </a:p>
        <a:p>
          <a:pPr algn="ctr" rtl="0">
            <a:defRPr sz="1000"/>
          </a:pPr>
          <a:r>
            <a:rPr lang="en-US" sz="800" b="0" i="0" u="none" strike="noStrike" baseline="0">
              <a:solidFill>
                <a:srgbClr val="FF0000"/>
              </a:solidFill>
              <a:latin typeface="Arial"/>
              <a:cs typeface="Arial"/>
            </a:rPr>
            <a:t>No "( )" or "[ ]" required.</a:t>
          </a:r>
        </a:p>
        <a:p>
          <a:pPr algn="ctr" rtl="0">
            <a:defRPr sz="1000"/>
          </a:pPr>
          <a:r>
            <a:rPr lang="en-US" sz="800" b="0" i="0" u="none" strike="noStrike" baseline="0">
              <a:solidFill>
                <a:srgbClr val="000000"/>
              </a:solidFill>
              <a:latin typeface="Arial"/>
              <a:cs typeface="Arial"/>
            </a:rPr>
            <a:t>comma delimited.</a:t>
          </a:r>
          <a:endParaRPr lang="en-US"/>
        </a:p>
      </xdr:txBody>
    </xdr:sp>
    <xdr:clientData/>
  </xdr:twoCellAnchor>
  <xdr:twoCellAnchor editAs="absolute">
    <xdr:from>
      <xdr:col>28</xdr:col>
      <xdr:colOff>104775</xdr:colOff>
      <xdr:row>0</xdr:row>
      <xdr:rowOff>0</xdr:rowOff>
    </xdr:from>
    <xdr:to>
      <xdr:col>36</xdr:col>
      <xdr:colOff>228600</xdr:colOff>
      <xdr:row>3</xdr:row>
      <xdr:rowOff>142875</xdr:rowOff>
    </xdr:to>
    <xdr:pic>
      <xdr:nvPicPr>
        <xdr:cNvPr id="2449534" name="Picture 126" descr="newmill_black_logo">
          <a:extLst>
            <a:ext uri="{FF2B5EF4-FFF2-40B4-BE49-F238E27FC236}">
              <a16:creationId xmlns:a16="http://schemas.microsoft.com/office/drawing/2014/main" id="{00000000-0008-0000-0800-00007E6025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486900" y="0"/>
          <a:ext cx="2057400" cy="647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84</xdr:col>
      <xdr:colOff>104775</xdr:colOff>
      <xdr:row>0</xdr:row>
      <xdr:rowOff>104775</xdr:rowOff>
    </xdr:from>
    <xdr:to>
      <xdr:col>94</xdr:col>
      <xdr:colOff>66675</xdr:colOff>
      <xdr:row>4</xdr:row>
      <xdr:rowOff>104775</xdr:rowOff>
    </xdr:to>
    <xdr:sp macro="" textlink="">
      <xdr:nvSpPr>
        <xdr:cNvPr id="2449547" name="Text Box 139">
          <a:extLst>
            <a:ext uri="{FF2B5EF4-FFF2-40B4-BE49-F238E27FC236}">
              <a16:creationId xmlns:a16="http://schemas.microsoft.com/office/drawing/2014/main" id="{00000000-0008-0000-0800-00008B602500}"/>
            </a:ext>
          </a:extLst>
        </xdr:cNvPr>
        <xdr:cNvSpPr txBox="1">
          <a:spLocks noChangeArrowheads="1"/>
        </xdr:cNvSpPr>
      </xdr:nvSpPr>
      <xdr:spPr bwMode="auto">
        <a:xfrm>
          <a:off x="21726525" y="104775"/>
          <a:ext cx="4638675" cy="6667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36576" tIns="27432" rIns="0" bIns="0" anchor="t" upright="1"/>
        <a:lstStyle/>
        <a:p>
          <a:pPr algn="l" rtl="0">
            <a:defRPr sz="1000"/>
          </a:pPr>
          <a:r>
            <a:rPr lang="en-US" sz="1400" b="0" i="0" u="none" strike="noStrike" baseline="0">
              <a:solidFill>
                <a:srgbClr val="FF0000"/>
              </a:solidFill>
              <a:latin typeface="Arial"/>
              <a:cs typeface="Arial"/>
            </a:rPr>
            <a:t>Refer to the G(1) tab for instructions and tips for using the AutoCalc Girder BOM.</a:t>
          </a:r>
          <a:endParaRPr lang="en-US"/>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38100</xdr:colOff>
      <xdr:row>11</xdr:row>
      <xdr:rowOff>57150</xdr:rowOff>
    </xdr:from>
    <xdr:to>
      <xdr:col>25</xdr:col>
      <xdr:colOff>152400</xdr:colOff>
      <xdr:row>19</xdr:row>
      <xdr:rowOff>104775</xdr:rowOff>
    </xdr:to>
    <xdr:pic>
      <xdr:nvPicPr>
        <xdr:cNvPr id="2354185" name="Picture 9" descr="Joist BOM">
          <a:extLst>
            <a:ext uri="{FF2B5EF4-FFF2-40B4-BE49-F238E27FC236}">
              <a16:creationId xmlns:a16="http://schemas.microsoft.com/office/drawing/2014/main" id="{00000000-0008-0000-0900-000009EC23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t="31102" b="30508"/>
        <a:stretch>
          <a:fillRect/>
        </a:stretch>
      </xdr:blipFill>
      <xdr:spPr bwMode="auto">
        <a:xfrm>
          <a:off x="38100" y="1695450"/>
          <a:ext cx="7391400" cy="2057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22</xdr:col>
      <xdr:colOff>266700</xdr:colOff>
      <xdr:row>0</xdr:row>
      <xdr:rowOff>0</xdr:rowOff>
    </xdr:from>
    <xdr:to>
      <xdr:col>22</xdr:col>
      <xdr:colOff>266700</xdr:colOff>
      <xdr:row>3</xdr:row>
      <xdr:rowOff>142875</xdr:rowOff>
    </xdr:to>
    <xdr:sp macro="" textlink="">
      <xdr:nvSpPr>
        <xdr:cNvPr id="2354186" name="Line 10">
          <a:extLst>
            <a:ext uri="{FF2B5EF4-FFF2-40B4-BE49-F238E27FC236}">
              <a16:creationId xmlns:a16="http://schemas.microsoft.com/office/drawing/2014/main" id="{00000000-0008-0000-0900-00000AEC2300}"/>
            </a:ext>
          </a:extLst>
        </xdr:cNvPr>
        <xdr:cNvSpPr>
          <a:spLocks noChangeShapeType="1"/>
        </xdr:cNvSpPr>
      </xdr:nvSpPr>
      <xdr:spPr bwMode="auto">
        <a:xfrm>
          <a:off x="6686550" y="0"/>
          <a:ext cx="0" cy="6477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26</xdr:col>
      <xdr:colOff>0</xdr:colOff>
      <xdr:row>15</xdr:row>
      <xdr:rowOff>0</xdr:rowOff>
    </xdr:from>
    <xdr:to>
      <xdr:col>26</xdr:col>
      <xdr:colOff>628650</xdr:colOff>
      <xdr:row>15</xdr:row>
      <xdr:rowOff>0</xdr:rowOff>
    </xdr:to>
    <xdr:sp macro="" textlink="">
      <xdr:nvSpPr>
        <xdr:cNvPr id="2354190" name="Line 14">
          <a:extLst>
            <a:ext uri="{FF2B5EF4-FFF2-40B4-BE49-F238E27FC236}">
              <a16:creationId xmlns:a16="http://schemas.microsoft.com/office/drawing/2014/main" id="{00000000-0008-0000-0900-00000EEC2300}"/>
            </a:ext>
          </a:extLst>
        </xdr:cNvPr>
        <xdr:cNvSpPr>
          <a:spLocks noChangeShapeType="1"/>
        </xdr:cNvSpPr>
      </xdr:nvSpPr>
      <xdr:spPr bwMode="auto">
        <a:xfrm>
          <a:off x="7629525" y="3038475"/>
          <a:ext cx="6286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26</xdr:col>
      <xdr:colOff>9525</xdr:colOff>
      <xdr:row>16</xdr:row>
      <xdr:rowOff>0</xdr:rowOff>
    </xdr:from>
    <xdr:to>
      <xdr:col>26</xdr:col>
      <xdr:colOff>638175</xdr:colOff>
      <xdr:row>16</xdr:row>
      <xdr:rowOff>0</xdr:rowOff>
    </xdr:to>
    <xdr:sp macro="" textlink="">
      <xdr:nvSpPr>
        <xdr:cNvPr id="2354191" name="Line 15">
          <a:extLst>
            <a:ext uri="{FF2B5EF4-FFF2-40B4-BE49-F238E27FC236}">
              <a16:creationId xmlns:a16="http://schemas.microsoft.com/office/drawing/2014/main" id="{00000000-0008-0000-0900-00000FEC2300}"/>
            </a:ext>
          </a:extLst>
        </xdr:cNvPr>
        <xdr:cNvSpPr>
          <a:spLocks noChangeShapeType="1"/>
        </xdr:cNvSpPr>
      </xdr:nvSpPr>
      <xdr:spPr bwMode="auto">
        <a:xfrm>
          <a:off x="7639050" y="3190875"/>
          <a:ext cx="6286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26</xdr:col>
      <xdr:colOff>9525</xdr:colOff>
      <xdr:row>17</xdr:row>
      <xdr:rowOff>0</xdr:rowOff>
    </xdr:from>
    <xdr:to>
      <xdr:col>26</xdr:col>
      <xdr:colOff>638175</xdr:colOff>
      <xdr:row>17</xdr:row>
      <xdr:rowOff>0</xdr:rowOff>
    </xdr:to>
    <xdr:sp macro="" textlink="">
      <xdr:nvSpPr>
        <xdr:cNvPr id="2354192" name="Line 16">
          <a:extLst>
            <a:ext uri="{FF2B5EF4-FFF2-40B4-BE49-F238E27FC236}">
              <a16:creationId xmlns:a16="http://schemas.microsoft.com/office/drawing/2014/main" id="{00000000-0008-0000-0900-000010EC2300}"/>
            </a:ext>
          </a:extLst>
        </xdr:cNvPr>
        <xdr:cNvSpPr>
          <a:spLocks noChangeShapeType="1"/>
        </xdr:cNvSpPr>
      </xdr:nvSpPr>
      <xdr:spPr bwMode="auto">
        <a:xfrm>
          <a:off x="7639050" y="3343275"/>
          <a:ext cx="6286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26</xdr:col>
      <xdr:colOff>9525</xdr:colOff>
      <xdr:row>18</xdr:row>
      <xdr:rowOff>0</xdr:rowOff>
    </xdr:from>
    <xdr:to>
      <xdr:col>26</xdr:col>
      <xdr:colOff>638175</xdr:colOff>
      <xdr:row>18</xdr:row>
      <xdr:rowOff>0</xdr:rowOff>
    </xdr:to>
    <xdr:sp macro="" textlink="">
      <xdr:nvSpPr>
        <xdr:cNvPr id="2354193" name="Line 17">
          <a:extLst>
            <a:ext uri="{FF2B5EF4-FFF2-40B4-BE49-F238E27FC236}">
              <a16:creationId xmlns:a16="http://schemas.microsoft.com/office/drawing/2014/main" id="{00000000-0008-0000-0900-000011EC2300}"/>
            </a:ext>
          </a:extLst>
        </xdr:cNvPr>
        <xdr:cNvSpPr>
          <a:spLocks noChangeShapeType="1"/>
        </xdr:cNvSpPr>
      </xdr:nvSpPr>
      <xdr:spPr bwMode="auto">
        <a:xfrm>
          <a:off x="7639050" y="3495675"/>
          <a:ext cx="6286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26</xdr:col>
      <xdr:colOff>9525</xdr:colOff>
      <xdr:row>19</xdr:row>
      <xdr:rowOff>0</xdr:rowOff>
    </xdr:from>
    <xdr:to>
      <xdr:col>26</xdr:col>
      <xdr:colOff>638175</xdr:colOff>
      <xdr:row>19</xdr:row>
      <xdr:rowOff>0</xdr:rowOff>
    </xdr:to>
    <xdr:sp macro="" textlink="">
      <xdr:nvSpPr>
        <xdr:cNvPr id="2354194" name="Line 18">
          <a:extLst>
            <a:ext uri="{FF2B5EF4-FFF2-40B4-BE49-F238E27FC236}">
              <a16:creationId xmlns:a16="http://schemas.microsoft.com/office/drawing/2014/main" id="{00000000-0008-0000-0900-000012EC2300}"/>
            </a:ext>
          </a:extLst>
        </xdr:cNvPr>
        <xdr:cNvSpPr>
          <a:spLocks noChangeShapeType="1"/>
        </xdr:cNvSpPr>
      </xdr:nvSpPr>
      <xdr:spPr bwMode="auto">
        <a:xfrm>
          <a:off x="7639050" y="3648075"/>
          <a:ext cx="6286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26</xdr:col>
      <xdr:colOff>0</xdr:colOff>
      <xdr:row>12</xdr:row>
      <xdr:rowOff>0</xdr:rowOff>
    </xdr:from>
    <xdr:to>
      <xdr:col>26</xdr:col>
      <xdr:colOff>628650</xdr:colOff>
      <xdr:row>12</xdr:row>
      <xdr:rowOff>0</xdr:rowOff>
    </xdr:to>
    <xdr:sp macro="" textlink="">
      <xdr:nvSpPr>
        <xdr:cNvPr id="2354195" name="Line 19">
          <a:extLst>
            <a:ext uri="{FF2B5EF4-FFF2-40B4-BE49-F238E27FC236}">
              <a16:creationId xmlns:a16="http://schemas.microsoft.com/office/drawing/2014/main" id="{00000000-0008-0000-0900-000013EC2300}"/>
            </a:ext>
          </a:extLst>
        </xdr:cNvPr>
        <xdr:cNvSpPr>
          <a:spLocks noChangeShapeType="1"/>
        </xdr:cNvSpPr>
      </xdr:nvSpPr>
      <xdr:spPr bwMode="auto">
        <a:xfrm>
          <a:off x="7629525" y="1790700"/>
          <a:ext cx="6286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69</xdr:col>
      <xdr:colOff>104775</xdr:colOff>
      <xdr:row>7</xdr:row>
      <xdr:rowOff>0</xdr:rowOff>
    </xdr:from>
    <xdr:to>
      <xdr:col>75</xdr:col>
      <xdr:colOff>266700</xdr:colOff>
      <xdr:row>14</xdr:row>
      <xdr:rowOff>28575</xdr:rowOff>
    </xdr:to>
    <xdr:sp macro="" textlink="">
      <xdr:nvSpPr>
        <xdr:cNvPr id="2354350" name="Text Box 174">
          <a:extLst>
            <a:ext uri="{FF2B5EF4-FFF2-40B4-BE49-F238E27FC236}">
              <a16:creationId xmlns:a16="http://schemas.microsoft.com/office/drawing/2014/main" id="{00000000-0008-0000-0900-0000AEEC2300}"/>
            </a:ext>
          </a:extLst>
        </xdr:cNvPr>
        <xdr:cNvSpPr txBox="1">
          <a:spLocks noChangeArrowheads="1"/>
        </xdr:cNvSpPr>
      </xdr:nvSpPr>
      <xdr:spPr bwMode="auto">
        <a:xfrm>
          <a:off x="16125825" y="1152525"/>
          <a:ext cx="2200275" cy="17526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en-US" sz="800" b="1" i="0" u="sng" strike="noStrike" baseline="0">
              <a:solidFill>
                <a:srgbClr val="000000"/>
              </a:solidFill>
              <a:latin typeface="Arial"/>
              <a:cs typeface="Arial"/>
            </a:rPr>
            <a:t>Standard AISC Flange Gages</a:t>
          </a:r>
          <a:endParaRPr lang="en-US" sz="800" b="1" i="0" u="none" strike="noStrike" baseline="0">
            <a:solidFill>
              <a:srgbClr val="000000"/>
            </a:solidFill>
            <a:latin typeface="Arial"/>
            <a:cs typeface="Arial"/>
          </a:endParaRPr>
        </a:p>
        <a:p>
          <a:pPr algn="l" rtl="0">
            <a:defRPr sz="1000"/>
          </a:pPr>
          <a:r>
            <a:rPr lang="en-US" sz="800" b="0" i="0" u="none" strike="noStrike" baseline="0">
              <a:solidFill>
                <a:srgbClr val="000000"/>
              </a:solidFill>
              <a:latin typeface="Arial"/>
              <a:cs typeface="Arial"/>
            </a:rPr>
            <a:t>Unless noted otherwise below, Flange Gages are as follows:</a:t>
          </a:r>
        </a:p>
        <a:p>
          <a:pPr algn="l" rtl="0">
            <a:defRPr sz="1000"/>
          </a:pPr>
          <a:r>
            <a:rPr lang="en-US" sz="800" b="0" i="0" u="sng" strike="noStrike" baseline="0">
              <a:solidFill>
                <a:srgbClr val="000000"/>
              </a:solidFill>
              <a:latin typeface="Arial"/>
              <a:cs typeface="Arial"/>
            </a:rPr>
            <a:t> Flange Width | Flange Gage</a:t>
          </a:r>
        </a:p>
        <a:p>
          <a:pPr algn="l" rtl="0">
            <a:defRPr sz="1000"/>
          </a:pPr>
          <a:r>
            <a:rPr lang="en-US" sz="800" b="0" i="0" u="none" strike="noStrike" baseline="0">
              <a:solidFill>
                <a:srgbClr val="000000"/>
              </a:solidFill>
              <a:latin typeface="Arial"/>
              <a:cs typeface="Arial"/>
            </a:rPr>
            <a:t>     8 and up     |      5 1/2"</a:t>
          </a:r>
        </a:p>
        <a:p>
          <a:pPr algn="l" rtl="0">
            <a:defRPr sz="1000"/>
          </a:pPr>
          <a:r>
            <a:rPr lang="en-US" sz="800" b="0" i="0" u="none" strike="noStrike" baseline="0">
              <a:solidFill>
                <a:srgbClr val="000000"/>
              </a:solidFill>
              <a:latin typeface="Arial"/>
              <a:cs typeface="Arial"/>
            </a:rPr>
            <a:t>     6 to 7.99     |      3 1/2"</a:t>
          </a:r>
        </a:p>
        <a:p>
          <a:pPr algn="l" rtl="0">
            <a:defRPr sz="1000"/>
          </a:pPr>
          <a:r>
            <a:rPr lang="en-US" sz="800" b="0" i="0" u="none" strike="noStrike" baseline="0">
              <a:solidFill>
                <a:srgbClr val="000000"/>
              </a:solidFill>
              <a:latin typeface="Arial"/>
              <a:cs typeface="Arial"/>
            </a:rPr>
            <a:t>     5 to 5.99     |      2 3/4"</a:t>
          </a:r>
        </a:p>
        <a:p>
          <a:pPr algn="l" rtl="0">
            <a:defRPr sz="1000"/>
          </a:pPr>
          <a:r>
            <a:rPr lang="en-US" sz="800" b="0" i="0" u="none" strike="noStrike" baseline="0">
              <a:solidFill>
                <a:srgbClr val="000000"/>
              </a:solidFill>
              <a:latin typeface="Arial"/>
              <a:cs typeface="Arial"/>
            </a:rPr>
            <a:t>           4           |      2 1/4"</a:t>
          </a:r>
        </a:p>
        <a:p>
          <a:pPr algn="l" rtl="0">
            <a:defRPr sz="1000"/>
          </a:pPr>
          <a:endParaRPr lang="en-US" sz="800" b="0" i="0" u="none" strike="noStrike" baseline="0">
            <a:solidFill>
              <a:srgbClr val="000000"/>
            </a:solidFill>
            <a:latin typeface="Arial"/>
            <a:cs typeface="Arial"/>
          </a:endParaRPr>
        </a:p>
        <a:p>
          <a:pPr algn="l" rtl="0">
            <a:defRPr sz="1000"/>
          </a:pPr>
          <a:r>
            <a:rPr lang="en-US" sz="800" b="1" i="0" u="none" strike="noStrike" baseline="0">
              <a:solidFill>
                <a:srgbClr val="FF0000"/>
              </a:solidFill>
              <a:latin typeface="Arial"/>
              <a:cs typeface="Arial"/>
            </a:rPr>
            <a:t>Exceptions:</a:t>
          </a:r>
        </a:p>
        <a:p>
          <a:pPr algn="l" rtl="0">
            <a:defRPr sz="1000"/>
          </a:pPr>
          <a:r>
            <a:rPr lang="en-US" sz="800" b="1" i="0" u="none" strike="noStrike" baseline="0">
              <a:solidFill>
                <a:srgbClr val="000000"/>
              </a:solidFill>
              <a:latin typeface="Arial"/>
              <a:cs typeface="Arial"/>
            </a:rPr>
            <a:t>W8x24, W8x28 = 4" gage</a:t>
          </a:r>
        </a:p>
        <a:p>
          <a:pPr algn="l" rtl="0">
            <a:defRPr sz="1000"/>
          </a:pPr>
          <a:r>
            <a:rPr lang="en-US" sz="800" b="1" i="0" u="none" strike="noStrike" baseline="0">
              <a:solidFill>
                <a:srgbClr val="000000"/>
              </a:solidFill>
              <a:latin typeface="Arial"/>
              <a:cs typeface="Arial"/>
            </a:rPr>
            <a:t>W16x26, W16x31 = 3 1/2" gage</a:t>
          </a:r>
        </a:p>
        <a:p>
          <a:pPr algn="l" rtl="0">
            <a:defRPr sz="1000"/>
          </a:pPr>
          <a:r>
            <a:rPr lang="en-US" sz="800" b="1" i="0" u="none" strike="noStrike" baseline="0">
              <a:solidFill>
                <a:srgbClr val="000000"/>
              </a:solidFill>
              <a:latin typeface="Arial"/>
              <a:cs typeface="Arial"/>
            </a:rPr>
            <a:t>W14's with Flange Widths &gt; 15" = 7 1/2" gage</a:t>
          </a:r>
        </a:p>
        <a:p>
          <a:pPr algn="l" rtl="0">
            <a:defRPr sz="1000"/>
          </a:pPr>
          <a:r>
            <a:rPr lang="en-US" sz="800" b="1" i="0" u="none" strike="noStrike" baseline="0">
              <a:solidFill>
                <a:srgbClr val="000000"/>
              </a:solidFill>
              <a:latin typeface="Arial"/>
              <a:cs typeface="Arial"/>
            </a:rPr>
            <a:t>W36's with Flange Widths &gt; 16" = 7 1/2" gage</a:t>
          </a:r>
        </a:p>
        <a:p>
          <a:pPr algn="l" rtl="0">
            <a:defRPr sz="1000"/>
          </a:pPr>
          <a:r>
            <a:rPr lang="en-US" sz="800" b="1" i="0" u="none" strike="noStrike" baseline="0">
              <a:solidFill>
                <a:srgbClr val="000000"/>
              </a:solidFill>
              <a:latin typeface="Arial"/>
              <a:cs typeface="Arial"/>
            </a:rPr>
            <a:t>All W40's = 7 1/2"</a:t>
          </a:r>
          <a:endParaRPr lang="en-US"/>
        </a:p>
      </xdr:txBody>
    </xdr:sp>
    <xdr:clientData/>
  </xdr:twoCellAnchor>
  <xdr:twoCellAnchor>
    <xdr:from>
      <xdr:col>55</xdr:col>
      <xdr:colOff>180975</xdr:colOff>
      <xdr:row>3</xdr:row>
      <xdr:rowOff>157129</xdr:rowOff>
    </xdr:from>
    <xdr:to>
      <xdr:col>61</xdr:col>
      <xdr:colOff>171450</xdr:colOff>
      <xdr:row>10</xdr:row>
      <xdr:rowOff>33304</xdr:rowOff>
    </xdr:to>
    <xdr:sp macro="" textlink="">
      <xdr:nvSpPr>
        <xdr:cNvPr id="2354352" name="Text Box 176">
          <a:extLst>
            <a:ext uri="{FF2B5EF4-FFF2-40B4-BE49-F238E27FC236}">
              <a16:creationId xmlns:a16="http://schemas.microsoft.com/office/drawing/2014/main" id="{00000000-0008-0000-0900-0000B0EC2300}"/>
            </a:ext>
          </a:extLst>
        </xdr:cNvPr>
        <xdr:cNvSpPr txBox="1">
          <a:spLocks noChangeArrowheads="1"/>
        </xdr:cNvSpPr>
      </xdr:nvSpPr>
      <xdr:spPr bwMode="auto">
        <a:xfrm>
          <a:off x="10601325" y="661954"/>
          <a:ext cx="2781300" cy="914400"/>
        </a:xfrm>
        <a:prstGeom prst="rect">
          <a:avLst/>
        </a:prstGeom>
        <a:solidFill>
          <a:srgbClr val="66FFFF"/>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en-US" sz="800" b="1" i="0" u="sng" strike="noStrike" baseline="0">
              <a:solidFill>
                <a:srgbClr val="000000"/>
              </a:solidFill>
              <a:latin typeface="Arial"/>
              <a:cs typeface="Arial"/>
            </a:rPr>
            <a:t>Detailer Note:</a:t>
          </a:r>
        </a:p>
        <a:p>
          <a:pPr algn="l" rtl="0">
            <a:defRPr sz="1000"/>
          </a:pPr>
          <a:r>
            <a:rPr lang="en-US" sz="800" b="0" i="0" u="none" strike="noStrike" baseline="0">
              <a:solidFill>
                <a:srgbClr val="000000"/>
              </a:solidFill>
              <a:latin typeface="Arial"/>
              <a:cs typeface="Arial"/>
            </a:rPr>
            <a:t>If a cell is highlighted (background color) in a bright Blue outline, this indicates that the User Input value for that cell </a:t>
          </a:r>
          <a:r>
            <a:rPr lang="en-US" sz="800" b="1" i="0" u="none" strike="noStrike" baseline="0">
              <a:solidFill>
                <a:srgbClr val="000000"/>
              </a:solidFill>
              <a:latin typeface="Arial"/>
              <a:cs typeface="Arial"/>
            </a:rPr>
            <a:t>does not match</a:t>
          </a:r>
          <a:r>
            <a:rPr lang="en-US" sz="800" b="0" i="0" u="none" strike="noStrike" baseline="0">
              <a:solidFill>
                <a:srgbClr val="000000"/>
              </a:solidFill>
              <a:latin typeface="Arial"/>
              <a:cs typeface="Arial"/>
            </a:rPr>
            <a:t> the value that JDS is reporting.</a:t>
          </a:r>
        </a:p>
        <a:p>
          <a:pPr algn="l" rtl="0">
            <a:defRPr sz="1000"/>
          </a:pPr>
          <a:r>
            <a:rPr lang="en-US" sz="800" b="0" i="0" u="none" strike="noStrike" baseline="0">
              <a:solidFill>
                <a:srgbClr val="000000"/>
              </a:solidFill>
              <a:latin typeface="Arial"/>
              <a:cs typeface="Arial"/>
            </a:rPr>
            <a:t> - In other words, highlighted values have been modified by the user and should be closely checked.</a:t>
          </a:r>
          <a:endParaRPr lang="en-US"/>
        </a:p>
      </xdr:txBody>
    </xdr:sp>
    <xdr:clientData/>
  </xdr:twoCellAnchor>
  <xdr:twoCellAnchor>
    <xdr:from>
      <xdr:col>55</xdr:col>
      <xdr:colOff>180975</xdr:colOff>
      <xdr:row>10</xdr:row>
      <xdr:rowOff>33280</xdr:rowOff>
    </xdr:from>
    <xdr:to>
      <xdr:col>61</xdr:col>
      <xdr:colOff>171450</xdr:colOff>
      <xdr:row>13</xdr:row>
      <xdr:rowOff>157163</xdr:rowOff>
    </xdr:to>
    <xdr:sp macro="" textlink="">
      <xdr:nvSpPr>
        <xdr:cNvPr id="2354356" name="Text Box 180">
          <a:extLst>
            <a:ext uri="{FF2B5EF4-FFF2-40B4-BE49-F238E27FC236}">
              <a16:creationId xmlns:a16="http://schemas.microsoft.com/office/drawing/2014/main" id="{00000000-0008-0000-0900-0000B4EC2300}"/>
            </a:ext>
          </a:extLst>
        </xdr:cNvPr>
        <xdr:cNvSpPr txBox="1">
          <a:spLocks noChangeArrowheads="1"/>
        </xdr:cNvSpPr>
      </xdr:nvSpPr>
      <xdr:spPr bwMode="auto">
        <a:xfrm>
          <a:off x="10601325" y="1576330"/>
          <a:ext cx="2781300" cy="495358"/>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en-US" sz="800" b="1" i="0" u="none" strike="noStrike" baseline="0">
              <a:solidFill>
                <a:srgbClr val="000000"/>
              </a:solidFill>
              <a:latin typeface="Arial"/>
              <a:cs typeface="Arial"/>
            </a:rPr>
            <a:t>Detailer Note:</a:t>
          </a:r>
        </a:p>
        <a:p>
          <a:pPr algn="l" rtl="0">
            <a:defRPr sz="1000"/>
          </a:pPr>
          <a:r>
            <a:rPr lang="en-US" sz="800" b="0" i="0" u="none" strike="noStrike" baseline="0">
              <a:solidFill>
                <a:srgbClr val="000000"/>
              </a:solidFill>
              <a:latin typeface="Arial"/>
              <a:cs typeface="Arial"/>
            </a:rPr>
            <a:t>If any values are </a:t>
          </a:r>
          <a:r>
            <a:rPr lang="en-US" sz="800" b="1" i="0" u="none" strike="noStrike" baseline="0">
              <a:solidFill>
                <a:srgbClr val="FF0000"/>
              </a:solidFill>
              <a:latin typeface="Arial"/>
              <a:cs typeface="Arial"/>
            </a:rPr>
            <a:t>bold red</a:t>
          </a:r>
          <a:r>
            <a:rPr lang="en-US" sz="800" b="0" i="0" u="none" strike="noStrike" baseline="0">
              <a:solidFill>
                <a:srgbClr val="000000"/>
              </a:solidFill>
              <a:latin typeface="Arial"/>
              <a:cs typeface="Arial"/>
            </a:rPr>
            <a:t> in the User Input Area, please refer to the comments for that column for information regarding the condition that is being reported.</a:t>
          </a:r>
        </a:p>
      </xdr:txBody>
    </xdr:sp>
    <xdr:clientData/>
  </xdr:twoCellAnchor>
  <xdr:twoCellAnchor>
    <xdr:from>
      <xdr:col>83</xdr:col>
      <xdr:colOff>123825</xdr:colOff>
      <xdr:row>19</xdr:row>
      <xdr:rowOff>0</xdr:rowOff>
    </xdr:from>
    <xdr:to>
      <xdr:col>85</xdr:col>
      <xdr:colOff>0</xdr:colOff>
      <xdr:row>21</xdr:row>
      <xdr:rowOff>0</xdr:rowOff>
    </xdr:to>
    <xdr:sp macro="" textlink="">
      <xdr:nvSpPr>
        <xdr:cNvPr id="2354363" name="Text Box 187">
          <a:extLst>
            <a:ext uri="{FF2B5EF4-FFF2-40B4-BE49-F238E27FC236}">
              <a16:creationId xmlns:a16="http://schemas.microsoft.com/office/drawing/2014/main" id="{00000000-0008-0000-0900-0000BBEC2300}"/>
            </a:ext>
          </a:extLst>
        </xdr:cNvPr>
        <xdr:cNvSpPr txBox="1">
          <a:spLocks noChangeArrowheads="1"/>
        </xdr:cNvSpPr>
      </xdr:nvSpPr>
      <xdr:spPr bwMode="auto">
        <a:xfrm>
          <a:off x="20345400" y="3638550"/>
          <a:ext cx="2257425" cy="3048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0" anchor="t" upright="1"/>
        <a:lstStyle/>
        <a:p>
          <a:pPr algn="ctr" rtl="0">
            <a:defRPr sz="1000"/>
          </a:pPr>
          <a:r>
            <a:rPr lang="en-US" sz="900" b="1" i="0" u="none" strike="noStrike" baseline="0">
              <a:solidFill>
                <a:srgbClr val="000000"/>
              </a:solidFill>
              <a:latin typeface="Arial"/>
              <a:cs typeface="Arial"/>
            </a:rPr>
            <a:t>Notes:</a:t>
          </a:r>
          <a:endParaRPr lang="en-US" sz="800" b="0" i="0" u="none" strike="noStrike" baseline="0">
            <a:solidFill>
              <a:srgbClr val="000000"/>
            </a:solidFill>
            <a:latin typeface="Arial"/>
            <a:cs typeface="Arial"/>
          </a:endParaRPr>
        </a:p>
        <a:p>
          <a:pPr algn="ctr" rtl="0">
            <a:defRPr sz="1000"/>
          </a:pPr>
          <a:r>
            <a:rPr lang="en-US" sz="700" b="0" i="0" u="none" strike="noStrike" baseline="0">
              <a:solidFill>
                <a:srgbClr val="FF0000"/>
              </a:solidFill>
              <a:latin typeface="Arial"/>
              <a:cs typeface="Arial"/>
            </a:rPr>
            <a:t>No "( )" or "[ ]" required.  </a:t>
          </a:r>
          <a:r>
            <a:rPr lang="en-US" sz="700" b="0" i="0" u="none" strike="noStrike" baseline="0">
              <a:solidFill>
                <a:srgbClr val="000000"/>
              </a:solidFill>
              <a:latin typeface="Arial"/>
              <a:cs typeface="Arial"/>
            </a:rPr>
            <a:t>Comma delimited.</a:t>
          </a:r>
          <a:endParaRPr lang="en-US"/>
        </a:p>
      </xdr:txBody>
    </xdr:sp>
    <xdr:clientData/>
  </xdr:twoCellAnchor>
  <xdr:twoCellAnchor>
    <xdr:from>
      <xdr:col>75</xdr:col>
      <xdr:colOff>380999</xdr:colOff>
      <xdr:row>3</xdr:row>
      <xdr:rowOff>104775</xdr:rowOff>
    </xdr:from>
    <xdr:to>
      <xdr:col>83</xdr:col>
      <xdr:colOff>361949</xdr:colOff>
      <xdr:row>13</xdr:row>
      <xdr:rowOff>819150</xdr:rowOff>
    </xdr:to>
    <xdr:sp macro="" textlink="">
      <xdr:nvSpPr>
        <xdr:cNvPr id="2354437" name="Text Box 261">
          <a:extLst>
            <a:ext uri="{FF2B5EF4-FFF2-40B4-BE49-F238E27FC236}">
              <a16:creationId xmlns:a16="http://schemas.microsoft.com/office/drawing/2014/main" id="{00000000-0008-0000-0900-000005ED2300}"/>
            </a:ext>
          </a:extLst>
        </xdr:cNvPr>
        <xdr:cNvSpPr txBox="1">
          <a:spLocks noChangeArrowheads="1"/>
        </xdr:cNvSpPr>
      </xdr:nvSpPr>
      <xdr:spPr bwMode="auto">
        <a:xfrm>
          <a:off x="18440399" y="609600"/>
          <a:ext cx="3009900" cy="21240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en-US" sz="1000" b="1" i="0" u="none" strike="noStrike" baseline="0">
              <a:solidFill>
                <a:srgbClr val="000000"/>
              </a:solidFill>
              <a:latin typeface="Arial"/>
              <a:cs typeface="Arial"/>
            </a:rPr>
            <a:t>Joist BOM tips:</a:t>
          </a:r>
          <a:endParaRPr lang="en-US" sz="800" b="1" i="0" u="none" strike="noStrike" baseline="0">
            <a:solidFill>
              <a:srgbClr val="000000"/>
            </a:solidFill>
            <a:latin typeface="Arial"/>
            <a:cs typeface="Arial"/>
          </a:endParaRPr>
        </a:p>
        <a:p>
          <a:pPr algn="l" rtl="0">
            <a:defRPr sz="1000"/>
          </a:pPr>
          <a:endParaRPr lang="en-US" sz="600" b="0" i="0" u="none" strike="noStrike" baseline="0">
            <a:solidFill>
              <a:srgbClr val="000000"/>
            </a:solidFill>
            <a:latin typeface="Arial"/>
            <a:cs typeface="Arial"/>
          </a:endParaRPr>
        </a:p>
        <a:p>
          <a:pPr algn="l" rtl="0">
            <a:defRPr sz="1000"/>
          </a:pPr>
          <a:r>
            <a:rPr lang="en-US" sz="600" b="0" i="0" u="none" strike="noStrike" baseline="0">
              <a:solidFill>
                <a:srgbClr val="000000"/>
              </a:solidFill>
              <a:latin typeface="Arial"/>
              <a:cs typeface="Arial"/>
            </a:rPr>
            <a:t> </a:t>
          </a:r>
          <a:r>
            <a:rPr lang="en-US" sz="1000" b="1" i="0" u="none" strike="noStrike" baseline="0">
              <a:solidFill>
                <a:srgbClr val="000000"/>
              </a:solidFill>
              <a:latin typeface="Arial"/>
              <a:cs typeface="Arial"/>
            </a:rPr>
            <a:t>**Note:</a:t>
          </a:r>
          <a:r>
            <a:rPr lang="en-US" sz="900" b="1" i="0" u="none" strike="noStrike" baseline="0">
              <a:solidFill>
                <a:srgbClr val="000000"/>
              </a:solidFill>
              <a:latin typeface="Arial"/>
              <a:cs typeface="Arial"/>
            </a:rPr>
            <a:t> </a:t>
          </a:r>
          <a:r>
            <a:rPr lang="en-US" sz="900" b="0" i="0" u="none" strike="noStrike" baseline="0">
              <a:solidFill>
                <a:srgbClr val="000000"/>
              </a:solidFill>
              <a:latin typeface="Arial"/>
              <a:cs typeface="Arial"/>
            </a:rPr>
            <a:t>Make sure you hover over the cells with comments (</a:t>
          </a:r>
          <a:r>
            <a:rPr lang="en-US" sz="900" b="0" i="0" u="none" strike="noStrike" baseline="0">
              <a:solidFill>
                <a:srgbClr val="FF0000"/>
              </a:solidFill>
              <a:latin typeface="Arial"/>
              <a:cs typeface="Arial"/>
            </a:rPr>
            <a:t>red triangle in upper right corner</a:t>
          </a:r>
          <a:r>
            <a:rPr lang="en-US" sz="900" b="0" i="0" u="none" strike="noStrike" baseline="0">
              <a:solidFill>
                <a:srgbClr val="000000"/>
              </a:solidFill>
              <a:latin typeface="Arial"/>
              <a:cs typeface="Arial"/>
            </a:rPr>
            <a:t>) for specific instructions or tips entering information in those columns.</a:t>
          </a:r>
          <a:endParaRPr lang="en-US" sz="800" b="0" i="0" u="none" strike="noStrike" baseline="0">
            <a:solidFill>
              <a:srgbClr val="000000"/>
            </a:solidFill>
            <a:latin typeface="Arial"/>
            <a:cs typeface="Arial"/>
          </a:endParaRPr>
        </a:p>
        <a:p>
          <a:pPr algn="l" rtl="0">
            <a:defRPr sz="1000"/>
          </a:pPr>
          <a:endParaRPr lang="en-US" sz="600" b="0" i="0" u="none" strike="noStrike" baseline="0">
            <a:solidFill>
              <a:srgbClr val="000000"/>
            </a:solidFill>
            <a:latin typeface="Arial"/>
            <a:cs typeface="Arial"/>
          </a:endParaRPr>
        </a:p>
        <a:p>
          <a:pPr algn="l" rtl="0">
            <a:defRPr sz="1000"/>
          </a:pPr>
          <a:r>
            <a:rPr lang="en-US" sz="800" b="0" i="0" u="none" strike="noStrike" baseline="0">
              <a:solidFill>
                <a:srgbClr val="000000"/>
              </a:solidFill>
              <a:latin typeface="Arial"/>
              <a:cs typeface="Arial"/>
            </a:rPr>
            <a:t> </a:t>
          </a:r>
          <a:r>
            <a:rPr lang="en-US" sz="1000" b="1" i="0" u="none" strike="noStrike" baseline="0">
              <a:solidFill>
                <a:srgbClr val="000000"/>
              </a:solidFill>
              <a:latin typeface="Arial"/>
              <a:cs typeface="Arial"/>
            </a:rPr>
            <a:t>**Note: </a:t>
          </a:r>
          <a:r>
            <a:rPr lang="en-US" sz="900" b="0" i="0" u="none" strike="noStrike" baseline="0">
              <a:solidFill>
                <a:srgbClr val="000000"/>
              </a:solidFill>
              <a:latin typeface="Arial"/>
              <a:cs typeface="Arial"/>
            </a:rPr>
            <a:t>Dims on this page are ALWAYS plan dimensions and are ALWAYS from the "Bay" point.  Dims on the BOM are calculated to account for Girder TC slope, BCX Kick, Base Length variances from Bay Point, etc.</a:t>
          </a:r>
          <a:endParaRPr lang="en-US" sz="800" b="0" i="0" u="none" strike="noStrike" baseline="0">
            <a:solidFill>
              <a:srgbClr val="000000"/>
            </a:solidFill>
            <a:latin typeface="Arial"/>
            <a:cs typeface="Arial"/>
          </a:endParaRPr>
        </a:p>
        <a:p>
          <a:pPr algn="l" rtl="0">
            <a:defRPr sz="1000"/>
          </a:pPr>
          <a:endParaRPr lang="en-US" sz="600" b="0" i="0" u="none" strike="noStrike" baseline="0">
            <a:solidFill>
              <a:srgbClr val="000000"/>
            </a:solidFill>
            <a:latin typeface="Arial"/>
            <a:cs typeface="Arial"/>
          </a:endParaRPr>
        </a:p>
        <a:p>
          <a:pPr algn="l" rtl="0">
            <a:defRPr sz="1000"/>
          </a:pPr>
          <a:r>
            <a:rPr lang="en-US" sz="1000" b="1" i="0" u="none" strike="noStrike" baseline="0">
              <a:solidFill>
                <a:srgbClr val="000000"/>
              </a:solidFill>
              <a:latin typeface="Arial"/>
              <a:cs typeface="Arial"/>
            </a:rPr>
            <a:t> **Note:</a:t>
          </a:r>
          <a:r>
            <a:rPr lang="en-US" sz="1000" b="0" i="0" u="none" strike="noStrike" baseline="0">
              <a:solidFill>
                <a:srgbClr val="000000"/>
              </a:solidFill>
              <a:latin typeface="Arial"/>
              <a:cs typeface="Arial"/>
            </a:rPr>
            <a:t> </a:t>
          </a:r>
          <a:r>
            <a:rPr lang="en-US" sz="900" b="1" i="0" u="none" strike="noStrike" baseline="0">
              <a:solidFill>
                <a:srgbClr val="FF0000"/>
              </a:solidFill>
              <a:latin typeface="Arial"/>
              <a:cs typeface="Arial"/>
            </a:rPr>
            <a:t>Bearing Slope</a:t>
          </a:r>
          <a:r>
            <a:rPr lang="en-US" sz="900" b="0" i="0" u="none" strike="noStrike" baseline="0">
              <a:solidFill>
                <a:srgbClr val="000000"/>
              </a:solidFill>
              <a:latin typeface="Arial"/>
              <a:cs typeface="Arial"/>
            </a:rPr>
            <a:t> (Brg Slope) at the right or left support is to be used </a:t>
          </a:r>
          <a:r>
            <a:rPr lang="en-US" sz="900" b="0" i="0" u="none" strike="noStrike" baseline="0">
              <a:solidFill>
                <a:srgbClr val="FF0000"/>
              </a:solidFill>
              <a:latin typeface="Arial"/>
              <a:cs typeface="Arial"/>
            </a:rPr>
            <a:t>ONLY</a:t>
          </a:r>
          <a:r>
            <a:rPr lang="en-US" sz="900" b="0" i="0" u="none" strike="noStrike" baseline="0">
              <a:solidFill>
                <a:srgbClr val="000000"/>
              </a:solidFill>
              <a:latin typeface="Arial"/>
              <a:cs typeface="Arial"/>
            </a:rPr>
            <a:t> if the bearing surface is not level, such as with a hip or valley beam.  This value is typically blank (or zero).</a:t>
          </a:r>
          <a:endParaRPr lang="en-US"/>
        </a:p>
      </xdr:txBody>
    </xdr:sp>
    <xdr:clientData/>
  </xdr:twoCellAnchor>
  <xdr:twoCellAnchor>
    <xdr:from>
      <xdr:col>62</xdr:col>
      <xdr:colOff>76200</xdr:colOff>
      <xdr:row>0</xdr:row>
      <xdr:rowOff>28575</xdr:rowOff>
    </xdr:from>
    <xdr:to>
      <xdr:col>69</xdr:col>
      <xdr:colOff>19050</xdr:colOff>
      <xdr:row>10</xdr:row>
      <xdr:rowOff>0</xdr:rowOff>
    </xdr:to>
    <xdr:grpSp>
      <xdr:nvGrpSpPr>
        <xdr:cNvPr id="2354462" name="Group 286">
          <a:extLst>
            <a:ext uri="{FF2B5EF4-FFF2-40B4-BE49-F238E27FC236}">
              <a16:creationId xmlns:a16="http://schemas.microsoft.com/office/drawing/2014/main" id="{00000000-0008-0000-0900-00001EED2300}"/>
            </a:ext>
          </a:extLst>
        </xdr:cNvPr>
        <xdr:cNvGrpSpPr>
          <a:grpSpLocks/>
        </xdr:cNvGrpSpPr>
      </xdr:nvGrpSpPr>
      <xdr:grpSpPr bwMode="auto">
        <a:xfrm>
          <a:off x="13249275" y="28575"/>
          <a:ext cx="2371725" cy="1514475"/>
          <a:chOff x="4176" y="123"/>
          <a:chExt cx="353" cy="199"/>
        </a:xfrm>
      </xdr:grpSpPr>
      <xdr:sp macro="" textlink="">
        <xdr:nvSpPr>
          <xdr:cNvPr id="2354463" name="Rectangle 287">
            <a:extLst>
              <a:ext uri="{FF2B5EF4-FFF2-40B4-BE49-F238E27FC236}">
                <a16:creationId xmlns:a16="http://schemas.microsoft.com/office/drawing/2014/main" id="{00000000-0008-0000-0900-00001FED2300}"/>
              </a:ext>
            </a:extLst>
          </xdr:cNvPr>
          <xdr:cNvSpPr>
            <a:spLocks noChangeArrowheads="1"/>
          </xdr:cNvSpPr>
        </xdr:nvSpPr>
        <xdr:spPr bwMode="auto">
          <a:xfrm>
            <a:off x="4176" y="123"/>
            <a:ext cx="353" cy="19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sp>
      <xdr:sp macro="" textlink="">
        <xdr:nvSpPr>
          <xdr:cNvPr id="2354464" name="Text Box 288">
            <a:extLst>
              <a:ext uri="{FF2B5EF4-FFF2-40B4-BE49-F238E27FC236}">
                <a16:creationId xmlns:a16="http://schemas.microsoft.com/office/drawing/2014/main" id="{00000000-0008-0000-0900-000020ED2300}"/>
              </a:ext>
            </a:extLst>
          </xdr:cNvPr>
          <xdr:cNvSpPr txBox="1">
            <a:spLocks noChangeArrowheads="1"/>
          </xdr:cNvSpPr>
        </xdr:nvSpPr>
        <xdr:spPr bwMode="auto">
          <a:xfrm>
            <a:off x="4285" y="127"/>
            <a:ext cx="141" cy="18"/>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27432" bIns="0" anchor="t" upright="1"/>
          <a:lstStyle/>
          <a:p>
            <a:pPr algn="ctr" rtl="0">
              <a:defRPr sz="1000"/>
            </a:pPr>
            <a:r>
              <a:rPr lang="en-US" sz="800" b="1" i="0" u="sng" strike="noStrike" baseline="0">
                <a:solidFill>
                  <a:srgbClr val="000000"/>
                </a:solidFill>
                <a:latin typeface="Arial"/>
                <a:cs typeface="Arial"/>
              </a:rPr>
              <a:t>Bearing Slope Key</a:t>
            </a:r>
            <a:endParaRPr lang="en-US"/>
          </a:p>
        </xdr:txBody>
      </xdr:sp>
      <xdr:grpSp>
        <xdr:nvGrpSpPr>
          <xdr:cNvPr id="2354465" name="Group 289">
            <a:extLst>
              <a:ext uri="{FF2B5EF4-FFF2-40B4-BE49-F238E27FC236}">
                <a16:creationId xmlns:a16="http://schemas.microsoft.com/office/drawing/2014/main" id="{00000000-0008-0000-0900-000021ED2300}"/>
              </a:ext>
            </a:extLst>
          </xdr:cNvPr>
          <xdr:cNvGrpSpPr>
            <a:grpSpLocks/>
          </xdr:cNvGrpSpPr>
        </xdr:nvGrpSpPr>
        <xdr:grpSpPr bwMode="auto">
          <a:xfrm>
            <a:off x="4211" y="155"/>
            <a:ext cx="103" cy="42"/>
            <a:chOff x="4198" y="199"/>
            <a:chExt cx="96" cy="42"/>
          </a:xfrm>
        </xdr:grpSpPr>
        <xdr:sp macro="" textlink="">
          <xdr:nvSpPr>
            <xdr:cNvPr id="2354466" name="Line 290">
              <a:extLst>
                <a:ext uri="{FF2B5EF4-FFF2-40B4-BE49-F238E27FC236}">
                  <a16:creationId xmlns:a16="http://schemas.microsoft.com/office/drawing/2014/main" id="{00000000-0008-0000-0900-000022ED2300}"/>
                </a:ext>
              </a:extLst>
            </xdr:cNvPr>
            <xdr:cNvSpPr>
              <a:spLocks noChangeShapeType="1"/>
            </xdr:cNvSpPr>
          </xdr:nvSpPr>
          <xdr:spPr bwMode="auto">
            <a:xfrm flipV="1">
              <a:off x="4211" y="199"/>
              <a:ext cx="82"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54467" name="Line 291">
              <a:extLst>
                <a:ext uri="{FF2B5EF4-FFF2-40B4-BE49-F238E27FC236}">
                  <a16:creationId xmlns:a16="http://schemas.microsoft.com/office/drawing/2014/main" id="{00000000-0008-0000-0900-000023ED2300}"/>
                </a:ext>
              </a:extLst>
            </xdr:cNvPr>
            <xdr:cNvSpPr>
              <a:spLocks noChangeShapeType="1"/>
            </xdr:cNvSpPr>
          </xdr:nvSpPr>
          <xdr:spPr bwMode="auto">
            <a:xfrm>
              <a:off x="4211" y="199"/>
              <a:ext cx="0" cy="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54468" name="Line 292">
              <a:extLst>
                <a:ext uri="{FF2B5EF4-FFF2-40B4-BE49-F238E27FC236}">
                  <a16:creationId xmlns:a16="http://schemas.microsoft.com/office/drawing/2014/main" id="{00000000-0008-0000-0900-000024ED2300}"/>
                </a:ext>
              </a:extLst>
            </xdr:cNvPr>
            <xdr:cNvSpPr>
              <a:spLocks noChangeShapeType="1"/>
            </xdr:cNvSpPr>
          </xdr:nvSpPr>
          <xdr:spPr bwMode="auto">
            <a:xfrm>
              <a:off x="4198" y="208"/>
              <a:ext cx="25" cy="5"/>
            </a:xfrm>
            <a:prstGeom prst="line">
              <a:avLst/>
            </a:prstGeom>
            <a:noFill/>
            <a:ln w="1905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54469" name="Line 293">
              <a:extLst>
                <a:ext uri="{FF2B5EF4-FFF2-40B4-BE49-F238E27FC236}">
                  <a16:creationId xmlns:a16="http://schemas.microsoft.com/office/drawing/2014/main" id="{00000000-0008-0000-0900-000025ED2300}"/>
                </a:ext>
              </a:extLst>
            </xdr:cNvPr>
            <xdr:cNvSpPr>
              <a:spLocks noChangeShapeType="1"/>
            </xdr:cNvSpPr>
          </xdr:nvSpPr>
          <xdr:spPr bwMode="auto">
            <a:xfrm>
              <a:off x="4210" y="211"/>
              <a:ext cx="0" cy="27"/>
            </a:xfrm>
            <a:prstGeom prst="line">
              <a:avLst/>
            </a:prstGeom>
            <a:noFill/>
            <a:ln w="1905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54470" name="Line 294">
              <a:extLst>
                <a:ext uri="{FF2B5EF4-FFF2-40B4-BE49-F238E27FC236}">
                  <a16:creationId xmlns:a16="http://schemas.microsoft.com/office/drawing/2014/main" id="{00000000-0008-0000-0900-000026ED2300}"/>
                </a:ext>
              </a:extLst>
            </xdr:cNvPr>
            <xdr:cNvSpPr>
              <a:spLocks noChangeShapeType="1"/>
            </xdr:cNvSpPr>
          </xdr:nvSpPr>
          <xdr:spPr bwMode="auto">
            <a:xfrm>
              <a:off x="4198" y="236"/>
              <a:ext cx="25" cy="5"/>
            </a:xfrm>
            <a:prstGeom prst="line">
              <a:avLst/>
            </a:prstGeom>
            <a:noFill/>
            <a:ln w="1905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54471" name="Line 295">
              <a:extLst>
                <a:ext uri="{FF2B5EF4-FFF2-40B4-BE49-F238E27FC236}">
                  <a16:creationId xmlns:a16="http://schemas.microsoft.com/office/drawing/2014/main" id="{00000000-0008-0000-0900-000027ED2300}"/>
                </a:ext>
              </a:extLst>
            </xdr:cNvPr>
            <xdr:cNvSpPr>
              <a:spLocks noChangeShapeType="1"/>
            </xdr:cNvSpPr>
          </xdr:nvSpPr>
          <xdr:spPr bwMode="auto">
            <a:xfrm>
              <a:off x="4211" y="207"/>
              <a:ext cx="14" cy="3"/>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54472" name="Line 296">
              <a:extLst>
                <a:ext uri="{FF2B5EF4-FFF2-40B4-BE49-F238E27FC236}">
                  <a16:creationId xmlns:a16="http://schemas.microsoft.com/office/drawing/2014/main" id="{00000000-0008-0000-0900-000028ED2300}"/>
                </a:ext>
              </a:extLst>
            </xdr:cNvPr>
            <xdr:cNvSpPr>
              <a:spLocks noChangeShapeType="1"/>
            </xdr:cNvSpPr>
          </xdr:nvSpPr>
          <xdr:spPr bwMode="auto">
            <a:xfrm flipV="1">
              <a:off x="4225" y="203"/>
              <a:ext cx="0" cy="7"/>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54473" name="Line 297">
              <a:extLst>
                <a:ext uri="{FF2B5EF4-FFF2-40B4-BE49-F238E27FC236}">
                  <a16:creationId xmlns:a16="http://schemas.microsoft.com/office/drawing/2014/main" id="{00000000-0008-0000-0900-000029ED2300}"/>
                </a:ext>
              </a:extLst>
            </xdr:cNvPr>
            <xdr:cNvSpPr>
              <a:spLocks noChangeShapeType="1"/>
            </xdr:cNvSpPr>
          </xdr:nvSpPr>
          <xdr:spPr bwMode="auto">
            <a:xfrm>
              <a:off x="4225" y="203"/>
              <a:ext cx="32" cy="23"/>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54474" name="Line 298">
              <a:extLst>
                <a:ext uri="{FF2B5EF4-FFF2-40B4-BE49-F238E27FC236}">
                  <a16:creationId xmlns:a16="http://schemas.microsoft.com/office/drawing/2014/main" id="{00000000-0008-0000-0900-00002AED2300}"/>
                </a:ext>
              </a:extLst>
            </xdr:cNvPr>
            <xdr:cNvSpPr>
              <a:spLocks noChangeShapeType="1"/>
            </xdr:cNvSpPr>
          </xdr:nvSpPr>
          <xdr:spPr bwMode="auto">
            <a:xfrm flipV="1">
              <a:off x="4247" y="231"/>
              <a:ext cx="47"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54475" name="Line 299">
              <a:extLst>
                <a:ext uri="{FF2B5EF4-FFF2-40B4-BE49-F238E27FC236}">
                  <a16:creationId xmlns:a16="http://schemas.microsoft.com/office/drawing/2014/main" id="{00000000-0008-0000-0900-00002BED2300}"/>
                </a:ext>
              </a:extLst>
            </xdr:cNvPr>
            <xdr:cNvSpPr>
              <a:spLocks noChangeShapeType="1"/>
            </xdr:cNvSpPr>
          </xdr:nvSpPr>
          <xdr:spPr bwMode="auto">
            <a:xfrm flipV="1">
              <a:off x="4247" y="226"/>
              <a:ext cx="1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54476" name="Line 300">
              <a:extLst>
                <a:ext uri="{FF2B5EF4-FFF2-40B4-BE49-F238E27FC236}">
                  <a16:creationId xmlns:a16="http://schemas.microsoft.com/office/drawing/2014/main" id="{00000000-0008-0000-0900-00002CED2300}"/>
                </a:ext>
              </a:extLst>
            </xdr:cNvPr>
            <xdr:cNvSpPr>
              <a:spLocks noChangeShapeType="1"/>
            </xdr:cNvSpPr>
          </xdr:nvSpPr>
          <xdr:spPr bwMode="auto">
            <a:xfrm>
              <a:off x="4247" y="226"/>
              <a:ext cx="0" cy="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grpSp>
      <xdr:grpSp>
        <xdr:nvGrpSpPr>
          <xdr:cNvPr id="2354477" name="Group 301">
            <a:extLst>
              <a:ext uri="{FF2B5EF4-FFF2-40B4-BE49-F238E27FC236}">
                <a16:creationId xmlns:a16="http://schemas.microsoft.com/office/drawing/2014/main" id="{00000000-0008-0000-0900-00002DED2300}"/>
              </a:ext>
            </a:extLst>
          </xdr:cNvPr>
          <xdr:cNvGrpSpPr>
            <a:grpSpLocks/>
          </xdr:cNvGrpSpPr>
        </xdr:nvGrpSpPr>
        <xdr:grpSpPr bwMode="auto">
          <a:xfrm>
            <a:off x="4210" y="245"/>
            <a:ext cx="104" cy="44"/>
            <a:chOff x="4210" y="245"/>
            <a:chExt cx="97" cy="44"/>
          </a:xfrm>
        </xdr:grpSpPr>
        <xdr:sp macro="" textlink="">
          <xdr:nvSpPr>
            <xdr:cNvPr id="2354478" name="Line 302">
              <a:extLst>
                <a:ext uri="{FF2B5EF4-FFF2-40B4-BE49-F238E27FC236}">
                  <a16:creationId xmlns:a16="http://schemas.microsoft.com/office/drawing/2014/main" id="{00000000-0008-0000-0900-00002EED2300}"/>
                </a:ext>
              </a:extLst>
            </xdr:cNvPr>
            <xdr:cNvSpPr>
              <a:spLocks noChangeShapeType="1"/>
            </xdr:cNvSpPr>
          </xdr:nvSpPr>
          <xdr:spPr bwMode="auto">
            <a:xfrm flipV="1">
              <a:off x="4224" y="245"/>
              <a:ext cx="82"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54479" name="Line 303">
              <a:extLst>
                <a:ext uri="{FF2B5EF4-FFF2-40B4-BE49-F238E27FC236}">
                  <a16:creationId xmlns:a16="http://schemas.microsoft.com/office/drawing/2014/main" id="{00000000-0008-0000-0900-00002FED2300}"/>
                </a:ext>
              </a:extLst>
            </xdr:cNvPr>
            <xdr:cNvSpPr>
              <a:spLocks noChangeShapeType="1"/>
            </xdr:cNvSpPr>
          </xdr:nvSpPr>
          <xdr:spPr bwMode="auto">
            <a:xfrm>
              <a:off x="4224" y="245"/>
              <a:ext cx="0" cy="1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54480" name="Line 304">
              <a:extLst>
                <a:ext uri="{FF2B5EF4-FFF2-40B4-BE49-F238E27FC236}">
                  <a16:creationId xmlns:a16="http://schemas.microsoft.com/office/drawing/2014/main" id="{00000000-0008-0000-0900-000030ED2300}"/>
                </a:ext>
              </a:extLst>
            </xdr:cNvPr>
            <xdr:cNvSpPr>
              <a:spLocks noChangeShapeType="1"/>
            </xdr:cNvSpPr>
          </xdr:nvSpPr>
          <xdr:spPr bwMode="auto">
            <a:xfrm flipH="1">
              <a:off x="4210" y="256"/>
              <a:ext cx="25" cy="5"/>
            </a:xfrm>
            <a:prstGeom prst="line">
              <a:avLst/>
            </a:prstGeom>
            <a:noFill/>
            <a:ln w="1905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54481" name="Line 305">
              <a:extLst>
                <a:ext uri="{FF2B5EF4-FFF2-40B4-BE49-F238E27FC236}">
                  <a16:creationId xmlns:a16="http://schemas.microsoft.com/office/drawing/2014/main" id="{00000000-0008-0000-0900-000031ED2300}"/>
                </a:ext>
              </a:extLst>
            </xdr:cNvPr>
            <xdr:cNvSpPr>
              <a:spLocks noChangeShapeType="1"/>
            </xdr:cNvSpPr>
          </xdr:nvSpPr>
          <xdr:spPr bwMode="auto">
            <a:xfrm flipH="1">
              <a:off x="4223" y="259"/>
              <a:ext cx="0" cy="27"/>
            </a:xfrm>
            <a:prstGeom prst="line">
              <a:avLst/>
            </a:prstGeom>
            <a:noFill/>
            <a:ln w="1905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54482" name="Line 306">
              <a:extLst>
                <a:ext uri="{FF2B5EF4-FFF2-40B4-BE49-F238E27FC236}">
                  <a16:creationId xmlns:a16="http://schemas.microsoft.com/office/drawing/2014/main" id="{00000000-0008-0000-0900-000032ED2300}"/>
                </a:ext>
              </a:extLst>
            </xdr:cNvPr>
            <xdr:cNvSpPr>
              <a:spLocks noChangeShapeType="1"/>
            </xdr:cNvSpPr>
          </xdr:nvSpPr>
          <xdr:spPr bwMode="auto">
            <a:xfrm flipH="1">
              <a:off x="4210" y="284"/>
              <a:ext cx="25" cy="5"/>
            </a:xfrm>
            <a:prstGeom prst="line">
              <a:avLst/>
            </a:prstGeom>
            <a:noFill/>
            <a:ln w="1905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54483" name="Line 307">
              <a:extLst>
                <a:ext uri="{FF2B5EF4-FFF2-40B4-BE49-F238E27FC236}">
                  <a16:creationId xmlns:a16="http://schemas.microsoft.com/office/drawing/2014/main" id="{00000000-0008-0000-0900-000033ED2300}"/>
                </a:ext>
              </a:extLst>
            </xdr:cNvPr>
            <xdr:cNvSpPr>
              <a:spLocks noChangeShapeType="1"/>
            </xdr:cNvSpPr>
          </xdr:nvSpPr>
          <xdr:spPr bwMode="auto">
            <a:xfrm flipH="1">
              <a:off x="4224" y="252"/>
              <a:ext cx="14" cy="3"/>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54484" name="Line 308">
              <a:extLst>
                <a:ext uri="{FF2B5EF4-FFF2-40B4-BE49-F238E27FC236}">
                  <a16:creationId xmlns:a16="http://schemas.microsoft.com/office/drawing/2014/main" id="{00000000-0008-0000-0900-000034ED2300}"/>
                </a:ext>
              </a:extLst>
            </xdr:cNvPr>
            <xdr:cNvSpPr>
              <a:spLocks noChangeShapeType="1"/>
            </xdr:cNvSpPr>
          </xdr:nvSpPr>
          <xdr:spPr bwMode="auto">
            <a:xfrm flipV="1">
              <a:off x="4238" y="249"/>
              <a:ext cx="0" cy="3"/>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54485" name="Line 309">
              <a:extLst>
                <a:ext uri="{FF2B5EF4-FFF2-40B4-BE49-F238E27FC236}">
                  <a16:creationId xmlns:a16="http://schemas.microsoft.com/office/drawing/2014/main" id="{00000000-0008-0000-0900-000035ED2300}"/>
                </a:ext>
              </a:extLst>
            </xdr:cNvPr>
            <xdr:cNvSpPr>
              <a:spLocks noChangeShapeType="1"/>
            </xdr:cNvSpPr>
          </xdr:nvSpPr>
          <xdr:spPr bwMode="auto">
            <a:xfrm>
              <a:off x="4238" y="249"/>
              <a:ext cx="32" cy="23"/>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54486" name="Line 310">
              <a:extLst>
                <a:ext uri="{FF2B5EF4-FFF2-40B4-BE49-F238E27FC236}">
                  <a16:creationId xmlns:a16="http://schemas.microsoft.com/office/drawing/2014/main" id="{00000000-0008-0000-0900-000036ED2300}"/>
                </a:ext>
              </a:extLst>
            </xdr:cNvPr>
            <xdr:cNvSpPr>
              <a:spLocks noChangeShapeType="1"/>
            </xdr:cNvSpPr>
          </xdr:nvSpPr>
          <xdr:spPr bwMode="auto">
            <a:xfrm flipV="1">
              <a:off x="4260" y="277"/>
              <a:ext cx="47"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54487" name="Line 311">
              <a:extLst>
                <a:ext uri="{FF2B5EF4-FFF2-40B4-BE49-F238E27FC236}">
                  <a16:creationId xmlns:a16="http://schemas.microsoft.com/office/drawing/2014/main" id="{00000000-0008-0000-0900-000037ED2300}"/>
                </a:ext>
              </a:extLst>
            </xdr:cNvPr>
            <xdr:cNvSpPr>
              <a:spLocks noChangeShapeType="1"/>
            </xdr:cNvSpPr>
          </xdr:nvSpPr>
          <xdr:spPr bwMode="auto">
            <a:xfrm flipV="1">
              <a:off x="4260" y="272"/>
              <a:ext cx="1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54488" name="Line 312">
              <a:extLst>
                <a:ext uri="{FF2B5EF4-FFF2-40B4-BE49-F238E27FC236}">
                  <a16:creationId xmlns:a16="http://schemas.microsoft.com/office/drawing/2014/main" id="{00000000-0008-0000-0900-000038ED2300}"/>
                </a:ext>
              </a:extLst>
            </xdr:cNvPr>
            <xdr:cNvSpPr>
              <a:spLocks noChangeShapeType="1"/>
            </xdr:cNvSpPr>
          </xdr:nvSpPr>
          <xdr:spPr bwMode="auto">
            <a:xfrm>
              <a:off x="4260" y="272"/>
              <a:ext cx="0" cy="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grpSp>
      <xdr:sp macro="" textlink="">
        <xdr:nvSpPr>
          <xdr:cNvPr id="2354489" name="Text Box 313">
            <a:extLst>
              <a:ext uri="{FF2B5EF4-FFF2-40B4-BE49-F238E27FC236}">
                <a16:creationId xmlns:a16="http://schemas.microsoft.com/office/drawing/2014/main" id="{00000000-0008-0000-0900-000039ED2300}"/>
              </a:ext>
            </a:extLst>
          </xdr:cNvPr>
          <xdr:cNvSpPr txBox="1">
            <a:spLocks noChangeArrowheads="1"/>
          </xdr:cNvSpPr>
        </xdr:nvSpPr>
        <xdr:spPr bwMode="auto">
          <a:xfrm>
            <a:off x="4227" y="207"/>
            <a:ext cx="85" cy="18"/>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en-US" sz="800" b="0" i="0" u="none" strike="noStrike" baseline="0">
                <a:solidFill>
                  <a:srgbClr val="000000"/>
                </a:solidFill>
                <a:latin typeface="Arial"/>
                <a:cs typeface="Arial"/>
              </a:rPr>
              <a:t>"+" Brg Slope</a:t>
            </a:r>
            <a:endParaRPr lang="en-US"/>
          </a:p>
        </xdr:txBody>
      </xdr:sp>
      <xdr:sp macro="" textlink="">
        <xdr:nvSpPr>
          <xdr:cNvPr id="2354490" name="Text Box 314">
            <a:extLst>
              <a:ext uri="{FF2B5EF4-FFF2-40B4-BE49-F238E27FC236}">
                <a16:creationId xmlns:a16="http://schemas.microsoft.com/office/drawing/2014/main" id="{00000000-0008-0000-0900-00003AED2300}"/>
              </a:ext>
            </a:extLst>
          </xdr:cNvPr>
          <xdr:cNvSpPr txBox="1">
            <a:spLocks noChangeArrowheads="1"/>
          </xdr:cNvSpPr>
        </xdr:nvSpPr>
        <xdr:spPr bwMode="auto">
          <a:xfrm>
            <a:off x="4227" y="296"/>
            <a:ext cx="85" cy="18"/>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en-US" sz="800" b="0" i="0" u="none" strike="noStrike" baseline="0">
                <a:solidFill>
                  <a:srgbClr val="000000"/>
                </a:solidFill>
                <a:latin typeface="Arial"/>
                <a:cs typeface="Arial"/>
              </a:rPr>
              <a:t>"-" Brg Slope</a:t>
            </a:r>
            <a:endParaRPr lang="en-US"/>
          </a:p>
        </xdr:txBody>
      </xdr:sp>
      <xdr:grpSp>
        <xdr:nvGrpSpPr>
          <xdr:cNvPr id="2354491" name="Group 315">
            <a:extLst>
              <a:ext uri="{FF2B5EF4-FFF2-40B4-BE49-F238E27FC236}">
                <a16:creationId xmlns:a16="http://schemas.microsoft.com/office/drawing/2014/main" id="{00000000-0008-0000-0900-00003BED2300}"/>
              </a:ext>
            </a:extLst>
          </xdr:cNvPr>
          <xdr:cNvGrpSpPr>
            <a:grpSpLocks/>
          </xdr:cNvGrpSpPr>
        </xdr:nvGrpSpPr>
        <xdr:grpSpPr bwMode="auto">
          <a:xfrm flipH="1">
            <a:off x="4400" y="155"/>
            <a:ext cx="96" cy="42"/>
            <a:chOff x="4198" y="199"/>
            <a:chExt cx="96" cy="42"/>
          </a:xfrm>
        </xdr:grpSpPr>
        <xdr:sp macro="" textlink="">
          <xdr:nvSpPr>
            <xdr:cNvPr id="2354492" name="Line 316">
              <a:extLst>
                <a:ext uri="{FF2B5EF4-FFF2-40B4-BE49-F238E27FC236}">
                  <a16:creationId xmlns:a16="http://schemas.microsoft.com/office/drawing/2014/main" id="{00000000-0008-0000-0900-00003CED2300}"/>
                </a:ext>
              </a:extLst>
            </xdr:cNvPr>
            <xdr:cNvSpPr>
              <a:spLocks noChangeShapeType="1"/>
            </xdr:cNvSpPr>
          </xdr:nvSpPr>
          <xdr:spPr bwMode="auto">
            <a:xfrm flipV="1">
              <a:off x="4211" y="199"/>
              <a:ext cx="82"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54493" name="Line 317">
              <a:extLst>
                <a:ext uri="{FF2B5EF4-FFF2-40B4-BE49-F238E27FC236}">
                  <a16:creationId xmlns:a16="http://schemas.microsoft.com/office/drawing/2014/main" id="{00000000-0008-0000-0900-00003DED2300}"/>
                </a:ext>
              </a:extLst>
            </xdr:cNvPr>
            <xdr:cNvSpPr>
              <a:spLocks noChangeShapeType="1"/>
            </xdr:cNvSpPr>
          </xdr:nvSpPr>
          <xdr:spPr bwMode="auto">
            <a:xfrm>
              <a:off x="4211" y="199"/>
              <a:ext cx="0" cy="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54494" name="Line 318">
              <a:extLst>
                <a:ext uri="{FF2B5EF4-FFF2-40B4-BE49-F238E27FC236}">
                  <a16:creationId xmlns:a16="http://schemas.microsoft.com/office/drawing/2014/main" id="{00000000-0008-0000-0900-00003EED2300}"/>
                </a:ext>
              </a:extLst>
            </xdr:cNvPr>
            <xdr:cNvSpPr>
              <a:spLocks noChangeShapeType="1"/>
            </xdr:cNvSpPr>
          </xdr:nvSpPr>
          <xdr:spPr bwMode="auto">
            <a:xfrm>
              <a:off x="4198" y="208"/>
              <a:ext cx="25" cy="5"/>
            </a:xfrm>
            <a:prstGeom prst="line">
              <a:avLst/>
            </a:prstGeom>
            <a:noFill/>
            <a:ln w="1905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54495" name="Line 319">
              <a:extLst>
                <a:ext uri="{FF2B5EF4-FFF2-40B4-BE49-F238E27FC236}">
                  <a16:creationId xmlns:a16="http://schemas.microsoft.com/office/drawing/2014/main" id="{00000000-0008-0000-0900-00003FED2300}"/>
                </a:ext>
              </a:extLst>
            </xdr:cNvPr>
            <xdr:cNvSpPr>
              <a:spLocks noChangeShapeType="1"/>
            </xdr:cNvSpPr>
          </xdr:nvSpPr>
          <xdr:spPr bwMode="auto">
            <a:xfrm>
              <a:off x="4210" y="211"/>
              <a:ext cx="0" cy="27"/>
            </a:xfrm>
            <a:prstGeom prst="line">
              <a:avLst/>
            </a:prstGeom>
            <a:noFill/>
            <a:ln w="1905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54496" name="Line 320">
              <a:extLst>
                <a:ext uri="{FF2B5EF4-FFF2-40B4-BE49-F238E27FC236}">
                  <a16:creationId xmlns:a16="http://schemas.microsoft.com/office/drawing/2014/main" id="{00000000-0008-0000-0900-000040ED2300}"/>
                </a:ext>
              </a:extLst>
            </xdr:cNvPr>
            <xdr:cNvSpPr>
              <a:spLocks noChangeShapeType="1"/>
            </xdr:cNvSpPr>
          </xdr:nvSpPr>
          <xdr:spPr bwMode="auto">
            <a:xfrm>
              <a:off x="4198" y="236"/>
              <a:ext cx="25" cy="5"/>
            </a:xfrm>
            <a:prstGeom prst="line">
              <a:avLst/>
            </a:prstGeom>
            <a:noFill/>
            <a:ln w="1905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54497" name="Line 321">
              <a:extLst>
                <a:ext uri="{FF2B5EF4-FFF2-40B4-BE49-F238E27FC236}">
                  <a16:creationId xmlns:a16="http://schemas.microsoft.com/office/drawing/2014/main" id="{00000000-0008-0000-0900-000041ED2300}"/>
                </a:ext>
              </a:extLst>
            </xdr:cNvPr>
            <xdr:cNvSpPr>
              <a:spLocks noChangeShapeType="1"/>
            </xdr:cNvSpPr>
          </xdr:nvSpPr>
          <xdr:spPr bwMode="auto">
            <a:xfrm>
              <a:off x="4211" y="207"/>
              <a:ext cx="14" cy="3"/>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54498" name="Line 322">
              <a:extLst>
                <a:ext uri="{FF2B5EF4-FFF2-40B4-BE49-F238E27FC236}">
                  <a16:creationId xmlns:a16="http://schemas.microsoft.com/office/drawing/2014/main" id="{00000000-0008-0000-0900-000042ED2300}"/>
                </a:ext>
              </a:extLst>
            </xdr:cNvPr>
            <xdr:cNvSpPr>
              <a:spLocks noChangeShapeType="1"/>
            </xdr:cNvSpPr>
          </xdr:nvSpPr>
          <xdr:spPr bwMode="auto">
            <a:xfrm flipV="1">
              <a:off x="4225" y="203"/>
              <a:ext cx="0" cy="7"/>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54499" name="Line 323">
              <a:extLst>
                <a:ext uri="{FF2B5EF4-FFF2-40B4-BE49-F238E27FC236}">
                  <a16:creationId xmlns:a16="http://schemas.microsoft.com/office/drawing/2014/main" id="{00000000-0008-0000-0900-000043ED2300}"/>
                </a:ext>
              </a:extLst>
            </xdr:cNvPr>
            <xdr:cNvSpPr>
              <a:spLocks noChangeShapeType="1"/>
            </xdr:cNvSpPr>
          </xdr:nvSpPr>
          <xdr:spPr bwMode="auto">
            <a:xfrm>
              <a:off x="4225" y="203"/>
              <a:ext cx="32" cy="23"/>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54500" name="Line 324">
              <a:extLst>
                <a:ext uri="{FF2B5EF4-FFF2-40B4-BE49-F238E27FC236}">
                  <a16:creationId xmlns:a16="http://schemas.microsoft.com/office/drawing/2014/main" id="{00000000-0008-0000-0900-000044ED2300}"/>
                </a:ext>
              </a:extLst>
            </xdr:cNvPr>
            <xdr:cNvSpPr>
              <a:spLocks noChangeShapeType="1"/>
            </xdr:cNvSpPr>
          </xdr:nvSpPr>
          <xdr:spPr bwMode="auto">
            <a:xfrm flipV="1">
              <a:off x="4247" y="231"/>
              <a:ext cx="47"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54501" name="Line 325">
              <a:extLst>
                <a:ext uri="{FF2B5EF4-FFF2-40B4-BE49-F238E27FC236}">
                  <a16:creationId xmlns:a16="http://schemas.microsoft.com/office/drawing/2014/main" id="{00000000-0008-0000-0900-000045ED2300}"/>
                </a:ext>
              </a:extLst>
            </xdr:cNvPr>
            <xdr:cNvSpPr>
              <a:spLocks noChangeShapeType="1"/>
            </xdr:cNvSpPr>
          </xdr:nvSpPr>
          <xdr:spPr bwMode="auto">
            <a:xfrm flipV="1">
              <a:off x="4247" y="226"/>
              <a:ext cx="1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54502" name="Line 326">
              <a:extLst>
                <a:ext uri="{FF2B5EF4-FFF2-40B4-BE49-F238E27FC236}">
                  <a16:creationId xmlns:a16="http://schemas.microsoft.com/office/drawing/2014/main" id="{00000000-0008-0000-0900-000046ED2300}"/>
                </a:ext>
              </a:extLst>
            </xdr:cNvPr>
            <xdr:cNvSpPr>
              <a:spLocks noChangeShapeType="1"/>
            </xdr:cNvSpPr>
          </xdr:nvSpPr>
          <xdr:spPr bwMode="auto">
            <a:xfrm>
              <a:off x="4247" y="226"/>
              <a:ext cx="0" cy="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grpSp>
      <xdr:grpSp>
        <xdr:nvGrpSpPr>
          <xdr:cNvPr id="2354503" name="Group 327">
            <a:extLst>
              <a:ext uri="{FF2B5EF4-FFF2-40B4-BE49-F238E27FC236}">
                <a16:creationId xmlns:a16="http://schemas.microsoft.com/office/drawing/2014/main" id="{00000000-0008-0000-0900-000047ED2300}"/>
              </a:ext>
            </a:extLst>
          </xdr:cNvPr>
          <xdr:cNvGrpSpPr>
            <a:grpSpLocks/>
          </xdr:cNvGrpSpPr>
        </xdr:nvGrpSpPr>
        <xdr:grpSpPr bwMode="auto">
          <a:xfrm>
            <a:off x="4399" y="245"/>
            <a:ext cx="97" cy="44"/>
            <a:chOff x="4392" y="245"/>
            <a:chExt cx="97" cy="44"/>
          </a:xfrm>
        </xdr:grpSpPr>
        <xdr:sp macro="" textlink="">
          <xdr:nvSpPr>
            <xdr:cNvPr id="2354504" name="Line 328">
              <a:extLst>
                <a:ext uri="{FF2B5EF4-FFF2-40B4-BE49-F238E27FC236}">
                  <a16:creationId xmlns:a16="http://schemas.microsoft.com/office/drawing/2014/main" id="{00000000-0008-0000-0900-000048ED2300}"/>
                </a:ext>
              </a:extLst>
            </xdr:cNvPr>
            <xdr:cNvSpPr>
              <a:spLocks noChangeShapeType="1"/>
            </xdr:cNvSpPr>
          </xdr:nvSpPr>
          <xdr:spPr bwMode="auto">
            <a:xfrm flipH="1" flipV="1">
              <a:off x="4393" y="245"/>
              <a:ext cx="82"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54505" name="Line 329">
              <a:extLst>
                <a:ext uri="{FF2B5EF4-FFF2-40B4-BE49-F238E27FC236}">
                  <a16:creationId xmlns:a16="http://schemas.microsoft.com/office/drawing/2014/main" id="{00000000-0008-0000-0900-000049ED2300}"/>
                </a:ext>
              </a:extLst>
            </xdr:cNvPr>
            <xdr:cNvSpPr>
              <a:spLocks noChangeShapeType="1"/>
            </xdr:cNvSpPr>
          </xdr:nvSpPr>
          <xdr:spPr bwMode="auto">
            <a:xfrm flipH="1">
              <a:off x="4475" y="245"/>
              <a:ext cx="0" cy="1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54506" name="Line 330">
              <a:extLst>
                <a:ext uri="{FF2B5EF4-FFF2-40B4-BE49-F238E27FC236}">
                  <a16:creationId xmlns:a16="http://schemas.microsoft.com/office/drawing/2014/main" id="{00000000-0008-0000-0900-00004AED2300}"/>
                </a:ext>
              </a:extLst>
            </xdr:cNvPr>
            <xdr:cNvSpPr>
              <a:spLocks noChangeShapeType="1"/>
            </xdr:cNvSpPr>
          </xdr:nvSpPr>
          <xdr:spPr bwMode="auto">
            <a:xfrm>
              <a:off x="4464" y="256"/>
              <a:ext cx="25" cy="5"/>
            </a:xfrm>
            <a:prstGeom prst="line">
              <a:avLst/>
            </a:prstGeom>
            <a:noFill/>
            <a:ln w="1905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54507" name="Line 331">
              <a:extLst>
                <a:ext uri="{FF2B5EF4-FFF2-40B4-BE49-F238E27FC236}">
                  <a16:creationId xmlns:a16="http://schemas.microsoft.com/office/drawing/2014/main" id="{00000000-0008-0000-0900-00004BED2300}"/>
                </a:ext>
              </a:extLst>
            </xdr:cNvPr>
            <xdr:cNvSpPr>
              <a:spLocks noChangeShapeType="1"/>
            </xdr:cNvSpPr>
          </xdr:nvSpPr>
          <xdr:spPr bwMode="auto">
            <a:xfrm>
              <a:off x="4476" y="259"/>
              <a:ext cx="0" cy="27"/>
            </a:xfrm>
            <a:prstGeom prst="line">
              <a:avLst/>
            </a:prstGeom>
            <a:noFill/>
            <a:ln w="1905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54508" name="Line 332">
              <a:extLst>
                <a:ext uri="{FF2B5EF4-FFF2-40B4-BE49-F238E27FC236}">
                  <a16:creationId xmlns:a16="http://schemas.microsoft.com/office/drawing/2014/main" id="{00000000-0008-0000-0900-00004CED2300}"/>
                </a:ext>
              </a:extLst>
            </xdr:cNvPr>
            <xdr:cNvSpPr>
              <a:spLocks noChangeShapeType="1"/>
            </xdr:cNvSpPr>
          </xdr:nvSpPr>
          <xdr:spPr bwMode="auto">
            <a:xfrm>
              <a:off x="4464" y="284"/>
              <a:ext cx="25" cy="5"/>
            </a:xfrm>
            <a:prstGeom prst="line">
              <a:avLst/>
            </a:prstGeom>
            <a:noFill/>
            <a:ln w="1905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54509" name="Line 333">
              <a:extLst>
                <a:ext uri="{FF2B5EF4-FFF2-40B4-BE49-F238E27FC236}">
                  <a16:creationId xmlns:a16="http://schemas.microsoft.com/office/drawing/2014/main" id="{00000000-0008-0000-0900-00004DED2300}"/>
                </a:ext>
              </a:extLst>
            </xdr:cNvPr>
            <xdr:cNvSpPr>
              <a:spLocks noChangeShapeType="1"/>
            </xdr:cNvSpPr>
          </xdr:nvSpPr>
          <xdr:spPr bwMode="auto">
            <a:xfrm>
              <a:off x="4461" y="252"/>
              <a:ext cx="14" cy="3"/>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54510" name="Line 334">
              <a:extLst>
                <a:ext uri="{FF2B5EF4-FFF2-40B4-BE49-F238E27FC236}">
                  <a16:creationId xmlns:a16="http://schemas.microsoft.com/office/drawing/2014/main" id="{00000000-0008-0000-0900-00004EED2300}"/>
                </a:ext>
              </a:extLst>
            </xdr:cNvPr>
            <xdr:cNvSpPr>
              <a:spLocks noChangeShapeType="1"/>
            </xdr:cNvSpPr>
          </xdr:nvSpPr>
          <xdr:spPr bwMode="auto">
            <a:xfrm flipH="1" flipV="1">
              <a:off x="4461" y="249"/>
              <a:ext cx="0" cy="3"/>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54511" name="Line 335">
              <a:extLst>
                <a:ext uri="{FF2B5EF4-FFF2-40B4-BE49-F238E27FC236}">
                  <a16:creationId xmlns:a16="http://schemas.microsoft.com/office/drawing/2014/main" id="{00000000-0008-0000-0900-00004FED2300}"/>
                </a:ext>
              </a:extLst>
            </xdr:cNvPr>
            <xdr:cNvSpPr>
              <a:spLocks noChangeShapeType="1"/>
            </xdr:cNvSpPr>
          </xdr:nvSpPr>
          <xdr:spPr bwMode="auto">
            <a:xfrm flipH="1">
              <a:off x="4429" y="249"/>
              <a:ext cx="32" cy="23"/>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54512" name="Line 336">
              <a:extLst>
                <a:ext uri="{FF2B5EF4-FFF2-40B4-BE49-F238E27FC236}">
                  <a16:creationId xmlns:a16="http://schemas.microsoft.com/office/drawing/2014/main" id="{00000000-0008-0000-0900-000050ED2300}"/>
                </a:ext>
              </a:extLst>
            </xdr:cNvPr>
            <xdr:cNvSpPr>
              <a:spLocks noChangeShapeType="1"/>
            </xdr:cNvSpPr>
          </xdr:nvSpPr>
          <xdr:spPr bwMode="auto">
            <a:xfrm flipH="1" flipV="1">
              <a:off x="4392" y="277"/>
              <a:ext cx="47"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54513" name="Line 337">
              <a:extLst>
                <a:ext uri="{FF2B5EF4-FFF2-40B4-BE49-F238E27FC236}">
                  <a16:creationId xmlns:a16="http://schemas.microsoft.com/office/drawing/2014/main" id="{00000000-0008-0000-0900-000051ED2300}"/>
                </a:ext>
              </a:extLst>
            </xdr:cNvPr>
            <xdr:cNvSpPr>
              <a:spLocks noChangeShapeType="1"/>
            </xdr:cNvSpPr>
          </xdr:nvSpPr>
          <xdr:spPr bwMode="auto">
            <a:xfrm flipH="1" flipV="1">
              <a:off x="4429" y="272"/>
              <a:ext cx="1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54514" name="Line 338">
              <a:extLst>
                <a:ext uri="{FF2B5EF4-FFF2-40B4-BE49-F238E27FC236}">
                  <a16:creationId xmlns:a16="http://schemas.microsoft.com/office/drawing/2014/main" id="{00000000-0008-0000-0900-000052ED2300}"/>
                </a:ext>
              </a:extLst>
            </xdr:cNvPr>
            <xdr:cNvSpPr>
              <a:spLocks noChangeShapeType="1"/>
            </xdr:cNvSpPr>
          </xdr:nvSpPr>
          <xdr:spPr bwMode="auto">
            <a:xfrm flipH="1">
              <a:off x="4439" y="272"/>
              <a:ext cx="0" cy="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grpSp>
      <xdr:sp macro="" textlink="">
        <xdr:nvSpPr>
          <xdr:cNvPr id="2354515" name="Text Box 339">
            <a:extLst>
              <a:ext uri="{FF2B5EF4-FFF2-40B4-BE49-F238E27FC236}">
                <a16:creationId xmlns:a16="http://schemas.microsoft.com/office/drawing/2014/main" id="{00000000-0008-0000-0900-000053ED2300}"/>
              </a:ext>
            </a:extLst>
          </xdr:cNvPr>
          <xdr:cNvSpPr txBox="1">
            <a:spLocks noChangeArrowheads="1"/>
          </xdr:cNvSpPr>
        </xdr:nvSpPr>
        <xdr:spPr bwMode="auto">
          <a:xfrm>
            <a:off x="4405" y="207"/>
            <a:ext cx="85" cy="18"/>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en-US" sz="800" b="0" i="0" u="none" strike="noStrike" baseline="0">
                <a:solidFill>
                  <a:srgbClr val="000000"/>
                </a:solidFill>
                <a:latin typeface="Arial"/>
                <a:cs typeface="Arial"/>
              </a:rPr>
              <a:t>"+" Brg Slope</a:t>
            </a:r>
            <a:endParaRPr lang="en-US"/>
          </a:p>
        </xdr:txBody>
      </xdr:sp>
      <xdr:sp macro="" textlink="">
        <xdr:nvSpPr>
          <xdr:cNvPr id="2354516" name="Text Box 340">
            <a:extLst>
              <a:ext uri="{FF2B5EF4-FFF2-40B4-BE49-F238E27FC236}">
                <a16:creationId xmlns:a16="http://schemas.microsoft.com/office/drawing/2014/main" id="{00000000-0008-0000-0900-000054ED2300}"/>
              </a:ext>
            </a:extLst>
          </xdr:cNvPr>
          <xdr:cNvSpPr txBox="1">
            <a:spLocks noChangeArrowheads="1"/>
          </xdr:cNvSpPr>
        </xdr:nvSpPr>
        <xdr:spPr bwMode="auto">
          <a:xfrm>
            <a:off x="4405" y="296"/>
            <a:ext cx="85" cy="18"/>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en-US" sz="800" b="0" i="0" u="none" strike="noStrike" baseline="0">
                <a:solidFill>
                  <a:srgbClr val="000000"/>
                </a:solidFill>
                <a:latin typeface="Arial"/>
                <a:cs typeface="Arial"/>
              </a:rPr>
              <a:t>"-" Brg Slope</a:t>
            </a:r>
            <a:endParaRPr lang="en-US"/>
          </a:p>
        </xdr:txBody>
      </xdr:sp>
    </xdr:grpSp>
    <xdr:clientData/>
  </xdr:twoCellAnchor>
  <xdr:twoCellAnchor editAs="absolute">
    <xdr:from>
      <xdr:col>1</xdr:col>
      <xdr:colOff>123825</xdr:colOff>
      <xdr:row>0</xdr:row>
      <xdr:rowOff>0</xdr:rowOff>
    </xdr:from>
    <xdr:to>
      <xdr:col>6</xdr:col>
      <xdr:colOff>104775</xdr:colOff>
      <xdr:row>3</xdr:row>
      <xdr:rowOff>142875</xdr:rowOff>
    </xdr:to>
    <xdr:pic>
      <xdr:nvPicPr>
        <xdr:cNvPr id="2354547" name="Picture 371" descr="newmill_black_logo">
          <a:extLst>
            <a:ext uri="{FF2B5EF4-FFF2-40B4-BE49-F238E27FC236}">
              <a16:creationId xmlns:a16="http://schemas.microsoft.com/office/drawing/2014/main" id="{00000000-0008-0000-0900-000073ED23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04825" y="0"/>
          <a:ext cx="2057400" cy="647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62</xdr:col>
      <xdr:colOff>76200</xdr:colOff>
      <xdr:row>10</xdr:row>
      <xdr:rowOff>19051</xdr:rowOff>
    </xdr:from>
    <xdr:to>
      <xdr:col>69</xdr:col>
      <xdr:colOff>19050</xdr:colOff>
      <xdr:row>14</xdr:row>
      <xdr:rowOff>47626</xdr:rowOff>
    </xdr:to>
    <xdr:grpSp>
      <xdr:nvGrpSpPr>
        <xdr:cNvPr id="2354851" name="Group 675">
          <a:extLst>
            <a:ext uri="{FF2B5EF4-FFF2-40B4-BE49-F238E27FC236}">
              <a16:creationId xmlns:a16="http://schemas.microsoft.com/office/drawing/2014/main" id="{00000000-0008-0000-0900-0000A3EE2300}"/>
            </a:ext>
          </a:extLst>
        </xdr:cNvPr>
        <xdr:cNvGrpSpPr>
          <a:grpSpLocks/>
        </xdr:cNvGrpSpPr>
      </xdr:nvGrpSpPr>
      <xdr:grpSpPr bwMode="auto">
        <a:xfrm>
          <a:off x="13249275" y="1562101"/>
          <a:ext cx="2371725" cy="1362075"/>
          <a:chOff x="1487" y="158"/>
          <a:chExt cx="353" cy="179"/>
        </a:xfrm>
      </xdr:grpSpPr>
      <xdr:grpSp>
        <xdr:nvGrpSpPr>
          <xdr:cNvPr id="2354438" name="Group 262">
            <a:extLst>
              <a:ext uri="{FF2B5EF4-FFF2-40B4-BE49-F238E27FC236}">
                <a16:creationId xmlns:a16="http://schemas.microsoft.com/office/drawing/2014/main" id="{00000000-0008-0000-0900-000006ED2300}"/>
              </a:ext>
            </a:extLst>
          </xdr:cNvPr>
          <xdr:cNvGrpSpPr>
            <a:grpSpLocks/>
          </xdr:cNvGrpSpPr>
        </xdr:nvGrpSpPr>
        <xdr:grpSpPr bwMode="auto">
          <a:xfrm>
            <a:off x="1487" y="158"/>
            <a:ext cx="353" cy="179"/>
            <a:chOff x="4176" y="233"/>
            <a:chExt cx="346" cy="217"/>
          </a:xfrm>
        </xdr:grpSpPr>
        <xdr:sp macro="" textlink="">
          <xdr:nvSpPr>
            <xdr:cNvPr id="2354439" name="Rectangle 263">
              <a:extLst>
                <a:ext uri="{FF2B5EF4-FFF2-40B4-BE49-F238E27FC236}">
                  <a16:creationId xmlns:a16="http://schemas.microsoft.com/office/drawing/2014/main" id="{00000000-0008-0000-0900-000007ED2300}"/>
                </a:ext>
              </a:extLst>
            </xdr:cNvPr>
            <xdr:cNvSpPr>
              <a:spLocks noChangeArrowheads="1"/>
            </xdr:cNvSpPr>
          </xdr:nvSpPr>
          <xdr:spPr bwMode="auto">
            <a:xfrm>
              <a:off x="4176" y="233"/>
              <a:ext cx="346" cy="217"/>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sp>
        <xdr:sp macro="" textlink="">
          <xdr:nvSpPr>
            <xdr:cNvPr id="2354440" name="Text Box 264">
              <a:extLst>
                <a:ext uri="{FF2B5EF4-FFF2-40B4-BE49-F238E27FC236}">
                  <a16:creationId xmlns:a16="http://schemas.microsoft.com/office/drawing/2014/main" id="{00000000-0008-0000-0900-000008ED2300}"/>
                </a:ext>
              </a:extLst>
            </xdr:cNvPr>
            <xdr:cNvSpPr txBox="1">
              <a:spLocks noChangeArrowheads="1"/>
            </xdr:cNvSpPr>
          </xdr:nvSpPr>
          <xdr:spPr bwMode="auto">
            <a:xfrm>
              <a:off x="4277" y="238"/>
              <a:ext cx="153" cy="2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27432" bIns="0" anchor="t" upright="1"/>
            <a:lstStyle/>
            <a:p>
              <a:pPr algn="ctr" rtl="0">
                <a:defRPr sz="1000"/>
              </a:pPr>
              <a:r>
                <a:rPr lang="en-US" sz="800" b="1" i="0" u="sng" strike="noStrike" baseline="0">
                  <a:solidFill>
                    <a:srgbClr val="000000"/>
                  </a:solidFill>
                  <a:latin typeface="Arial"/>
                  <a:cs typeface="Arial"/>
                </a:rPr>
                <a:t>Skew Angle Key</a:t>
              </a:r>
              <a:endParaRPr lang="en-US"/>
            </a:p>
          </xdr:txBody>
        </xdr:sp>
        <xdr:grpSp>
          <xdr:nvGrpSpPr>
            <xdr:cNvPr id="2354441" name="Group 265">
              <a:extLst>
                <a:ext uri="{FF2B5EF4-FFF2-40B4-BE49-F238E27FC236}">
                  <a16:creationId xmlns:a16="http://schemas.microsoft.com/office/drawing/2014/main" id="{00000000-0008-0000-0900-000009ED2300}"/>
                </a:ext>
              </a:extLst>
            </xdr:cNvPr>
            <xdr:cNvGrpSpPr>
              <a:grpSpLocks/>
            </xdr:cNvGrpSpPr>
          </xdr:nvGrpSpPr>
          <xdr:grpSpPr bwMode="auto">
            <a:xfrm>
              <a:off x="4194" y="285"/>
              <a:ext cx="146" cy="150"/>
              <a:chOff x="4194" y="285"/>
              <a:chExt cx="146" cy="150"/>
            </a:xfrm>
          </xdr:grpSpPr>
          <xdr:sp macro="" textlink="">
            <xdr:nvSpPr>
              <xdr:cNvPr id="2354442" name="Line 266">
                <a:extLst>
                  <a:ext uri="{FF2B5EF4-FFF2-40B4-BE49-F238E27FC236}">
                    <a16:creationId xmlns:a16="http://schemas.microsoft.com/office/drawing/2014/main" id="{00000000-0008-0000-0900-00000AED2300}"/>
                  </a:ext>
                </a:extLst>
              </xdr:cNvPr>
              <xdr:cNvSpPr>
                <a:spLocks noChangeShapeType="1"/>
              </xdr:cNvSpPr>
            </xdr:nvSpPr>
            <xdr:spPr bwMode="auto">
              <a:xfrm rot="16200000" flipV="1">
                <a:off x="4295" y="328"/>
                <a:ext cx="0" cy="9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54443" name="Line 267">
                <a:extLst>
                  <a:ext uri="{FF2B5EF4-FFF2-40B4-BE49-F238E27FC236}">
                    <a16:creationId xmlns:a16="http://schemas.microsoft.com/office/drawing/2014/main" id="{00000000-0008-0000-0900-00000BED2300}"/>
                  </a:ext>
                </a:extLst>
              </xdr:cNvPr>
              <xdr:cNvSpPr>
                <a:spLocks noChangeShapeType="1"/>
              </xdr:cNvSpPr>
            </xdr:nvSpPr>
            <xdr:spPr bwMode="auto">
              <a:xfrm rot="16200000" flipV="1">
                <a:off x="4295" y="310"/>
                <a:ext cx="0" cy="9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54444" name="Line 268">
                <a:extLst>
                  <a:ext uri="{FF2B5EF4-FFF2-40B4-BE49-F238E27FC236}">
                    <a16:creationId xmlns:a16="http://schemas.microsoft.com/office/drawing/2014/main" id="{00000000-0008-0000-0900-00000CED2300}"/>
                  </a:ext>
                </a:extLst>
              </xdr:cNvPr>
              <xdr:cNvSpPr>
                <a:spLocks noChangeShapeType="1"/>
              </xdr:cNvSpPr>
            </xdr:nvSpPr>
            <xdr:spPr bwMode="auto">
              <a:xfrm rot="16200000">
                <a:off x="4239" y="365"/>
                <a:ext cx="18"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54445" name="Line 269">
                <a:extLst>
                  <a:ext uri="{FF2B5EF4-FFF2-40B4-BE49-F238E27FC236}">
                    <a16:creationId xmlns:a16="http://schemas.microsoft.com/office/drawing/2014/main" id="{00000000-0008-0000-0900-00000DED2300}"/>
                  </a:ext>
                </a:extLst>
              </xdr:cNvPr>
              <xdr:cNvSpPr>
                <a:spLocks noChangeShapeType="1"/>
              </xdr:cNvSpPr>
            </xdr:nvSpPr>
            <xdr:spPr bwMode="auto">
              <a:xfrm rot="16200000" flipV="1">
                <a:off x="4170" y="309"/>
                <a:ext cx="150" cy="101"/>
              </a:xfrm>
              <a:prstGeom prst="line">
                <a:avLst/>
              </a:prstGeom>
              <a:noFill/>
              <a:ln w="9525">
                <a:solidFill>
                  <a:srgbClr xmlns:mc="http://schemas.openxmlformats.org/markup-compatibility/2006" xmlns:a14="http://schemas.microsoft.com/office/drawing/2010/main" val="000000" mc:Ignorable="a14" a14:legacySpreadsheetColorIndex="64"/>
                </a:solidFill>
                <a:prstDash val="lgDashDot"/>
                <a:round/>
                <a:headEnd/>
                <a:tailEnd/>
              </a:ln>
              <a:extLst>
                <a:ext uri="{909E8E84-426E-40DD-AFC4-6F175D3DCCD1}">
                  <a14:hiddenFill xmlns:a14="http://schemas.microsoft.com/office/drawing/2010/main">
                    <a:noFill/>
                  </a14:hiddenFill>
                </a:ext>
              </a:extLst>
            </xdr:spPr>
          </xdr:sp>
          <xdr:sp macro="" textlink="">
            <xdr:nvSpPr>
              <xdr:cNvPr id="2354446" name="Line 270">
                <a:extLst>
                  <a:ext uri="{FF2B5EF4-FFF2-40B4-BE49-F238E27FC236}">
                    <a16:creationId xmlns:a16="http://schemas.microsoft.com/office/drawing/2014/main" id="{00000000-0008-0000-0900-00000EED2300}"/>
                  </a:ext>
                </a:extLst>
              </xdr:cNvPr>
              <xdr:cNvSpPr>
                <a:spLocks noChangeShapeType="1"/>
              </xdr:cNvSpPr>
            </xdr:nvSpPr>
            <xdr:spPr bwMode="auto">
              <a:xfrm flipV="1">
                <a:off x="4249" y="312"/>
                <a:ext cx="0" cy="4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54447" name="Line 271">
                <a:extLst>
                  <a:ext uri="{FF2B5EF4-FFF2-40B4-BE49-F238E27FC236}">
                    <a16:creationId xmlns:a16="http://schemas.microsoft.com/office/drawing/2014/main" id="{00000000-0008-0000-0900-00000FED2300}"/>
                  </a:ext>
                </a:extLst>
              </xdr:cNvPr>
              <xdr:cNvSpPr>
                <a:spLocks noChangeShapeType="1"/>
              </xdr:cNvSpPr>
            </xdr:nvSpPr>
            <xdr:spPr bwMode="auto">
              <a:xfrm flipH="1">
                <a:off x="4221" y="320"/>
                <a:ext cx="14" cy="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sp macro="" textlink="">
            <xdr:nvSpPr>
              <xdr:cNvPr id="2354448" name="Line 272">
                <a:extLst>
                  <a:ext uri="{FF2B5EF4-FFF2-40B4-BE49-F238E27FC236}">
                    <a16:creationId xmlns:a16="http://schemas.microsoft.com/office/drawing/2014/main" id="{00000000-0008-0000-0900-000010ED2300}"/>
                  </a:ext>
                </a:extLst>
              </xdr:cNvPr>
              <xdr:cNvSpPr>
                <a:spLocks noChangeShapeType="1"/>
              </xdr:cNvSpPr>
            </xdr:nvSpPr>
            <xdr:spPr bwMode="auto">
              <a:xfrm flipV="1">
                <a:off x="4235" y="318"/>
                <a:ext cx="14" cy="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grpSp>
        <xdr:grpSp>
          <xdr:nvGrpSpPr>
            <xdr:cNvPr id="2354449" name="Group 273">
              <a:extLst>
                <a:ext uri="{FF2B5EF4-FFF2-40B4-BE49-F238E27FC236}">
                  <a16:creationId xmlns:a16="http://schemas.microsoft.com/office/drawing/2014/main" id="{00000000-0008-0000-0900-000011ED2300}"/>
                </a:ext>
              </a:extLst>
            </xdr:cNvPr>
            <xdr:cNvGrpSpPr>
              <a:grpSpLocks/>
            </xdr:cNvGrpSpPr>
          </xdr:nvGrpSpPr>
          <xdr:grpSpPr bwMode="auto">
            <a:xfrm>
              <a:off x="4365" y="285"/>
              <a:ext cx="141" cy="152"/>
              <a:chOff x="4365" y="285"/>
              <a:chExt cx="141" cy="152"/>
            </a:xfrm>
          </xdr:grpSpPr>
          <xdr:sp macro="" textlink="">
            <xdr:nvSpPr>
              <xdr:cNvPr id="2354450" name="Line 274">
                <a:extLst>
                  <a:ext uri="{FF2B5EF4-FFF2-40B4-BE49-F238E27FC236}">
                    <a16:creationId xmlns:a16="http://schemas.microsoft.com/office/drawing/2014/main" id="{00000000-0008-0000-0900-000012ED2300}"/>
                  </a:ext>
                </a:extLst>
              </xdr:cNvPr>
              <xdr:cNvSpPr>
                <a:spLocks noChangeShapeType="1"/>
              </xdr:cNvSpPr>
            </xdr:nvSpPr>
            <xdr:spPr bwMode="auto">
              <a:xfrm rot="5400000" flipV="1">
                <a:off x="4411" y="310"/>
                <a:ext cx="0" cy="9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54451" name="Line 275">
                <a:extLst>
                  <a:ext uri="{FF2B5EF4-FFF2-40B4-BE49-F238E27FC236}">
                    <a16:creationId xmlns:a16="http://schemas.microsoft.com/office/drawing/2014/main" id="{00000000-0008-0000-0900-000013ED2300}"/>
                  </a:ext>
                </a:extLst>
              </xdr:cNvPr>
              <xdr:cNvSpPr>
                <a:spLocks noChangeShapeType="1"/>
              </xdr:cNvSpPr>
            </xdr:nvSpPr>
            <xdr:spPr bwMode="auto">
              <a:xfrm rot="5400000" flipV="1">
                <a:off x="4411" y="328"/>
                <a:ext cx="0" cy="9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54452" name="Line 276">
                <a:extLst>
                  <a:ext uri="{FF2B5EF4-FFF2-40B4-BE49-F238E27FC236}">
                    <a16:creationId xmlns:a16="http://schemas.microsoft.com/office/drawing/2014/main" id="{00000000-0008-0000-0900-000014ED2300}"/>
                  </a:ext>
                </a:extLst>
              </xdr:cNvPr>
              <xdr:cNvSpPr>
                <a:spLocks noChangeShapeType="1"/>
              </xdr:cNvSpPr>
            </xdr:nvSpPr>
            <xdr:spPr bwMode="auto">
              <a:xfrm rot="27000000">
                <a:off x="4448" y="365"/>
                <a:ext cx="18"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54453" name="Line 277">
                <a:extLst>
                  <a:ext uri="{FF2B5EF4-FFF2-40B4-BE49-F238E27FC236}">
                    <a16:creationId xmlns:a16="http://schemas.microsoft.com/office/drawing/2014/main" id="{00000000-0008-0000-0900-000015ED2300}"/>
                  </a:ext>
                </a:extLst>
              </xdr:cNvPr>
              <xdr:cNvSpPr>
                <a:spLocks noChangeShapeType="1"/>
              </xdr:cNvSpPr>
            </xdr:nvSpPr>
            <xdr:spPr bwMode="auto">
              <a:xfrm rot="5400000" flipV="1">
                <a:off x="4379" y="309"/>
                <a:ext cx="152" cy="103"/>
              </a:xfrm>
              <a:prstGeom prst="line">
                <a:avLst/>
              </a:prstGeom>
              <a:noFill/>
              <a:ln w="9525">
                <a:solidFill>
                  <a:srgbClr xmlns:mc="http://schemas.openxmlformats.org/markup-compatibility/2006" xmlns:a14="http://schemas.microsoft.com/office/drawing/2010/main" val="000000" mc:Ignorable="a14" a14:legacySpreadsheetColorIndex="64"/>
                </a:solidFill>
                <a:prstDash val="lgDashDot"/>
                <a:round/>
                <a:headEnd/>
                <a:tailEnd/>
              </a:ln>
              <a:extLst>
                <a:ext uri="{909E8E84-426E-40DD-AFC4-6F175D3DCCD1}">
                  <a14:hiddenFill xmlns:a14="http://schemas.microsoft.com/office/drawing/2010/main">
                    <a:noFill/>
                  </a14:hiddenFill>
                </a:ext>
              </a:extLst>
            </xdr:spPr>
          </xdr:sp>
          <xdr:sp macro="" textlink="">
            <xdr:nvSpPr>
              <xdr:cNvPr id="2354454" name="Line 278">
                <a:extLst>
                  <a:ext uri="{FF2B5EF4-FFF2-40B4-BE49-F238E27FC236}">
                    <a16:creationId xmlns:a16="http://schemas.microsoft.com/office/drawing/2014/main" id="{00000000-0008-0000-0900-000016ED2300}"/>
                  </a:ext>
                </a:extLst>
              </xdr:cNvPr>
              <xdr:cNvSpPr>
                <a:spLocks noChangeShapeType="1"/>
              </xdr:cNvSpPr>
            </xdr:nvSpPr>
            <xdr:spPr bwMode="auto">
              <a:xfrm rot="10800000" flipV="1">
                <a:off x="4457" y="378"/>
                <a:ext cx="0" cy="4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354455" name="Line 279">
                <a:extLst>
                  <a:ext uri="{FF2B5EF4-FFF2-40B4-BE49-F238E27FC236}">
                    <a16:creationId xmlns:a16="http://schemas.microsoft.com/office/drawing/2014/main" id="{00000000-0008-0000-0900-000017ED2300}"/>
                  </a:ext>
                </a:extLst>
              </xdr:cNvPr>
              <xdr:cNvSpPr>
                <a:spLocks noChangeShapeType="1"/>
              </xdr:cNvSpPr>
            </xdr:nvSpPr>
            <xdr:spPr bwMode="auto">
              <a:xfrm rot="10800000" flipH="1">
                <a:off x="4469" y="403"/>
                <a:ext cx="14" cy="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sp macro="" textlink="">
            <xdr:nvSpPr>
              <xdr:cNvPr id="2354456" name="Line 280">
                <a:extLst>
                  <a:ext uri="{FF2B5EF4-FFF2-40B4-BE49-F238E27FC236}">
                    <a16:creationId xmlns:a16="http://schemas.microsoft.com/office/drawing/2014/main" id="{00000000-0008-0000-0900-000018ED2300}"/>
                  </a:ext>
                </a:extLst>
              </xdr:cNvPr>
              <xdr:cNvSpPr>
                <a:spLocks noChangeShapeType="1"/>
              </xdr:cNvSpPr>
            </xdr:nvSpPr>
            <xdr:spPr bwMode="auto">
              <a:xfrm rot="10800000" flipV="1">
                <a:off x="4457" y="408"/>
                <a:ext cx="14" cy="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2354457" name="Text Box 281">
              <a:extLst>
                <a:ext uri="{FF2B5EF4-FFF2-40B4-BE49-F238E27FC236}">
                  <a16:creationId xmlns:a16="http://schemas.microsoft.com/office/drawing/2014/main" id="{00000000-0008-0000-0900-000019ED2300}"/>
                </a:ext>
              </a:extLst>
            </xdr:cNvPr>
            <xdr:cNvSpPr txBox="1">
              <a:spLocks noChangeArrowheads="1"/>
            </xdr:cNvSpPr>
          </xdr:nvSpPr>
          <xdr:spPr bwMode="auto">
            <a:xfrm>
              <a:off x="4185" y="269"/>
              <a:ext cx="80" cy="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en-US" sz="800" b="0" i="0" u="none" strike="noStrike" baseline="0">
                  <a:solidFill>
                    <a:srgbClr val="000000"/>
                  </a:solidFill>
                  <a:latin typeface="Arial"/>
                  <a:cs typeface="Arial"/>
                </a:rPr>
                <a:t>CL Support</a:t>
              </a:r>
              <a:endParaRPr lang="en-US"/>
            </a:p>
          </xdr:txBody>
        </xdr:sp>
        <xdr:sp macro="" textlink="">
          <xdr:nvSpPr>
            <xdr:cNvPr id="2354458" name="Text Box 282">
              <a:extLst>
                <a:ext uri="{FF2B5EF4-FFF2-40B4-BE49-F238E27FC236}">
                  <a16:creationId xmlns:a16="http://schemas.microsoft.com/office/drawing/2014/main" id="{00000000-0008-0000-0900-00001AED2300}"/>
                </a:ext>
              </a:extLst>
            </xdr:cNvPr>
            <xdr:cNvSpPr txBox="1">
              <a:spLocks noChangeArrowheads="1"/>
            </xdr:cNvSpPr>
          </xdr:nvSpPr>
          <xdr:spPr bwMode="auto">
            <a:xfrm>
              <a:off x="4394" y="269"/>
              <a:ext cx="80" cy="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en-US" sz="800" b="0" i="0" u="none" strike="noStrike" baseline="0">
                  <a:solidFill>
                    <a:srgbClr val="000000"/>
                  </a:solidFill>
                  <a:latin typeface="Arial"/>
                  <a:cs typeface="Arial"/>
                </a:rPr>
                <a:t>CL Support</a:t>
              </a:r>
              <a:endParaRPr lang="en-US"/>
            </a:p>
          </xdr:txBody>
        </xdr:sp>
        <xdr:sp macro="" textlink="">
          <xdr:nvSpPr>
            <xdr:cNvPr id="2354459" name="Text Box 283">
              <a:extLst>
                <a:ext uri="{FF2B5EF4-FFF2-40B4-BE49-F238E27FC236}">
                  <a16:creationId xmlns:a16="http://schemas.microsoft.com/office/drawing/2014/main" id="{00000000-0008-0000-0900-00001BED2300}"/>
                </a:ext>
              </a:extLst>
            </xdr:cNvPr>
            <xdr:cNvSpPr txBox="1">
              <a:spLocks noChangeArrowheads="1"/>
            </xdr:cNvSpPr>
          </xdr:nvSpPr>
          <xdr:spPr bwMode="auto">
            <a:xfrm>
              <a:off x="4326" y="352"/>
              <a:ext cx="52"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27432" bIns="0" anchor="t" upright="1"/>
            <a:lstStyle/>
            <a:p>
              <a:pPr algn="ctr" rtl="0">
                <a:defRPr sz="1000"/>
              </a:pPr>
              <a:r>
                <a:rPr lang="en-US" sz="800" b="0" i="0" u="none" strike="noStrike" baseline="0">
                  <a:solidFill>
                    <a:srgbClr val="000000"/>
                  </a:solidFill>
                  <a:latin typeface="Arial"/>
                  <a:cs typeface="Arial"/>
                </a:rPr>
                <a:t>Joist</a:t>
              </a:r>
              <a:endParaRPr lang="en-US"/>
            </a:p>
          </xdr:txBody>
        </xdr:sp>
        <xdr:sp macro="" textlink="">
          <xdr:nvSpPr>
            <xdr:cNvPr id="2354460" name="Line 284">
              <a:extLst>
                <a:ext uri="{FF2B5EF4-FFF2-40B4-BE49-F238E27FC236}">
                  <a16:creationId xmlns:a16="http://schemas.microsoft.com/office/drawing/2014/main" id="{00000000-0008-0000-0900-00001CED2300}"/>
                </a:ext>
              </a:extLst>
            </xdr:cNvPr>
            <xdr:cNvSpPr>
              <a:spLocks noChangeShapeType="1"/>
            </xdr:cNvSpPr>
          </xdr:nvSpPr>
          <xdr:spPr bwMode="auto">
            <a:xfrm>
              <a:off x="4233" y="365"/>
              <a:ext cx="90" cy="0"/>
            </a:xfrm>
            <a:prstGeom prst="line">
              <a:avLst/>
            </a:prstGeom>
            <a:noFill/>
            <a:ln w="9525">
              <a:solidFill>
                <a:srgbClr xmlns:mc="http://schemas.openxmlformats.org/markup-compatibility/2006" xmlns:a14="http://schemas.microsoft.com/office/drawing/2010/main" val="000000" mc:Ignorable="a14" a14:legacySpreadsheetColorIndex="64"/>
              </a:solidFill>
              <a:prstDash val="lgDashDot"/>
              <a:round/>
              <a:headEnd/>
              <a:tailEnd/>
            </a:ln>
            <a:extLst>
              <a:ext uri="{909E8E84-426E-40DD-AFC4-6F175D3DCCD1}">
                <a14:hiddenFill xmlns:a14="http://schemas.microsoft.com/office/drawing/2010/main">
                  <a:noFill/>
                </a14:hiddenFill>
              </a:ext>
            </a:extLst>
          </xdr:spPr>
        </xdr:sp>
        <xdr:sp macro="" textlink="">
          <xdr:nvSpPr>
            <xdr:cNvPr id="2354461" name="Line 285">
              <a:extLst>
                <a:ext uri="{FF2B5EF4-FFF2-40B4-BE49-F238E27FC236}">
                  <a16:creationId xmlns:a16="http://schemas.microsoft.com/office/drawing/2014/main" id="{00000000-0008-0000-0900-00001DED2300}"/>
                </a:ext>
              </a:extLst>
            </xdr:cNvPr>
            <xdr:cNvSpPr>
              <a:spLocks noChangeShapeType="1"/>
            </xdr:cNvSpPr>
          </xdr:nvSpPr>
          <xdr:spPr bwMode="auto">
            <a:xfrm>
              <a:off x="4381" y="365"/>
              <a:ext cx="90" cy="0"/>
            </a:xfrm>
            <a:prstGeom prst="line">
              <a:avLst/>
            </a:prstGeom>
            <a:noFill/>
            <a:ln w="9525">
              <a:solidFill>
                <a:srgbClr xmlns:mc="http://schemas.openxmlformats.org/markup-compatibility/2006" xmlns:a14="http://schemas.microsoft.com/office/drawing/2010/main" val="000000" mc:Ignorable="a14" a14:legacySpreadsheetColorIndex="64"/>
              </a:solidFill>
              <a:prstDash val="lgDashDot"/>
              <a:round/>
              <a:headEnd/>
              <a:tailEnd/>
            </a:ln>
            <a:extLst>
              <a:ext uri="{909E8E84-426E-40DD-AFC4-6F175D3DCCD1}">
                <a14:hiddenFill xmlns:a14="http://schemas.microsoft.com/office/drawing/2010/main">
                  <a:noFill/>
                </a14:hiddenFill>
              </a:ext>
            </a:extLst>
          </xdr:spPr>
        </xdr:sp>
      </xdr:grpSp>
      <xdr:sp macro="" textlink="">
        <xdr:nvSpPr>
          <xdr:cNvPr id="2354849" name="Text Box 673">
            <a:extLst>
              <a:ext uri="{FF2B5EF4-FFF2-40B4-BE49-F238E27FC236}">
                <a16:creationId xmlns:a16="http://schemas.microsoft.com/office/drawing/2014/main" id="{00000000-0008-0000-0900-0000A1EE2300}"/>
              </a:ext>
            </a:extLst>
          </xdr:cNvPr>
          <xdr:cNvSpPr txBox="1">
            <a:spLocks noChangeArrowheads="1"/>
          </xdr:cNvSpPr>
        </xdr:nvSpPr>
        <xdr:spPr bwMode="auto">
          <a:xfrm>
            <a:off x="1531" y="213"/>
            <a:ext cx="30" cy="13"/>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27432" bIns="0" anchor="t" upright="1"/>
          <a:lstStyle/>
          <a:p>
            <a:pPr algn="ctr" rtl="0">
              <a:defRPr sz="1000"/>
            </a:pPr>
            <a:r>
              <a:rPr lang="en-US" sz="800" b="1" i="0" u="none" strike="noStrike" baseline="0">
                <a:solidFill>
                  <a:srgbClr val="000000"/>
                </a:solidFill>
                <a:latin typeface="Arial"/>
                <a:cs typeface="Arial"/>
              </a:rPr>
              <a:t>"+"</a:t>
            </a:r>
            <a:endParaRPr lang="en-US"/>
          </a:p>
        </xdr:txBody>
      </xdr:sp>
      <xdr:sp macro="" textlink="">
        <xdr:nvSpPr>
          <xdr:cNvPr id="2354850" name="Text Box 674">
            <a:extLst>
              <a:ext uri="{FF2B5EF4-FFF2-40B4-BE49-F238E27FC236}">
                <a16:creationId xmlns:a16="http://schemas.microsoft.com/office/drawing/2014/main" id="{00000000-0008-0000-0900-0000A2EE2300}"/>
              </a:ext>
            </a:extLst>
          </xdr:cNvPr>
          <xdr:cNvSpPr txBox="1">
            <a:spLocks noChangeArrowheads="1"/>
          </xdr:cNvSpPr>
        </xdr:nvSpPr>
        <xdr:spPr bwMode="auto">
          <a:xfrm>
            <a:off x="1776" y="303"/>
            <a:ext cx="30" cy="13"/>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27432" bIns="0" anchor="t" upright="1"/>
          <a:lstStyle/>
          <a:p>
            <a:pPr algn="ctr" rtl="0">
              <a:defRPr sz="1000"/>
            </a:pPr>
            <a:r>
              <a:rPr lang="en-US" sz="800" b="1" i="0" u="none" strike="noStrike" baseline="0">
                <a:solidFill>
                  <a:srgbClr val="000000"/>
                </a:solidFill>
                <a:latin typeface="Arial"/>
                <a:cs typeface="Arial"/>
              </a:rPr>
              <a:t>"+"</a:t>
            </a:r>
            <a:endParaRPr lang="en-US"/>
          </a:p>
        </xdr:txBody>
      </xdr:sp>
    </xdr:grpSp>
    <xdr:clientData/>
  </xdr:twoCellAnchor>
  <xdr:twoCellAnchor>
    <xdr:from>
      <xdr:col>4</xdr:col>
      <xdr:colOff>285750</xdr:colOff>
      <xdr:row>52</xdr:row>
      <xdr:rowOff>142875</xdr:rowOff>
    </xdr:from>
    <xdr:to>
      <xdr:col>24</xdr:col>
      <xdr:colOff>161925</xdr:colOff>
      <xdr:row>55</xdr:row>
      <xdr:rowOff>114300</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2247900" y="9277350"/>
          <a:ext cx="4914900" cy="5429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Row</a:t>
          </a:r>
          <a:r>
            <a:rPr lang="en-US" sz="1100" baseline="0"/>
            <a:t> 57 </a:t>
          </a:r>
          <a:r>
            <a:rPr lang="en-US" sz="1100"/>
            <a:t>TCXL/R contains conditional formatting for TCX&lt;2"</a:t>
          </a:r>
          <a:r>
            <a:rPr lang="en-US" sz="1100" baseline="0"/>
            <a:t> and TCX Type="X"......</a:t>
          </a:r>
          <a:endParaRPr lang="en-US" sz="1100"/>
        </a:p>
      </xdr:txBody>
    </xdr:sp>
    <xdr:clientData/>
  </xdr:twoCellAnchor>
  <xdr:twoCellAnchor>
    <xdr:from>
      <xdr:col>55</xdr:col>
      <xdr:colOff>180959</xdr:colOff>
      <xdr:row>13</xdr:row>
      <xdr:rowOff>157149</xdr:rowOff>
    </xdr:from>
    <xdr:to>
      <xdr:col>61</xdr:col>
      <xdr:colOff>171434</xdr:colOff>
      <xdr:row>13</xdr:row>
      <xdr:rowOff>685801</xdr:rowOff>
    </xdr:to>
    <xdr:sp macro="" textlink="">
      <xdr:nvSpPr>
        <xdr:cNvPr id="108" name="Text Box 180">
          <a:extLst>
            <a:ext uri="{FF2B5EF4-FFF2-40B4-BE49-F238E27FC236}">
              <a16:creationId xmlns:a16="http://schemas.microsoft.com/office/drawing/2014/main" id="{00000000-0008-0000-0900-00006C000000}"/>
            </a:ext>
          </a:extLst>
        </xdr:cNvPr>
        <xdr:cNvSpPr txBox="1">
          <a:spLocks noChangeArrowheads="1"/>
        </xdr:cNvSpPr>
      </xdr:nvSpPr>
      <xdr:spPr bwMode="auto">
        <a:xfrm>
          <a:off x="10601309" y="2071674"/>
          <a:ext cx="2781300" cy="528652"/>
        </a:xfrm>
        <a:prstGeom prst="rect">
          <a:avLst/>
        </a:prstGeom>
        <a:solidFill>
          <a:schemeClr val="bg1">
            <a:lumMod val="85000"/>
          </a:schemeClr>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en-US" sz="800" b="1" i="0" u="none" strike="noStrike" baseline="0">
              <a:solidFill>
                <a:srgbClr val="000000"/>
              </a:solidFill>
              <a:latin typeface="Arial"/>
              <a:cs typeface="Arial"/>
            </a:rPr>
            <a:t>Detailer Note:</a:t>
          </a:r>
        </a:p>
        <a:p>
          <a:pPr algn="l" rtl="0">
            <a:defRPr sz="1000"/>
          </a:pPr>
          <a:r>
            <a:rPr lang="en-US" sz="800" b="0" i="0" u="none" strike="noStrike" baseline="0">
              <a:solidFill>
                <a:srgbClr val="000000"/>
              </a:solidFill>
              <a:latin typeface="Arial"/>
              <a:cs typeface="Arial"/>
            </a:rPr>
            <a:t>If a cell's backgroound greyed out, the dimensions in the specified section will be used - no user input is required in those cells.</a:t>
          </a:r>
        </a:p>
        <a:p>
          <a:pPr algn="l" rtl="0">
            <a:defRPr sz="1000"/>
          </a:pPr>
          <a:r>
            <a:rPr lang="en-US" sz="800" b="0" i="0" u="none" strike="noStrike" baseline="0">
              <a:solidFill>
                <a:srgbClr val="000000"/>
              </a:solidFill>
              <a:latin typeface="Arial"/>
              <a:cs typeface="Arial"/>
            </a:rPr>
            <a:t> **Entering data in those cells MAY produce </a:t>
          </a:r>
          <a:r>
            <a:rPr lang="en-US" sz="800" b="1" i="0" u="sng" strike="noStrike" baseline="0">
              <a:solidFill>
                <a:srgbClr val="FF0000"/>
              </a:solidFill>
              <a:uFill>
                <a:solidFill>
                  <a:srgbClr val="FF0000"/>
                </a:solidFill>
              </a:uFill>
              <a:latin typeface="Arial"/>
              <a:cs typeface="Arial"/>
            </a:rPr>
            <a:t>unexpected results</a:t>
          </a:r>
          <a:r>
            <a:rPr lang="en-US" sz="800" b="0" i="0" u="none" strike="noStrike" baseline="0">
              <a:solidFill>
                <a:srgbClr val="000000"/>
              </a:solidFill>
              <a:latin typeface="Arial"/>
              <a:cs typeface="Arial"/>
            </a:rPr>
            <a:t>!!</a:t>
          </a:r>
          <a:endParaRPr lang="en-US"/>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22</xdr:col>
      <xdr:colOff>266700</xdr:colOff>
      <xdr:row>0</xdr:row>
      <xdr:rowOff>0</xdr:rowOff>
    </xdr:from>
    <xdr:to>
      <xdr:col>22</xdr:col>
      <xdr:colOff>266700</xdr:colOff>
      <xdr:row>3</xdr:row>
      <xdr:rowOff>142875</xdr:rowOff>
    </xdr:to>
    <xdr:sp macro="" textlink="">
      <xdr:nvSpPr>
        <xdr:cNvPr id="2458633" name="Line 9">
          <a:extLst>
            <a:ext uri="{FF2B5EF4-FFF2-40B4-BE49-F238E27FC236}">
              <a16:creationId xmlns:a16="http://schemas.microsoft.com/office/drawing/2014/main" id="{00000000-0008-0000-0A00-000009842500}"/>
            </a:ext>
          </a:extLst>
        </xdr:cNvPr>
        <xdr:cNvSpPr>
          <a:spLocks noChangeShapeType="1"/>
        </xdr:cNvSpPr>
      </xdr:nvSpPr>
      <xdr:spPr bwMode="auto">
        <a:xfrm>
          <a:off x="6686550" y="0"/>
          <a:ext cx="0" cy="6477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26</xdr:col>
      <xdr:colOff>0</xdr:colOff>
      <xdr:row>12</xdr:row>
      <xdr:rowOff>0</xdr:rowOff>
    </xdr:from>
    <xdr:to>
      <xdr:col>26</xdr:col>
      <xdr:colOff>628650</xdr:colOff>
      <xdr:row>12</xdr:row>
      <xdr:rowOff>0</xdr:rowOff>
    </xdr:to>
    <xdr:sp macro="" textlink="">
      <xdr:nvSpPr>
        <xdr:cNvPr id="2458642" name="Line 18">
          <a:extLst>
            <a:ext uri="{FF2B5EF4-FFF2-40B4-BE49-F238E27FC236}">
              <a16:creationId xmlns:a16="http://schemas.microsoft.com/office/drawing/2014/main" id="{00000000-0008-0000-0A00-000012842500}"/>
            </a:ext>
          </a:extLst>
        </xdr:cNvPr>
        <xdr:cNvSpPr>
          <a:spLocks noChangeShapeType="1"/>
        </xdr:cNvSpPr>
      </xdr:nvSpPr>
      <xdr:spPr bwMode="auto">
        <a:xfrm>
          <a:off x="7629525" y="1790700"/>
          <a:ext cx="6286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83</xdr:col>
      <xdr:colOff>85725</xdr:colOff>
      <xdr:row>12</xdr:row>
      <xdr:rowOff>9525</xdr:rowOff>
    </xdr:from>
    <xdr:to>
      <xdr:col>84</xdr:col>
      <xdr:colOff>1581150</xdr:colOff>
      <xdr:row>14</xdr:row>
      <xdr:rowOff>0</xdr:rowOff>
    </xdr:to>
    <xdr:sp macro="" textlink="">
      <xdr:nvSpPr>
        <xdr:cNvPr id="2458658" name="Text Box 34">
          <a:extLst>
            <a:ext uri="{FF2B5EF4-FFF2-40B4-BE49-F238E27FC236}">
              <a16:creationId xmlns:a16="http://schemas.microsoft.com/office/drawing/2014/main" id="{00000000-0008-0000-0A00-000022842500}"/>
            </a:ext>
          </a:extLst>
        </xdr:cNvPr>
        <xdr:cNvSpPr txBox="1">
          <a:spLocks noChangeArrowheads="1"/>
        </xdr:cNvSpPr>
      </xdr:nvSpPr>
      <xdr:spPr bwMode="auto">
        <a:xfrm>
          <a:off x="21040725" y="1800225"/>
          <a:ext cx="3143250" cy="2952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27432" bIns="0" anchor="t" upright="1"/>
        <a:lstStyle/>
        <a:p>
          <a:pPr algn="ctr" rtl="0">
            <a:defRPr sz="1000"/>
          </a:pPr>
          <a:r>
            <a:rPr lang="en-US" sz="900" b="1" i="0" u="none" strike="noStrike" baseline="0">
              <a:solidFill>
                <a:srgbClr val="000000"/>
              </a:solidFill>
              <a:latin typeface="Arial"/>
              <a:cs typeface="Arial"/>
            </a:rPr>
            <a:t>Notes:</a:t>
          </a:r>
          <a:endParaRPr lang="en-US" sz="800" b="0" i="0" u="none" strike="noStrike" baseline="0">
            <a:solidFill>
              <a:srgbClr val="000000"/>
            </a:solidFill>
            <a:latin typeface="Arial"/>
            <a:cs typeface="Arial"/>
          </a:endParaRPr>
        </a:p>
        <a:p>
          <a:pPr algn="ctr" rtl="0">
            <a:defRPr sz="1000"/>
          </a:pPr>
          <a:r>
            <a:rPr lang="en-US" sz="700" b="0" i="0" u="none" strike="noStrike" baseline="0">
              <a:solidFill>
                <a:srgbClr val="FF0000"/>
              </a:solidFill>
              <a:latin typeface="Arial"/>
              <a:cs typeface="Arial"/>
            </a:rPr>
            <a:t>No "( )" or "[ ]" required.  </a:t>
          </a:r>
          <a:r>
            <a:rPr lang="en-US" sz="800" b="0" i="0" u="none" strike="noStrike" baseline="0">
              <a:solidFill>
                <a:srgbClr val="000000"/>
              </a:solidFill>
              <a:latin typeface="Arial"/>
              <a:cs typeface="Arial"/>
            </a:rPr>
            <a:t>Comma delimited.</a:t>
          </a:r>
          <a:endParaRPr lang="en-US"/>
        </a:p>
      </xdr:txBody>
    </xdr:sp>
    <xdr:clientData/>
  </xdr:twoCellAnchor>
  <xdr:twoCellAnchor editAs="absolute">
    <xdr:from>
      <xdr:col>1</xdr:col>
      <xdr:colOff>123825</xdr:colOff>
      <xdr:row>0</xdr:row>
      <xdr:rowOff>0</xdr:rowOff>
    </xdr:from>
    <xdr:to>
      <xdr:col>6</xdr:col>
      <xdr:colOff>104775</xdr:colOff>
      <xdr:row>3</xdr:row>
      <xdr:rowOff>142875</xdr:rowOff>
    </xdr:to>
    <xdr:pic>
      <xdr:nvPicPr>
        <xdr:cNvPr id="2458743" name="Picture 119" descr="newmill_black_logo">
          <a:extLst>
            <a:ext uri="{FF2B5EF4-FFF2-40B4-BE49-F238E27FC236}">
              <a16:creationId xmlns:a16="http://schemas.microsoft.com/office/drawing/2014/main" id="{00000000-0008-0000-0A00-0000778425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04825" y="0"/>
          <a:ext cx="2057400" cy="647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62</xdr:col>
      <xdr:colOff>276225</xdr:colOff>
      <xdr:row>1</xdr:row>
      <xdr:rowOff>104775</xdr:rowOff>
    </xdr:from>
    <xdr:to>
      <xdr:col>72</xdr:col>
      <xdr:colOff>304800</xdr:colOff>
      <xdr:row>5</xdr:row>
      <xdr:rowOff>123825</xdr:rowOff>
    </xdr:to>
    <xdr:sp macro="" textlink="">
      <xdr:nvSpPr>
        <xdr:cNvPr id="2458758" name="Text Box 134">
          <a:extLst>
            <a:ext uri="{FF2B5EF4-FFF2-40B4-BE49-F238E27FC236}">
              <a16:creationId xmlns:a16="http://schemas.microsoft.com/office/drawing/2014/main" id="{00000000-0008-0000-0A00-000086842500}"/>
            </a:ext>
          </a:extLst>
        </xdr:cNvPr>
        <xdr:cNvSpPr txBox="1">
          <a:spLocks noChangeArrowheads="1"/>
        </xdr:cNvSpPr>
      </xdr:nvSpPr>
      <xdr:spPr bwMode="auto">
        <a:xfrm>
          <a:off x="15192375" y="285750"/>
          <a:ext cx="4638675" cy="6667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36576" tIns="27432" rIns="0" bIns="0" anchor="t" upright="1"/>
        <a:lstStyle/>
        <a:p>
          <a:pPr algn="l" rtl="0">
            <a:defRPr sz="1000"/>
          </a:pPr>
          <a:r>
            <a:rPr lang="en-US" sz="1400" b="0" i="0" u="none" strike="noStrike" baseline="0">
              <a:solidFill>
                <a:srgbClr val="FF0000"/>
              </a:solidFill>
              <a:latin typeface="Arial"/>
              <a:cs typeface="Arial"/>
            </a:rPr>
            <a:t>Refer to the J(1) tab for instructions and tips for using the AutoCalc Joist BOM.</a:t>
          </a:r>
          <a:endParaRPr lang="en-US"/>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13</xdr:col>
      <xdr:colOff>333375</xdr:colOff>
      <xdr:row>0</xdr:row>
      <xdr:rowOff>0</xdr:rowOff>
    </xdr:from>
    <xdr:to>
      <xdr:col>13</xdr:col>
      <xdr:colOff>333375</xdr:colOff>
      <xdr:row>5</xdr:row>
      <xdr:rowOff>0</xdr:rowOff>
    </xdr:to>
    <xdr:sp macro="" textlink="">
      <xdr:nvSpPr>
        <xdr:cNvPr id="2451465" name="Line 9">
          <a:extLst>
            <a:ext uri="{FF2B5EF4-FFF2-40B4-BE49-F238E27FC236}">
              <a16:creationId xmlns:a16="http://schemas.microsoft.com/office/drawing/2014/main" id="{00000000-0008-0000-0B00-000009682500}"/>
            </a:ext>
          </a:extLst>
        </xdr:cNvPr>
        <xdr:cNvSpPr>
          <a:spLocks noChangeShapeType="1"/>
        </xdr:cNvSpPr>
      </xdr:nvSpPr>
      <xdr:spPr bwMode="auto">
        <a:xfrm>
          <a:off x="6505575" y="0"/>
          <a:ext cx="0" cy="828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9</xdr:col>
      <xdr:colOff>276225</xdr:colOff>
      <xdr:row>10</xdr:row>
      <xdr:rowOff>28575</xdr:rowOff>
    </xdr:from>
    <xdr:to>
      <xdr:col>14</xdr:col>
      <xdr:colOff>476250</xdr:colOff>
      <xdr:row>23</xdr:row>
      <xdr:rowOff>104775</xdr:rowOff>
    </xdr:to>
    <xdr:grpSp>
      <xdr:nvGrpSpPr>
        <xdr:cNvPr id="2452325" name="Group 869">
          <a:extLst>
            <a:ext uri="{FF2B5EF4-FFF2-40B4-BE49-F238E27FC236}">
              <a16:creationId xmlns:a16="http://schemas.microsoft.com/office/drawing/2014/main" id="{00000000-0008-0000-0B00-0000656B2500}"/>
            </a:ext>
          </a:extLst>
        </xdr:cNvPr>
        <xdr:cNvGrpSpPr>
          <a:grpSpLocks/>
        </xdr:cNvGrpSpPr>
      </xdr:nvGrpSpPr>
      <xdr:grpSpPr bwMode="auto">
        <a:xfrm>
          <a:off x="4524375" y="1514475"/>
          <a:ext cx="2705100" cy="2533650"/>
          <a:chOff x="475" y="163"/>
          <a:chExt cx="284" cy="258"/>
        </a:xfrm>
      </xdr:grpSpPr>
      <xdr:grpSp>
        <xdr:nvGrpSpPr>
          <xdr:cNvPr id="2452324" name="Group 868">
            <a:extLst>
              <a:ext uri="{FF2B5EF4-FFF2-40B4-BE49-F238E27FC236}">
                <a16:creationId xmlns:a16="http://schemas.microsoft.com/office/drawing/2014/main" id="{00000000-0008-0000-0B00-0000646B2500}"/>
              </a:ext>
            </a:extLst>
          </xdr:cNvPr>
          <xdr:cNvGrpSpPr>
            <a:grpSpLocks/>
          </xdr:cNvGrpSpPr>
        </xdr:nvGrpSpPr>
        <xdr:grpSpPr bwMode="auto">
          <a:xfrm>
            <a:off x="482" y="163"/>
            <a:ext cx="277" cy="178"/>
            <a:chOff x="482" y="163"/>
            <a:chExt cx="277" cy="178"/>
          </a:xfrm>
        </xdr:grpSpPr>
        <xdr:grpSp>
          <xdr:nvGrpSpPr>
            <xdr:cNvPr id="2451482" name="Group 26">
              <a:extLst>
                <a:ext uri="{FF2B5EF4-FFF2-40B4-BE49-F238E27FC236}">
                  <a16:creationId xmlns:a16="http://schemas.microsoft.com/office/drawing/2014/main" id="{00000000-0008-0000-0B00-00001A682500}"/>
                </a:ext>
              </a:extLst>
            </xdr:cNvPr>
            <xdr:cNvGrpSpPr>
              <a:grpSpLocks/>
            </xdr:cNvGrpSpPr>
          </xdr:nvGrpSpPr>
          <xdr:grpSpPr bwMode="auto">
            <a:xfrm>
              <a:off x="482" y="174"/>
              <a:ext cx="277" cy="167"/>
              <a:chOff x="635" y="270"/>
              <a:chExt cx="311" cy="210"/>
            </a:xfrm>
          </xdr:grpSpPr>
          <xdr:pic>
            <xdr:nvPicPr>
              <xdr:cNvPr id="2451483" name="Picture 27" descr="Bridging BOM Sketches1">
                <a:extLst>
                  <a:ext uri="{FF2B5EF4-FFF2-40B4-BE49-F238E27FC236}">
                    <a16:creationId xmlns:a16="http://schemas.microsoft.com/office/drawing/2014/main" id="{00000000-0008-0000-0B00-00001B6825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50975" t="19775" r="26422" b="15298"/>
              <a:stretch>
                <a:fillRect/>
              </a:stretch>
            </xdr:blipFill>
            <xdr:spPr bwMode="auto">
              <a:xfrm>
                <a:off x="635" y="306"/>
                <a:ext cx="278" cy="17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51484" name="Picture 28" descr="Bridging BOM Sketches1">
                <a:extLst>
                  <a:ext uri="{FF2B5EF4-FFF2-40B4-BE49-F238E27FC236}">
                    <a16:creationId xmlns:a16="http://schemas.microsoft.com/office/drawing/2014/main" id="{00000000-0008-0000-0B00-00001C6825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57967" r="30814" b="85448"/>
              <a:stretch>
                <a:fillRect/>
              </a:stretch>
            </xdr:blipFill>
            <xdr:spPr bwMode="auto">
              <a:xfrm>
                <a:off x="721" y="270"/>
                <a:ext cx="138" cy="39"/>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51485" name="Picture 29" descr="Bridging BOM Sketches1">
                <a:extLst>
                  <a:ext uri="{FF2B5EF4-FFF2-40B4-BE49-F238E27FC236}">
                    <a16:creationId xmlns:a16="http://schemas.microsoft.com/office/drawing/2014/main" id="{00000000-0008-0000-0B00-00001D6825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73495" t="6342" r="23740" b="15298"/>
              <a:stretch>
                <a:fillRect/>
              </a:stretch>
            </xdr:blipFill>
            <xdr:spPr bwMode="auto">
              <a:xfrm>
                <a:off x="912" y="270"/>
                <a:ext cx="34" cy="21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2451486" name="Text Box 30">
              <a:extLst>
                <a:ext uri="{FF2B5EF4-FFF2-40B4-BE49-F238E27FC236}">
                  <a16:creationId xmlns:a16="http://schemas.microsoft.com/office/drawing/2014/main" id="{00000000-0008-0000-0B00-00001E682500}"/>
                </a:ext>
              </a:extLst>
            </xdr:cNvPr>
            <xdr:cNvSpPr txBox="1">
              <a:spLocks noChangeArrowheads="1"/>
            </xdr:cNvSpPr>
          </xdr:nvSpPr>
          <xdr:spPr bwMode="auto">
            <a:xfrm>
              <a:off x="489" y="221"/>
              <a:ext cx="29" cy="83"/>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vert270" wrap="square" lIns="27432" tIns="18288" rIns="27432" bIns="18288" anchor="ctr" upright="1"/>
            <a:lstStyle/>
            <a:p>
              <a:pPr algn="ctr" rtl="0">
                <a:lnSpc>
                  <a:spcPts val="700"/>
                </a:lnSpc>
                <a:defRPr sz="1000"/>
              </a:pPr>
              <a:r>
                <a:rPr lang="en-US" sz="700" b="0" i="0" u="none" strike="noStrike" baseline="0">
                  <a:solidFill>
                    <a:srgbClr val="000000"/>
                  </a:solidFill>
                  <a:latin typeface="Arial"/>
                  <a:cs typeface="Arial"/>
                </a:rPr>
                <a:t>Depth "A"</a:t>
              </a:r>
            </a:p>
            <a:p>
              <a:pPr algn="ctr" rtl="0">
                <a:defRPr sz="1000"/>
              </a:pPr>
              <a:r>
                <a:rPr lang="en-US" sz="700" b="0" i="0" u="none" strike="noStrike" baseline="0">
                  <a:solidFill>
                    <a:srgbClr val="000000"/>
                  </a:solidFill>
                  <a:latin typeface="Arial"/>
                  <a:cs typeface="Arial"/>
                </a:rPr>
                <a:t>(Joist)</a:t>
              </a:r>
              <a:endParaRPr lang="en-US"/>
            </a:p>
          </xdr:txBody>
        </xdr:sp>
        <xdr:sp macro="" textlink="">
          <xdr:nvSpPr>
            <xdr:cNvPr id="2451487" name="Text Box 31">
              <a:extLst>
                <a:ext uri="{FF2B5EF4-FFF2-40B4-BE49-F238E27FC236}">
                  <a16:creationId xmlns:a16="http://schemas.microsoft.com/office/drawing/2014/main" id="{00000000-0008-0000-0B00-00001F682500}"/>
                </a:ext>
              </a:extLst>
            </xdr:cNvPr>
            <xdr:cNvSpPr txBox="1">
              <a:spLocks noChangeArrowheads="1"/>
            </xdr:cNvSpPr>
          </xdr:nvSpPr>
          <xdr:spPr bwMode="auto">
            <a:xfrm>
              <a:off x="733" y="237"/>
              <a:ext cx="15" cy="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vert270" wrap="square" lIns="27432" tIns="18288" rIns="27432" bIns="18288" anchor="ctr" upright="1"/>
            <a:lstStyle/>
            <a:p>
              <a:pPr algn="ctr" rtl="0">
                <a:defRPr sz="1000"/>
              </a:pPr>
              <a:r>
                <a:rPr lang="en-US" sz="700" b="0" i="0" u="none" strike="noStrike" baseline="0">
                  <a:solidFill>
                    <a:srgbClr val="000000"/>
                  </a:solidFill>
                  <a:latin typeface="Arial"/>
                  <a:cs typeface="Arial"/>
                </a:rPr>
                <a:t>Depth "B"</a:t>
              </a:r>
              <a:endParaRPr lang="en-US"/>
            </a:p>
          </xdr:txBody>
        </xdr:sp>
        <xdr:sp macro="" textlink="">
          <xdr:nvSpPr>
            <xdr:cNvPr id="2451488" name="Text Box 32">
              <a:extLst>
                <a:ext uri="{FF2B5EF4-FFF2-40B4-BE49-F238E27FC236}">
                  <a16:creationId xmlns:a16="http://schemas.microsoft.com/office/drawing/2014/main" id="{00000000-0008-0000-0B00-000020682500}"/>
                </a:ext>
              </a:extLst>
            </xdr:cNvPr>
            <xdr:cNvSpPr txBox="1">
              <a:spLocks noChangeArrowheads="1"/>
            </xdr:cNvSpPr>
          </xdr:nvSpPr>
          <xdr:spPr bwMode="auto">
            <a:xfrm>
              <a:off x="733" y="163"/>
              <a:ext cx="15" cy="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vert270" wrap="square" lIns="27432" tIns="18288" rIns="27432" bIns="18288" anchor="ctr" upright="1"/>
            <a:lstStyle/>
            <a:p>
              <a:pPr algn="ctr" rtl="0">
                <a:defRPr sz="1000"/>
              </a:pPr>
              <a:r>
                <a:rPr lang="en-US" sz="700" b="0" i="0" u="none" strike="noStrike" baseline="0">
                  <a:solidFill>
                    <a:srgbClr val="000000"/>
                  </a:solidFill>
                  <a:latin typeface="Arial"/>
                  <a:cs typeface="Arial"/>
                </a:rPr>
                <a:t>Elev. "D"</a:t>
              </a:r>
              <a:endParaRPr lang="en-US"/>
            </a:p>
          </xdr:txBody>
        </xdr:sp>
        <xdr:sp macro="" textlink="">
          <xdr:nvSpPr>
            <xdr:cNvPr id="2451489" name="Text Box 33">
              <a:extLst>
                <a:ext uri="{FF2B5EF4-FFF2-40B4-BE49-F238E27FC236}">
                  <a16:creationId xmlns:a16="http://schemas.microsoft.com/office/drawing/2014/main" id="{00000000-0008-0000-0B00-000021682500}"/>
                </a:ext>
              </a:extLst>
            </xdr:cNvPr>
            <xdr:cNvSpPr txBox="1">
              <a:spLocks noChangeArrowheads="1"/>
            </xdr:cNvSpPr>
          </xdr:nvSpPr>
          <xdr:spPr bwMode="auto">
            <a:xfrm>
              <a:off x="577" y="173"/>
              <a:ext cx="86" cy="13"/>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en-US" sz="700" b="0" i="0" u="none" strike="noStrike" baseline="0">
                  <a:solidFill>
                    <a:srgbClr val="000000"/>
                  </a:solidFill>
                  <a:latin typeface="Arial"/>
                  <a:cs typeface="Arial"/>
                </a:rPr>
                <a:t>Spacing "C"</a:t>
              </a:r>
              <a:endParaRPr lang="en-US"/>
            </a:p>
          </xdr:txBody>
        </xdr:sp>
      </xdr:grpSp>
      <xdr:sp macro="" textlink="">
        <xdr:nvSpPr>
          <xdr:cNvPr id="2451490" name="Text Box 34">
            <a:extLst>
              <a:ext uri="{FF2B5EF4-FFF2-40B4-BE49-F238E27FC236}">
                <a16:creationId xmlns:a16="http://schemas.microsoft.com/office/drawing/2014/main" id="{00000000-0008-0000-0B00-000022682500}"/>
              </a:ext>
            </a:extLst>
          </xdr:cNvPr>
          <xdr:cNvSpPr txBox="1">
            <a:spLocks noChangeArrowheads="1"/>
          </xdr:cNvSpPr>
        </xdr:nvSpPr>
        <xdr:spPr bwMode="auto">
          <a:xfrm>
            <a:off x="475" y="163"/>
            <a:ext cx="98"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en-US" sz="900" b="0" i="0" u="sng" strike="noStrike" baseline="0">
                <a:solidFill>
                  <a:srgbClr val="000000"/>
                </a:solidFill>
                <a:latin typeface="Arial"/>
                <a:cs typeface="Arial"/>
              </a:rPr>
              <a:t>Dimensions</a:t>
            </a:r>
            <a:endParaRPr lang="en-US"/>
          </a:p>
        </xdr:txBody>
      </xdr:sp>
      <xdr:sp macro="" textlink="">
        <xdr:nvSpPr>
          <xdr:cNvPr id="2451491" name="Text Box 35">
            <a:extLst>
              <a:ext uri="{FF2B5EF4-FFF2-40B4-BE49-F238E27FC236}">
                <a16:creationId xmlns:a16="http://schemas.microsoft.com/office/drawing/2014/main" id="{00000000-0008-0000-0B00-000023682500}"/>
              </a:ext>
            </a:extLst>
          </xdr:cNvPr>
          <xdr:cNvSpPr txBox="1">
            <a:spLocks noChangeArrowheads="1"/>
          </xdr:cNvSpPr>
        </xdr:nvSpPr>
        <xdr:spPr bwMode="auto">
          <a:xfrm>
            <a:off x="475" y="326"/>
            <a:ext cx="284" cy="9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0" rIns="0" bIns="18288" anchor="b" upright="1"/>
          <a:lstStyle/>
          <a:p>
            <a:pPr algn="l" rtl="0">
              <a:defRPr sz="1000"/>
            </a:pPr>
            <a:r>
              <a:rPr lang="en-US" sz="700" b="0" i="0" u="sng" strike="noStrike" baseline="0">
                <a:solidFill>
                  <a:srgbClr val="000000"/>
                </a:solidFill>
                <a:latin typeface="Arial"/>
                <a:cs typeface="Arial"/>
              </a:rPr>
              <a:t>Note:</a:t>
            </a:r>
          </a:p>
          <a:p>
            <a:pPr algn="l" rtl="0">
              <a:defRPr sz="1000"/>
            </a:pPr>
            <a:r>
              <a:rPr lang="en-US" sz="700" b="0" i="0" u="none" strike="noStrike" baseline="0">
                <a:solidFill>
                  <a:srgbClr val="000000"/>
                </a:solidFill>
                <a:latin typeface="Arial"/>
                <a:cs typeface="Arial"/>
              </a:rPr>
              <a:t>"A" is always a joist and "B" is joist/beam/column/wall.</a:t>
            </a:r>
          </a:p>
          <a:p>
            <a:pPr algn="l" rtl="0">
              <a:defRPr sz="1000"/>
            </a:pPr>
            <a:r>
              <a:rPr lang="en-US" sz="700" b="0" i="0" u="none" strike="noStrike" baseline="0">
                <a:solidFill>
                  <a:srgbClr val="000000"/>
                </a:solidFill>
                <a:latin typeface="Arial"/>
                <a:cs typeface="Arial"/>
              </a:rPr>
              <a:t>For bolt/weld bridging, "A" is "bolt-to" and "B" is "weld-to".</a:t>
            </a:r>
          </a:p>
          <a:p>
            <a:pPr algn="l" rtl="0">
              <a:defRPr sz="1000"/>
            </a:pPr>
            <a:r>
              <a:rPr lang="en-US" sz="700" b="0" i="0" u="none" strike="noStrike" baseline="0">
                <a:solidFill>
                  <a:srgbClr val="000000"/>
                </a:solidFill>
                <a:latin typeface="Arial"/>
                <a:cs typeface="Arial"/>
              </a:rPr>
              <a:t>If "B" is a Beam, Depth "B" = Nominal Depth.</a:t>
            </a:r>
          </a:p>
          <a:p>
            <a:pPr algn="l" rtl="0">
              <a:defRPr sz="1000"/>
            </a:pPr>
            <a:r>
              <a:rPr lang="en-US" sz="700" b="0" i="0" u="none" strike="noStrike" baseline="0">
                <a:solidFill>
                  <a:srgbClr val="000000"/>
                </a:solidFill>
                <a:latin typeface="Arial"/>
                <a:cs typeface="Arial"/>
              </a:rPr>
              <a:t>If "B" is Wall or Column, Depth "B" = Depth "A".</a:t>
            </a:r>
          </a:p>
          <a:p>
            <a:pPr algn="l" rtl="0">
              <a:defRPr sz="1000"/>
            </a:pPr>
            <a:r>
              <a:rPr lang="en-US" sz="700" b="0" i="0" u="none" strike="noStrike" baseline="0">
                <a:solidFill>
                  <a:srgbClr val="000000"/>
                </a:solidFill>
                <a:latin typeface="Arial"/>
                <a:cs typeface="Arial"/>
              </a:rPr>
              <a:t>Elev "D" can be either "+" or "-" dimension.</a:t>
            </a:r>
            <a:endParaRPr lang="en-US"/>
          </a:p>
        </xdr:txBody>
      </xdr:sp>
    </xdr:grpSp>
    <xdr:clientData/>
  </xdr:twoCellAnchor>
  <xdr:twoCellAnchor>
    <xdr:from>
      <xdr:col>3</xdr:col>
      <xdr:colOff>533400</xdr:colOff>
      <xdr:row>10</xdr:row>
      <xdr:rowOff>28575</xdr:rowOff>
    </xdr:from>
    <xdr:to>
      <xdr:col>5</xdr:col>
      <xdr:colOff>561975</xdr:colOff>
      <xdr:row>23</xdr:row>
      <xdr:rowOff>104775</xdr:rowOff>
    </xdr:to>
    <xdr:grpSp>
      <xdr:nvGrpSpPr>
        <xdr:cNvPr id="2452323" name="Group 867">
          <a:extLst>
            <a:ext uri="{FF2B5EF4-FFF2-40B4-BE49-F238E27FC236}">
              <a16:creationId xmlns:a16="http://schemas.microsoft.com/office/drawing/2014/main" id="{00000000-0008-0000-0B00-0000636B2500}"/>
            </a:ext>
          </a:extLst>
        </xdr:cNvPr>
        <xdr:cNvGrpSpPr>
          <a:grpSpLocks/>
        </xdr:cNvGrpSpPr>
      </xdr:nvGrpSpPr>
      <xdr:grpSpPr bwMode="auto">
        <a:xfrm>
          <a:off x="1495425" y="1514475"/>
          <a:ext cx="1323975" cy="2533650"/>
          <a:chOff x="157" y="163"/>
          <a:chExt cx="139" cy="258"/>
        </a:xfrm>
      </xdr:grpSpPr>
      <xdr:pic>
        <xdr:nvPicPr>
          <xdr:cNvPr id="2451502" name="Picture 46" descr="Bridging BOM Sketches1">
            <a:extLst>
              <a:ext uri="{FF2B5EF4-FFF2-40B4-BE49-F238E27FC236}">
                <a16:creationId xmlns:a16="http://schemas.microsoft.com/office/drawing/2014/main" id="{00000000-0008-0000-0B00-00002E6825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19675" t="49254" r="68129" b="39178"/>
          <a:stretch>
            <a:fillRect/>
          </a:stretch>
        </xdr:blipFill>
        <xdr:spPr bwMode="auto">
          <a:xfrm>
            <a:off x="163" y="236"/>
            <a:ext cx="127" cy="3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51495" name="Picture 39" descr="Bridging BOM Sketches1">
            <a:extLst>
              <a:ext uri="{FF2B5EF4-FFF2-40B4-BE49-F238E27FC236}">
                <a16:creationId xmlns:a16="http://schemas.microsoft.com/office/drawing/2014/main" id="{00000000-0008-0000-0B00-0000276825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19675" t="62686" r="68129" b="25746"/>
          <a:stretch>
            <a:fillRect/>
          </a:stretch>
        </xdr:blipFill>
        <xdr:spPr bwMode="auto">
          <a:xfrm>
            <a:off x="163" y="321"/>
            <a:ext cx="127" cy="2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51500" name="Picture 44" descr="Bridging BOM Sketches1">
            <a:extLst>
              <a:ext uri="{FF2B5EF4-FFF2-40B4-BE49-F238E27FC236}">
                <a16:creationId xmlns:a16="http://schemas.microsoft.com/office/drawing/2014/main" id="{00000000-0008-0000-0B00-00002C6825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19675" t="19775" r="68129" b="66792"/>
          <a:stretch>
            <a:fillRect/>
          </a:stretch>
        </xdr:blipFill>
        <xdr:spPr bwMode="auto">
          <a:xfrm>
            <a:off x="163" y="188"/>
            <a:ext cx="127" cy="4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51501" name="Picture 45" descr="Bridging BOM Sketches1">
            <a:extLst>
              <a:ext uri="{FF2B5EF4-FFF2-40B4-BE49-F238E27FC236}">
                <a16:creationId xmlns:a16="http://schemas.microsoft.com/office/drawing/2014/main" id="{00000000-0008-0000-0B00-00002D6825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19675" t="33582" r="68129" b="53358"/>
          <a:stretch>
            <a:fillRect/>
          </a:stretch>
        </xdr:blipFill>
        <xdr:spPr bwMode="auto">
          <a:xfrm>
            <a:off x="163" y="274"/>
            <a:ext cx="127" cy="31"/>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451478" name="Text Box 22">
            <a:extLst>
              <a:ext uri="{FF2B5EF4-FFF2-40B4-BE49-F238E27FC236}">
                <a16:creationId xmlns:a16="http://schemas.microsoft.com/office/drawing/2014/main" id="{00000000-0008-0000-0B00-000016682500}"/>
              </a:ext>
            </a:extLst>
          </xdr:cNvPr>
          <xdr:cNvSpPr txBox="1">
            <a:spLocks noChangeArrowheads="1"/>
          </xdr:cNvSpPr>
        </xdr:nvSpPr>
        <xdr:spPr bwMode="auto">
          <a:xfrm>
            <a:off x="157" y="163"/>
            <a:ext cx="139"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en-US" sz="900" b="0" i="0" u="sng" strike="noStrike" baseline="0">
                <a:solidFill>
                  <a:srgbClr val="000000"/>
                </a:solidFill>
                <a:latin typeface="Arial"/>
                <a:cs typeface="Arial"/>
              </a:rPr>
              <a:t>Bridging Types</a:t>
            </a:r>
            <a:endParaRPr lang="en-US"/>
          </a:p>
        </xdr:txBody>
      </xdr:sp>
      <xdr:sp macro="" textlink="">
        <xdr:nvSpPr>
          <xdr:cNvPr id="2451496" name="Text Box 40">
            <a:extLst>
              <a:ext uri="{FF2B5EF4-FFF2-40B4-BE49-F238E27FC236}">
                <a16:creationId xmlns:a16="http://schemas.microsoft.com/office/drawing/2014/main" id="{00000000-0008-0000-0B00-000028682500}"/>
              </a:ext>
            </a:extLst>
          </xdr:cNvPr>
          <xdr:cNvSpPr txBox="1">
            <a:spLocks noChangeArrowheads="1"/>
          </xdr:cNvSpPr>
        </xdr:nvSpPr>
        <xdr:spPr bwMode="auto">
          <a:xfrm>
            <a:off x="175" y="217"/>
            <a:ext cx="107" cy="1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27432" bIns="22860" anchor="ctr" upright="1"/>
          <a:lstStyle/>
          <a:p>
            <a:pPr algn="ctr" rtl="0">
              <a:defRPr sz="1000"/>
            </a:pPr>
            <a:r>
              <a:rPr lang="en-US" sz="800" b="0" i="0" u="none" strike="noStrike" baseline="0">
                <a:solidFill>
                  <a:srgbClr val="000000"/>
                </a:solidFill>
                <a:latin typeface="Arial"/>
                <a:cs typeface="Arial"/>
              </a:rPr>
              <a:t>Type: "HW", "XW"</a:t>
            </a:r>
            <a:endParaRPr lang="en-US"/>
          </a:p>
        </xdr:txBody>
      </xdr:sp>
      <xdr:sp macro="" textlink="">
        <xdr:nvSpPr>
          <xdr:cNvPr id="2451497" name="Text Box 41">
            <a:extLst>
              <a:ext uri="{FF2B5EF4-FFF2-40B4-BE49-F238E27FC236}">
                <a16:creationId xmlns:a16="http://schemas.microsoft.com/office/drawing/2014/main" id="{00000000-0008-0000-0B00-000029682500}"/>
              </a:ext>
            </a:extLst>
          </xdr:cNvPr>
          <xdr:cNvSpPr txBox="1">
            <a:spLocks noChangeArrowheads="1"/>
          </xdr:cNvSpPr>
        </xdr:nvSpPr>
        <xdr:spPr bwMode="auto">
          <a:xfrm>
            <a:off x="175" y="296"/>
            <a:ext cx="107" cy="18"/>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27432" bIns="22860" anchor="ctr" upright="1"/>
          <a:lstStyle/>
          <a:p>
            <a:pPr algn="ctr" rtl="0">
              <a:defRPr sz="1000"/>
            </a:pPr>
            <a:r>
              <a:rPr lang="en-US" sz="800" b="0" i="0" u="none" strike="noStrike" baseline="0">
                <a:solidFill>
                  <a:srgbClr val="000000"/>
                </a:solidFill>
                <a:latin typeface="Arial"/>
                <a:cs typeface="Arial"/>
              </a:rPr>
              <a:t>Type: "HB"</a:t>
            </a:r>
            <a:endParaRPr lang="en-US"/>
          </a:p>
        </xdr:txBody>
      </xdr:sp>
      <xdr:sp macro="" textlink="">
        <xdr:nvSpPr>
          <xdr:cNvPr id="2451498" name="Text Box 42">
            <a:extLst>
              <a:ext uri="{FF2B5EF4-FFF2-40B4-BE49-F238E27FC236}">
                <a16:creationId xmlns:a16="http://schemas.microsoft.com/office/drawing/2014/main" id="{00000000-0008-0000-0B00-00002A682500}"/>
              </a:ext>
            </a:extLst>
          </xdr:cNvPr>
          <xdr:cNvSpPr txBox="1">
            <a:spLocks noChangeArrowheads="1"/>
          </xdr:cNvSpPr>
        </xdr:nvSpPr>
        <xdr:spPr bwMode="auto">
          <a:xfrm>
            <a:off x="175" y="259"/>
            <a:ext cx="107" cy="1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27432" bIns="22860" anchor="ctr" upright="1"/>
          <a:lstStyle/>
          <a:p>
            <a:pPr algn="ctr" rtl="0">
              <a:defRPr sz="1000"/>
            </a:pPr>
            <a:r>
              <a:rPr lang="en-US" sz="800" b="0" i="0" u="none" strike="noStrike" baseline="0">
                <a:solidFill>
                  <a:srgbClr val="000000"/>
                </a:solidFill>
                <a:latin typeface="Arial"/>
                <a:cs typeface="Arial"/>
              </a:rPr>
              <a:t>Type: "HWB", "XWB"</a:t>
            </a:r>
            <a:endParaRPr lang="en-US"/>
          </a:p>
        </xdr:txBody>
      </xdr:sp>
      <xdr:sp macro="" textlink="">
        <xdr:nvSpPr>
          <xdr:cNvPr id="2451499" name="Text Box 43">
            <a:extLst>
              <a:ext uri="{FF2B5EF4-FFF2-40B4-BE49-F238E27FC236}">
                <a16:creationId xmlns:a16="http://schemas.microsoft.com/office/drawing/2014/main" id="{00000000-0008-0000-0B00-00002B682500}"/>
              </a:ext>
            </a:extLst>
          </xdr:cNvPr>
          <xdr:cNvSpPr txBox="1">
            <a:spLocks noChangeArrowheads="1"/>
          </xdr:cNvSpPr>
        </xdr:nvSpPr>
        <xdr:spPr bwMode="auto">
          <a:xfrm>
            <a:off x="175" y="339"/>
            <a:ext cx="107" cy="18"/>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27432" bIns="22860" anchor="ctr" upright="1"/>
          <a:lstStyle/>
          <a:p>
            <a:pPr algn="ctr" rtl="0">
              <a:defRPr sz="1000"/>
            </a:pPr>
            <a:r>
              <a:rPr lang="en-US" sz="800" b="0" i="0" u="none" strike="noStrike" baseline="0">
                <a:solidFill>
                  <a:srgbClr val="000000"/>
                </a:solidFill>
                <a:latin typeface="Arial"/>
                <a:cs typeface="Arial"/>
              </a:rPr>
              <a:t>Type: "XB"</a:t>
            </a:r>
            <a:endParaRPr lang="en-US"/>
          </a:p>
        </xdr:txBody>
      </xdr:sp>
      <xdr:sp macro="" textlink="">
        <xdr:nvSpPr>
          <xdr:cNvPr id="2451479" name="Text Box 23">
            <a:extLst>
              <a:ext uri="{FF2B5EF4-FFF2-40B4-BE49-F238E27FC236}">
                <a16:creationId xmlns:a16="http://schemas.microsoft.com/office/drawing/2014/main" id="{00000000-0008-0000-0B00-000017682500}"/>
              </a:ext>
            </a:extLst>
          </xdr:cNvPr>
          <xdr:cNvSpPr txBox="1">
            <a:spLocks noChangeArrowheads="1"/>
          </xdr:cNvSpPr>
        </xdr:nvSpPr>
        <xdr:spPr bwMode="auto">
          <a:xfrm>
            <a:off x="162" y="362"/>
            <a:ext cx="134" cy="59"/>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0" rIns="0" bIns="18288" anchor="b" upright="1"/>
          <a:lstStyle/>
          <a:p>
            <a:pPr algn="l" rtl="0">
              <a:defRPr sz="1000"/>
            </a:pPr>
            <a:r>
              <a:rPr lang="en-US" sz="700" b="0" i="0" u="sng" strike="noStrike" baseline="0">
                <a:solidFill>
                  <a:srgbClr val="000000"/>
                </a:solidFill>
                <a:latin typeface="Arial"/>
                <a:cs typeface="Arial"/>
              </a:rPr>
              <a:t>Bridging Slots:</a:t>
            </a:r>
            <a:endParaRPr lang="en-US" sz="700" b="0" i="0" u="none" strike="noStrike" baseline="0">
              <a:solidFill>
                <a:srgbClr val="000000"/>
              </a:solidFill>
              <a:latin typeface="Arial"/>
              <a:cs typeface="Arial"/>
            </a:endParaRPr>
          </a:p>
          <a:p>
            <a:pPr algn="l" rtl="0">
              <a:defRPr sz="1000"/>
            </a:pPr>
            <a:r>
              <a:rPr lang="en-US" sz="700" b="0" i="0" u="none" strike="noStrike" baseline="0">
                <a:solidFill>
                  <a:srgbClr val="000000"/>
                </a:solidFill>
                <a:latin typeface="Arial"/>
                <a:cs typeface="Arial"/>
              </a:rPr>
              <a:t>BC1, 4 = 7/16" Slot</a:t>
            </a:r>
          </a:p>
          <a:p>
            <a:pPr algn="l" rtl="0">
              <a:defRPr sz="1000"/>
            </a:pPr>
            <a:r>
              <a:rPr lang="en-US" sz="700" b="0" i="0" u="none" strike="noStrike" baseline="0">
                <a:solidFill>
                  <a:srgbClr val="000000"/>
                </a:solidFill>
                <a:latin typeface="Arial"/>
                <a:cs typeface="Arial"/>
              </a:rPr>
              <a:t>BC2, 5 = 9/16" Slot</a:t>
            </a:r>
          </a:p>
          <a:p>
            <a:pPr algn="l" rtl="0">
              <a:defRPr sz="1000"/>
            </a:pPr>
            <a:r>
              <a:rPr lang="en-US" sz="700" b="0" i="0" u="none" strike="noStrike" baseline="0">
                <a:solidFill>
                  <a:srgbClr val="000000"/>
                </a:solidFill>
                <a:latin typeface="Arial"/>
                <a:cs typeface="Arial"/>
              </a:rPr>
              <a:t>BC3, 6 = 11/16" Slot</a:t>
            </a:r>
            <a:endParaRPr lang="en-US"/>
          </a:p>
        </xdr:txBody>
      </xdr:sp>
    </xdr:grpSp>
    <xdr:clientData/>
  </xdr:twoCellAnchor>
  <xdr:twoCellAnchor>
    <xdr:from>
      <xdr:col>0</xdr:col>
      <xdr:colOff>7143</xdr:colOff>
      <xdr:row>10</xdr:row>
      <xdr:rowOff>38100</xdr:rowOff>
    </xdr:from>
    <xdr:to>
      <xdr:col>15</xdr:col>
      <xdr:colOff>1688306</xdr:colOff>
      <xdr:row>23</xdr:row>
      <xdr:rowOff>114300</xdr:rowOff>
    </xdr:to>
    <xdr:grpSp>
      <xdr:nvGrpSpPr>
        <xdr:cNvPr id="2452327" name="Group 871">
          <a:extLst>
            <a:ext uri="{FF2B5EF4-FFF2-40B4-BE49-F238E27FC236}">
              <a16:creationId xmlns:a16="http://schemas.microsoft.com/office/drawing/2014/main" id="{00000000-0008-0000-0B00-0000676B2500}"/>
            </a:ext>
          </a:extLst>
        </xdr:cNvPr>
        <xdr:cNvGrpSpPr>
          <a:grpSpLocks/>
        </xdr:cNvGrpSpPr>
      </xdr:nvGrpSpPr>
      <xdr:grpSpPr bwMode="auto">
        <a:xfrm>
          <a:off x="7143" y="1524000"/>
          <a:ext cx="9015413" cy="2533650"/>
          <a:chOff x="0" y="164"/>
          <a:chExt cx="948" cy="258"/>
        </a:xfrm>
      </xdr:grpSpPr>
      <xdr:sp macro="" textlink="">
        <xdr:nvSpPr>
          <xdr:cNvPr id="2451458" name="Rectangle 2">
            <a:extLst>
              <a:ext uri="{FF2B5EF4-FFF2-40B4-BE49-F238E27FC236}">
                <a16:creationId xmlns:a16="http://schemas.microsoft.com/office/drawing/2014/main" id="{00000000-0008-0000-0B00-000002682500}"/>
              </a:ext>
            </a:extLst>
          </xdr:cNvPr>
          <xdr:cNvSpPr>
            <a:spLocks noChangeArrowheads="1"/>
          </xdr:cNvSpPr>
        </xdr:nvSpPr>
        <xdr:spPr bwMode="auto">
          <a:xfrm>
            <a:off x="0" y="164"/>
            <a:ext cx="948" cy="258"/>
          </a:xfrm>
          <a:prstGeom prst="rect">
            <a:avLst/>
          </a:prstGeom>
          <a:noFill/>
          <a:ln w="1079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2451459" name="Line 3">
            <a:extLst>
              <a:ext uri="{FF2B5EF4-FFF2-40B4-BE49-F238E27FC236}">
                <a16:creationId xmlns:a16="http://schemas.microsoft.com/office/drawing/2014/main" id="{00000000-0008-0000-0B00-000003682500}"/>
              </a:ext>
            </a:extLst>
          </xdr:cNvPr>
          <xdr:cNvSpPr>
            <a:spLocks noChangeShapeType="1"/>
          </xdr:cNvSpPr>
        </xdr:nvSpPr>
        <xdr:spPr bwMode="auto">
          <a:xfrm>
            <a:off x="305" y="164"/>
            <a:ext cx="0" cy="258"/>
          </a:xfrm>
          <a:prstGeom prst="line">
            <a:avLst/>
          </a:prstGeom>
          <a:noFill/>
          <a:ln w="1079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451460" name="Line 4">
            <a:extLst>
              <a:ext uri="{FF2B5EF4-FFF2-40B4-BE49-F238E27FC236}">
                <a16:creationId xmlns:a16="http://schemas.microsoft.com/office/drawing/2014/main" id="{00000000-0008-0000-0B00-000004682500}"/>
              </a:ext>
            </a:extLst>
          </xdr:cNvPr>
          <xdr:cNvSpPr>
            <a:spLocks noChangeShapeType="1"/>
          </xdr:cNvSpPr>
        </xdr:nvSpPr>
        <xdr:spPr bwMode="auto">
          <a:xfrm>
            <a:off x="472" y="164"/>
            <a:ext cx="0" cy="258"/>
          </a:xfrm>
          <a:prstGeom prst="line">
            <a:avLst/>
          </a:prstGeom>
          <a:noFill/>
          <a:ln w="1079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451461" name="Line 5">
            <a:extLst>
              <a:ext uri="{FF2B5EF4-FFF2-40B4-BE49-F238E27FC236}">
                <a16:creationId xmlns:a16="http://schemas.microsoft.com/office/drawing/2014/main" id="{00000000-0008-0000-0B00-000005682500}"/>
              </a:ext>
            </a:extLst>
          </xdr:cNvPr>
          <xdr:cNvSpPr>
            <a:spLocks noChangeShapeType="1"/>
          </xdr:cNvSpPr>
        </xdr:nvSpPr>
        <xdr:spPr bwMode="auto">
          <a:xfrm>
            <a:off x="758" y="164"/>
            <a:ext cx="0" cy="258"/>
          </a:xfrm>
          <a:prstGeom prst="line">
            <a:avLst/>
          </a:prstGeom>
          <a:noFill/>
          <a:ln w="1079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451504" name="Line 48">
            <a:extLst>
              <a:ext uri="{FF2B5EF4-FFF2-40B4-BE49-F238E27FC236}">
                <a16:creationId xmlns:a16="http://schemas.microsoft.com/office/drawing/2014/main" id="{00000000-0008-0000-0B00-000030682500}"/>
              </a:ext>
            </a:extLst>
          </xdr:cNvPr>
          <xdr:cNvSpPr>
            <a:spLocks noChangeShapeType="1"/>
          </xdr:cNvSpPr>
        </xdr:nvSpPr>
        <xdr:spPr bwMode="auto">
          <a:xfrm>
            <a:off x="156" y="164"/>
            <a:ext cx="0" cy="258"/>
          </a:xfrm>
          <a:prstGeom prst="line">
            <a:avLst/>
          </a:prstGeom>
          <a:noFill/>
          <a:ln w="1079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grpSp>
    <xdr:clientData/>
  </xdr:twoCellAnchor>
  <xdr:twoCellAnchor>
    <xdr:from>
      <xdr:col>6</xdr:col>
      <xdr:colOff>9525</xdr:colOff>
      <xdr:row>10</xdr:row>
      <xdr:rowOff>28575</xdr:rowOff>
    </xdr:from>
    <xdr:to>
      <xdr:col>9</xdr:col>
      <xdr:colOff>314325</xdr:colOff>
      <xdr:row>23</xdr:row>
      <xdr:rowOff>104775</xdr:rowOff>
    </xdr:to>
    <xdr:grpSp>
      <xdr:nvGrpSpPr>
        <xdr:cNvPr id="2452317" name="Group 861">
          <a:extLst>
            <a:ext uri="{FF2B5EF4-FFF2-40B4-BE49-F238E27FC236}">
              <a16:creationId xmlns:a16="http://schemas.microsoft.com/office/drawing/2014/main" id="{00000000-0008-0000-0B00-00005D6B2500}"/>
            </a:ext>
          </a:extLst>
        </xdr:cNvPr>
        <xdr:cNvGrpSpPr>
          <a:grpSpLocks/>
        </xdr:cNvGrpSpPr>
      </xdr:nvGrpSpPr>
      <xdr:grpSpPr bwMode="auto">
        <a:xfrm>
          <a:off x="2914650" y="1514475"/>
          <a:ext cx="1647825" cy="2533650"/>
          <a:chOff x="306" y="163"/>
          <a:chExt cx="173" cy="258"/>
        </a:xfrm>
      </xdr:grpSpPr>
      <xdr:sp macro="" textlink="">
        <xdr:nvSpPr>
          <xdr:cNvPr id="2451474" name="Text Box 18">
            <a:extLst>
              <a:ext uri="{FF2B5EF4-FFF2-40B4-BE49-F238E27FC236}">
                <a16:creationId xmlns:a16="http://schemas.microsoft.com/office/drawing/2014/main" id="{00000000-0008-0000-0B00-000012682500}"/>
              </a:ext>
            </a:extLst>
          </xdr:cNvPr>
          <xdr:cNvSpPr txBox="1">
            <a:spLocks noChangeArrowheads="1"/>
          </xdr:cNvSpPr>
        </xdr:nvSpPr>
        <xdr:spPr bwMode="auto">
          <a:xfrm>
            <a:off x="307" y="317"/>
            <a:ext cx="85" cy="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en-US" sz="700" b="0" i="0" u="none" strike="noStrike" baseline="0">
                <a:solidFill>
                  <a:srgbClr val="000000"/>
                </a:solidFill>
                <a:latin typeface="Arial"/>
                <a:cs typeface="Arial"/>
              </a:rPr>
              <a:t>BC1, BC2, BC3</a:t>
            </a:r>
            <a:endParaRPr lang="en-US"/>
          </a:p>
        </xdr:txBody>
      </xdr:sp>
      <xdr:sp macro="" textlink="">
        <xdr:nvSpPr>
          <xdr:cNvPr id="2451475" name="Text Box 19">
            <a:extLst>
              <a:ext uri="{FF2B5EF4-FFF2-40B4-BE49-F238E27FC236}">
                <a16:creationId xmlns:a16="http://schemas.microsoft.com/office/drawing/2014/main" id="{00000000-0008-0000-0B00-000013682500}"/>
              </a:ext>
            </a:extLst>
          </xdr:cNvPr>
          <xdr:cNvSpPr txBox="1">
            <a:spLocks noChangeArrowheads="1"/>
          </xdr:cNvSpPr>
        </xdr:nvSpPr>
        <xdr:spPr bwMode="auto">
          <a:xfrm>
            <a:off x="306" y="163"/>
            <a:ext cx="105"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en-US" sz="900" b="0" i="0" u="sng" strike="noStrike" baseline="0">
                <a:solidFill>
                  <a:srgbClr val="000000"/>
                </a:solidFill>
                <a:latin typeface="Arial"/>
                <a:cs typeface="Arial"/>
              </a:rPr>
              <a:t>Bridging Clips</a:t>
            </a:r>
            <a:endParaRPr lang="en-US"/>
          </a:p>
        </xdr:txBody>
      </xdr:sp>
      <xdr:sp macro="" textlink="">
        <xdr:nvSpPr>
          <xdr:cNvPr id="2451476" name="Text Box 20">
            <a:extLst>
              <a:ext uri="{FF2B5EF4-FFF2-40B4-BE49-F238E27FC236}">
                <a16:creationId xmlns:a16="http://schemas.microsoft.com/office/drawing/2014/main" id="{00000000-0008-0000-0B00-000014682500}"/>
              </a:ext>
            </a:extLst>
          </xdr:cNvPr>
          <xdr:cNvSpPr txBox="1">
            <a:spLocks noChangeArrowheads="1"/>
          </xdr:cNvSpPr>
        </xdr:nvSpPr>
        <xdr:spPr bwMode="auto">
          <a:xfrm>
            <a:off x="306" y="362"/>
            <a:ext cx="119" cy="59"/>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0" rIns="0" bIns="18288" anchor="b" upright="1"/>
          <a:lstStyle/>
          <a:p>
            <a:pPr algn="l" rtl="0">
              <a:defRPr sz="1000"/>
            </a:pPr>
            <a:r>
              <a:rPr lang="en-US" sz="700" b="0" i="0" u="sng" strike="noStrike" baseline="0">
                <a:solidFill>
                  <a:srgbClr val="000000"/>
                </a:solidFill>
                <a:latin typeface="Arial"/>
                <a:cs typeface="Arial"/>
              </a:rPr>
              <a:t>Bridging Clip Slots:</a:t>
            </a:r>
            <a:endParaRPr lang="en-US" sz="700" b="0" i="0" u="none" strike="noStrike" baseline="0">
              <a:solidFill>
                <a:srgbClr val="000000"/>
              </a:solidFill>
              <a:latin typeface="Arial"/>
              <a:cs typeface="Arial"/>
            </a:endParaRPr>
          </a:p>
          <a:p>
            <a:pPr algn="l" rtl="0">
              <a:defRPr sz="1000"/>
            </a:pPr>
            <a:r>
              <a:rPr lang="en-US" sz="700" b="0" i="0" u="none" strike="noStrike" baseline="0">
                <a:solidFill>
                  <a:srgbClr val="000000"/>
                </a:solidFill>
                <a:latin typeface="Arial"/>
                <a:cs typeface="Arial"/>
              </a:rPr>
              <a:t>BC1, 4 = 7/16 Slot</a:t>
            </a:r>
          </a:p>
          <a:p>
            <a:pPr algn="l" rtl="0">
              <a:defRPr sz="1000"/>
            </a:pPr>
            <a:r>
              <a:rPr lang="en-US" sz="700" b="0" i="0" u="none" strike="noStrike" baseline="0">
                <a:solidFill>
                  <a:srgbClr val="000000"/>
                </a:solidFill>
                <a:latin typeface="Arial"/>
                <a:cs typeface="Arial"/>
              </a:rPr>
              <a:t>BC2, 5 = 9/16 Slot</a:t>
            </a:r>
          </a:p>
          <a:p>
            <a:pPr algn="l" rtl="0">
              <a:defRPr sz="1000"/>
            </a:pPr>
            <a:r>
              <a:rPr lang="en-US" sz="700" b="0" i="0" u="none" strike="noStrike" baseline="0">
                <a:solidFill>
                  <a:srgbClr val="000000"/>
                </a:solidFill>
                <a:latin typeface="Arial"/>
                <a:cs typeface="Arial"/>
              </a:rPr>
              <a:t>BC3, 6 = 11/16 Slot</a:t>
            </a:r>
            <a:endParaRPr lang="en-US"/>
          </a:p>
        </xdr:txBody>
      </xdr:sp>
      <xdr:sp macro="" textlink="">
        <xdr:nvSpPr>
          <xdr:cNvPr id="2451477" name="Text Box 21">
            <a:extLst>
              <a:ext uri="{FF2B5EF4-FFF2-40B4-BE49-F238E27FC236}">
                <a16:creationId xmlns:a16="http://schemas.microsoft.com/office/drawing/2014/main" id="{00000000-0008-0000-0B00-000015682500}"/>
              </a:ext>
            </a:extLst>
          </xdr:cNvPr>
          <xdr:cNvSpPr txBox="1">
            <a:spLocks noChangeArrowheads="1"/>
          </xdr:cNvSpPr>
        </xdr:nvSpPr>
        <xdr:spPr bwMode="auto">
          <a:xfrm>
            <a:off x="390" y="317"/>
            <a:ext cx="89" cy="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en-US" sz="700" b="0" i="0" u="none" strike="noStrike" baseline="0">
                <a:solidFill>
                  <a:srgbClr val="000000"/>
                </a:solidFill>
                <a:latin typeface="Arial"/>
                <a:cs typeface="Arial"/>
              </a:rPr>
              <a:t>BC4, BC5, BC6</a:t>
            </a:r>
            <a:endParaRPr lang="en-US"/>
          </a:p>
        </xdr:txBody>
      </xdr:sp>
      <xdr:pic>
        <xdr:nvPicPr>
          <xdr:cNvPr id="2451494" name="Picture 38" descr="Bridging BOM Sketches1">
            <a:extLst>
              <a:ext uri="{FF2B5EF4-FFF2-40B4-BE49-F238E27FC236}">
                <a16:creationId xmlns:a16="http://schemas.microsoft.com/office/drawing/2014/main" id="{00000000-0008-0000-0B00-0000266825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41463" t="21269" r="53821" b="25374"/>
          <a:stretch>
            <a:fillRect/>
          </a:stretch>
        </xdr:blipFill>
        <xdr:spPr bwMode="auto">
          <a:xfrm>
            <a:off x="409" y="197"/>
            <a:ext cx="52" cy="128"/>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51508" name="Picture 52" descr="Bridging BOM Sketches1">
            <a:extLst>
              <a:ext uri="{FF2B5EF4-FFF2-40B4-BE49-F238E27FC236}">
                <a16:creationId xmlns:a16="http://schemas.microsoft.com/office/drawing/2014/main" id="{00000000-0008-0000-0B00-0000346825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5365" t="21269" r="60487" b="25374"/>
          <a:stretch>
            <a:fillRect/>
          </a:stretch>
        </xdr:blipFill>
        <xdr:spPr bwMode="auto">
          <a:xfrm>
            <a:off x="326" y="197"/>
            <a:ext cx="46" cy="128"/>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14</xdr:col>
      <xdr:colOff>485775</xdr:colOff>
      <xdr:row>10</xdr:row>
      <xdr:rowOff>28575</xdr:rowOff>
    </xdr:from>
    <xdr:to>
      <xdr:col>16</xdr:col>
      <xdr:colOff>0</xdr:colOff>
      <xdr:row>23</xdr:row>
      <xdr:rowOff>104775</xdr:rowOff>
    </xdr:to>
    <xdr:grpSp>
      <xdr:nvGrpSpPr>
        <xdr:cNvPr id="2452326" name="Group 870">
          <a:extLst>
            <a:ext uri="{FF2B5EF4-FFF2-40B4-BE49-F238E27FC236}">
              <a16:creationId xmlns:a16="http://schemas.microsoft.com/office/drawing/2014/main" id="{00000000-0008-0000-0B00-0000666B2500}"/>
            </a:ext>
          </a:extLst>
        </xdr:cNvPr>
        <xdr:cNvGrpSpPr>
          <a:grpSpLocks/>
        </xdr:cNvGrpSpPr>
      </xdr:nvGrpSpPr>
      <xdr:grpSpPr bwMode="auto">
        <a:xfrm>
          <a:off x="7239000" y="1514475"/>
          <a:ext cx="1790700" cy="2533650"/>
          <a:chOff x="760" y="163"/>
          <a:chExt cx="188" cy="258"/>
        </a:xfrm>
      </xdr:grpSpPr>
      <xdr:pic>
        <xdr:nvPicPr>
          <xdr:cNvPr id="2451457" name="Picture 1" descr="Bridging BOM Sketches1">
            <a:extLst>
              <a:ext uri="{FF2B5EF4-FFF2-40B4-BE49-F238E27FC236}">
                <a16:creationId xmlns:a16="http://schemas.microsoft.com/office/drawing/2014/main" id="{00000000-0008-0000-0B00-0000016825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82033" t="19029"/>
          <a:stretch>
            <a:fillRect/>
          </a:stretch>
        </xdr:blipFill>
        <xdr:spPr bwMode="auto">
          <a:xfrm>
            <a:off x="771" y="185"/>
            <a:ext cx="152" cy="169"/>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451469" name="Text Box 13">
            <a:extLst>
              <a:ext uri="{FF2B5EF4-FFF2-40B4-BE49-F238E27FC236}">
                <a16:creationId xmlns:a16="http://schemas.microsoft.com/office/drawing/2014/main" id="{00000000-0008-0000-0B00-00000D682500}"/>
              </a:ext>
            </a:extLst>
          </xdr:cNvPr>
          <xdr:cNvSpPr txBox="1">
            <a:spLocks noChangeArrowheads="1"/>
          </xdr:cNvSpPr>
        </xdr:nvSpPr>
        <xdr:spPr bwMode="auto">
          <a:xfrm>
            <a:off x="784" y="349"/>
            <a:ext cx="45" cy="18"/>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27432" bIns="0" anchor="t" upright="1"/>
          <a:lstStyle/>
          <a:p>
            <a:pPr algn="ctr" rtl="0">
              <a:defRPr sz="1000"/>
            </a:pPr>
            <a:r>
              <a:rPr lang="en-US" sz="800" b="0" i="0" u="none" strike="noStrike" baseline="0">
                <a:solidFill>
                  <a:srgbClr val="000000"/>
                </a:solidFill>
                <a:latin typeface="Arial"/>
                <a:cs typeface="Arial"/>
              </a:rPr>
              <a:t>Slope 1</a:t>
            </a:r>
            <a:endParaRPr lang="en-US"/>
          </a:p>
        </xdr:txBody>
      </xdr:sp>
      <xdr:sp macro="" textlink="">
        <xdr:nvSpPr>
          <xdr:cNvPr id="2451470" name="Text Box 14">
            <a:extLst>
              <a:ext uri="{FF2B5EF4-FFF2-40B4-BE49-F238E27FC236}">
                <a16:creationId xmlns:a16="http://schemas.microsoft.com/office/drawing/2014/main" id="{00000000-0008-0000-0B00-00000E682500}"/>
              </a:ext>
            </a:extLst>
          </xdr:cNvPr>
          <xdr:cNvSpPr txBox="1">
            <a:spLocks noChangeArrowheads="1"/>
          </xdr:cNvSpPr>
        </xdr:nvSpPr>
        <xdr:spPr bwMode="auto">
          <a:xfrm>
            <a:off x="876" y="349"/>
            <a:ext cx="45" cy="18"/>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27432" bIns="0" anchor="t" upright="1"/>
          <a:lstStyle/>
          <a:p>
            <a:pPr algn="ctr" rtl="0">
              <a:defRPr sz="1000"/>
            </a:pPr>
            <a:r>
              <a:rPr lang="en-US" sz="800" b="0" i="0" u="none" strike="noStrike" baseline="0">
                <a:solidFill>
                  <a:srgbClr val="000000"/>
                </a:solidFill>
                <a:latin typeface="Arial"/>
                <a:cs typeface="Arial"/>
              </a:rPr>
              <a:t>Slope 2</a:t>
            </a:r>
            <a:endParaRPr lang="en-US"/>
          </a:p>
        </xdr:txBody>
      </xdr:sp>
      <xdr:sp macro="" textlink="">
        <xdr:nvSpPr>
          <xdr:cNvPr id="2451471" name="Text Box 15">
            <a:extLst>
              <a:ext uri="{FF2B5EF4-FFF2-40B4-BE49-F238E27FC236}">
                <a16:creationId xmlns:a16="http://schemas.microsoft.com/office/drawing/2014/main" id="{00000000-0008-0000-0B00-00000F682500}"/>
              </a:ext>
            </a:extLst>
          </xdr:cNvPr>
          <xdr:cNvSpPr txBox="1">
            <a:spLocks noChangeArrowheads="1"/>
          </xdr:cNvSpPr>
        </xdr:nvSpPr>
        <xdr:spPr bwMode="auto">
          <a:xfrm>
            <a:off x="776" y="329"/>
            <a:ext cx="19" cy="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22860" rIns="27432" bIns="0" anchor="t" upright="1"/>
          <a:lstStyle/>
          <a:p>
            <a:pPr algn="r" rtl="0">
              <a:defRPr sz="1000"/>
            </a:pPr>
            <a:r>
              <a:rPr lang="en-US" sz="800" b="0" i="0" u="none" strike="noStrike" baseline="0">
                <a:solidFill>
                  <a:srgbClr val="000000"/>
                </a:solidFill>
                <a:latin typeface="Arial"/>
                <a:cs typeface="Arial"/>
              </a:rPr>
              <a:t>"+"</a:t>
            </a:r>
            <a:endParaRPr lang="en-US"/>
          </a:p>
        </xdr:txBody>
      </xdr:sp>
      <xdr:sp macro="" textlink="">
        <xdr:nvSpPr>
          <xdr:cNvPr id="2451472" name="Text Box 16">
            <a:extLst>
              <a:ext uri="{FF2B5EF4-FFF2-40B4-BE49-F238E27FC236}">
                <a16:creationId xmlns:a16="http://schemas.microsoft.com/office/drawing/2014/main" id="{00000000-0008-0000-0B00-000010682500}"/>
              </a:ext>
            </a:extLst>
          </xdr:cNvPr>
          <xdr:cNvSpPr txBox="1">
            <a:spLocks noChangeArrowheads="1"/>
          </xdr:cNvSpPr>
        </xdr:nvSpPr>
        <xdr:spPr bwMode="auto">
          <a:xfrm>
            <a:off x="819" y="329"/>
            <a:ext cx="17" cy="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en-US" sz="800" b="0" i="0" u="none" strike="noStrike" baseline="0">
                <a:solidFill>
                  <a:srgbClr val="000000"/>
                </a:solidFill>
                <a:latin typeface="Arial"/>
                <a:cs typeface="Arial"/>
              </a:rPr>
              <a:t>"-"</a:t>
            </a:r>
            <a:endParaRPr lang="en-US"/>
          </a:p>
        </xdr:txBody>
      </xdr:sp>
      <xdr:sp macro="" textlink="">
        <xdr:nvSpPr>
          <xdr:cNvPr id="2451473" name="Text Box 17">
            <a:extLst>
              <a:ext uri="{FF2B5EF4-FFF2-40B4-BE49-F238E27FC236}">
                <a16:creationId xmlns:a16="http://schemas.microsoft.com/office/drawing/2014/main" id="{00000000-0008-0000-0B00-000011682500}"/>
              </a:ext>
            </a:extLst>
          </xdr:cNvPr>
          <xdr:cNvSpPr txBox="1">
            <a:spLocks noChangeArrowheads="1"/>
          </xdr:cNvSpPr>
        </xdr:nvSpPr>
        <xdr:spPr bwMode="auto">
          <a:xfrm>
            <a:off x="760" y="163"/>
            <a:ext cx="188"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en-US" sz="900" b="0" i="0" u="sng" strike="noStrike" baseline="0">
                <a:solidFill>
                  <a:srgbClr val="000000"/>
                </a:solidFill>
                <a:latin typeface="Arial"/>
                <a:cs typeface="Arial"/>
              </a:rPr>
              <a:t>Kick Dimensions</a:t>
            </a:r>
            <a:endParaRPr lang="en-US"/>
          </a:p>
        </xdr:txBody>
      </xdr:sp>
      <xdr:sp macro="" textlink="">
        <xdr:nvSpPr>
          <xdr:cNvPr id="2451492" name="Text Box 36">
            <a:extLst>
              <a:ext uri="{FF2B5EF4-FFF2-40B4-BE49-F238E27FC236}">
                <a16:creationId xmlns:a16="http://schemas.microsoft.com/office/drawing/2014/main" id="{00000000-0008-0000-0B00-000024682500}"/>
              </a:ext>
            </a:extLst>
          </xdr:cNvPr>
          <xdr:cNvSpPr txBox="1">
            <a:spLocks noChangeArrowheads="1"/>
          </xdr:cNvSpPr>
        </xdr:nvSpPr>
        <xdr:spPr bwMode="auto">
          <a:xfrm>
            <a:off x="761" y="366"/>
            <a:ext cx="186" cy="5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0" rIns="0" bIns="18288" anchor="b" upright="1"/>
          <a:lstStyle/>
          <a:p>
            <a:pPr algn="l" rtl="0">
              <a:defRPr sz="1000"/>
            </a:pPr>
            <a:r>
              <a:rPr lang="en-US" sz="700" b="0" i="0" u="sng" strike="noStrike" baseline="0">
                <a:solidFill>
                  <a:srgbClr val="000000"/>
                </a:solidFill>
                <a:latin typeface="Arial"/>
                <a:cs typeface="Arial"/>
              </a:rPr>
              <a:t>Note:</a:t>
            </a:r>
          </a:p>
          <a:p>
            <a:pPr algn="l" rtl="0">
              <a:defRPr sz="1000"/>
            </a:pPr>
            <a:r>
              <a:rPr lang="en-US" sz="700" b="0" i="0" u="none" strike="noStrike" baseline="0">
                <a:solidFill>
                  <a:srgbClr val="000000"/>
                </a:solidFill>
                <a:latin typeface="Arial"/>
                <a:cs typeface="Arial"/>
              </a:rPr>
              <a:t>Dimension is the "kick" dimension in inches</a:t>
            </a:r>
            <a:endParaRPr lang="en-US"/>
          </a:p>
        </xdr:txBody>
      </xdr:sp>
      <xdr:sp macro="" textlink="">
        <xdr:nvSpPr>
          <xdr:cNvPr id="2451509" name="Text Box 53">
            <a:extLst>
              <a:ext uri="{FF2B5EF4-FFF2-40B4-BE49-F238E27FC236}">
                <a16:creationId xmlns:a16="http://schemas.microsoft.com/office/drawing/2014/main" id="{00000000-0008-0000-0B00-000035682500}"/>
              </a:ext>
            </a:extLst>
          </xdr:cNvPr>
          <xdr:cNvSpPr txBox="1">
            <a:spLocks noChangeArrowheads="1"/>
          </xdr:cNvSpPr>
        </xdr:nvSpPr>
        <xdr:spPr bwMode="auto">
          <a:xfrm>
            <a:off x="868" y="329"/>
            <a:ext cx="18" cy="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22860" rIns="27432" bIns="0" anchor="t" upright="1"/>
          <a:lstStyle/>
          <a:p>
            <a:pPr algn="r" rtl="0">
              <a:defRPr sz="1000"/>
            </a:pPr>
            <a:r>
              <a:rPr lang="en-US" sz="800" b="0" i="0" u="none" strike="noStrike" baseline="0">
                <a:solidFill>
                  <a:srgbClr val="000000"/>
                </a:solidFill>
                <a:latin typeface="Arial"/>
                <a:cs typeface="Arial"/>
              </a:rPr>
              <a:t>"+"</a:t>
            </a:r>
            <a:endParaRPr lang="en-US"/>
          </a:p>
        </xdr:txBody>
      </xdr:sp>
      <xdr:sp macro="" textlink="">
        <xdr:nvSpPr>
          <xdr:cNvPr id="2451510" name="Text Box 54">
            <a:extLst>
              <a:ext uri="{FF2B5EF4-FFF2-40B4-BE49-F238E27FC236}">
                <a16:creationId xmlns:a16="http://schemas.microsoft.com/office/drawing/2014/main" id="{00000000-0008-0000-0B00-000036682500}"/>
              </a:ext>
            </a:extLst>
          </xdr:cNvPr>
          <xdr:cNvSpPr txBox="1">
            <a:spLocks noChangeArrowheads="1"/>
          </xdr:cNvSpPr>
        </xdr:nvSpPr>
        <xdr:spPr bwMode="auto">
          <a:xfrm>
            <a:off x="912" y="329"/>
            <a:ext cx="16" cy="1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en-US" sz="800" b="0" i="0" u="none" strike="noStrike" baseline="0">
                <a:solidFill>
                  <a:srgbClr val="000000"/>
                </a:solidFill>
                <a:latin typeface="Arial"/>
                <a:cs typeface="Arial"/>
              </a:rPr>
              <a:t>"-"</a:t>
            </a:r>
            <a:endParaRPr lang="en-US"/>
          </a:p>
        </xdr:txBody>
      </xdr:sp>
    </xdr:grpSp>
    <xdr:clientData/>
  </xdr:twoCellAnchor>
  <xdr:twoCellAnchor editAs="absolute">
    <xdr:from>
      <xdr:col>0</xdr:col>
      <xdr:colOff>504825</xdr:colOff>
      <xdr:row>0</xdr:row>
      <xdr:rowOff>0</xdr:rowOff>
    </xdr:from>
    <xdr:to>
      <xdr:col>5</xdr:col>
      <xdr:colOff>304800</xdr:colOff>
      <xdr:row>3</xdr:row>
      <xdr:rowOff>142875</xdr:rowOff>
    </xdr:to>
    <xdr:pic>
      <xdr:nvPicPr>
        <xdr:cNvPr id="2452318" name="Picture 862" descr="newmill_black_logo">
          <a:extLst>
            <a:ext uri="{FF2B5EF4-FFF2-40B4-BE49-F238E27FC236}">
              <a16:creationId xmlns:a16="http://schemas.microsoft.com/office/drawing/2014/main" id="{00000000-0008-0000-0B00-00005E6B25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04825" y="0"/>
          <a:ext cx="2057400" cy="647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161925</xdr:colOff>
      <xdr:row>10</xdr:row>
      <xdr:rowOff>133350</xdr:rowOff>
    </xdr:from>
    <xdr:to>
      <xdr:col>3</xdr:col>
      <xdr:colOff>371475</xdr:colOff>
      <xdr:row>11</xdr:row>
      <xdr:rowOff>0</xdr:rowOff>
    </xdr:to>
    <xdr:pic>
      <xdr:nvPicPr>
        <xdr:cNvPr id="2451493" name="Picture 37" descr="Bridging BOM Sketches1">
          <a:extLst>
            <a:ext uri="{FF2B5EF4-FFF2-40B4-BE49-F238E27FC236}">
              <a16:creationId xmlns:a16="http://schemas.microsoft.com/office/drawing/2014/main" id="{00000000-0008-0000-0B00-0000256825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t="13806" r="87805" b="65298"/>
        <a:stretch>
          <a:fillRect/>
        </a:stretch>
      </xdr:blipFill>
      <xdr:spPr bwMode="auto">
        <a:xfrm>
          <a:off x="161925" y="1619250"/>
          <a:ext cx="1171575" cy="495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28575</xdr:colOff>
      <xdr:row>13</xdr:row>
      <xdr:rowOff>76200</xdr:rowOff>
    </xdr:from>
    <xdr:to>
      <xdr:col>4</xdr:col>
      <xdr:colOff>171450</xdr:colOff>
      <xdr:row>16</xdr:row>
      <xdr:rowOff>76200</xdr:rowOff>
    </xdr:to>
    <xdr:pic>
      <xdr:nvPicPr>
        <xdr:cNvPr id="2451503" name="Picture 47" descr="Bridging BOM Sketches1">
          <a:extLst>
            <a:ext uri="{FF2B5EF4-FFF2-40B4-BE49-F238E27FC236}">
              <a16:creationId xmlns:a16="http://schemas.microsoft.com/office/drawing/2014/main" id="{00000000-0008-0000-0B00-00002F6825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t="32463" r="87805" b="48508"/>
        <a:stretch>
          <a:fillRect/>
        </a:stretch>
      </xdr:blipFill>
      <xdr:spPr bwMode="auto">
        <a:xfrm>
          <a:off x="609600" y="2495550"/>
          <a:ext cx="1171575" cy="45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28575</xdr:colOff>
      <xdr:row>10</xdr:row>
      <xdr:rowOff>28575</xdr:rowOff>
    </xdr:from>
    <xdr:to>
      <xdr:col>3</xdr:col>
      <xdr:colOff>409575</xdr:colOff>
      <xdr:row>10</xdr:row>
      <xdr:rowOff>238125</xdr:rowOff>
    </xdr:to>
    <xdr:sp macro="" textlink="">
      <xdr:nvSpPr>
        <xdr:cNvPr id="2451505" name="Text Box 49">
          <a:extLst>
            <a:ext uri="{FF2B5EF4-FFF2-40B4-BE49-F238E27FC236}">
              <a16:creationId xmlns:a16="http://schemas.microsoft.com/office/drawing/2014/main" id="{00000000-0008-0000-0B00-000031682500}"/>
            </a:ext>
          </a:extLst>
        </xdr:cNvPr>
        <xdr:cNvSpPr txBox="1">
          <a:spLocks noChangeArrowheads="1"/>
        </xdr:cNvSpPr>
      </xdr:nvSpPr>
      <xdr:spPr bwMode="auto">
        <a:xfrm>
          <a:off x="28575" y="1514475"/>
          <a:ext cx="1343025" cy="2095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en-US" sz="900" b="0" i="0" u="sng" strike="noStrike" baseline="0">
              <a:solidFill>
                <a:srgbClr val="000000"/>
              </a:solidFill>
              <a:latin typeface="Arial"/>
              <a:cs typeface="Arial"/>
            </a:rPr>
            <a:t>Bridging Accessories</a:t>
          </a:r>
          <a:endParaRPr lang="en-US"/>
        </a:p>
      </xdr:txBody>
    </xdr:sp>
    <xdr:clientData/>
  </xdr:twoCellAnchor>
  <xdr:twoCellAnchor>
    <xdr:from>
      <xdr:col>0</xdr:col>
      <xdr:colOff>47625</xdr:colOff>
      <xdr:row>10</xdr:row>
      <xdr:rowOff>523875</xdr:rowOff>
    </xdr:from>
    <xdr:to>
      <xdr:col>3</xdr:col>
      <xdr:colOff>514350</xdr:colOff>
      <xdr:row>13</xdr:row>
      <xdr:rowOff>66675</xdr:rowOff>
    </xdr:to>
    <xdr:sp macro="" textlink="">
      <xdr:nvSpPr>
        <xdr:cNvPr id="2451506" name="Text Box 50">
          <a:extLst>
            <a:ext uri="{FF2B5EF4-FFF2-40B4-BE49-F238E27FC236}">
              <a16:creationId xmlns:a16="http://schemas.microsoft.com/office/drawing/2014/main" id="{00000000-0008-0000-0B00-000032682500}"/>
            </a:ext>
          </a:extLst>
        </xdr:cNvPr>
        <xdr:cNvSpPr txBox="1">
          <a:spLocks noChangeArrowheads="1"/>
        </xdr:cNvSpPr>
      </xdr:nvSpPr>
      <xdr:spPr bwMode="auto">
        <a:xfrm>
          <a:off x="47625" y="2009775"/>
          <a:ext cx="1428750" cy="4762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en-US" sz="800" b="0" i="0" u="sng" strike="noStrike" baseline="0">
              <a:solidFill>
                <a:srgbClr val="000000"/>
              </a:solidFill>
              <a:latin typeface="Arial"/>
              <a:cs typeface="Arial"/>
            </a:rPr>
            <a:t>"Knee Brace" (Mk: KBxx)</a:t>
          </a:r>
          <a:endParaRPr lang="en-US" sz="800" b="0" i="0" u="none" strike="noStrike" baseline="0">
            <a:solidFill>
              <a:srgbClr val="000000"/>
            </a:solidFill>
            <a:latin typeface="Arial"/>
            <a:cs typeface="Arial"/>
          </a:endParaRPr>
        </a:p>
        <a:p>
          <a:pPr algn="l" rtl="0">
            <a:defRPr sz="1000"/>
          </a:pPr>
          <a:r>
            <a:rPr lang="en-US" sz="700" b="0" i="0" u="none" strike="noStrike" baseline="0">
              <a:solidFill>
                <a:srgbClr val="000000"/>
              </a:solidFill>
              <a:latin typeface="Arial"/>
              <a:cs typeface="Arial"/>
            </a:rPr>
            <a:t>Bottom of Girder (or Beam) to first Bottom Chord PP of Joist.</a:t>
          </a:r>
          <a:endParaRPr lang="en-US"/>
        </a:p>
      </xdr:txBody>
    </xdr:sp>
    <xdr:clientData/>
  </xdr:twoCellAnchor>
  <xdr:twoCellAnchor>
    <xdr:from>
      <xdr:col>0</xdr:col>
      <xdr:colOff>47625</xdr:colOff>
      <xdr:row>15</xdr:row>
      <xdr:rowOff>47625</xdr:rowOff>
    </xdr:from>
    <xdr:to>
      <xdr:col>3</xdr:col>
      <xdr:colOff>514350</xdr:colOff>
      <xdr:row>18</xdr:row>
      <xdr:rowOff>114300</xdr:rowOff>
    </xdr:to>
    <xdr:sp macro="" textlink="">
      <xdr:nvSpPr>
        <xdr:cNvPr id="2451507" name="Text Box 51">
          <a:extLst>
            <a:ext uri="{FF2B5EF4-FFF2-40B4-BE49-F238E27FC236}">
              <a16:creationId xmlns:a16="http://schemas.microsoft.com/office/drawing/2014/main" id="{00000000-0008-0000-0B00-000033682500}"/>
            </a:ext>
          </a:extLst>
        </xdr:cNvPr>
        <xdr:cNvSpPr txBox="1">
          <a:spLocks noChangeArrowheads="1"/>
        </xdr:cNvSpPr>
      </xdr:nvSpPr>
      <xdr:spPr bwMode="auto">
        <a:xfrm>
          <a:off x="47625" y="2771775"/>
          <a:ext cx="1428750" cy="5238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en-US" sz="800" b="0" i="0" u="sng" strike="noStrike" baseline="0">
              <a:solidFill>
                <a:srgbClr val="000000"/>
              </a:solidFill>
              <a:latin typeface="Arial"/>
              <a:cs typeface="Arial"/>
            </a:rPr>
            <a:t>"Bridging Anchor" (Mk: BAxx)</a:t>
          </a:r>
          <a:endParaRPr lang="en-US" sz="800" b="0" i="0" u="none" strike="noStrike" baseline="0">
            <a:solidFill>
              <a:srgbClr val="000000"/>
            </a:solidFill>
            <a:latin typeface="Arial"/>
            <a:cs typeface="Arial"/>
          </a:endParaRPr>
        </a:p>
        <a:p>
          <a:pPr algn="l" rtl="0">
            <a:defRPr sz="1000"/>
          </a:pPr>
          <a:r>
            <a:rPr lang="en-US" sz="700" b="0" i="0" u="none" strike="noStrike" baseline="0">
              <a:solidFill>
                <a:srgbClr val="000000"/>
              </a:solidFill>
              <a:latin typeface="Arial"/>
              <a:cs typeface="Arial"/>
            </a:rPr>
            <a:t>"BA1" CMU Anchor for bridging.</a:t>
          </a:r>
        </a:p>
        <a:p>
          <a:pPr algn="l" rtl="0">
            <a:defRPr sz="1000"/>
          </a:pPr>
          <a:r>
            <a:rPr lang="en-US" sz="650" b="0" i="0" u="none" strike="noStrike" baseline="0">
              <a:solidFill>
                <a:srgbClr val="000000"/>
              </a:solidFill>
              <a:latin typeface="Arial"/>
              <a:cs typeface="Arial"/>
            </a:rPr>
            <a:t>9/16" dia hole for 3/8" dia fastener.</a:t>
          </a:r>
          <a:endParaRPr lang="en-US"/>
        </a:p>
      </xdr:txBody>
    </xdr:sp>
    <xdr:clientData/>
  </xdr:twoCellAnchor>
  <xdr:twoCellAnchor>
    <xdr:from>
      <xdr:col>0</xdr:col>
      <xdr:colOff>47625</xdr:colOff>
      <xdr:row>20</xdr:row>
      <xdr:rowOff>104775</xdr:rowOff>
    </xdr:from>
    <xdr:to>
      <xdr:col>3</xdr:col>
      <xdr:colOff>552450</xdr:colOff>
      <xdr:row>23</xdr:row>
      <xdr:rowOff>85725</xdr:rowOff>
    </xdr:to>
    <xdr:sp macro="" textlink="">
      <xdr:nvSpPr>
        <xdr:cNvPr id="2452319" name="Text Box 863">
          <a:extLst>
            <a:ext uri="{FF2B5EF4-FFF2-40B4-BE49-F238E27FC236}">
              <a16:creationId xmlns:a16="http://schemas.microsoft.com/office/drawing/2014/main" id="{00000000-0008-0000-0B00-00005F6B2500}"/>
            </a:ext>
          </a:extLst>
        </xdr:cNvPr>
        <xdr:cNvSpPr txBox="1">
          <a:spLocks noChangeArrowheads="1"/>
        </xdr:cNvSpPr>
      </xdr:nvSpPr>
      <xdr:spPr bwMode="auto">
        <a:xfrm>
          <a:off x="47625" y="3590925"/>
          <a:ext cx="1466850" cy="4381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en-US" sz="800" b="0" i="0" u="sng" strike="noStrike" baseline="0">
              <a:solidFill>
                <a:srgbClr val="000000"/>
              </a:solidFill>
              <a:latin typeface="Arial"/>
              <a:cs typeface="Arial"/>
            </a:rPr>
            <a:t>"Bridging Anchor" (Mk: BAxx)</a:t>
          </a:r>
          <a:endParaRPr lang="en-US" sz="800" b="0" i="0" u="none" strike="noStrike" baseline="0">
            <a:solidFill>
              <a:srgbClr val="000000"/>
            </a:solidFill>
            <a:latin typeface="Arial"/>
            <a:cs typeface="Arial"/>
          </a:endParaRPr>
        </a:p>
        <a:p>
          <a:pPr algn="l" rtl="0">
            <a:defRPr sz="1000"/>
          </a:pPr>
          <a:r>
            <a:rPr lang="en-US" sz="700" b="0" i="0" u="none" strike="noStrike" baseline="0">
              <a:solidFill>
                <a:srgbClr val="000000"/>
              </a:solidFill>
              <a:latin typeface="Arial"/>
              <a:cs typeface="Arial"/>
            </a:rPr>
            <a:t>"BA2" CMU Anchor for bridging.</a:t>
          </a:r>
        </a:p>
        <a:p>
          <a:pPr algn="l" rtl="0">
            <a:defRPr sz="1000"/>
          </a:pPr>
          <a:r>
            <a:rPr lang="en-US" sz="650" b="0" i="0" u="none" strike="noStrike" baseline="0">
              <a:solidFill>
                <a:srgbClr val="000000"/>
              </a:solidFill>
              <a:latin typeface="Arial"/>
              <a:cs typeface="Arial"/>
            </a:rPr>
            <a:t>(2) 9/16" dia hole for 3/8" dia fastener.</a:t>
          </a:r>
          <a:endParaRPr lang="en-US"/>
        </a:p>
      </xdr:txBody>
    </xdr:sp>
    <xdr:clientData/>
  </xdr:twoCellAnchor>
  <xdr:twoCellAnchor>
    <xdr:from>
      <xdr:col>0</xdr:col>
      <xdr:colOff>266700</xdr:colOff>
      <xdr:row>18</xdr:row>
      <xdr:rowOff>142875</xdr:rowOff>
    </xdr:from>
    <xdr:to>
      <xdr:col>3</xdr:col>
      <xdr:colOff>180975</xdr:colOff>
      <xdr:row>20</xdr:row>
      <xdr:rowOff>142875</xdr:rowOff>
    </xdr:to>
    <xdr:pic>
      <xdr:nvPicPr>
        <xdr:cNvPr id="2452320" name="Picture 864" descr="Bridging BOM Sketches1">
          <a:extLst>
            <a:ext uri="{FF2B5EF4-FFF2-40B4-BE49-F238E27FC236}">
              <a16:creationId xmlns:a16="http://schemas.microsoft.com/office/drawing/2014/main" id="{00000000-0008-0000-0B00-0000606B25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19675" t="33582" r="68129" b="53358"/>
        <a:stretch>
          <a:fillRect/>
        </a:stretch>
      </xdr:blipFill>
      <xdr:spPr bwMode="auto">
        <a:xfrm>
          <a:off x="266700" y="3324225"/>
          <a:ext cx="8763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3.xml><?xml version="1.0" encoding="utf-8"?>
<xdr:wsDr xmlns:xdr="http://schemas.openxmlformats.org/drawingml/2006/spreadsheetDrawing" xmlns:a="http://schemas.openxmlformats.org/drawingml/2006/main">
  <xdr:twoCellAnchor>
    <xdr:from>
      <xdr:col>13</xdr:col>
      <xdr:colOff>333375</xdr:colOff>
      <xdr:row>0</xdr:row>
      <xdr:rowOff>0</xdr:rowOff>
    </xdr:from>
    <xdr:to>
      <xdr:col>13</xdr:col>
      <xdr:colOff>333375</xdr:colOff>
      <xdr:row>5</xdr:row>
      <xdr:rowOff>0</xdr:rowOff>
    </xdr:to>
    <xdr:sp macro="" textlink="">
      <xdr:nvSpPr>
        <xdr:cNvPr id="2452482" name="Line 2">
          <a:extLst>
            <a:ext uri="{FF2B5EF4-FFF2-40B4-BE49-F238E27FC236}">
              <a16:creationId xmlns:a16="http://schemas.microsoft.com/office/drawing/2014/main" id="{00000000-0008-0000-0C00-0000026C2500}"/>
            </a:ext>
          </a:extLst>
        </xdr:cNvPr>
        <xdr:cNvSpPr>
          <a:spLocks noChangeShapeType="1"/>
        </xdr:cNvSpPr>
      </xdr:nvSpPr>
      <xdr:spPr bwMode="auto">
        <a:xfrm>
          <a:off x="6505575" y="0"/>
          <a:ext cx="0" cy="828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editAs="absolute">
    <xdr:from>
      <xdr:col>0</xdr:col>
      <xdr:colOff>504825</xdr:colOff>
      <xdr:row>0</xdr:row>
      <xdr:rowOff>0</xdr:rowOff>
    </xdr:from>
    <xdr:to>
      <xdr:col>5</xdr:col>
      <xdr:colOff>304800</xdr:colOff>
      <xdr:row>3</xdr:row>
      <xdr:rowOff>142875</xdr:rowOff>
    </xdr:to>
    <xdr:pic>
      <xdr:nvPicPr>
        <xdr:cNvPr id="2452533" name="Picture 53" descr="newmill_black_logo">
          <a:extLst>
            <a:ext uri="{FF2B5EF4-FFF2-40B4-BE49-F238E27FC236}">
              <a16:creationId xmlns:a16="http://schemas.microsoft.com/office/drawing/2014/main" id="{00000000-0008-0000-0C00-0000356C25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04825" y="0"/>
          <a:ext cx="2057400" cy="647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4.xml><?xml version="1.0" encoding="utf-8"?>
<xdr:wsDr xmlns:xdr="http://schemas.openxmlformats.org/drawingml/2006/spreadsheetDrawing" xmlns:a="http://schemas.openxmlformats.org/drawingml/2006/main">
  <xdr:twoCellAnchor>
    <xdr:from>
      <xdr:col>4</xdr:col>
      <xdr:colOff>0</xdr:colOff>
      <xdr:row>12</xdr:row>
      <xdr:rowOff>0</xdr:rowOff>
    </xdr:from>
    <xdr:to>
      <xdr:col>4</xdr:col>
      <xdr:colOff>0</xdr:colOff>
      <xdr:row>12</xdr:row>
      <xdr:rowOff>0</xdr:rowOff>
    </xdr:to>
    <xdr:sp macro="" textlink="">
      <xdr:nvSpPr>
        <xdr:cNvPr id="2" name="Line 3">
          <a:extLst>
            <a:ext uri="{FF2B5EF4-FFF2-40B4-BE49-F238E27FC236}">
              <a16:creationId xmlns:a16="http://schemas.microsoft.com/office/drawing/2014/main" id="{00000000-0008-0000-0D00-000002000000}"/>
            </a:ext>
          </a:extLst>
        </xdr:cNvPr>
        <xdr:cNvSpPr>
          <a:spLocks noChangeShapeType="1"/>
        </xdr:cNvSpPr>
      </xdr:nvSpPr>
      <xdr:spPr bwMode="auto">
        <a:xfrm>
          <a:off x="3619500" y="1752600"/>
          <a:ext cx="0" cy="0"/>
        </a:xfrm>
        <a:prstGeom prst="line">
          <a:avLst/>
        </a:prstGeom>
        <a:noFill/>
        <a:ln w="222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0</xdr:colOff>
      <xdr:row>12</xdr:row>
      <xdr:rowOff>0</xdr:rowOff>
    </xdr:from>
    <xdr:to>
      <xdr:col>4</xdr:col>
      <xdr:colOff>0</xdr:colOff>
      <xdr:row>12</xdr:row>
      <xdr:rowOff>0</xdr:rowOff>
    </xdr:to>
    <xdr:sp macro="" textlink="">
      <xdr:nvSpPr>
        <xdr:cNvPr id="3" name="Line 6">
          <a:extLst>
            <a:ext uri="{FF2B5EF4-FFF2-40B4-BE49-F238E27FC236}">
              <a16:creationId xmlns:a16="http://schemas.microsoft.com/office/drawing/2014/main" id="{00000000-0008-0000-0D00-000003000000}"/>
            </a:ext>
          </a:extLst>
        </xdr:cNvPr>
        <xdr:cNvSpPr>
          <a:spLocks noChangeShapeType="1"/>
        </xdr:cNvSpPr>
      </xdr:nvSpPr>
      <xdr:spPr bwMode="auto">
        <a:xfrm>
          <a:off x="3619500" y="1752600"/>
          <a:ext cx="0" cy="0"/>
        </a:xfrm>
        <a:prstGeom prst="line">
          <a:avLst/>
        </a:prstGeom>
        <a:noFill/>
        <a:ln w="222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0</xdr:colOff>
      <xdr:row>12</xdr:row>
      <xdr:rowOff>0</xdr:rowOff>
    </xdr:from>
    <xdr:to>
      <xdr:col>4</xdr:col>
      <xdr:colOff>0</xdr:colOff>
      <xdr:row>12</xdr:row>
      <xdr:rowOff>0</xdr:rowOff>
    </xdr:to>
    <xdr:sp macro="" textlink="">
      <xdr:nvSpPr>
        <xdr:cNvPr id="4" name="Line 7">
          <a:extLst>
            <a:ext uri="{FF2B5EF4-FFF2-40B4-BE49-F238E27FC236}">
              <a16:creationId xmlns:a16="http://schemas.microsoft.com/office/drawing/2014/main" id="{00000000-0008-0000-0D00-000004000000}"/>
            </a:ext>
          </a:extLst>
        </xdr:cNvPr>
        <xdr:cNvSpPr>
          <a:spLocks noChangeShapeType="1"/>
        </xdr:cNvSpPr>
      </xdr:nvSpPr>
      <xdr:spPr bwMode="auto">
        <a:xfrm>
          <a:off x="3619500" y="1752600"/>
          <a:ext cx="0" cy="0"/>
        </a:xfrm>
        <a:prstGeom prst="line">
          <a:avLst/>
        </a:prstGeom>
        <a:noFill/>
        <a:ln w="222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editAs="absolute">
    <xdr:from>
      <xdr:col>0</xdr:col>
      <xdr:colOff>523875</xdr:colOff>
      <xdr:row>0</xdr:row>
      <xdr:rowOff>0</xdr:rowOff>
    </xdr:from>
    <xdr:to>
      <xdr:col>1</xdr:col>
      <xdr:colOff>1971675</xdr:colOff>
      <xdr:row>4</xdr:row>
      <xdr:rowOff>0</xdr:rowOff>
    </xdr:to>
    <xdr:pic>
      <xdr:nvPicPr>
        <xdr:cNvPr id="5" name="Picture 8" descr="newmill_black_logo">
          <a:extLst>
            <a:ext uri="{FF2B5EF4-FFF2-40B4-BE49-F238E27FC236}">
              <a16:creationId xmlns:a16="http://schemas.microsoft.com/office/drawing/2014/main" id="{00000000-0008-0000-0D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23875" y="0"/>
          <a:ext cx="2162175" cy="676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76200</xdr:colOff>
      <xdr:row>0</xdr:row>
      <xdr:rowOff>38100</xdr:rowOff>
    </xdr:from>
    <xdr:to>
      <xdr:col>6</xdr:col>
      <xdr:colOff>76200</xdr:colOff>
      <xdr:row>5</xdr:row>
      <xdr:rowOff>0</xdr:rowOff>
    </xdr:to>
    <xdr:sp macro="" textlink="">
      <xdr:nvSpPr>
        <xdr:cNvPr id="6" name="Line 9">
          <a:extLst>
            <a:ext uri="{FF2B5EF4-FFF2-40B4-BE49-F238E27FC236}">
              <a16:creationId xmlns:a16="http://schemas.microsoft.com/office/drawing/2014/main" id="{00000000-0008-0000-0D00-000006000000}"/>
            </a:ext>
          </a:extLst>
        </xdr:cNvPr>
        <xdr:cNvSpPr>
          <a:spLocks noChangeShapeType="1"/>
        </xdr:cNvSpPr>
      </xdr:nvSpPr>
      <xdr:spPr bwMode="auto">
        <a:xfrm>
          <a:off x="4552950" y="38100"/>
          <a:ext cx="0" cy="8001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15.xml><?xml version="1.0" encoding="utf-8"?>
<xdr:wsDr xmlns:xdr="http://schemas.openxmlformats.org/drawingml/2006/spreadsheetDrawing" xmlns:a="http://schemas.openxmlformats.org/drawingml/2006/main">
  <xdr:twoCellAnchor>
    <xdr:from>
      <xdr:col>4</xdr:col>
      <xdr:colOff>0</xdr:colOff>
      <xdr:row>12</xdr:row>
      <xdr:rowOff>0</xdr:rowOff>
    </xdr:from>
    <xdr:to>
      <xdr:col>4</xdr:col>
      <xdr:colOff>0</xdr:colOff>
      <xdr:row>12</xdr:row>
      <xdr:rowOff>0</xdr:rowOff>
    </xdr:to>
    <xdr:sp macro="" textlink="">
      <xdr:nvSpPr>
        <xdr:cNvPr id="2" name="Line 3">
          <a:extLst>
            <a:ext uri="{FF2B5EF4-FFF2-40B4-BE49-F238E27FC236}">
              <a16:creationId xmlns:a16="http://schemas.microsoft.com/office/drawing/2014/main" id="{00000000-0008-0000-0E00-000002000000}"/>
            </a:ext>
          </a:extLst>
        </xdr:cNvPr>
        <xdr:cNvSpPr>
          <a:spLocks noChangeShapeType="1"/>
        </xdr:cNvSpPr>
      </xdr:nvSpPr>
      <xdr:spPr bwMode="auto">
        <a:xfrm>
          <a:off x="3619500" y="1752600"/>
          <a:ext cx="0" cy="0"/>
        </a:xfrm>
        <a:prstGeom prst="line">
          <a:avLst/>
        </a:prstGeom>
        <a:noFill/>
        <a:ln w="222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0</xdr:colOff>
      <xdr:row>12</xdr:row>
      <xdr:rowOff>0</xdr:rowOff>
    </xdr:from>
    <xdr:to>
      <xdr:col>4</xdr:col>
      <xdr:colOff>0</xdr:colOff>
      <xdr:row>12</xdr:row>
      <xdr:rowOff>0</xdr:rowOff>
    </xdr:to>
    <xdr:sp macro="" textlink="">
      <xdr:nvSpPr>
        <xdr:cNvPr id="3" name="Line 6">
          <a:extLst>
            <a:ext uri="{FF2B5EF4-FFF2-40B4-BE49-F238E27FC236}">
              <a16:creationId xmlns:a16="http://schemas.microsoft.com/office/drawing/2014/main" id="{00000000-0008-0000-0E00-000003000000}"/>
            </a:ext>
          </a:extLst>
        </xdr:cNvPr>
        <xdr:cNvSpPr>
          <a:spLocks noChangeShapeType="1"/>
        </xdr:cNvSpPr>
      </xdr:nvSpPr>
      <xdr:spPr bwMode="auto">
        <a:xfrm>
          <a:off x="3619500" y="1752600"/>
          <a:ext cx="0" cy="0"/>
        </a:xfrm>
        <a:prstGeom prst="line">
          <a:avLst/>
        </a:prstGeom>
        <a:noFill/>
        <a:ln w="222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0</xdr:colOff>
      <xdr:row>12</xdr:row>
      <xdr:rowOff>0</xdr:rowOff>
    </xdr:from>
    <xdr:to>
      <xdr:col>4</xdr:col>
      <xdr:colOff>0</xdr:colOff>
      <xdr:row>12</xdr:row>
      <xdr:rowOff>0</xdr:rowOff>
    </xdr:to>
    <xdr:sp macro="" textlink="">
      <xdr:nvSpPr>
        <xdr:cNvPr id="4" name="Line 7">
          <a:extLst>
            <a:ext uri="{FF2B5EF4-FFF2-40B4-BE49-F238E27FC236}">
              <a16:creationId xmlns:a16="http://schemas.microsoft.com/office/drawing/2014/main" id="{00000000-0008-0000-0E00-000004000000}"/>
            </a:ext>
          </a:extLst>
        </xdr:cNvPr>
        <xdr:cNvSpPr>
          <a:spLocks noChangeShapeType="1"/>
        </xdr:cNvSpPr>
      </xdr:nvSpPr>
      <xdr:spPr bwMode="auto">
        <a:xfrm>
          <a:off x="3619500" y="1752600"/>
          <a:ext cx="0" cy="0"/>
        </a:xfrm>
        <a:prstGeom prst="line">
          <a:avLst/>
        </a:prstGeom>
        <a:noFill/>
        <a:ln w="222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editAs="absolute">
    <xdr:from>
      <xdr:col>0</xdr:col>
      <xdr:colOff>523875</xdr:colOff>
      <xdr:row>0</xdr:row>
      <xdr:rowOff>0</xdr:rowOff>
    </xdr:from>
    <xdr:to>
      <xdr:col>1</xdr:col>
      <xdr:colOff>1971675</xdr:colOff>
      <xdr:row>4</xdr:row>
      <xdr:rowOff>0</xdr:rowOff>
    </xdr:to>
    <xdr:pic>
      <xdr:nvPicPr>
        <xdr:cNvPr id="5" name="Picture 8" descr="newmill_black_logo">
          <a:extLst>
            <a:ext uri="{FF2B5EF4-FFF2-40B4-BE49-F238E27FC236}">
              <a16:creationId xmlns:a16="http://schemas.microsoft.com/office/drawing/2014/main" id="{00000000-0008-0000-0E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23875" y="0"/>
          <a:ext cx="2162175" cy="676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76200</xdr:colOff>
      <xdr:row>0</xdr:row>
      <xdr:rowOff>38100</xdr:rowOff>
    </xdr:from>
    <xdr:to>
      <xdr:col>6</xdr:col>
      <xdr:colOff>76200</xdr:colOff>
      <xdr:row>5</xdr:row>
      <xdr:rowOff>0</xdr:rowOff>
    </xdr:to>
    <xdr:sp macro="" textlink="">
      <xdr:nvSpPr>
        <xdr:cNvPr id="6" name="Line 9">
          <a:extLst>
            <a:ext uri="{FF2B5EF4-FFF2-40B4-BE49-F238E27FC236}">
              <a16:creationId xmlns:a16="http://schemas.microsoft.com/office/drawing/2014/main" id="{00000000-0008-0000-0E00-000006000000}"/>
            </a:ext>
          </a:extLst>
        </xdr:cNvPr>
        <xdr:cNvSpPr>
          <a:spLocks noChangeShapeType="1"/>
        </xdr:cNvSpPr>
      </xdr:nvSpPr>
      <xdr:spPr bwMode="auto">
        <a:xfrm>
          <a:off x="4552950" y="38100"/>
          <a:ext cx="0" cy="8001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16.xml><?xml version="1.0" encoding="utf-8"?>
<xdr:wsDr xmlns:xdr="http://schemas.openxmlformats.org/drawingml/2006/spreadsheetDrawing" xmlns:a="http://schemas.openxmlformats.org/drawingml/2006/main">
  <xdr:twoCellAnchor>
    <xdr:from>
      <xdr:col>4</xdr:col>
      <xdr:colOff>0</xdr:colOff>
      <xdr:row>12</xdr:row>
      <xdr:rowOff>0</xdr:rowOff>
    </xdr:from>
    <xdr:to>
      <xdr:col>4</xdr:col>
      <xdr:colOff>0</xdr:colOff>
      <xdr:row>12</xdr:row>
      <xdr:rowOff>0</xdr:rowOff>
    </xdr:to>
    <xdr:sp macro="" textlink="">
      <xdr:nvSpPr>
        <xdr:cNvPr id="2" name="Line 3">
          <a:extLst>
            <a:ext uri="{FF2B5EF4-FFF2-40B4-BE49-F238E27FC236}">
              <a16:creationId xmlns:a16="http://schemas.microsoft.com/office/drawing/2014/main" id="{00000000-0008-0000-0F00-000002000000}"/>
            </a:ext>
          </a:extLst>
        </xdr:cNvPr>
        <xdr:cNvSpPr>
          <a:spLocks noChangeShapeType="1"/>
        </xdr:cNvSpPr>
      </xdr:nvSpPr>
      <xdr:spPr bwMode="auto">
        <a:xfrm>
          <a:off x="1724025" y="1752600"/>
          <a:ext cx="0" cy="0"/>
        </a:xfrm>
        <a:prstGeom prst="line">
          <a:avLst/>
        </a:prstGeom>
        <a:noFill/>
        <a:ln w="222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0</xdr:colOff>
      <xdr:row>12</xdr:row>
      <xdr:rowOff>0</xdr:rowOff>
    </xdr:from>
    <xdr:to>
      <xdr:col>4</xdr:col>
      <xdr:colOff>0</xdr:colOff>
      <xdr:row>12</xdr:row>
      <xdr:rowOff>0</xdr:rowOff>
    </xdr:to>
    <xdr:sp macro="" textlink="">
      <xdr:nvSpPr>
        <xdr:cNvPr id="3" name="Line 6">
          <a:extLst>
            <a:ext uri="{FF2B5EF4-FFF2-40B4-BE49-F238E27FC236}">
              <a16:creationId xmlns:a16="http://schemas.microsoft.com/office/drawing/2014/main" id="{00000000-0008-0000-0F00-000003000000}"/>
            </a:ext>
          </a:extLst>
        </xdr:cNvPr>
        <xdr:cNvSpPr>
          <a:spLocks noChangeShapeType="1"/>
        </xdr:cNvSpPr>
      </xdr:nvSpPr>
      <xdr:spPr bwMode="auto">
        <a:xfrm>
          <a:off x="1724025" y="1752600"/>
          <a:ext cx="0" cy="0"/>
        </a:xfrm>
        <a:prstGeom prst="line">
          <a:avLst/>
        </a:prstGeom>
        <a:noFill/>
        <a:ln w="222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0</xdr:colOff>
      <xdr:row>12</xdr:row>
      <xdr:rowOff>0</xdr:rowOff>
    </xdr:from>
    <xdr:to>
      <xdr:col>4</xdr:col>
      <xdr:colOff>0</xdr:colOff>
      <xdr:row>12</xdr:row>
      <xdr:rowOff>0</xdr:rowOff>
    </xdr:to>
    <xdr:sp macro="" textlink="">
      <xdr:nvSpPr>
        <xdr:cNvPr id="4" name="Line 7">
          <a:extLst>
            <a:ext uri="{FF2B5EF4-FFF2-40B4-BE49-F238E27FC236}">
              <a16:creationId xmlns:a16="http://schemas.microsoft.com/office/drawing/2014/main" id="{00000000-0008-0000-0F00-000004000000}"/>
            </a:ext>
          </a:extLst>
        </xdr:cNvPr>
        <xdr:cNvSpPr>
          <a:spLocks noChangeShapeType="1"/>
        </xdr:cNvSpPr>
      </xdr:nvSpPr>
      <xdr:spPr bwMode="auto">
        <a:xfrm>
          <a:off x="1724025" y="1752600"/>
          <a:ext cx="0" cy="0"/>
        </a:xfrm>
        <a:prstGeom prst="line">
          <a:avLst/>
        </a:prstGeom>
        <a:noFill/>
        <a:ln w="222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10</xdr:col>
      <xdr:colOff>76200</xdr:colOff>
      <xdr:row>0</xdr:row>
      <xdr:rowOff>38100</xdr:rowOff>
    </xdr:from>
    <xdr:to>
      <xdr:col>10</xdr:col>
      <xdr:colOff>76200</xdr:colOff>
      <xdr:row>5</xdr:row>
      <xdr:rowOff>0</xdr:rowOff>
    </xdr:to>
    <xdr:sp macro="" textlink="">
      <xdr:nvSpPr>
        <xdr:cNvPr id="5" name="Line 8">
          <a:extLst>
            <a:ext uri="{FF2B5EF4-FFF2-40B4-BE49-F238E27FC236}">
              <a16:creationId xmlns:a16="http://schemas.microsoft.com/office/drawing/2014/main" id="{00000000-0008-0000-0F00-000005000000}"/>
            </a:ext>
          </a:extLst>
        </xdr:cNvPr>
        <xdr:cNvSpPr>
          <a:spLocks noChangeShapeType="1"/>
        </xdr:cNvSpPr>
      </xdr:nvSpPr>
      <xdr:spPr bwMode="auto">
        <a:xfrm>
          <a:off x="4486275" y="38100"/>
          <a:ext cx="0" cy="7905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editAs="absolute">
    <xdr:from>
      <xdr:col>0</xdr:col>
      <xdr:colOff>657225</xdr:colOff>
      <xdr:row>0</xdr:row>
      <xdr:rowOff>0</xdr:rowOff>
    </xdr:from>
    <xdr:to>
      <xdr:col>6</xdr:col>
      <xdr:colOff>95250</xdr:colOff>
      <xdr:row>3</xdr:row>
      <xdr:rowOff>142875</xdr:rowOff>
    </xdr:to>
    <xdr:pic>
      <xdr:nvPicPr>
        <xdr:cNvPr id="6" name="Picture 16" descr="newmill_black_logo">
          <a:extLst>
            <a:ext uri="{FF2B5EF4-FFF2-40B4-BE49-F238E27FC236}">
              <a16:creationId xmlns:a16="http://schemas.microsoft.com/office/drawing/2014/main" id="{00000000-0008-0000-0F00-000006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57225" y="0"/>
          <a:ext cx="2057400" cy="647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absolute">
    <xdr:from>
      <xdr:col>40</xdr:col>
      <xdr:colOff>85725</xdr:colOff>
      <xdr:row>2</xdr:row>
      <xdr:rowOff>9525</xdr:rowOff>
    </xdr:from>
    <xdr:to>
      <xdr:col>47</xdr:col>
      <xdr:colOff>130175</xdr:colOff>
      <xdr:row>19</xdr:row>
      <xdr:rowOff>114300</xdr:rowOff>
    </xdr:to>
    <xdr:sp macro="" textlink="">
      <xdr:nvSpPr>
        <xdr:cNvPr id="7" name="Text Box 23">
          <a:extLst>
            <a:ext uri="{FF2B5EF4-FFF2-40B4-BE49-F238E27FC236}">
              <a16:creationId xmlns:a16="http://schemas.microsoft.com/office/drawing/2014/main" id="{00000000-0008-0000-0F00-000007000000}"/>
            </a:ext>
          </a:extLst>
        </xdr:cNvPr>
        <xdr:cNvSpPr txBox="1">
          <a:spLocks noChangeArrowheads="1"/>
        </xdr:cNvSpPr>
      </xdr:nvSpPr>
      <xdr:spPr bwMode="auto">
        <a:xfrm>
          <a:off x="8601075" y="352425"/>
          <a:ext cx="4311650" cy="29146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36576" tIns="22860" rIns="0" bIns="0" anchor="t" upright="1"/>
        <a:lstStyle/>
        <a:p>
          <a:pPr algn="l" rtl="0">
            <a:defRPr sz="1000"/>
          </a:pPr>
          <a:r>
            <a:rPr lang="en-US" sz="1200" b="0" i="0" u="none" strike="noStrike" baseline="0">
              <a:solidFill>
                <a:srgbClr val="000000"/>
              </a:solidFill>
              <a:latin typeface="Arial"/>
              <a:cs typeface="Arial"/>
            </a:rPr>
            <a:t>Color Tags are validated in 3 drop-down lists (columns B, C &amp; D).  Single tags must be indicated in column B, double tags in B&amp;C and triple tags in B-D.</a:t>
          </a:r>
        </a:p>
        <a:p>
          <a:pPr algn="l" rtl="0">
            <a:defRPr sz="1000"/>
          </a:pPr>
          <a:endParaRPr lang="en-US" sz="1200" b="0" i="0" u="none" strike="noStrike" baseline="0">
            <a:solidFill>
              <a:srgbClr val="000000"/>
            </a:solidFill>
            <a:latin typeface="Arial"/>
            <a:cs typeface="Arial"/>
          </a:endParaRPr>
        </a:p>
        <a:p>
          <a:pPr algn="l" rtl="0">
            <a:defRPr sz="1000"/>
          </a:pPr>
          <a:r>
            <a:rPr lang="en-US" sz="1200" b="0" i="0" u="none" strike="noStrike" baseline="0">
              <a:solidFill>
                <a:srgbClr val="000000"/>
              </a:solidFill>
              <a:latin typeface="Arial"/>
              <a:cs typeface="Arial"/>
            </a:rPr>
            <a:t>When you enter a color in B, that color is automatically removed from the list in C (you can't specify white/white).  Colors noted in B &amp; C are removed from the list in D.</a:t>
          </a:r>
        </a:p>
        <a:p>
          <a:pPr algn="l" rtl="0">
            <a:defRPr sz="1000"/>
          </a:pPr>
          <a:endParaRPr lang="en-US" sz="1200" b="0" i="0" u="none" strike="noStrike" baseline="0">
            <a:solidFill>
              <a:srgbClr val="000000"/>
            </a:solidFill>
            <a:latin typeface="Arial"/>
            <a:cs typeface="Arial"/>
          </a:endParaRPr>
        </a:p>
        <a:p>
          <a:pPr algn="l" rtl="0">
            <a:defRPr sz="1000"/>
          </a:pPr>
          <a:r>
            <a:rPr lang="en-US" sz="1200" b="0" i="0" u="none" strike="noStrike" baseline="0">
              <a:solidFill>
                <a:srgbClr val="000000"/>
              </a:solidFill>
              <a:latin typeface="Arial"/>
              <a:cs typeface="Arial"/>
            </a:rPr>
            <a:t>You cannot enter a color that is not in the list.</a:t>
          </a:r>
        </a:p>
        <a:p>
          <a:pPr algn="l" rtl="0">
            <a:defRPr sz="1000"/>
          </a:pPr>
          <a:endParaRPr lang="en-US" sz="1200" b="0" i="0" u="none" strike="noStrike" baseline="0">
            <a:solidFill>
              <a:srgbClr val="000000"/>
            </a:solidFill>
            <a:latin typeface="Arial"/>
            <a:cs typeface="Arial"/>
          </a:endParaRPr>
        </a:p>
        <a:p>
          <a:pPr algn="l" rtl="0">
            <a:defRPr sz="1000"/>
          </a:pPr>
          <a:r>
            <a:rPr lang="en-US" sz="1200" b="0" i="0" u="none" strike="noStrike" baseline="0">
              <a:solidFill>
                <a:srgbClr val="000000"/>
              </a:solidFill>
              <a:latin typeface="Arial"/>
              <a:cs typeface="Arial"/>
            </a:rPr>
            <a:t>"Apply Color Tag" button will add color tags assuming:</a:t>
          </a:r>
        </a:p>
        <a:p>
          <a:pPr algn="l" rtl="0">
            <a:defRPr sz="1000"/>
          </a:pPr>
          <a:r>
            <a:rPr lang="en-US" sz="1200" b="0" i="0" u="none" strike="noStrike" baseline="0">
              <a:solidFill>
                <a:srgbClr val="000000"/>
              </a:solidFill>
              <a:latin typeface="Arial"/>
              <a:cs typeface="Arial"/>
            </a:rPr>
            <a:t>Row 13 = White (Seq 1)</a:t>
          </a:r>
        </a:p>
        <a:p>
          <a:pPr algn="l" rtl="0">
            <a:defRPr sz="1000"/>
          </a:pPr>
          <a:r>
            <a:rPr lang="en-US" sz="1200" b="0" i="0" u="none" strike="noStrike" baseline="0">
              <a:solidFill>
                <a:srgbClr val="000000"/>
              </a:solidFill>
              <a:latin typeface="Arial"/>
              <a:cs typeface="Arial"/>
            </a:rPr>
            <a:t>Row 14 = Brown (Seq 2)</a:t>
          </a:r>
        </a:p>
        <a:p>
          <a:pPr algn="l" rtl="0">
            <a:defRPr sz="1000"/>
          </a:pPr>
          <a:r>
            <a:rPr lang="en-US" sz="1200" b="0" i="0" u="none" strike="noStrike" baseline="0">
              <a:solidFill>
                <a:srgbClr val="000000"/>
              </a:solidFill>
              <a:latin typeface="Arial"/>
              <a:cs typeface="Arial"/>
            </a:rPr>
            <a:t>etc...</a:t>
          </a:r>
        </a:p>
        <a:p>
          <a:pPr algn="l" rtl="0">
            <a:defRPr sz="1000"/>
          </a:pPr>
          <a:r>
            <a:rPr lang="en-US" sz="1200" b="0" i="0" u="none" strike="noStrike" baseline="0">
              <a:solidFill>
                <a:srgbClr val="000000"/>
              </a:solidFill>
              <a:latin typeface="Arial"/>
              <a:cs typeface="Arial"/>
            </a:rPr>
            <a:t>Color Tags already applied to a row will NOT be over-written.</a:t>
          </a:r>
        </a:p>
        <a:p>
          <a:pPr algn="l" rtl="0">
            <a:defRPr sz="1000"/>
          </a:pPr>
          <a:endParaRPr lang="en-US"/>
        </a:p>
      </xdr:txBody>
    </xdr:sp>
    <xdr:clientData fPrintsWithSheet="0"/>
  </xdr:twoCellAnchor>
  <mc:AlternateContent xmlns:mc="http://schemas.openxmlformats.org/markup-compatibility/2006">
    <mc:Choice xmlns:a14="http://schemas.microsoft.com/office/drawing/2010/main" Requires="a14">
      <xdr:twoCellAnchor editAs="oneCell">
        <xdr:from>
          <xdr:col>14</xdr:col>
          <xdr:colOff>171450</xdr:colOff>
          <xdr:row>12</xdr:row>
          <xdr:rowOff>28575</xdr:rowOff>
        </xdr:from>
        <xdr:to>
          <xdr:col>39</xdr:col>
          <xdr:colOff>180975</xdr:colOff>
          <xdr:row>13</xdr:row>
          <xdr:rowOff>180975</xdr:rowOff>
        </xdr:to>
        <xdr:sp macro="" textlink="">
          <xdr:nvSpPr>
            <xdr:cNvPr id="2503681" name="btnColorTag" hidden="1">
              <a:extLst>
                <a:ext uri="{63B3BB69-23CF-44E3-9099-C40C66FF867C}">
                  <a14:compatExt spid="_x0000_s2503681"/>
                </a:ext>
                <a:ext uri="{FF2B5EF4-FFF2-40B4-BE49-F238E27FC236}">
                  <a16:creationId xmlns:a16="http://schemas.microsoft.com/office/drawing/2014/main" id="{00000000-0008-0000-0F00-0000013426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7.xml><?xml version="1.0" encoding="utf-8"?>
<xdr:wsDr xmlns:xdr="http://schemas.openxmlformats.org/drawingml/2006/spreadsheetDrawing" xmlns:a="http://schemas.openxmlformats.org/drawingml/2006/main">
  <xdr:twoCellAnchor>
    <xdr:from>
      <xdr:col>6</xdr:col>
      <xdr:colOff>0</xdr:colOff>
      <xdr:row>12</xdr:row>
      <xdr:rowOff>0</xdr:rowOff>
    </xdr:from>
    <xdr:to>
      <xdr:col>6</xdr:col>
      <xdr:colOff>0</xdr:colOff>
      <xdr:row>12</xdr:row>
      <xdr:rowOff>0</xdr:rowOff>
    </xdr:to>
    <xdr:sp macro="" textlink="">
      <xdr:nvSpPr>
        <xdr:cNvPr id="2" name="Line 2">
          <a:extLst>
            <a:ext uri="{FF2B5EF4-FFF2-40B4-BE49-F238E27FC236}">
              <a16:creationId xmlns:a16="http://schemas.microsoft.com/office/drawing/2014/main" id="{00000000-0008-0000-1000-000002000000}"/>
            </a:ext>
          </a:extLst>
        </xdr:cNvPr>
        <xdr:cNvSpPr>
          <a:spLocks noChangeShapeType="1"/>
        </xdr:cNvSpPr>
      </xdr:nvSpPr>
      <xdr:spPr bwMode="auto">
        <a:xfrm>
          <a:off x="2724150" y="1752600"/>
          <a:ext cx="0" cy="0"/>
        </a:xfrm>
        <a:prstGeom prst="line">
          <a:avLst/>
        </a:prstGeom>
        <a:noFill/>
        <a:ln w="222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0</xdr:colOff>
      <xdr:row>12</xdr:row>
      <xdr:rowOff>0</xdr:rowOff>
    </xdr:from>
    <xdr:to>
      <xdr:col>6</xdr:col>
      <xdr:colOff>0</xdr:colOff>
      <xdr:row>12</xdr:row>
      <xdr:rowOff>0</xdr:rowOff>
    </xdr:to>
    <xdr:sp macro="" textlink="">
      <xdr:nvSpPr>
        <xdr:cNvPr id="3" name="Line 4">
          <a:extLst>
            <a:ext uri="{FF2B5EF4-FFF2-40B4-BE49-F238E27FC236}">
              <a16:creationId xmlns:a16="http://schemas.microsoft.com/office/drawing/2014/main" id="{00000000-0008-0000-1000-000003000000}"/>
            </a:ext>
          </a:extLst>
        </xdr:cNvPr>
        <xdr:cNvSpPr>
          <a:spLocks noChangeShapeType="1"/>
        </xdr:cNvSpPr>
      </xdr:nvSpPr>
      <xdr:spPr bwMode="auto">
        <a:xfrm>
          <a:off x="2724150" y="1752600"/>
          <a:ext cx="0" cy="0"/>
        </a:xfrm>
        <a:prstGeom prst="line">
          <a:avLst/>
        </a:prstGeom>
        <a:noFill/>
        <a:ln w="222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0</xdr:colOff>
      <xdr:row>12</xdr:row>
      <xdr:rowOff>0</xdr:rowOff>
    </xdr:from>
    <xdr:to>
      <xdr:col>6</xdr:col>
      <xdr:colOff>0</xdr:colOff>
      <xdr:row>12</xdr:row>
      <xdr:rowOff>0</xdr:rowOff>
    </xdr:to>
    <xdr:sp macro="" textlink="">
      <xdr:nvSpPr>
        <xdr:cNvPr id="4" name="Line 5">
          <a:extLst>
            <a:ext uri="{FF2B5EF4-FFF2-40B4-BE49-F238E27FC236}">
              <a16:creationId xmlns:a16="http://schemas.microsoft.com/office/drawing/2014/main" id="{00000000-0008-0000-1000-000004000000}"/>
            </a:ext>
          </a:extLst>
        </xdr:cNvPr>
        <xdr:cNvSpPr>
          <a:spLocks noChangeShapeType="1"/>
        </xdr:cNvSpPr>
      </xdr:nvSpPr>
      <xdr:spPr bwMode="auto">
        <a:xfrm>
          <a:off x="2724150" y="1752600"/>
          <a:ext cx="0" cy="0"/>
        </a:xfrm>
        <a:prstGeom prst="line">
          <a:avLst/>
        </a:prstGeom>
        <a:noFill/>
        <a:ln w="222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0</xdr:colOff>
      <xdr:row>12</xdr:row>
      <xdr:rowOff>0</xdr:rowOff>
    </xdr:from>
    <xdr:to>
      <xdr:col>6</xdr:col>
      <xdr:colOff>0</xdr:colOff>
      <xdr:row>12</xdr:row>
      <xdr:rowOff>0</xdr:rowOff>
    </xdr:to>
    <xdr:sp macro="" textlink="">
      <xdr:nvSpPr>
        <xdr:cNvPr id="5" name="Line 6">
          <a:extLst>
            <a:ext uri="{FF2B5EF4-FFF2-40B4-BE49-F238E27FC236}">
              <a16:creationId xmlns:a16="http://schemas.microsoft.com/office/drawing/2014/main" id="{00000000-0008-0000-1000-000005000000}"/>
            </a:ext>
          </a:extLst>
        </xdr:cNvPr>
        <xdr:cNvSpPr>
          <a:spLocks noChangeShapeType="1"/>
        </xdr:cNvSpPr>
      </xdr:nvSpPr>
      <xdr:spPr bwMode="auto">
        <a:xfrm>
          <a:off x="2724150" y="1752600"/>
          <a:ext cx="0" cy="0"/>
        </a:xfrm>
        <a:prstGeom prst="line">
          <a:avLst/>
        </a:prstGeom>
        <a:noFill/>
        <a:ln w="222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0</xdr:colOff>
      <xdr:row>12</xdr:row>
      <xdr:rowOff>0</xdr:rowOff>
    </xdr:from>
    <xdr:to>
      <xdr:col>6</xdr:col>
      <xdr:colOff>0</xdr:colOff>
      <xdr:row>12</xdr:row>
      <xdr:rowOff>0</xdr:rowOff>
    </xdr:to>
    <xdr:sp macro="" textlink="">
      <xdr:nvSpPr>
        <xdr:cNvPr id="6" name="Line 7">
          <a:extLst>
            <a:ext uri="{FF2B5EF4-FFF2-40B4-BE49-F238E27FC236}">
              <a16:creationId xmlns:a16="http://schemas.microsoft.com/office/drawing/2014/main" id="{00000000-0008-0000-1000-000006000000}"/>
            </a:ext>
          </a:extLst>
        </xdr:cNvPr>
        <xdr:cNvSpPr>
          <a:spLocks noChangeShapeType="1"/>
        </xdr:cNvSpPr>
      </xdr:nvSpPr>
      <xdr:spPr bwMode="auto">
        <a:xfrm>
          <a:off x="2724150" y="1752600"/>
          <a:ext cx="0" cy="0"/>
        </a:xfrm>
        <a:prstGeom prst="line">
          <a:avLst/>
        </a:prstGeom>
        <a:noFill/>
        <a:ln w="222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0</xdr:colOff>
      <xdr:row>12</xdr:row>
      <xdr:rowOff>0</xdr:rowOff>
    </xdr:from>
    <xdr:to>
      <xdr:col>6</xdr:col>
      <xdr:colOff>0</xdr:colOff>
      <xdr:row>12</xdr:row>
      <xdr:rowOff>0</xdr:rowOff>
    </xdr:to>
    <xdr:sp macro="" textlink="">
      <xdr:nvSpPr>
        <xdr:cNvPr id="7" name="Line 8">
          <a:extLst>
            <a:ext uri="{FF2B5EF4-FFF2-40B4-BE49-F238E27FC236}">
              <a16:creationId xmlns:a16="http://schemas.microsoft.com/office/drawing/2014/main" id="{00000000-0008-0000-1000-000007000000}"/>
            </a:ext>
          </a:extLst>
        </xdr:cNvPr>
        <xdr:cNvSpPr>
          <a:spLocks noChangeShapeType="1"/>
        </xdr:cNvSpPr>
      </xdr:nvSpPr>
      <xdr:spPr bwMode="auto">
        <a:xfrm>
          <a:off x="2724150" y="1752600"/>
          <a:ext cx="0" cy="0"/>
        </a:xfrm>
        <a:prstGeom prst="line">
          <a:avLst/>
        </a:prstGeom>
        <a:noFill/>
        <a:ln w="222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10</xdr:col>
      <xdr:colOff>180975</xdr:colOff>
      <xdr:row>0</xdr:row>
      <xdr:rowOff>57150</xdr:rowOff>
    </xdr:from>
    <xdr:to>
      <xdr:col>10</xdr:col>
      <xdr:colOff>180975</xdr:colOff>
      <xdr:row>5</xdr:row>
      <xdr:rowOff>0</xdr:rowOff>
    </xdr:to>
    <xdr:sp macro="" textlink="">
      <xdr:nvSpPr>
        <xdr:cNvPr id="8" name="Line 11">
          <a:extLst>
            <a:ext uri="{FF2B5EF4-FFF2-40B4-BE49-F238E27FC236}">
              <a16:creationId xmlns:a16="http://schemas.microsoft.com/office/drawing/2014/main" id="{00000000-0008-0000-1000-000008000000}"/>
            </a:ext>
          </a:extLst>
        </xdr:cNvPr>
        <xdr:cNvSpPr>
          <a:spLocks noChangeShapeType="1"/>
        </xdr:cNvSpPr>
      </xdr:nvSpPr>
      <xdr:spPr bwMode="auto">
        <a:xfrm>
          <a:off x="4619625" y="57150"/>
          <a:ext cx="0" cy="7715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editAs="oneCell">
    <xdr:from>
      <xdr:col>37</xdr:col>
      <xdr:colOff>98425</xdr:colOff>
      <xdr:row>1</xdr:row>
      <xdr:rowOff>88900</xdr:rowOff>
    </xdr:from>
    <xdr:to>
      <xdr:col>47</xdr:col>
      <xdr:colOff>485775</xdr:colOff>
      <xdr:row>23</xdr:row>
      <xdr:rowOff>117475</xdr:rowOff>
    </xdr:to>
    <xdr:sp macro="" textlink="">
      <xdr:nvSpPr>
        <xdr:cNvPr id="9" name="Text Box 12">
          <a:extLst>
            <a:ext uri="{FF2B5EF4-FFF2-40B4-BE49-F238E27FC236}">
              <a16:creationId xmlns:a16="http://schemas.microsoft.com/office/drawing/2014/main" id="{00000000-0008-0000-1000-000009000000}"/>
            </a:ext>
          </a:extLst>
        </xdr:cNvPr>
        <xdr:cNvSpPr txBox="1">
          <a:spLocks noChangeArrowheads="1"/>
        </xdr:cNvSpPr>
      </xdr:nvSpPr>
      <xdr:spPr bwMode="auto">
        <a:xfrm>
          <a:off x="7327900" y="269875"/>
          <a:ext cx="6483350" cy="38004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en-US" sz="1200" b="1" i="0" u="none" strike="noStrike" baseline="0">
              <a:solidFill>
                <a:srgbClr val="000000"/>
              </a:solidFill>
              <a:latin typeface="Arial"/>
              <a:cs typeface="Arial"/>
            </a:rPr>
            <a:t>If Summary page is part of the </a:t>
          </a:r>
          <a:r>
            <a:rPr lang="en-US" sz="1200" b="1" i="1" u="sng" strike="noStrike" baseline="0">
              <a:solidFill>
                <a:srgbClr val="FF9900"/>
              </a:solidFill>
              <a:latin typeface="Arial"/>
              <a:cs typeface="Arial"/>
            </a:rPr>
            <a:t>Master</a:t>
          </a:r>
          <a:r>
            <a:rPr lang="en-US" sz="1200" b="1" i="0" u="none" strike="noStrike" baseline="0">
              <a:solidFill>
                <a:srgbClr val="000000"/>
              </a:solidFill>
              <a:latin typeface="Arial"/>
              <a:cs typeface="Arial"/>
            </a:rPr>
            <a:t> set:</a:t>
          </a:r>
        </a:p>
        <a:p>
          <a:pPr algn="l" rtl="0">
            <a:defRPr sz="1000"/>
          </a:pPr>
          <a:r>
            <a:rPr lang="en-US" sz="1200" b="1" i="0" u="none" strike="noStrike" baseline="0">
              <a:solidFill>
                <a:srgbClr val="000000"/>
              </a:solidFill>
              <a:latin typeface="Arial"/>
              <a:cs typeface="Arial"/>
            </a:rPr>
            <a:t> - </a:t>
          </a:r>
          <a:r>
            <a:rPr lang="en-US" sz="1200" b="1" i="0" u="none" strike="noStrike" baseline="0">
              <a:solidFill>
                <a:srgbClr val="008000"/>
              </a:solidFill>
              <a:latin typeface="Arial"/>
              <a:cs typeface="Arial"/>
            </a:rPr>
            <a:t>Green</a:t>
          </a:r>
          <a:r>
            <a:rPr lang="en-US" sz="1200" b="1" i="0" u="none" strike="noStrike" baseline="0">
              <a:solidFill>
                <a:srgbClr val="000000"/>
              </a:solidFill>
              <a:latin typeface="Arial"/>
              <a:cs typeface="Arial"/>
            </a:rPr>
            <a:t> quantities indicate </a:t>
          </a:r>
          <a:r>
            <a:rPr lang="en-US" sz="1200" b="1" i="0" u="sng" strike="noStrike" baseline="0">
              <a:solidFill>
                <a:srgbClr val="000000"/>
              </a:solidFill>
              <a:latin typeface="Arial"/>
              <a:cs typeface="Arial"/>
            </a:rPr>
            <a:t>no</a:t>
          </a:r>
          <a:r>
            <a:rPr lang="en-US" sz="1200" b="1" i="0" u="none" strike="noStrike" baseline="0">
              <a:solidFill>
                <a:srgbClr val="000000"/>
              </a:solidFill>
              <a:latin typeface="Arial"/>
              <a:cs typeface="Arial"/>
            </a:rPr>
            <a:t> joist marks in that sequence have been released.</a:t>
          </a:r>
        </a:p>
        <a:p>
          <a:pPr algn="l" rtl="0">
            <a:defRPr sz="1000"/>
          </a:pPr>
          <a:r>
            <a:rPr lang="en-US" sz="1200" b="1" i="0" u="none" strike="noStrike" baseline="0">
              <a:solidFill>
                <a:srgbClr val="000000"/>
              </a:solidFill>
              <a:latin typeface="Arial"/>
              <a:cs typeface="Arial"/>
            </a:rPr>
            <a:t> - </a:t>
          </a:r>
          <a:r>
            <a:rPr lang="en-US" sz="1200" b="1" i="0" u="none" strike="noStrike" baseline="0">
              <a:solidFill>
                <a:srgbClr val="800080"/>
              </a:solidFill>
              <a:latin typeface="Arial"/>
              <a:cs typeface="Arial"/>
            </a:rPr>
            <a:t>Purple</a:t>
          </a:r>
          <a:r>
            <a:rPr lang="en-US" sz="1200" b="1" i="0" u="none" strike="noStrike" baseline="0">
              <a:solidFill>
                <a:srgbClr val="000000"/>
              </a:solidFill>
              <a:latin typeface="Arial"/>
              <a:cs typeface="Arial"/>
            </a:rPr>
            <a:t> quantities inidicate a </a:t>
          </a:r>
          <a:r>
            <a:rPr lang="en-US" sz="1200" b="1" i="0" u="sng" strike="noStrike" baseline="0">
              <a:solidFill>
                <a:srgbClr val="000000"/>
              </a:solidFill>
              <a:latin typeface="Arial"/>
              <a:cs typeface="Arial"/>
            </a:rPr>
            <a:t>partial release</a:t>
          </a:r>
          <a:r>
            <a:rPr lang="en-US" sz="1200" b="1" i="0" u="none" strike="noStrike" baseline="0">
              <a:solidFill>
                <a:srgbClr val="000000"/>
              </a:solidFill>
              <a:latin typeface="Arial"/>
              <a:cs typeface="Arial"/>
            </a:rPr>
            <a:t> of  joists in that sequence.</a:t>
          </a:r>
        </a:p>
        <a:p>
          <a:pPr algn="l" rtl="0">
            <a:defRPr sz="1000"/>
          </a:pPr>
          <a:r>
            <a:rPr lang="en-US" sz="1200" b="1" i="0" u="none" strike="noStrike" baseline="0">
              <a:solidFill>
                <a:srgbClr val="000000"/>
              </a:solidFill>
              <a:latin typeface="Arial"/>
              <a:cs typeface="Arial"/>
            </a:rPr>
            <a:t> - </a:t>
          </a:r>
          <a:r>
            <a:rPr lang="en-US" sz="1200" b="1" i="0" u="none" strike="noStrike" baseline="0">
              <a:solidFill>
                <a:srgbClr val="969696"/>
              </a:solidFill>
              <a:latin typeface="Arial"/>
              <a:cs typeface="Arial"/>
            </a:rPr>
            <a:t>Gray</a:t>
          </a:r>
          <a:r>
            <a:rPr lang="en-US" sz="1200" b="1" i="0" u="none" strike="noStrike" baseline="0">
              <a:solidFill>
                <a:srgbClr val="000000"/>
              </a:solidFill>
              <a:latin typeface="Arial"/>
              <a:cs typeface="Arial"/>
            </a:rPr>
            <a:t> quantities indicate joist marks in that sequence have been </a:t>
          </a:r>
          <a:r>
            <a:rPr lang="en-US" sz="1200" b="1" i="0" u="sng" strike="noStrike" baseline="0">
              <a:solidFill>
                <a:srgbClr val="000000"/>
              </a:solidFill>
              <a:latin typeface="Arial"/>
              <a:cs typeface="Arial"/>
            </a:rPr>
            <a:t>completely released</a:t>
          </a:r>
          <a:r>
            <a:rPr lang="en-US" sz="1200" b="1" i="0" u="none" strike="noStrike" baseline="0">
              <a:solidFill>
                <a:srgbClr val="000000"/>
              </a:solidFill>
              <a:latin typeface="Arial"/>
              <a:cs typeface="Arial"/>
            </a:rPr>
            <a:t>.</a:t>
          </a:r>
        </a:p>
        <a:p>
          <a:pPr algn="l" rtl="0">
            <a:defRPr sz="1000"/>
          </a:pPr>
          <a:r>
            <a:rPr lang="en-US" sz="1200" b="1" i="0" u="none" strike="noStrike" baseline="0">
              <a:solidFill>
                <a:srgbClr val="000000"/>
              </a:solidFill>
              <a:latin typeface="Arial"/>
              <a:cs typeface="Arial"/>
            </a:rPr>
            <a:t> - </a:t>
          </a:r>
          <a:r>
            <a:rPr lang="en-US" sz="1200" b="1" i="0" u="none" strike="noStrike" baseline="0">
              <a:solidFill>
                <a:srgbClr val="FF0000"/>
              </a:solidFill>
              <a:latin typeface="Arial"/>
              <a:cs typeface="Arial"/>
            </a:rPr>
            <a:t>Red Background</a:t>
          </a:r>
          <a:r>
            <a:rPr lang="en-US" sz="1200" b="1" i="0" u="none" strike="noStrike" baseline="0">
              <a:solidFill>
                <a:srgbClr val="000000"/>
              </a:solidFill>
              <a:latin typeface="Arial"/>
              <a:cs typeface="Arial"/>
            </a:rPr>
            <a:t> indicates total quantity is less than quantity already released in that sequence.  In other words, the total quantity required for that mark in that sequence is less than what has already been released.</a:t>
          </a:r>
        </a:p>
        <a:p>
          <a:pPr algn="l" rtl="0">
            <a:defRPr sz="1000"/>
          </a:pPr>
          <a:endParaRPr lang="en-US" sz="1200" b="1" i="0" u="none" strike="noStrike" baseline="0">
            <a:solidFill>
              <a:srgbClr val="000000"/>
            </a:solidFill>
            <a:latin typeface="Arial"/>
            <a:cs typeface="Arial"/>
          </a:endParaRPr>
        </a:p>
        <a:p>
          <a:pPr algn="l" rtl="0">
            <a:defRPr sz="1000"/>
          </a:pPr>
          <a:r>
            <a:rPr lang="en-US" sz="1200" b="1" i="0" u="none" strike="noStrike" baseline="0">
              <a:solidFill>
                <a:srgbClr val="000000"/>
              </a:solidFill>
              <a:latin typeface="Arial"/>
              <a:cs typeface="Arial"/>
            </a:rPr>
            <a:t>If Summary page is part of a </a:t>
          </a:r>
          <a:r>
            <a:rPr lang="en-US" sz="1200" b="1" i="1" u="sng" strike="noStrike" baseline="0">
              <a:solidFill>
                <a:srgbClr val="FF9900"/>
              </a:solidFill>
              <a:latin typeface="Arial"/>
              <a:cs typeface="Arial"/>
            </a:rPr>
            <a:t>Partial Release</a:t>
          </a:r>
          <a:r>
            <a:rPr lang="en-US" sz="1200" b="1" i="0" u="none" strike="noStrike" baseline="0">
              <a:solidFill>
                <a:srgbClr val="000000"/>
              </a:solidFill>
              <a:latin typeface="Arial"/>
              <a:cs typeface="Arial"/>
            </a:rPr>
            <a:t> set:</a:t>
          </a:r>
        </a:p>
        <a:p>
          <a:pPr algn="l" rtl="0">
            <a:defRPr sz="1000"/>
          </a:pPr>
          <a:r>
            <a:rPr lang="en-US" sz="1200" b="1" i="0" u="none" strike="noStrike" baseline="0">
              <a:solidFill>
                <a:srgbClr val="000000"/>
              </a:solidFill>
              <a:latin typeface="Arial"/>
              <a:cs typeface="Arial"/>
            </a:rPr>
            <a:t> - </a:t>
          </a:r>
          <a:r>
            <a:rPr lang="en-US" sz="1200" b="1" i="0" u="none" strike="noStrike" baseline="0">
              <a:solidFill>
                <a:srgbClr val="008000"/>
              </a:solidFill>
              <a:latin typeface="Arial"/>
              <a:cs typeface="Arial"/>
            </a:rPr>
            <a:t>Green</a:t>
          </a:r>
          <a:r>
            <a:rPr lang="en-US" sz="1200" b="1" i="0" u="none" strike="noStrike" baseline="0">
              <a:solidFill>
                <a:srgbClr val="000000"/>
              </a:solidFill>
              <a:latin typeface="Arial"/>
              <a:cs typeface="Arial"/>
            </a:rPr>
            <a:t> quantities indicate quantity to release = total remaining quantity.</a:t>
          </a:r>
        </a:p>
        <a:p>
          <a:pPr algn="l" rtl="0">
            <a:defRPr sz="1000"/>
          </a:pPr>
          <a:r>
            <a:rPr lang="en-US" sz="1200" b="1" i="0" u="none" strike="noStrike" baseline="0">
              <a:solidFill>
                <a:srgbClr val="000000"/>
              </a:solidFill>
              <a:latin typeface="Arial"/>
              <a:cs typeface="Arial"/>
            </a:rPr>
            <a:t>   ***full release of the joist mark in that sequence is being prepared.</a:t>
          </a:r>
        </a:p>
        <a:p>
          <a:pPr algn="l" rtl="0">
            <a:defRPr sz="1000"/>
          </a:pPr>
          <a:r>
            <a:rPr lang="en-US" sz="1200" b="1" i="0" u="none" strike="noStrike" baseline="0">
              <a:solidFill>
                <a:srgbClr val="000000"/>
              </a:solidFill>
              <a:latin typeface="Arial"/>
              <a:cs typeface="Arial"/>
            </a:rPr>
            <a:t> - </a:t>
          </a:r>
          <a:r>
            <a:rPr lang="en-US" sz="1200" b="1" i="0" u="none" strike="noStrike" baseline="0">
              <a:solidFill>
                <a:srgbClr val="800080"/>
              </a:solidFill>
              <a:latin typeface="Arial"/>
              <a:cs typeface="Arial"/>
            </a:rPr>
            <a:t>Purple</a:t>
          </a:r>
          <a:r>
            <a:rPr lang="en-US" sz="1200" b="1" i="0" u="none" strike="noStrike" baseline="0">
              <a:solidFill>
                <a:srgbClr val="000000"/>
              </a:solidFill>
              <a:latin typeface="Arial"/>
              <a:cs typeface="Arial"/>
            </a:rPr>
            <a:t> quantities inidicate quantity to release &lt; remaining quantity.</a:t>
          </a:r>
        </a:p>
        <a:p>
          <a:pPr algn="l" rtl="0">
            <a:defRPr sz="1000"/>
          </a:pPr>
          <a:r>
            <a:rPr lang="en-US" sz="1200" b="1" i="0" u="none" strike="noStrike" baseline="0">
              <a:solidFill>
                <a:srgbClr val="000000"/>
              </a:solidFill>
              <a:latin typeface="Arial"/>
              <a:cs typeface="Arial"/>
            </a:rPr>
            <a:t>   ***partial release of the joist mark in that sequence is being prepared.</a:t>
          </a:r>
        </a:p>
        <a:p>
          <a:pPr algn="l" rtl="0">
            <a:defRPr sz="1000"/>
          </a:pPr>
          <a:r>
            <a:rPr lang="en-US" sz="1200" b="1" i="0" u="none" strike="noStrike" baseline="0">
              <a:solidFill>
                <a:srgbClr val="000000"/>
              </a:solidFill>
              <a:latin typeface="Arial"/>
              <a:cs typeface="Arial"/>
            </a:rPr>
            <a:t> - </a:t>
          </a:r>
          <a:r>
            <a:rPr lang="en-US" sz="1200" b="1" i="0" u="none" strike="noStrike" baseline="0">
              <a:solidFill>
                <a:srgbClr val="FF0000"/>
              </a:solidFill>
              <a:latin typeface="Arial"/>
              <a:cs typeface="Arial"/>
            </a:rPr>
            <a:t>Red Background</a:t>
          </a:r>
          <a:r>
            <a:rPr lang="en-US" sz="1200" b="1" i="0" u="none" strike="noStrike" baseline="0">
              <a:solidFill>
                <a:srgbClr val="000000"/>
              </a:solidFill>
              <a:latin typeface="Arial"/>
              <a:cs typeface="Arial"/>
            </a:rPr>
            <a:t> indicates quantity to release is greater than remaining quantity.</a:t>
          </a:r>
        </a:p>
        <a:p>
          <a:pPr algn="l" rtl="0">
            <a:defRPr sz="1000"/>
          </a:pPr>
          <a:r>
            <a:rPr lang="en-US" sz="1200" b="1" i="0" u="none" strike="noStrike" baseline="0">
              <a:solidFill>
                <a:srgbClr val="000000"/>
              </a:solidFill>
              <a:latin typeface="Arial"/>
              <a:cs typeface="Arial"/>
            </a:rPr>
            <a:t>   ***you will not be able to "Release for Fab" if any quantities have a </a:t>
          </a:r>
          <a:r>
            <a:rPr lang="en-US" sz="1200" b="1" i="0" u="none" strike="noStrike" baseline="0">
              <a:solidFill>
                <a:srgbClr val="FF0000"/>
              </a:solidFill>
              <a:latin typeface="Arial"/>
              <a:cs typeface="Arial"/>
            </a:rPr>
            <a:t>Red Background</a:t>
          </a:r>
          <a:r>
            <a:rPr lang="en-US" sz="1200" b="1" i="0" u="none" strike="noStrike" baseline="0">
              <a:solidFill>
                <a:srgbClr val="000000"/>
              </a:solidFill>
              <a:latin typeface="Arial"/>
              <a:cs typeface="Arial"/>
            </a:rPr>
            <a:t>!!</a:t>
          </a:r>
          <a:endParaRPr lang="en-US"/>
        </a:p>
      </xdr:txBody>
    </xdr:sp>
    <xdr:clientData/>
  </xdr:twoCellAnchor>
  <xdr:twoCellAnchor editAs="absolute">
    <xdr:from>
      <xdr:col>1</xdr:col>
      <xdr:colOff>76200</xdr:colOff>
      <xdr:row>0</xdr:row>
      <xdr:rowOff>0</xdr:rowOff>
    </xdr:from>
    <xdr:to>
      <xdr:col>5</xdr:col>
      <xdr:colOff>419100</xdr:colOff>
      <xdr:row>3</xdr:row>
      <xdr:rowOff>142875</xdr:rowOff>
    </xdr:to>
    <xdr:pic>
      <xdr:nvPicPr>
        <xdr:cNvPr id="10" name="Picture 14" descr="newmill_black_logo">
          <a:extLst>
            <a:ext uri="{FF2B5EF4-FFF2-40B4-BE49-F238E27FC236}">
              <a16:creationId xmlns:a16="http://schemas.microsoft.com/office/drawing/2014/main" id="{00000000-0008-0000-1000-00000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57225" y="0"/>
          <a:ext cx="2057400" cy="647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8.xml><?xml version="1.0" encoding="utf-8"?>
<xdr:wsDr xmlns:xdr="http://schemas.openxmlformats.org/drawingml/2006/spreadsheetDrawing" xmlns:a="http://schemas.openxmlformats.org/drawingml/2006/main">
  <xdr:twoCellAnchor editAs="absolute">
    <xdr:from>
      <xdr:col>1</xdr:col>
      <xdr:colOff>76200</xdr:colOff>
      <xdr:row>0</xdr:row>
      <xdr:rowOff>0</xdr:rowOff>
    </xdr:from>
    <xdr:to>
      <xdr:col>5</xdr:col>
      <xdr:colOff>285750</xdr:colOff>
      <xdr:row>3</xdr:row>
      <xdr:rowOff>142875</xdr:rowOff>
    </xdr:to>
    <xdr:pic>
      <xdr:nvPicPr>
        <xdr:cNvPr id="2" name="Picture 18" descr="newmill_black_logo">
          <a:extLst>
            <a:ext uri="{FF2B5EF4-FFF2-40B4-BE49-F238E27FC236}">
              <a16:creationId xmlns:a16="http://schemas.microsoft.com/office/drawing/2014/main" id="{00000000-0008-0000-11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57200" y="0"/>
          <a:ext cx="2057400" cy="647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22</xdr:col>
      <xdr:colOff>0</xdr:colOff>
      <xdr:row>0</xdr:row>
      <xdr:rowOff>0</xdr:rowOff>
    </xdr:from>
    <xdr:to>
      <xdr:col>22</xdr:col>
      <xdr:colOff>0</xdr:colOff>
      <xdr:row>3</xdr:row>
      <xdr:rowOff>133350</xdr:rowOff>
    </xdr:to>
    <xdr:sp macro="" textlink="">
      <xdr:nvSpPr>
        <xdr:cNvPr id="3" name="Line 19">
          <a:extLst>
            <a:ext uri="{FF2B5EF4-FFF2-40B4-BE49-F238E27FC236}">
              <a16:creationId xmlns:a16="http://schemas.microsoft.com/office/drawing/2014/main" id="{00000000-0008-0000-1100-000003000000}"/>
            </a:ext>
          </a:extLst>
        </xdr:cNvPr>
        <xdr:cNvSpPr>
          <a:spLocks noChangeShapeType="1"/>
        </xdr:cNvSpPr>
      </xdr:nvSpPr>
      <xdr:spPr bwMode="auto">
        <a:xfrm>
          <a:off x="6581775" y="0"/>
          <a:ext cx="0" cy="638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52</xdr:col>
      <xdr:colOff>0</xdr:colOff>
      <xdr:row>0</xdr:row>
      <xdr:rowOff>0</xdr:rowOff>
    </xdr:from>
    <xdr:to>
      <xdr:col>52</xdr:col>
      <xdr:colOff>0</xdr:colOff>
      <xdr:row>3</xdr:row>
      <xdr:rowOff>123825</xdr:rowOff>
    </xdr:to>
    <xdr:sp macro="" textlink="">
      <xdr:nvSpPr>
        <xdr:cNvPr id="4" name="Line 20">
          <a:extLst>
            <a:ext uri="{FF2B5EF4-FFF2-40B4-BE49-F238E27FC236}">
              <a16:creationId xmlns:a16="http://schemas.microsoft.com/office/drawing/2014/main" id="{00000000-0008-0000-1100-000004000000}"/>
            </a:ext>
          </a:extLst>
        </xdr:cNvPr>
        <xdr:cNvSpPr>
          <a:spLocks noChangeShapeType="1"/>
        </xdr:cNvSpPr>
      </xdr:nvSpPr>
      <xdr:spPr bwMode="auto">
        <a:xfrm>
          <a:off x="15992475" y="0"/>
          <a:ext cx="0" cy="6286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27</xdr:col>
      <xdr:colOff>7152</xdr:colOff>
      <xdr:row>0</xdr:row>
      <xdr:rowOff>0</xdr:rowOff>
    </xdr:from>
    <xdr:to>
      <xdr:col>27</xdr:col>
      <xdr:colOff>7152</xdr:colOff>
      <xdr:row>45</xdr:row>
      <xdr:rowOff>0</xdr:rowOff>
    </xdr:to>
    <xdr:sp macro="" textlink="">
      <xdr:nvSpPr>
        <xdr:cNvPr id="5" name="Line 21">
          <a:extLst>
            <a:ext uri="{FF2B5EF4-FFF2-40B4-BE49-F238E27FC236}">
              <a16:creationId xmlns:a16="http://schemas.microsoft.com/office/drawing/2014/main" id="{00000000-0008-0000-1100-000005000000}"/>
            </a:ext>
          </a:extLst>
        </xdr:cNvPr>
        <xdr:cNvSpPr>
          <a:spLocks noChangeShapeType="1"/>
        </xdr:cNvSpPr>
      </xdr:nvSpPr>
      <xdr:spPr bwMode="auto">
        <a:xfrm>
          <a:off x="9008277" y="0"/>
          <a:ext cx="0" cy="6829425"/>
        </a:xfrm>
        <a:prstGeom prst="line">
          <a:avLst/>
        </a:prstGeom>
        <a:noFill/>
        <a:ln w="15875">
          <a:solidFill>
            <a:srgbClr xmlns:mc="http://schemas.openxmlformats.org/markup-compatibility/2006" xmlns:a14="http://schemas.microsoft.com/office/drawing/2010/main" val="3366FF" mc:Ignorable="a14" a14:legacySpreadsheetColorIndex="48"/>
          </a:solidFill>
          <a:round/>
          <a:headEnd/>
          <a:tailEnd/>
        </a:ln>
        <a:extLst>
          <a:ext uri="{909E8E84-426E-40DD-AFC4-6F175D3DCCD1}">
            <a14:hiddenFill xmlns:a14="http://schemas.microsoft.com/office/drawing/2010/main">
              <a:noFill/>
            </a14:hiddenFill>
          </a:ext>
        </a:extLst>
      </xdr:spPr>
    </xdr:sp>
    <xdr:clientData fPrintsWithSheet="0"/>
  </xdr:twoCellAnchor>
  <xdr:twoCellAnchor>
    <xdr:from>
      <xdr:col>104</xdr:col>
      <xdr:colOff>300036</xdr:colOff>
      <xdr:row>6</xdr:row>
      <xdr:rowOff>9525</xdr:rowOff>
    </xdr:from>
    <xdr:to>
      <xdr:col>107</xdr:col>
      <xdr:colOff>133349</xdr:colOff>
      <xdr:row>11</xdr:row>
      <xdr:rowOff>42863</xdr:rowOff>
    </xdr:to>
    <xdr:sp macro="" textlink="">
      <xdr:nvSpPr>
        <xdr:cNvPr id="6" name="Text Box 25">
          <a:extLst>
            <a:ext uri="{FF2B5EF4-FFF2-40B4-BE49-F238E27FC236}">
              <a16:creationId xmlns:a16="http://schemas.microsoft.com/office/drawing/2014/main" id="{00000000-0008-0000-1100-000006000000}"/>
            </a:ext>
          </a:extLst>
        </xdr:cNvPr>
        <xdr:cNvSpPr txBox="1">
          <a:spLocks noChangeArrowheads="1"/>
        </xdr:cNvSpPr>
      </xdr:nvSpPr>
      <xdr:spPr bwMode="auto">
        <a:xfrm>
          <a:off x="28446411" y="1000125"/>
          <a:ext cx="2747963" cy="576263"/>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27432" bIns="0" anchor="t" upright="1"/>
        <a:lstStyle/>
        <a:p>
          <a:pPr algn="ctr" rtl="0">
            <a:defRPr sz="1000"/>
          </a:pPr>
          <a:r>
            <a:rPr lang="en-US" sz="900" b="0" i="0" u="none" strike="noStrike" baseline="0">
              <a:solidFill>
                <a:srgbClr val="000000"/>
              </a:solidFill>
              <a:latin typeface="Arial"/>
              <a:cs typeface="Arial"/>
            </a:rPr>
            <a:t>Notes:</a:t>
          </a:r>
          <a:endParaRPr lang="en-US" sz="800" b="0" i="0" u="none" strike="noStrike" baseline="0">
            <a:solidFill>
              <a:srgbClr val="000000"/>
            </a:solidFill>
            <a:latin typeface="Arial"/>
            <a:cs typeface="Arial"/>
          </a:endParaRPr>
        </a:p>
        <a:p>
          <a:pPr algn="ctr" rtl="0">
            <a:defRPr sz="1000"/>
          </a:pPr>
          <a:r>
            <a:rPr lang="en-US" sz="800" b="0" i="0" u="none" strike="noStrike" baseline="0">
              <a:solidFill>
                <a:srgbClr val="FF0000"/>
              </a:solidFill>
              <a:latin typeface="Arial"/>
              <a:cs typeface="Arial"/>
            </a:rPr>
            <a:t>No "( )" or "[ ]" required.</a:t>
          </a:r>
        </a:p>
        <a:p>
          <a:pPr algn="ctr" rtl="0">
            <a:defRPr sz="1000"/>
          </a:pPr>
          <a:r>
            <a:rPr lang="en-US" sz="800" b="0" i="0" u="none" strike="noStrike" baseline="0">
              <a:solidFill>
                <a:srgbClr val="000000"/>
              </a:solidFill>
              <a:latin typeface="Arial"/>
              <a:cs typeface="Arial"/>
            </a:rPr>
            <a:t>comma delimited.</a:t>
          </a:r>
          <a:endParaRPr lang="en-US"/>
        </a:p>
      </xdr:txBody>
    </xdr:sp>
    <xdr:clientData/>
  </xdr:twoCellAnchor>
  <xdr:twoCellAnchor editAs="absolute">
    <xdr:from>
      <xdr:col>28</xdr:col>
      <xdr:colOff>104775</xdr:colOff>
      <xdr:row>0</xdr:row>
      <xdr:rowOff>0</xdr:rowOff>
    </xdr:from>
    <xdr:to>
      <xdr:col>36</xdr:col>
      <xdr:colOff>228600</xdr:colOff>
      <xdr:row>3</xdr:row>
      <xdr:rowOff>142875</xdr:rowOff>
    </xdr:to>
    <xdr:pic>
      <xdr:nvPicPr>
        <xdr:cNvPr id="7" name="Picture 126" descr="newmill_black_logo">
          <a:extLst>
            <a:ext uri="{FF2B5EF4-FFF2-40B4-BE49-F238E27FC236}">
              <a16:creationId xmlns:a16="http://schemas.microsoft.com/office/drawing/2014/main" id="{00000000-0008-0000-1100-00000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486900" y="0"/>
          <a:ext cx="2057400" cy="647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84</xdr:col>
      <xdr:colOff>104775</xdr:colOff>
      <xdr:row>0</xdr:row>
      <xdr:rowOff>104775</xdr:rowOff>
    </xdr:from>
    <xdr:to>
      <xdr:col>94</xdr:col>
      <xdr:colOff>66675</xdr:colOff>
      <xdr:row>4</xdr:row>
      <xdr:rowOff>104775</xdr:rowOff>
    </xdr:to>
    <xdr:sp macro="" textlink="">
      <xdr:nvSpPr>
        <xdr:cNvPr id="8" name="Text Box 139">
          <a:extLst>
            <a:ext uri="{FF2B5EF4-FFF2-40B4-BE49-F238E27FC236}">
              <a16:creationId xmlns:a16="http://schemas.microsoft.com/office/drawing/2014/main" id="{00000000-0008-0000-1100-000008000000}"/>
            </a:ext>
          </a:extLst>
        </xdr:cNvPr>
        <xdr:cNvSpPr txBox="1">
          <a:spLocks noChangeArrowheads="1"/>
        </xdr:cNvSpPr>
      </xdr:nvSpPr>
      <xdr:spPr bwMode="auto">
        <a:xfrm>
          <a:off x="21316950" y="104775"/>
          <a:ext cx="3429000" cy="6667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36576" tIns="27432" rIns="0" bIns="0" anchor="t" upright="1"/>
        <a:lstStyle/>
        <a:p>
          <a:pPr algn="l" rtl="0">
            <a:defRPr sz="1000"/>
          </a:pPr>
          <a:r>
            <a:rPr lang="en-US" sz="1400" b="0" i="0" u="none" strike="noStrike" baseline="0">
              <a:solidFill>
                <a:srgbClr val="FF0000"/>
              </a:solidFill>
              <a:latin typeface="Arial"/>
              <a:cs typeface="Arial"/>
            </a:rPr>
            <a:t>Refer to the G(1) tab for instructions and tips for using the AutoCalc Girder BOM.</a:t>
          </a:r>
          <a:endParaRPr lang="en-US"/>
        </a:p>
      </xdr:txBody>
    </xdr:sp>
    <xdr:clientData/>
  </xdr:twoCellAnchor>
</xdr:wsDr>
</file>

<file path=xl/drawings/drawing19.xml><?xml version="1.0" encoding="utf-8"?>
<xdr:wsDr xmlns:xdr="http://schemas.openxmlformats.org/drawingml/2006/spreadsheetDrawing" xmlns:a="http://schemas.openxmlformats.org/drawingml/2006/main">
  <xdr:twoCellAnchor>
    <xdr:from>
      <xdr:col>22</xdr:col>
      <xdr:colOff>266700</xdr:colOff>
      <xdr:row>0</xdr:row>
      <xdr:rowOff>0</xdr:rowOff>
    </xdr:from>
    <xdr:to>
      <xdr:col>22</xdr:col>
      <xdr:colOff>266700</xdr:colOff>
      <xdr:row>3</xdr:row>
      <xdr:rowOff>142875</xdr:rowOff>
    </xdr:to>
    <xdr:sp macro="" textlink="">
      <xdr:nvSpPr>
        <xdr:cNvPr id="2" name="Line 9">
          <a:extLst>
            <a:ext uri="{FF2B5EF4-FFF2-40B4-BE49-F238E27FC236}">
              <a16:creationId xmlns:a16="http://schemas.microsoft.com/office/drawing/2014/main" id="{00000000-0008-0000-1200-000002000000}"/>
            </a:ext>
          </a:extLst>
        </xdr:cNvPr>
        <xdr:cNvSpPr>
          <a:spLocks noChangeShapeType="1"/>
        </xdr:cNvSpPr>
      </xdr:nvSpPr>
      <xdr:spPr bwMode="auto">
        <a:xfrm>
          <a:off x="6648450" y="0"/>
          <a:ext cx="0" cy="6477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26</xdr:col>
      <xdr:colOff>0</xdr:colOff>
      <xdr:row>12</xdr:row>
      <xdr:rowOff>0</xdr:rowOff>
    </xdr:from>
    <xdr:to>
      <xdr:col>26</xdr:col>
      <xdr:colOff>628650</xdr:colOff>
      <xdr:row>12</xdr:row>
      <xdr:rowOff>0</xdr:rowOff>
    </xdr:to>
    <xdr:sp macro="" textlink="">
      <xdr:nvSpPr>
        <xdr:cNvPr id="3" name="Line 18">
          <a:extLst>
            <a:ext uri="{FF2B5EF4-FFF2-40B4-BE49-F238E27FC236}">
              <a16:creationId xmlns:a16="http://schemas.microsoft.com/office/drawing/2014/main" id="{00000000-0008-0000-1200-000003000000}"/>
            </a:ext>
          </a:extLst>
        </xdr:cNvPr>
        <xdr:cNvSpPr>
          <a:spLocks noChangeShapeType="1"/>
        </xdr:cNvSpPr>
      </xdr:nvSpPr>
      <xdr:spPr bwMode="auto">
        <a:xfrm>
          <a:off x="7591425" y="1790700"/>
          <a:ext cx="6286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83</xdr:col>
      <xdr:colOff>85725</xdr:colOff>
      <xdr:row>12</xdr:row>
      <xdr:rowOff>9525</xdr:rowOff>
    </xdr:from>
    <xdr:to>
      <xdr:col>84</xdr:col>
      <xdr:colOff>1581150</xdr:colOff>
      <xdr:row>14</xdr:row>
      <xdr:rowOff>0</xdr:rowOff>
    </xdr:to>
    <xdr:sp macro="" textlink="">
      <xdr:nvSpPr>
        <xdr:cNvPr id="4" name="Text Box 34">
          <a:extLst>
            <a:ext uri="{FF2B5EF4-FFF2-40B4-BE49-F238E27FC236}">
              <a16:creationId xmlns:a16="http://schemas.microsoft.com/office/drawing/2014/main" id="{00000000-0008-0000-1200-000004000000}"/>
            </a:ext>
          </a:extLst>
        </xdr:cNvPr>
        <xdr:cNvSpPr txBox="1">
          <a:spLocks noChangeArrowheads="1"/>
        </xdr:cNvSpPr>
      </xdr:nvSpPr>
      <xdr:spPr bwMode="auto">
        <a:xfrm>
          <a:off x="20173950" y="1800225"/>
          <a:ext cx="2295525" cy="2952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27432" bIns="0" anchor="t" upright="1"/>
        <a:lstStyle/>
        <a:p>
          <a:pPr algn="ctr" rtl="0">
            <a:defRPr sz="1000"/>
          </a:pPr>
          <a:r>
            <a:rPr lang="en-US" sz="900" b="1" i="0" u="none" strike="noStrike" baseline="0">
              <a:solidFill>
                <a:srgbClr val="000000"/>
              </a:solidFill>
              <a:latin typeface="Arial"/>
              <a:cs typeface="Arial"/>
            </a:rPr>
            <a:t>Notes:</a:t>
          </a:r>
          <a:endParaRPr lang="en-US" sz="800" b="0" i="0" u="none" strike="noStrike" baseline="0">
            <a:solidFill>
              <a:srgbClr val="000000"/>
            </a:solidFill>
            <a:latin typeface="Arial"/>
            <a:cs typeface="Arial"/>
          </a:endParaRPr>
        </a:p>
        <a:p>
          <a:pPr algn="ctr" rtl="0">
            <a:defRPr sz="1000"/>
          </a:pPr>
          <a:r>
            <a:rPr lang="en-US" sz="700" b="0" i="0" u="none" strike="noStrike" baseline="0">
              <a:solidFill>
                <a:srgbClr val="FF0000"/>
              </a:solidFill>
              <a:latin typeface="Arial"/>
              <a:cs typeface="Arial"/>
            </a:rPr>
            <a:t>No "( )" or "[ ]" required.  </a:t>
          </a:r>
          <a:r>
            <a:rPr lang="en-US" sz="800" b="0" i="0" u="none" strike="noStrike" baseline="0">
              <a:solidFill>
                <a:srgbClr val="000000"/>
              </a:solidFill>
              <a:latin typeface="Arial"/>
              <a:cs typeface="Arial"/>
            </a:rPr>
            <a:t>Comma delimited.</a:t>
          </a:r>
          <a:endParaRPr lang="en-US"/>
        </a:p>
      </xdr:txBody>
    </xdr:sp>
    <xdr:clientData/>
  </xdr:twoCellAnchor>
  <xdr:twoCellAnchor editAs="absolute">
    <xdr:from>
      <xdr:col>1</xdr:col>
      <xdr:colOff>123825</xdr:colOff>
      <xdr:row>0</xdr:row>
      <xdr:rowOff>0</xdr:rowOff>
    </xdr:from>
    <xdr:to>
      <xdr:col>6</xdr:col>
      <xdr:colOff>104775</xdr:colOff>
      <xdr:row>3</xdr:row>
      <xdr:rowOff>142875</xdr:rowOff>
    </xdr:to>
    <xdr:pic>
      <xdr:nvPicPr>
        <xdr:cNvPr id="5" name="Picture 119" descr="newmill_black_logo">
          <a:extLst>
            <a:ext uri="{FF2B5EF4-FFF2-40B4-BE49-F238E27FC236}">
              <a16:creationId xmlns:a16="http://schemas.microsoft.com/office/drawing/2014/main" id="{00000000-0008-0000-12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04825" y="0"/>
          <a:ext cx="2057400" cy="647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62</xdr:col>
      <xdr:colOff>276225</xdr:colOff>
      <xdr:row>1</xdr:row>
      <xdr:rowOff>104775</xdr:rowOff>
    </xdr:from>
    <xdr:to>
      <xdr:col>72</xdr:col>
      <xdr:colOff>304800</xdr:colOff>
      <xdr:row>5</xdr:row>
      <xdr:rowOff>123825</xdr:rowOff>
    </xdr:to>
    <xdr:sp macro="" textlink="">
      <xdr:nvSpPr>
        <xdr:cNvPr id="6" name="Text Box 134">
          <a:extLst>
            <a:ext uri="{FF2B5EF4-FFF2-40B4-BE49-F238E27FC236}">
              <a16:creationId xmlns:a16="http://schemas.microsoft.com/office/drawing/2014/main" id="{00000000-0008-0000-1200-000006000000}"/>
            </a:ext>
          </a:extLst>
        </xdr:cNvPr>
        <xdr:cNvSpPr txBox="1">
          <a:spLocks noChangeArrowheads="1"/>
        </xdr:cNvSpPr>
      </xdr:nvSpPr>
      <xdr:spPr bwMode="auto">
        <a:xfrm>
          <a:off x="13315950" y="285750"/>
          <a:ext cx="3371850" cy="6667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36576" tIns="27432" rIns="0" bIns="0" anchor="t" upright="1"/>
        <a:lstStyle/>
        <a:p>
          <a:pPr algn="l" rtl="0">
            <a:defRPr sz="1000"/>
          </a:pPr>
          <a:r>
            <a:rPr lang="en-US" sz="1400" b="0" i="0" u="none" strike="noStrike" baseline="0">
              <a:solidFill>
                <a:srgbClr val="FF0000"/>
              </a:solidFill>
              <a:latin typeface="Arial"/>
              <a:cs typeface="Arial"/>
            </a:rPr>
            <a:t>Refer to the J(1) tab for instructions and tips for using the AutoCalc Joist BOM.</a:t>
          </a:r>
          <a:endParaRPr lang="en-US"/>
        </a:p>
      </xdr:txBody>
    </xdr:sp>
    <xdr:clientData/>
  </xdr:twoCellAnchor>
</xdr:wsDr>
</file>

<file path=xl/drawings/drawing20.xml><?xml version="1.0" encoding="utf-8"?>
<xdr:wsDr xmlns:xdr="http://schemas.openxmlformats.org/drawingml/2006/spreadsheetDrawing" xmlns:a="http://schemas.openxmlformats.org/drawingml/2006/main">
  <xdr:twoCellAnchor>
    <xdr:from>
      <xdr:col>6</xdr:col>
      <xdr:colOff>0</xdr:colOff>
      <xdr:row>12</xdr:row>
      <xdr:rowOff>0</xdr:rowOff>
    </xdr:from>
    <xdr:to>
      <xdr:col>6</xdr:col>
      <xdr:colOff>0</xdr:colOff>
      <xdr:row>12</xdr:row>
      <xdr:rowOff>0</xdr:rowOff>
    </xdr:to>
    <xdr:sp macro="" textlink="">
      <xdr:nvSpPr>
        <xdr:cNvPr id="2" name="Line 2">
          <a:extLst>
            <a:ext uri="{FF2B5EF4-FFF2-40B4-BE49-F238E27FC236}">
              <a16:creationId xmlns:a16="http://schemas.microsoft.com/office/drawing/2014/main" id="{00000000-0008-0000-1300-000002000000}"/>
            </a:ext>
          </a:extLst>
        </xdr:cNvPr>
        <xdr:cNvSpPr>
          <a:spLocks noChangeShapeType="1"/>
        </xdr:cNvSpPr>
      </xdr:nvSpPr>
      <xdr:spPr bwMode="auto">
        <a:xfrm>
          <a:off x="2371725" y="1724025"/>
          <a:ext cx="0" cy="0"/>
        </a:xfrm>
        <a:prstGeom prst="line">
          <a:avLst/>
        </a:prstGeom>
        <a:noFill/>
        <a:ln w="222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0</xdr:colOff>
      <xdr:row>12</xdr:row>
      <xdr:rowOff>0</xdr:rowOff>
    </xdr:from>
    <xdr:to>
      <xdr:col>6</xdr:col>
      <xdr:colOff>0</xdr:colOff>
      <xdr:row>12</xdr:row>
      <xdr:rowOff>0</xdr:rowOff>
    </xdr:to>
    <xdr:sp macro="" textlink="">
      <xdr:nvSpPr>
        <xdr:cNvPr id="3" name="Line 5">
          <a:extLst>
            <a:ext uri="{FF2B5EF4-FFF2-40B4-BE49-F238E27FC236}">
              <a16:creationId xmlns:a16="http://schemas.microsoft.com/office/drawing/2014/main" id="{00000000-0008-0000-1300-000003000000}"/>
            </a:ext>
          </a:extLst>
        </xdr:cNvPr>
        <xdr:cNvSpPr>
          <a:spLocks noChangeShapeType="1"/>
        </xdr:cNvSpPr>
      </xdr:nvSpPr>
      <xdr:spPr bwMode="auto">
        <a:xfrm>
          <a:off x="2371725" y="1724025"/>
          <a:ext cx="0" cy="0"/>
        </a:xfrm>
        <a:prstGeom prst="line">
          <a:avLst/>
        </a:prstGeom>
        <a:noFill/>
        <a:ln w="222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0</xdr:colOff>
      <xdr:row>12</xdr:row>
      <xdr:rowOff>0</xdr:rowOff>
    </xdr:from>
    <xdr:to>
      <xdr:col>6</xdr:col>
      <xdr:colOff>0</xdr:colOff>
      <xdr:row>12</xdr:row>
      <xdr:rowOff>0</xdr:rowOff>
    </xdr:to>
    <xdr:sp macro="" textlink="">
      <xdr:nvSpPr>
        <xdr:cNvPr id="4" name="Line 6">
          <a:extLst>
            <a:ext uri="{FF2B5EF4-FFF2-40B4-BE49-F238E27FC236}">
              <a16:creationId xmlns:a16="http://schemas.microsoft.com/office/drawing/2014/main" id="{00000000-0008-0000-1300-000004000000}"/>
            </a:ext>
          </a:extLst>
        </xdr:cNvPr>
        <xdr:cNvSpPr>
          <a:spLocks noChangeShapeType="1"/>
        </xdr:cNvSpPr>
      </xdr:nvSpPr>
      <xdr:spPr bwMode="auto">
        <a:xfrm>
          <a:off x="2371725" y="1724025"/>
          <a:ext cx="0" cy="0"/>
        </a:xfrm>
        <a:prstGeom prst="line">
          <a:avLst/>
        </a:prstGeom>
        <a:noFill/>
        <a:ln w="222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571500</xdr:colOff>
      <xdr:row>0</xdr:row>
      <xdr:rowOff>0</xdr:rowOff>
    </xdr:from>
    <xdr:to>
      <xdr:col>11</xdr:col>
      <xdr:colOff>571500</xdr:colOff>
      <xdr:row>5</xdr:row>
      <xdr:rowOff>0</xdr:rowOff>
    </xdr:to>
    <xdr:sp macro="" textlink="">
      <xdr:nvSpPr>
        <xdr:cNvPr id="5" name="Line 11">
          <a:extLst>
            <a:ext uri="{FF2B5EF4-FFF2-40B4-BE49-F238E27FC236}">
              <a16:creationId xmlns:a16="http://schemas.microsoft.com/office/drawing/2014/main" id="{00000000-0008-0000-1300-000005000000}"/>
            </a:ext>
          </a:extLst>
        </xdr:cNvPr>
        <xdr:cNvSpPr>
          <a:spLocks noChangeShapeType="1"/>
        </xdr:cNvSpPr>
      </xdr:nvSpPr>
      <xdr:spPr bwMode="auto">
        <a:xfrm>
          <a:off x="4524375" y="0"/>
          <a:ext cx="0" cy="828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editAs="oneCell">
    <xdr:from>
      <xdr:col>58</xdr:col>
      <xdr:colOff>180975</xdr:colOff>
      <xdr:row>3</xdr:row>
      <xdr:rowOff>114300</xdr:rowOff>
    </xdr:from>
    <xdr:to>
      <xdr:col>66</xdr:col>
      <xdr:colOff>292100</xdr:colOff>
      <xdr:row>39</xdr:row>
      <xdr:rowOff>152400</xdr:rowOff>
    </xdr:to>
    <xdr:sp macro="" textlink="">
      <xdr:nvSpPr>
        <xdr:cNvPr id="6" name="Text Box 26">
          <a:extLst>
            <a:ext uri="{FF2B5EF4-FFF2-40B4-BE49-F238E27FC236}">
              <a16:creationId xmlns:a16="http://schemas.microsoft.com/office/drawing/2014/main" id="{00000000-0008-0000-1300-000006000000}"/>
            </a:ext>
          </a:extLst>
        </xdr:cNvPr>
        <xdr:cNvSpPr txBox="1">
          <a:spLocks noChangeArrowheads="1"/>
        </xdr:cNvSpPr>
      </xdr:nvSpPr>
      <xdr:spPr bwMode="auto">
        <a:xfrm>
          <a:off x="7515225" y="619125"/>
          <a:ext cx="4987925" cy="588645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7432" rIns="0" bIns="0" anchor="t" upright="1"/>
        <a:lstStyle/>
        <a:p>
          <a:pPr algn="l" rtl="0">
            <a:defRPr sz="1000"/>
          </a:pPr>
          <a:r>
            <a:rPr lang="en-US" sz="1100" b="1" i="0" u="none" strike="noStrike" baseline="0">
              <a:solidFill>
                <a:srgbClr val="FF0000"/>
              </a:solidFill>
              <a:latin typeface="Arial"/>
              <a:cs typeface="Arial"/>
            </a:rPr>
            <a:t>Net Uplift:</a:t>
          </a:r>
          <a:endParaRPr lang="en-US" sz="1100" b="0" i="0" u="none" strike="noStrike" baseline="0">
            <a:solidFill>
              <a:srgbClr val="000000"/>
            </a:solidFill>
            <a:latin typeface="Arial"/>
            <a:cs typeface="Arial"/>
          </a:endParaRPr>
        </a:p>
        <a:p>
          <a:pPr algn="l" rtl="0">
            <a:defRPr sz="1000"/>
          </a:pPr>
          <a:r>
            <a:rPr lang="en-US" sz="1100" b="0" i="0" u="none" strike="noStrike" baseline="0">
              <a:solidFill>
                <a:srgbClr val="000000"/>
              </a:solidFill>
              <a:latin typeface="Arial"/>
              <a:cs typeface="Arial"/>
            </a:rPr>
            <a:t>Net Uplift in the upward direction is a POSITIVE value.</a:t>
          </a:r>
        </a:p>
        <a:p>
          <a:pPr algn="l" rtl="0">
            <a:defRPr sz="1000"/>
          </a:pPr>
          <a:endParaRPr lang="en-US" sz="1100" b="0" i="0" u="none" strike="noStrike" baseline="0">
            <a:solidFill>
              <a:srgbClr val="000000"/>
            </a:solidFill>
            <a:latin typeface="Arial"/>
            <a:cs typeface="Arial"/>
          </a:endParaRPr>
        </a:p>
        <a:p>
          <a:pPr algn="l" rtl="0">
            <a:defRPr sz="1000"/>
          </a:pPr>
          <a:r>
            <a:rPr lang="en-US" sz="1100" b="1" i="0" u="none" strike="noStrike" baseline="0">
              <a:solidFill>
                <a:srgbClr val="FF0000"/>
              </a:solidFill>
              <a:latin typeface="Arial"/>
              <a:cs typeface="Arial"/>
            </a:rPr>
            <a:t>Concentrated Loads:</a:t>
          </a:r>
          <a:endParaRPr lang="en-US" sz="1100" b="0" i="0" u="none" strike="noStrike" baseline="0">
            <a:solidFill>
              <a:srgbClr val="000000"/>
            </a:solidFill>
            <a:latin typeface="Arial"/>
            <a:cs typeface="Arial"/>
          </a:endParaRPr>
        </a:p>
        <a:p>
          <a:pPr algn="l" rtl="0">
            <a:defRPr sz="1000"/>
          </a:pPr>
          <a:r>
            <a:rPr lang="en-US" sz="1100" b="0" i="0" u="none" strike="noStrike" baseline="0">
              <a:solidFill>
                <a:srgbClr val="000000"/>
              </a:solidFill>
              <a:latin typeface="Arial"/>
              <a:cs typeface="Arial"/>
            </a:rPr>
            <a:t>2 separate concentrated loads can be entered on the same line.</a:t>
          </a:r>
        </a:p>
        <a:p>
          <a:pPr algn="l" rtl="0">
            <a:defRPr sz="1000"/>
          </a:pPr>
          <a:endParaRPr lang="en-US" sz="1100" b="0" i="0" u="none" strike="noStrike" baseline="0">
            <a:solidFill>
              <a:srgbClr val="000000"/>
            </a:solidFill>
            <a:latin typeface="Arial"/>
            <a:cs typeface="Arial"/>
          </a:endParaRPr>
        </a:p>
        <a:p>
          <a:pPr algn="l" rtl="0">
            <a:defRPr sz="1000"/>
          </a:pPr>
          <a:r>
            <a:rPr lang="en-US" sz="1100" b="1" i="0" u="none" strike="noStrike" baseline="0">
              <a:solidFill>
                <a:srgbClr val="FF0000"/>
              </a:solidFill>
              <a:latin typeface="Arial"/>
              <a:cs typeface="Arial"/>
            </a:rPr>
            <a:t>C3 Loads:</a:t>
          </a:r>
          <a:endParaRPr lang="en-US" sz="1100" b="0" i="0" u="none" strike="noStrike" baseline="0">
            <a:solidFill>
              <a:srgbClr val="000000"/>
            </a:solidFill>
            <a:latin typeface="Arial"/>
            <a:cs typeface="Arial"/>
          </a:endParaRPr>
        </a:p>
        <a:p>
          <a:pPr algn="l" rtl="0">
            <a:defRPr sz="1000"/>
          </a:pPr>
          <a:r>
            <a:rPr lang="en-US" sz="1100" b="0" i="0" u="none" strike="noStrike" baseline="0">
              <a:solidFill>
                <a:srgbClr val="000000"/>
              </a:solidFill>
              <a:latin typeface="Arial"/>
              <a:cs typeface="Arial"/>
            </a:rPr>
            <a:t>C3 load is applied to each panel point withing 3'-0" of the location specified.  Extra Vertical detail should be used to reinforce the chord for localized bending if the load does not occur at a panel point.</a:t>
          </a:r>
        </a:p>
        <a:p>
          <a:pPr algn="l" rtl="0">
            <a:defRPr sz="1000"/>
          </a:pPr>
          <a:endParaRPr lang="en-US" sz="1100" b="0" i="0" u="none" strike="noStrike" baseline="0">
            <a:solidFill>
              <a:srgbClr val="000000"/>
            </a:solidFill>
            <a:latin typeface="Arial"/>
            <a:cs typeface="Arial"/>
          </a:endParaRPr>
        </a:p>
        <a:p>
          <a:pPr algn="l" rtl="0">
            <a:defRPr sz="1000"/>
          </a:pPr>
          <a:r>
            <a:rPr lang="en-US" sz="1100" b="1" i="0" u="none" strike="noStrike" baseline="0">
              <a:solidFill>
                <a:srgbClr val="FF0000"/>
              </a:solidFill>
              <a:latin typeface="Arial"/>
              <a:cs typeface="Arial"/>
            </a:rPr>
            <a:t>Reference:</a:t>
          </a:r>
          <a:endParaRPr lang="en-US" sz="1100" b="0" i="0" u="none" strike="noStrike" baseline="0">
            <a:solidFill>
              <a:srgbClr val="000000"/>
            </a:solidFill>
            <a:latin typeface="Arial"/>
            <a:cs typeface="Arial"/>
          </a:endParaRPr>
        </a:p>
        <a:p>
          <a:pPr algn="l" rtl="0">
            <a:defRPr sz="1000"/>
          </a:pPr>
          <a:r>
            <a:rPr lang="en-US" sz="1100" b="0" i="0" u="none" strike="noStrike" baseline="0">
              <a:solidFill>
                <a:srgbClr val="000000"/>
              </a:solidFill>
              <a:latin typeface="Arial"/>
              <a:cs typeface="Arial"/>
            </a:rPr>
            <a:t>L-OAL = Left end from Overall Length</a:t>
          </a:r>
        </a:p>
        <a:p>
          <a:pPr algn="l" rtl="0">
            <a:defRPr sz="1000"/>
          </a:pPr>
          <a:r>
            <a:rPr lang="en-US" sz="1100" b="0" i="0" u="none" strike="noStrike" baseline="0">
              <a:solidFill>
                <a:srgbClr val="000000"/>
              </a:solidFill>
              <a:latin typeface="Arial"/>
              <a:cs typeface="Arial"/>
            </a:rPr>
            <a:t>L-PTP* = Left end from "Point to Point" (or Bay Reference)</a:t>
          </a:r>
        </a:p>
        <a:p>
          <a:pPr algn="l" rtl="0">
            <a:defRPr sz="1000"/>
          </a:pPr>
          <a:r>
            <a:rPr lang="en-US" sz="1100" b="0" i="0" u="none" strike="noStrike" baseline="0">
              <a:solidFill>
                <a:srgbClr val="000000"/>
              </a:solidFill>
              <a:latin typeface="Arial"/>
              <a:cs typeface="Arial"/>
            </a:rPr>
            <a:t>              (Center of Beam/Column or Face of CMU)</a:t>
          </a:r>
        </a:p>
        <a:p>
          <a:pPr algn="l" rtl="0">
            <a:defRPr sz="1000"/>
          </a:pPr>
          <a:r>
            <a:rPr lang="en-US" sz="1100" b="0" i="0" u="none" strike="noStrike" baseline="0">
              <a:solidFill>
                <a:srgbClr val="000000"/>
              </a:solidFill>
              <a:latin typeface="Arial"/>
              <a:cs typeface="Arial"/>
            </a:rPr>
            <a:t>L-BL    = Left end from Base Length</a:t>
          </a:r>
        </a:p>
        <a:p>
          <a:pPr algn="l" rtl="0">
            <a:defRPr sz="1000"/>
          </a:pPr>
          <a:endParaRPr lang="en-US" sz="1100" b="0" i="0" u="none" strike="noStrike" baseline="0">
            <a:solidFill>
              <a:srgbClr val="000000"/>
            </a:solidFill>
            <a:latin typeface="Arial"/>
            <a:cs typeface="Arial"/>
          </a:endParaRPr>
        </a:p>
        <a:p>
          <a:pPr algn="l" rtl="0">
            <a:defRPr sz="1000"/>
          </a:pPr>
          <a:r>
            <a:rPr lang="en-US" sz="1100" b="0" i="0" u="none" strike="noStrike" baseline="0">
              <a:solidFill>
                <a:srgbClr val="000000"/>
              </a:solidFill>
              <a:latin typeface="Arial"/>
              <a:cs typeface="Arial"/>
            </a:rPr>
            <a:t>R-OAL, R-PTP, R-BL = Same as above, but referenced from the right end.</a:t>
          </a:r>
        </a:p>
        <a:p>
          <a:pPr algn="l" rtl="0">
            <a:defRPr sz="1000"/>
          </a:pPr>
          <a:endParaRPr lang="en-US" sz="1100" b="0" i="0" u="none" strike="noStrike" baseline="0">
            <a:solidFill>
              <a:srgbClr val="000000"/>
            </a:solidFill>
            <a:latin typeface="Arial"/>
            <a:cs typeface="Arial"/>
          </a:endParaRPr>
        </a:p>
        <a:p>
          <a:pPr algn="l" rtl="0">
            <a:defRPr sz="1000"/>
          </a:pPr>
          <a:endParaRPr lang="en-US" sz="1100" b="0" i="0" u="none" strike="noStrike" baseline="0">
            <a:solidFill>
              <a:srgbClr val="000000"/>
            </a:solidFill>
            <a:latin typeface="Arial"/>
            <a:cs typeface="Arial"/>
          </a:endParaRPr>
        </a:p>
        <a:p>
          <a:pPr algn="l" rtl="0">
            <a:defRPr sz="1000"/>
          </a:pPr>
          <a:r>
            <a:rPr lang="en-US" sz="1100" b="1" i="0" u="none" strike="noStrike" baseline="0">
              <a:solidFill>
                <a:srgbClr val="000000"/>
              </a:solidFill>
              <a:latin typeface="Arial"/>
              <a:cs typeface="Arial"/>
            </a:rPr>
            <a:t>* To use PTP references you must fill out the PTP info and keep it updated.  The AutoCalc BOM will keep the PTP info updated automatically.</a:t>
          </a:r>
        </a:p>
        <a:p>
          <a:pPr algn="l" rtl="0">
            <a:defRPr sz="1000"/>
          </a:pPr>
          <a:endParaRPr lang="en-US" sz="1100" b="1" i="0" u="none" strike="noStrike" baseline="0">
            <a:solidFill>
              <a:srgbClr val="000000"/>
            </a:solidFill>
            <a:latin typeface="Arial"/>
            <a:cs typeface="Arial"/>
          </a:endParaRPr>
        </a:p>
        <a:p>
          <a:pPr algn="l" rtl="0">
            <a:defRPr sz="1000"/>
          </a:pPr>
          <a:r>
            <a:rPr lang="en-US" sz="1100" b="1" i="0" u="none" strike="noStrike" baseline="0">
              <a:solidFill>
                <a:srgbClr val="FF0000"/>
              </a:solidFill>
              <a:latin typeface="Arial"/>
              <a:cs typeface="Arial"/>
            </a:rPr>
            <a:t>Load Cases:</a:t>
          </a:r>
          <a:endParaRPr lang="en-US" sz="1100" b="0" i="0" u="none" strike="noStrike" baseline="0">
            <a:solidFill>
              <a:srgbClr val="000000"/>
            </a:solidFill>
            <a:latin typeface="Arial"/>
            <a:cs typeface="Arial"/>
          </a:endParaRPr>
        </a:p>
        <a:p>
          <a:pPr algn="l" rtl="0">
            <a:defRPr sz="1000"/>
          </a:pPr>
          <a:r>
            <a:rPr lang="en-US" sz="1100" b="0" i="0" u="none" strike="noStrike" baseline="0">
              <a:solidFill>
                <a:srgbClr val="000000"/>
              </a:solidFill>
              <a:latin typeface="Arial"/>
              <a:cs typeface="Arial"/>
            </a:rPr>
            <a:t>A blank LC cell is always "Load Case #1".  Load Cases 2-9 must be defined.  Make sure you include all required loads in each load case.  For example, make sure uniform LL and DL's that apply to all load cases are included in each load case.  You will have to enter some loads several times, once for each LC.</a:t>
          </a:r>
        </a:p>
        <a:p>
          <a:pPr algn="l" rtl="0">
            <a:defRPr sz="1000"/>
          </a:pPr>
          <a:r>
            <a:rPr lang="en-US" sz="1100" b="1" i="0" u="none" strike="noStrike" baseline="0">
              <a:solidFill>
                <a:srgbClr val="FF0000"/>
              </a:solidFill>
              <a:latin typeface="Arial"/>
              <a:cs typeface="Arial"/>
            </a:rPr>
            <a:t>***Note: You no longer need the "LC" prefix for the Load Case numbers.</a:t>
          </a:r>
          <a:endParaRPr lang="en-US" b="1">
            <a:solidFill>
              <a:srgbClr val="FF0000"/>
            </a:solidFill>
          </a:endParaRPr>
        </a:p>
      </xdr:txBody>
    </xdr:sp>
    <xdr:clientData fPrintsWithSheet="0"/>
  </xdr:twoCellAnchor>
  <xdr:twoCellAnchor editAs="absolute">
    <xdr:from>
      <xdr:col>1</xdr:col>
      <xdr:colOff>142875</xdr:colOff>
      <xdr:row>0</xdr:row>
      <xdr:rowOff>0</xdr:rowOff>
    </xdr:from>
    <xdr:to>
      <xdr:col>7</xdr:col>
      <xdr:colOff>200025</xdr:colOff>
      <xdr:row>4</xdr:row>
      <xdr:rowOff>9525</xdr:rowOff>
    </xdr:to>
    <xdr:pic>
      <xdr:nvPicPr>
        <xdr:cNvPr id="7" name="Picture 30" descr="newmill_black_logo">
          <a:extLst>
            <a:ext uri="{FF2B5EF4-FFF2-40B4-BE49-F238E27FC236}">
              <a16:creationId xmlns:a16="http://schemas.microsoft.com/office/drawing/2014/main" id="{00000000-0008-0000-1300-00000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57225" y="0"/>
          <a:ext cx="2162175" cy="676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19</xdr:col>
      <xdr:colOff>383381</xdr:colOff>
      <xdr:row>1</xdr:row>
      <xdr:rowOff>97631</xdr:rowOff>
    </xdr:from>
    <xdr:to>
      <xdr:col>31</xdr:col>
      <xdr:colOff>311943</xdr:colOff>
      <xdr:row>12</xdr:row>
      <xdr:rowOff>69057</xdr:rowOff>
    </xdr:to>
    <xdr:sp macro="" textlink="">
      <xdr:nvSpPr>
        <xdr:cNvPr id="8" name="TextBox 7">
          <a:extLst>
            <a:ext uri="{FF2B5EF4-FFF2-40B4-BE49-F238E27FC236}">
              <a16:creationId xmlns:a16="http://schemas.microsoft.com/office/drawing/2014/main" id="{00000000-0008-0000-1300-000008000000}"/>
            </a:ext>
          </a:extLst>
        </xdr:cNvPr>
        <xdr:cNvSpPr txBox="1"/>
      </xdr:nvSpPr>
      <xdr:spPr>
        <a:xfrm>
          <a:off x="7334250" y="278606"/>
          <a:ext cx="0" cy="15144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latin typeface="Arial" panose="020B0604020202020204" pitchFamily="34" charset="0"/>
              <a:cs typeface="Arial" panose="020B0604020202020204" pitchFamily="34" charset="0"/>
            </a:rPr>
            <a:t>Add "area load" for PSF uniform</a:t>
          </a:r>
          <a:r>
            <a:rPr lang="en-US" sz="1200" baseline="0">
              <a:latin typeface="Arial" panose="020B0604020202020204" pitchFamily="34" charset="0"/>
              <a:cs typeface="Arial" panose="020B0604020202020204" pitchFamily="34" charset="0"/>
            </a:rPr>
            <a:t> l</a:t>
          </a:r>
          <a:r>
            <a:rPr lang="en-US" sz="1200">
              <a:latin typeface="Arial" panose="020B0604020202020204" pitchFamily="34" charset="0"/>
              <a:cs typeface="Arial" panose="020B0604020202020204" pitchFamily="34" charset="0"/>
            </a:rPr>
            <a:t>oad input - make "Load1" distance be the trib </a:t>
          </a:r>
          <a:r>
            <a:rPr lang="en-US" sz="1200" baseline="0">
              <a:latin typeface="Arial" panose="020B0604020202020204" pitchFamily="34" charset="0"/>
              <a:cs typeface="Arial" panose="020B0604020202020204" pitchFamily="34" charset="0"/>
            </a:rPr>
            <a:t> area.</a:t>
          </a:r>
        </a:p>
        <a:p>
          <a:r>
            <a:rPr lang="en-US" sz="1200" baseline="0">
              <a:latin typeface="Arial" panose="020B0604020202020204" pitchFamily="34" charset="0"/>
              <a:cs typeface="Arial" panose="020B0604020202020204" pitchFamily="34" charset="0"/>
            </a:rPr>
            <a:t> -&gt; Move"position" and "ref" lists to the right to allow for new (and future) load types.</a:t>
          </a:r>
        </a:p>
        <a:p>
          <a:endParaRPr lang="en-US" sz="1200" baseline="0">
            <a:latin typeface="Arial" panose="020B0604020202020204" pitchFamily="34" charset="0"/>
            <a:cs typeface="Arial" panose="020B0604020202020204" pitchFamily="34" charset="0"/>
          </a:endParaRPr>
        </a:p>
        <a:p>
          <a:r>
            <a:rPr lang="en-US" sz="1200" baseline="0">
              <a:latin typeface="Arial" panose="020B0604020202020204" pitchFamily="34" charset="0"/>
              <a:cs typeface="Arial" panose="020B0604020202020204" pitchFamily="34" charset="0"/>
            </a:rPr>
            <a:t>JDS allows invalid info /combinations to be input  - add </a:t>
          </a:r>
          <a:r>
            <a:rPr lang="en-US" sz="1200" b="1" baseline="0">
              <a:solidFill>
                <a:srgbClr val="FF0000"/>
              </a:solidFill>
              <a:latin typeface="Arial" panose="020B0604020202020204" pitchFamily="34" charset="0"/>
              <a:cs typeface="Arial" panose="020B0604020202020204" pitchFamily="34" charset="0"/>
            </a:rPr>
            <a:t>validation</a:t>
          </a:r>
          <a:r>
            <a:rPr lang="en-US" sz="1200" baseline="0">
              <a:latin typeface="Arial" panose="020B0604020202020204" pitchFamily="34" charset="0"/>
              <a:cs typeface="Arial" panose="020B0604020202020204" pitchFamily="34" charset="0"/>
            </a:rPr>
            <a:t> for incompattible combinations.....</a:t>
          </a:r>
          <a:endParaRPr lang="en-US" sz="1200">
            <a:latin typeface="Arial" panose="020B0604020202020204" pitchFamily="34" charset="0"/>
            <a:cs typeface="Arial" panose="020B0604020202020204" pitchFamily="34" charset="0"/>
          </a:endParaRPr>
        </a:p>
      </xdr:txBody>
    </xdr:sp>
    <xdr:clientData/>
  </xdr:twoCellAnchor>
</xdr:wsDr>
</file>

<file path=xl/drawings/drawing21.xml><?xml version="1.0" encoding="utf-8"?>
<xdr:wsDr xmlns:xdr="http://schemas.openxmlformats.org/drawingml/2006/spreadsheetDrawing" xmlns:a="http://schemas.openxmlformats.org/drawingml/2006/main">
  <xdr:twoCellAnchor>
    <xdr:from>
      <xdr:col>13</xdr:col>
      <xdr:colOff>333375</xdr:colOff>
      <xdr:row>0</xdr:row>
      <xdr:rowOff>0</xdr:rowOff>
    </xdr:from>
    <xdr:to>
      <xdr:col>13</xdr:col>
      <xdr:colOff>333375</xdr:colOff>
      <xdr:row>5</xdr:row>
      <xdr:rowOff>0</xdr:rowOff>
    </xdr:to>
    <xdr:sp macro="" textlink="">
      <xdr:nvSpPr>
        <xdr:cNvPr id="2" name="Line 2">
          <a:extLst>
            <a:ext uri="{FF2B5EF4-FFF2-40B4-BE49-F238E27FC236}">
              <a16:creationId xmlns:a16="http://schemas.microsoft.com/office/drawing/2014/main" id="{00000000-0008-0000-1400-000002000000}"/>
            </a:ext>
          </a:extLst>
        </xdr:cNvPr>
        <xdr:cNvSpPr>
          <a:spLocks noChangeShapeType="1"/>
        </xdr:cNvSpPr>
      </xdr:nvSpPr>
      <xdr:spPr bwMode="auto">
        <a:xfrm>
          <a:off x="6505575" y="0"/>
          <a:ext cx="0" cy="828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editAs="absolute">
    <xdr:from>
      <xdr:col>0</xdr:col>
      <xdr:colOff>504825</xdr:colOff>
      <xdr:row>0</xdr:row>
      <xdr:rowOff>0</xdr:rowOff>
    </xdr:from>
    <xdr:to>
      <xdr:col>5</xdr:col>
      <xdr:colOff>304800</xdr:colOff>
      <xdr:row>3</xdr:row>
      <xdr:rowOff>142875</xdr:rowOff>
    </xdr:to>
    <xdr:pic>
      <xdr:nvPicPr>
        <xdr:cNvPr id="3" name="Picture 53" descr="newmill_black_logo">
          <a:extLst>
            <a:ext uri="{FF2B5EF4-FFF2-40B4-BE49-F238E27FC236}">
              <a16:creationId xmlns:a16="http://schemas.microsoft.com/office/drawing/2014/main" id="{00000000-0008-0000-1400-00000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04825" y="0"/>
          <a:ext cx="2057400" cy="647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1.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2.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6.xml"/><Relationship Id="rId1" Type="http://schemas.openxmlformats.org/officeDocument/2006/relationships/printerSettings" Target="../printerSettings/printerSettings6.bin"/><Relationship Id="rId6" Type="http://schemas.openxmlformats.org/officeDocument/2006/relationships/comments" Target="../comments3.xml"/><Relationship Id="rId5" Type="http://schemas.openxmlformats.org/officeDocument/2006/relationships/image" Target="../media/image3.emf"/><Relationship Id="rId4" Type="http://schemas.openxmlformats.org/officeDocument/2006/relationships/control" Target="../activeX/activeX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7.xml"/><Relationship Id="rId1" Type="http://schemas.openxmlformats.org/officeDocument/2006/relationships/printerSettings" Target="../printerSettings/printerSettings7.bin"/><Relationship Id="rId4" Type="http://schemas.openxmlformats.org/officeDocument/2006/relationships/comments" Target="../comments4.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8.xml"/><Relationship Id="rId1" Type="http://schemas.openxmlformats.org/officeDocument/2006/relationships/printerSettings" Target="../printerSettings/printerSettings8.bin"/><Relationship Id="rId4" Type="http://schemas.openxmlformats.org/officeDocument/2006/relationships/comments" Target="../comments5.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9.xml"/><Relationship Id="rId1" Type="http://schemas.openxmlformats.org/officeDocument/2006/relationships/printerSettings" Target="../printerSettings/printerSettings9.bin"/><Relationship Id="rId4" Type="http://schemas.openxmlformats.org/officeDocument/2006/relationships/comments" Target="../comments6.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10.xml"/><Relationship Id="rId1" Type="http://schemas.openxmlformats.org/officeDocument/2006/relationships/printerSettings" Target="../printerSettings/printerSettings10.bin"/><Relationship Id="rId4" Type="http://schemas.openxmlformats.org/officeDocument/2006/relationships/comments" Target="../comments7.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11.xml"/><Relationship Id="rId1" Type="http://schemas.openxmlformats.org/officeDocument/2006/relationships/printerSettings" Target="../printerSettings/printerSettings11.bin"/><Relationship Id="rId4" Type="http://schemas.openxmlformats.org/officeDocument/2006/relationships/comments" Target="../comments8.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12.xml"/><Relationship Id="rId1" Type="http://schemas.openxmlformats.org/officeDocument/2006/relationships/printerSettings" Target="../printerSettings/printerSettings12.bin"/><Relationship Id="rId4" Type="http://schemas.openxmlformats.org/officeDocument/2006/relationships/comments" Target="../comments9.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13.xml"/><Relationship Id="rId1" Type="http://schemas.openxmlformats.org/officeDocument/2006/relationships/printerSettings" Target="../printerSettings/printerSettings13.bin"/><Relationship Id="rId4" Type="http://schemas.openxmlformats.org/officeDocument/2006/relationships/comments" Target="../comments10.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15.xml"/><Relationship Id="rId1" Type="http://schemas.openxmlformats.org/officeDocument/2006/relationships/printerSettings" Target="../printerSettings/printerSettings15.bin"/><Relationship Id="rId4" Type="http://schemas.openxmlformats.org/officeDocument/2006/relationships/comments" Target="../comments11.xml"/></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16.xml"/><Relationship Id="rId1" Type="http://schemas.openxmlformats.org/officeDocument/2006/relationships/printerSettings" Target="../printerSettings/printerSettings16.bin"/><Relationship Id="rId6" Type="http://schemas.openxmlformats.org/officeDocument/2006/relationships/comments" Target="../comments12.xml"/><Relationship Id="rId5" Type="http://schemas.openxmlformats.org/officeDocument/2006/relationships/image" Target="../media/image11.emf"/><Relationship Id="rId4" Type="http://schemas.openxmlformats.org/officeDocument/2006/relationships/control" Target="../activeX/activeX2.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7.xml"/><Relationship Id="rId1" Type="http://schemas.openxmlformats.org/officeDocument/2006/relationships/printerSettings" Target="../printerSettings/printerSettings17.bin"/><Relationship Id="rId4" Type="http://schemas.openxmlformats.org/officeDocument/2006/relationships/comments" Target="../comments13.xml"/></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18.xml"/><Relationship Id="rId1" Type="http://schemas.openxmlformats.org/officeDocument/2006/relationships/printerSettings" Target="../printerSettings/printerSettings18.bin"/><Relationship Id="rId4" Type="http://schemas.openxmlformats.org/officeDocument/2006/relationships/comments" Target="../comments14.xml"/></Relationships>
</file>

<file path=xl/worksheets/_rels/sheet19.xml.rels><?xml version="1.0" encoding="UTF-8" standalone="yes"?>
<Relationships xmlns="http://schemas.openxmlformats.org/package/2006/relationships"><Relationship Id="rId3" Type="http://schemas.openxmlformats.org/officeDocument/2006/relationships/vmlDrawing" Target="../drawings/vmlDrawing15.vml"/><Relationship Id="rId2" Type="http://schemas.openxmlformats.org/officeDocument/2006/relationships/drawing" Target="../drawings/drawing19.xml"/><Relationship Id="rId1" Type="http://schemas.openxmlformats.org/officeDocument/2006/relationships/printerSettings" Target="../printerSettings/printerSettings19.bin"/><Relationship Id="rId4" Type="http://schemas.openxmlformats.org/officeDocument/2006/relationships/comments" Target="../comments15.xml"/></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16.vml"/><Relationship Id="rId2" Type="http://schemas.openxmlformats.org/officeDocument/2006/relationships/drawing" Target="../drawings/drawing20.xml"/><Relationship Id="rId1" Type="http://schemas.openxmlformats.org/officeDocument/2006/relationships/printerSettings" Target="../printerSettings/printerSettings20.bin"/><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17.vml"/><Relationship Id="rId2" Type="http://schemas.openxmlformats.org/officeDocument/2006/relationships/drawing" Target="../drawings/drawing21.xml"/><Relationship Id="rId1" Type="http://schemas.openxmlformats.org/officeDocument/2006/relationships/printerSettings" Target="../printerSettings/printerSettings21.bin"/><Relationship Id="rId4" Type="http://schemas.openxmlformats.org/officeDocument/2006/relationships/comments" Target="../comments1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
    <tabColor indexed="10"/>
  </sheetPr>
  <dimension ref="A1:H65"/>
  <sheetViews>
    <sheetView showGridLines="0" zoomScaleNormal="100" workbookViewId="0">
      <selection activeCell="A8" sqref="A8"/>
    </sheetView>
  </sheetViews>
  <sheetFormatPr defaultColWidth="9.140625" defaultRowHeight="12.75" x14ac:dyDescent="0.2"/>
  <cols>
    <col min="1" max="1" width="10.7109375" style="1" customWidth="1"/>
    <col min="2" max="2" width="10.28515625" style="1" customWidth="1"/>
    <col min="3" max="3" width="32.7109375" style="1" customWidth="1"/>
    <col min="4" max="4" width="13.7109375" style="1" customWidth="1"/>
    <col min="5" max="5" width="10.7109375" style="1" customWidth="1"/>
    <col min="6" max="6" width="6.7109375" style="1" customWidth="1"/>
    <col min="7" max="7" width="7.28515625" style="1" customWidth="1"/>
    <col min="8" max="8" width="10.7109375" style="1" customWidth="1"/>
    <col min="9" max="16384" width="9.140625" style="1"/>
  </cols>
  <sheetData>
    <row r="1" spans="1:8" s="3" customFormat="1" ht="39.950000000000003" customHeight="1" x14ac:dyDescent="0.3">
      <c r="A1" s="484" t="s">
        <v>43</v>
      </c>
      <c r="B1" s="298"/>
      <c r="C1" s="298"/>
      <c r="D1" s="298"/>
      <c r="E1" s="393" t="s">
        <v>20</v>
      </c>
      <c r="F1" s="1697" t="e">
        <f>IF(ISBLANK(#REF!),"",#REF!)</f>
        <v>#REF!</v>
      </c>
      <c r="G1" s="1697"/>
      <c r="H1" s="298"/>
    </row>
    <row r="2" spans="1:8" ht="39.950000000000003" customHeight="1" x14ac:dyDescent="0.2">
      <c r="A2" s="4" t="s">
        <v>41</v>
      </c>
      <c r="B2" s="322"/>
      <c r="C2" s="322"/>
      <c r="D2" s="298"/>
      <c r="E2" s="394" t="s">
        <v>21</v>
      </c>
      <c r="F2" s="485"/>
      <c r="G2" s="485"/>
      <c r="H2" s="322"/>
    </row>
    <row r="3" spans="1:8" ht="6" customHeight="1" x14ac:dyDescent="0.2">
      <c r="A3" s="322"/>
      <c r="B3" s="322"/>
      <c r="C3" s="322"/>
      <c r="D3" s="322"/>
      <c r="E3" s="322"/>
      <c r="F3" s="322"/>
      <c r="G3" s="322"/>
      <c r="H3" s="322"/>
    </row>
    <row r="4" spans="1:8" ht="15.95" customHeight="1" x14ac:dyDescent="0.2">
      <c r="A4" s="407" t="s">
        <v>1</v>
      </c>
      <c r="B4" s="1699" t="e">
        <f>IF(ISBLANK(#REF!),"",#REF!)</f>
        <v>#REF!</v>
      </c>
      <c r="C4" s="1700"/>
      <c r="D4" s="407" t="s">
        <v>2</v>
      </c>
      <c r="E4" s="1699" t="e">
        <f>IF(ISBLANK(#REF!),"",#REF!)</f>
        <v>#REF!</v>
      </c>
      <c r="F4" s="1699"/>
      <c r="G4" s="1699"/>
      <c r="H4" s="1700"/>
    </row>
    <row r="5" spans="1:8" ht="15.95" customHeight="1" x14ac:dyDescent="0.2">
      <c r="A5" s="407" t="s">
        <v>3</v>
      </c>
      <c r="B5" s="1699" t="e">
        <f>IF(ISBLANK(#REF!),"",#REF!)</f>
        <v>#REF!</v>
      </c>
      <c r="C5" s="1700"/>
      <c r="D5" s="407" t="s">
        <v>22</v>
      </c>
      <c r="E5" s="604" t="e">
        <f>IF(ISBLANK(#REF!),"",#REF!)</f>
        <v>#REF!</v>
      </c>
      <c r="F5" s="145"/>
      <c r="G5" s="391" t="s">
        <v>23</v>
      </c>
      <c r="H5" s="604" t="e">
        <f>IF(ISBLANK(#REF!),"",#REF!)</f>
        <v>#REF!</v>
      </c>
    </row>
    <row r="6" spans="1:8" ht="6" customHeight="1" x14ac:dyDescent="0.2">
      <c r="A6" s="322"/>
      <c r="B6" s="322"/>
      <c r="C6" s="322"/>
      <c r="D6" s="322"/>
      <c r="E6" s="322"/>
      <c r="F6" s="322"/>
      <c r="G6" s="322"/>
      <c r="H6" s="322"/>
    </row>
    <row r="7" spans="1:8" s="6" customFormat="1" ht="15.95" customHeight="1" x14ac:dyDescent="0.2">
      <c r="A7" s="992" t="s">
        <v>40</v>
      </c>
      <c r="B7" s="1698" t="s">
        <v>15</v>
      </c>
      <c r="C7" s="1698"/>
      <c r="D7" s="1698"/>
      <c r="E7" s="1698"/>
      <c r="F7" s="1698"/>
      <c r="G7" s="1698"/>
      <c r="H7" s="1698"/>
    </row>
    <row r="8" spans="1:8" ht="15" customHeight="1" x14ac:dyDescent="0.2">
      <c r="A8" s="960"/>
      <c r="B8" s="1695"/>
      <c r="C8" s="1695"/>
      <c r="D8" s="1695"/>
      <c r="E8" s="1695"/>
      <c r="F8" s="1695"/>
      <c r="G8" s="1695"/>
      <c r="H8" s="1695"/>
    </row>
    <row r="9" spans="1:8" ht="15" customHeight="1" x14ac:dyDescent="0.2">
      <c r="A9" s="961"/>
      <c r="B9" s="1694"/>
      <c r="C9" s="1694"/>
      <c r="D9" s="1694"/>
      <c r="E9" s="1694"/>
      <c r="F9" s="1694"/>
      <c r="G9" s="1694"/>
      <c r="H9" s="1694"/>
    </row>
    <row r="10" spans="1:8" ht="15" customHeight="1" x14ac:dyDescent="0.2">
      <c r="A10" s="961"/>
      <c r="B10" s="1694"/>
      <c r="C10" s="1694"/>
      <c r="D10" s="1694"/>
      <c r="E10" s="1694"/>
      <c r="F10" s="1694"/>
      <c r="G10" s="1694"/>
      <c r="H10" s="1694"/>
    </row>
    <row r="11" spans="1:8" ht="15" customHeight="1" x14ac:dyDescent="0.2">
      <c r="A11" s="961"/>
      <c r="B11" s="1694"/>
      <c r="C11" s="1694"/>
      <c r="D11" s="1694"/>
      <c r="E11" s="1694"/>
      <c r="F11" s="1694"/>
      <c r="G11" s="1694"/>
      <c r="H11" s="1694"/>
    </row>
    <row r="12" spans="1:8" ht="15" customHeight="1" x14ac:dyDescent="0.2">
      <c r="A12" s="961"/>
      <c r="B12" s="1694"/>
      <c r="C12" s="1694"/>
      <c r="D12" s="1694"/>
      <c r="E12" s="1694"/>
      <c r="F12" s="1694"/>
      <c r="G12" s="1694"/>
      <c r="H12" s="1694"/>
    </row>
    <row r="13" spans="1:8" ht="15" customHeight="1" x14ac:dyDescent="0.2">
      <c r="A13" s="961"/>
      <c r="B13" s="1694"/>
      <c r="C13" s="1694"/>
      <c r="D13" s="1694"/>
      <c r="E13" s="1694"/>
      <c r="F13" s="1694"/>
      <c r="G13" s="1694"/>
      <c r="H13" s="1694"/>
    </row>
    <row r="14" spans="1:8" ht="15" customHeight="1" x14ac:dyDescent="0.2">
      <c r="A14" s="961"/>
      <c r="B14" s="1694"/>
      <c r="C14" s="1694"/>
      <c r="D14" s="1694"/>
      <c r="E14" s="1694"/>
      <c r="F14" s="1694"/>
      <c r="G14" s="1694"/>
      <c r="H14" s="1694"/>
    </row>
    <row r="15" spans="1:8" ht="15" customHeight="1" x14ac:dyDescent="0.2">
      <c r="A15" s="961"/>
      <c r="B15" s="1694"/>
      <c r="C15" s="1694"/>
      <c r="D15" s="1694"/>
      <c r="E15" s="1694"/>
      <c r="F15" s="1694"/>
      <c r="G15" s="1694"/>
      <c r="H15" s="1694"/>
    </row>
    <row r="16" spans="1:8" ht="15" customHeight="1" x14ac:dyDescent="0.2">
      <c r="A16" s="961"/>
      <c r="B16" s="1694"/>
      <c r="C16" s="1694"/>
      <c r="D16" s="1694"/>
      <c r="E16" s="1694"/>
      <c r="F16" s="1694"/>
      <c r="G16" s="1694"/>
      <c r="H16" s="1694"/>
    </row>
    <row r="17" spans="1:8" ht="15" customHeight="1" x14ac:dyDescent="0.2">
      <c r="A17" s="961"/>
      <c r="B17" s="1694"/>
      <c r="C17" s="1694"/>
      <c r="D17" s="1694"/>
      <c r="E17" s="1694"/>
      <c r="F17" s="1694"/>
      <c r="G17" s="1694"/>
      <c r="H17" s="1694"/>
    </row>
    <row r="18" spans="1:8" ht="15" customHeight="1" x14ac:dyDescent="0.2">
      <c r="A18" s="961"/>
      <c r="B18" s="1694"/>
      <c r="C18" s="1694"/>
      <c r="D18" s="1694"/>
      <c r="E18" s="1694"/>
      <c r="F18" s="1694"/>
      <c r="G18" s="1694"/>
      <c r="H18" s="1694"/>
    </row>
    <row r="19" spans="1:8" ht="15" customHeight="1" x14ac:dyDescent="0.2">
      <c r="A19" s="961"/>
      <c r="B19" s="1694"/>
      <c r="C19" s="1694"/>
      <c r="D19" s="1694"/>
      <c r="E19" s="1694"/>
      <c r="F19" s="1694"/>
      <c r="G19" s="1694"/>
      <c r="H19" s="1694"/>
    </row>
    <row r="20" spans="1:8" ht="15" customHeight="1" x14ac:dyDescent="0.2">
      <c r="A20" s="961"/>
      <c r="B20" s="1694"/>
      <c r="C20" s="1694"/>
      <c r="D20" s="1694"/>
      <c r="E20" s="1694"/>
      <c r="F20" s="1694"/>
      <c r="G20" s="1694"/>
      <c r="H20" s="1694"/>
    </row>
    <row r="21" spans="1:8" ht="15" customHeight="1" x14ac:dyDescent="0.2">
      <c r="A21" s="961"/>
      <c r="B21" s="1694"/>
      <c r="C21" s="1694"/>
      <c r="D21" s="1694"/>
      <c r="E21" s="1694"/>
      <c r="F21" s="1694"/>
      <c r="G21" s="1694"/>
      <c r="H21" s="1694"/>
    </row>
    <row r="22" spans="1:8" ht="15" customHeight="1" x14ac:dyDescent="0.2">
      <c r="A22" s="961"/>
      <c r="B22" s="1694"/>
      <c r="C22" s="1694"/>
      <c r="D22" s="1694"/>
      <c r="E22" s="1694"/>
      <c r="F22" s="1694"/>
      <c r="G22" s="1694"/>
      <c r="H22" s="1694"/>
    </row>
    <row r="23" spans="1:8" ht="15" customHeight="1" x14ac:dyDescent="0.2">
      <c r="A23" s="961"/>
      <c r="B23" s="1694"/>
      <c r="C23" s="1694"/>
      <c r="D23" s="1694"/>
      <c r="E23" s="1694"/>
      <c r="F23" s="1694"/>
      <c r="G23" s="1694"/>
      <c r="H23" s="1694"/>
    </row>
    <row r="24" spans="1:8" ht="15" customHeight="1" x14ac:dyDescent="0.2">
      <c r="A24" s="961"/>
      <c r="B24" s="1694"/>
      <c r="C24" s="1694"/>
      <c r="D24" s="1694"/>
      <c r="E24" s="1694"/>
      <c r="F24" s="1694"/>
      <c r="G24" s="1694"/>
      <c r="H24" s="1694"/>
    </row>
    <row r="25" spans="1:8" ht="15" customHeight="1" x14ac:dyDescent="0.2">
      <c r="A25" s="961"/>
      <c r="B25" s="1694"/>
      <c r="C25" s="1694"/>
      <c r="D25" s="1694"/>
      <c r="E25" s="1694"/>
      <c r="F25" s="1694"/>
      <c r="G25" s="1694"/>
      <c r="H25" s="1694"/>
    </row>
    <row r="26" spans="1:8" ht="15" customHeight="1" x14ac:dyDescent="0.2">
      <c r="A26" s="961"/>
      <c r="B26" s="1694"/>
      <c r="C26" s="1694"/>
      <c r="D26" s="1694"/>
      <c r="E26" s="1694"/>
      <c r="F26" s="1694"/>
      <c r="G26" s="1694"/>
      <c r="H26" s="1694"/>
    </row>
    <row r="27" spans="1:8" ht="15" customHeight="1" x14ac:dyDescent="0.2">
      <c r="A27" s="961"/>
      <c r="B27" s="1694"/>
      <c r="C27" s="1694"/>
      <c r="D27" s="1694"/>
      <c r="E27" s="1694"/>
      <c r="F27" s="1694"/>
      <c r="G27" s="1694"/>
      <c r="H27" s="1694"/>
    </row>
    <row r="28" spans="1:8" ht="15" customHeight="1" x14ac:dyDescent="0.2">
      <c r="A28" s="961"/>
      <c r="B28" s="1694"/>
      <c r="C28" s="1694"/>
      <c r="D28" s="1694"/>
      <c r="E28" s="1694"/>
      <c r="F28" s="1694"/>
      <c r="G28" s="1694"/>
      <c r="H28" s="1694"/>
    </row>
    <row r="29" spans="1:8" ht="15" customHeight="1" x14ac:dyDescent="0.2">
      <c r="A29" s="961"/>
      <c r="B29" s="1694"/>
      <c r="C29" s="1694"/>
      <c r="D29" s="1694"/>
      <c r="E29" s="1694"/>
      <c r="F29" s="1694"/>
      <c r="G29" s="1694"/>
      <c r="H29" s="1694"/>
    </row>
    <row r="30" spans="1:8" ht="15" customHeight="1" x14ac:dyDescent="0.2">
      <c r="A30" s="961"/>
      <c r="B30" s="1694"/>
      <c r="C30" s="1694"/>
      <c r="D30" s="1694"/>
      <c r="E30" s="1694"/>
      <c r="F30" s="1694"/>
      <c r="G30" s="1694"/>
      <c r="H30" s="1694"/>
    </row>
    <row r="31" spans="1:8" ht="15" customHeight="1" x14ac:dyDescent="0.2">
      <c r="A31" s="961"/>
      <c r="B31" s="1694"/>
      <c r="C31" s="1694"/>
      <c r="D31" s="1694"/>
      <c r="E31" s="1694"/>
      <c r="F31" s="1694"/>
      <c r="G31" s="1694"/>
      <c r="H31" s="1694"/>
    </row>
    <row r="32" spans="1:8" ht="15" customHeight="1" x14ac:dyDescent="0.2">
      <c r="A32" s="961"/>
      <c r="B32" s="1694"/>
      <c r="C32" s="1694"/>
      <c r="D32" s="1694"/>
      <c r="E32" s="1694"/>
      <c r="F32" s="1694"/>
      <c r="G32" s="1694"/>
      <c r="H32" s="1694"/>
    </row>
    <row r="33" spans="1:8" ht="15" customHeight="1" x14ac:dyDescent="0.2">
      <c r="A33" s="961"/>
      <c r="B33" s="1694"/>
      <c r="C33" s="1694"/>
      <c r="D33" s="1694"/>
      <c r="E33" s="1694"/>
      <c r="F33" s="1694"/>
      <c r="G33" s="1694"/>
      <c r="H33" s="1694"/>
    </row>
    <row r="34" spans="1:8" ht="15" customHeight="1" x14ac:dyDescent="0.2">
      <c r="A34" s="961"/>
      <c r="B34" s="1694"/>
      <c r="C34" s="1694"/>
      <c r="D34" s="1694"/>
      <c r="E34" s="1694"/>
      <c r="F34" s="1694"/>
      <c r="G34" s="1694"/>
      <c r="H34" s="1694"/>
    </row>
    <row r="35" spans="1:8" ht="15" customHeight="1" x14ac:dyDescent="0.2">
      <c r="A35" s="961"/>
      <c r="B35" s="1694"/>
      <c r="C35" s="1694"/>
      <c r="D35" s="1694"/>
      <c r="E35" s="1694"/>
      <c r="F35" s="1694"/>
      <c r="G35" s="1694"/>
      <c r="H35" s="1694"/>
    </row>
    <row r="36" spans="1:8" ht="15" customHeight="1" x14ac:dyDescent="0.2">
      <c r="A36" s="961"/>
      <c r="B36" s="1694"/>
      <c r="C36" s="1694"/>
      <c r="D36" s="1694"/>
      <c r="E36" s="1694"/>
      <c r="F36" s="1694"/>
      <c r="G36" s="1694"/>
      <c r="H36" s="1694"/>
    </row>
    <row r="37" spans="1:8" ht="15" customHeight="1" x14ac:dyDescent="0.2">
      <c r="A37" s="961"/>
      <c r="B37" s="1694"/>
      <c r="C37" s="1694"/>
      <c r="D37" s="1694"/>
      <c r="E37" s="1694"/>
      <c r="F37" s="1694"/>
      <c r="G37" s="1694"/>
      <c r="H37" s="1694"/>
    </row>
    <row r="38" spans="1:8" ht="15" customHeight="1" x14ac:dyDescent="0.2">
      <c r="A38" s="961"/>
      <c r="B38" s="1694"/>
      <c r="C38" s="1694"/>
      <c r="D38" s="1694"/>
      <c r="E38" s="1694"/>
      <c r="F38" s="1694"/>
      <c r="G38" s="1694"/>
      <c r="H38" s="1694"/>
    </row>
    <row r="39" spans="1:8" ht="15" customHeight="1" x14ac:dyDescent="0.2">
      <c r="A39" s="961"/>
      <c r="B39" s="1694"/>
      <c r="C39" s="1694"/>
      <c r="D39" s="1694"/>
      <c r="E39" s="1694"/>
      <c r="F39" s="1694"/>
      <c r="G39" s="1694"/>
      <c r="H39" s="1694"/>
    </row>
    <row r="40" spans="1:8" ht="15" customHeight="1" x14ac:dyDescent="0.2">
      <c r="A40" s="961"/>
      <c r="B40" s="1694"/>
      <c r="C40" s="1694"/>
      <c r="D40" s="1694"/>
      <c r="E40" s="1694"/>
      <c r="F40" s="1694"/>
      <c r="G40" s="1694"/>
      <c r="H40" s="1694"/>
    </row>
    <row r="41" spans="1:8" ht="15" customHeight="1" x14ac:dyDescent="0.2">
      <c r="A41" s="961"/>
      <c r="B41" s="1694"/>
      <c r="C41" s="1694"/>
      <c r="D41" s="1694"/>
      <c r="E41" s="1694"/>
      <c r="F41" s="1694"/>
      <c r="G41" s="1694"/>
      <c r="H41" s="1694"/>
    </row>
    <row r="42" spans="1:8" ht="15" customHeight="1" x14ac:dyDescent="0.2">
      <c r="A42" s="961"/>
      <c r="B42" s="1694"/>
      <c r="C42" s="1694"/>
      <c r="D42" s="1694"/>
      <c r="E42" s="1694"/>
      <c r="F42" s="1694"/>
      <c r="G42" s="1694"/>
      <c r="H42" s="1694"/>
    </row>
    <row r="43" spans="1:8" ht="15" customHeight="1" x14ac:dyDescent="0.2">
      <c r="A43" s="961"/>
      <c r="B43" s="1694"/>
      <c r="C43" s="1694"/>
      <c r="D43" s="1694"/>
      <c r="E43" s="1694"/>
      <c r="F43" s="1694"/>
      <c r="G43" s="1694"/>
      <c r="H43" s="1694"/>
    </row>
    <row r="44" spans="1:8" ht="15" customHeight="1" x14ac:dyDescent="0.2">
      <c r="A44" s="961"/>
      <c r="B44" s="1694"/>
      <c r="C44" s="1694"/>
      <c r="D44" s="1694"/>
      <c r="E44" s="1694"/>
      <c r="F44" s="1694"/>
      <c r="G44" s="1694"/>
      <c r="H44" s="1694"/>
    </row>
    <row r="45" spans="1:8" ht="15" customHeight="1" x14ac:dyDescent="0.2">
      <c r="A45" s="961"/>
      <c r="B45" s="1694"/>
      <c r="C45" s="1694"/>
      <c r="D45" s="1694"/>
      <c r="E45" s="1694"/>
      <c r="F45" s="1694"/>
      <c r="G45" s="1694"/>
      <c r="H45" s="1694"/>
    </row>
    <row r="46" spans="1:8" ht="15" customHeight="1" x14ac:dyDescent="0.2">
      <c r="A46" s="961"/>
      <c r="B46" s="1694"/>
      <c r="C46" s="1694"/>
      <c r="D46" s="1694"/>
      <c r="E46" s="1694"/>
      <c r="F46" s="1694"/>
      <c r="G46" s="1694"/>
      <c r="H46" s="1694"/>
    </row>
    <row r="47" spans="1:8" ht="15" customHeight="1" x14ac:dyDescent="0.2">
      <c r="A47" s="962"/>
      <c r="B47" s="1696"/>
      <c r="C47" s="1696"/>
      <c r="D47" s="1696"/>
      <c r="E47" s="1696"/>
      <c r="F47" s="1696"/>
      <c r="G47" s="1696"/>
      <c r="H47" s="1696"/>
    </row>
    <row r="59" spans="1:1" x14ac:dyDescent="0.2">
      <c r="A59" s="707" t="s">
        <v>614</v>
      </c>
    </row>
    <row r="60" spans="1:1" hidden="1" x14ac:dyDescent="0.2">
      <c r="A60" s="831" t="s">
        <v>118</v>
      </c>
    </row>
    <row r="61" spans="1:1" hidden="1" x14ac:dyDescent="0.2">
      <c r="A61" s="833"/>
    </row>
    <row r="62" spans="1:1" hidden="1" x14ac:dyDescent="0.2"/>
    <row r="63" spans="1:1" hidden="1" x14ac:dyDescent="0.2"/>
    <row r="64" spans="1:1" hidden="1" x14ac:dyDescent="0.2"/>
    <row r="65" spans="1:1" x14ac:dyDescent="0.2">
      <c r="A65" s="707" t="s">
        <v>615</v>
      </c>
    </row>
  </sheetData>
  <sheetProtection selectLockedCells="1"/>
  <dataConsolidate link="1"/>
  <mergeCells count="45">
    <mergeCell ref="F1:G1"/>
    <mergeCell ref="B7:H7"/>
    <mergeCell ref="B4:C4"/>
    <mergeCell ref="B5:C5"/>
    <mergeCell ref="E4:H4"/>
    <mergeCell ref="B47:H47"/>
    <mergeCell ref="B22:H22"/>
    <mergeCell ref="B23:H23"/>
    <mergeCell ref="B24:H24"/>
    <mergeCell ref="B13:H13"/>
    <mergeCell ref="B21:H21"/>
    <mergeCell ref="B14:H14"/>
    <mergeCell ref="B19:H19"/>
    <mergeCell ref="B20:H20"/>
    <mergeCell ref="B17:H17"/>
    <mergeCell ref="B18:H18"/>
    <mergeCell ref="B29:H29"/>
    <mergeCell ref="B30:H30"/>
    <mergeCell ref="B35:H35"/>
    <mergeCell ref="B36:H36"/>
    <mergeCell ref="B37:H37"/>
    <mergeCell ref="B8:H8"/>
    <mergeCell ref="B9:H9"/>
    <mergeCell ref="B10:H10"/>
    <mergeCell ref="B27:H27"/>
    <mergeCell ref="B28:H28"/>
    <mergeCell ref="B11:H11"/>
    <mergeCell ref="B12:H12"/>
    <mergeCell ref="B26:H26"/>
    <mergeCell ref="B25:H25"/>
    <mergeCell ref="B15:H15"/>
    <mergeCell ref="B16:H16"/>
    <mergeCell ref="B38:H38"/>
    <mergeCell ref="B31:H31"/>
    <mergeCell ref="B32:H32"/>
    <mergeCell ref="B33:H33"/>
    <mergeCell ref="B34:H34"/>
    <mergeCell ref="B45:H45"/>
    <mergeCell ref="B46:H46"/>
    <mergeCell ref="B39:H39"/>
    <mergeCell ref="B40:H40"/>
    <mergeCell ref="B43:H43"/>
    <mergeCell ref="B44:H44"/>
    <mergeCell ref="B41:H41"/>
    <mergeCell ref="B42:H42"/>
  </mergeCells>
  <phoneticPr fontId="0" type="noConversion"/>
  <printOptions horizontalCentered="1"/>
  <pageMargins left="0.3" right="0.3" top="0.5" bottom="0.5" header="0" footer="0.25"/>
  <pageSetup orientation="portrait" blackAndWhite="1" r:id="rId1"/>
  <headerFooter alignWithMargins="0">
    <oddFooter>&amp;L&amp;8Form Revised: 3/18/2008
File: &amp;F&amp;R&amp;8Printed: &amp;D &amp;T</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
    <tabColor rgb="FFFF6600"/>
  </sheetPr>
  <dimension ref="A1:H65"/>
  <sheetViews>
    <sheetView showGridLines="0" zoomScaleNormal="100" workbookViewId="0">
      <selection activeCell="A8" sqref="A8"/>
    </sheetView>
  </sheetViews>
  <sheetFormatPr defaultColWidth="9.140625" defaultRowHeight="12.75" x14ac:dyDescent="0.2"/>
  <cols>
    <col min="1" max="1" width="10.7109375" style="1" customWidth="1"/>
    <col min="2" max="2" width="10.28515625" style="1" customWidth="1"/>
    <col min="3" max="3" width="32.7109375" style="1" customWidth="1"/>
    <col min="4" max="4" width="13.7109375" style="1" customWidth="1"/>
    <col min="5" max="5" width="10.7109375" style="1" customWidth="1"/>
    <col min="6" max="6" width="6.7109375" style="1" customWidth="1"/>
    <col min="7" max="7" width="7.28515625" style="1" customWidth="1"/>
    <col min="8" max="8" width="10.7109375" style="1" customWidth="1"/>
    <col min="9" max="16384" width="9.140625" style="1"/>
  </cols>
  <sheetData>
    <row r="1" spans="1:8" s="3" customFormat="1" ht="39.950000000000003" customHeight="1" x14ac:dyDescent="0.3">
      <c r="A1" s="484"/>
      <c r="B1" s="298"/>
      <c r="C1" s="298"/>
      <c r="D1" s="298"/>
      <c r="E1" s="393" t="s">
        <v>20</v>
      </c>
      <c r="F1" s="1702" t="e">
        <f>IF(ISBLANK(#REF!),"",#REF!)</f>
        <v>#REF!</v>
      </c>
      <c r="G1" s="1702"/>
      <c r="H1" s="298"/>
    </row>
    <row r="2" spans="1:8" ht="39.950000000000003" customHeight="1" x14ac:dyDescent="0.2">
      <c r="A2" s="1264" t="s">
        <v>42</v>
      </c>
      <c r="B2" s="322"/>
      <c r="C2" s="322"/>
      <c r="D2" s="1432" t="s">
        <v>806</v>
      </c>
      <c r="E2" s="394" t="s">
        <v>21</v>
      </c>
      <c r="F2" s="1265"/>
      <c r="G2" s="1265"/>
      <c r="H2" s="322"/>
    </row>
    <row r="3" spans="1:8" ht="6" customHeight="1" x14ac:dyDescent="0.2">
      <c r="A3" s="322"/>
      <c r="B3" s="322"/>
      <c r="C3" s="322"/>
      <c r="D3" s="322"/>
      <c r="E3" s="322"/>
      <c r="F3" s="322"/>
      <c r="G3" s="322"/>
      <c r="H3" s="322"/>
    </row>
    <row r="4" spans="1:8" ht="15.95" customHeight="1" x14ac:dyDescent="0.2">
      <c r="A4" s="407" t="s">
        <v>1</v>
      </c>
      <c r="B4" s="1699" t="e">
        <f>IF(ISBLANK(#REF!),"",#REF!)</f>
        <v>#REF!</v>
      </c>
      <c r="C4" s="1700"/>
      <c r="D4" s="407" t="s">
        <v>2</v>
      </c>
      <c r="E4" s="1699" t="e">
        <f>IF(ISBLANK(#REF!),"",#REF!)</f>
        <v>#REF!</v>
      </c>
      <c r="F4" s="1699"/>
      <c r="G4" s="1699"/>
      <c r="H4" s="1700"/>
    </row>
    <row r="5" spans="1:8" ht="15.95" customHeight="1" x14ac:dyDescent="0.2">
      <c r="A5" s="407" t="s">
        <v>3</v>
      </c>
      <c r="B5" s="1699" t="e">
        <f>IF(ISBLANK(#REF!),"",#REF!)</f>
        <v>#REF!</v>
      </c>
      <c r="C5" s="1700"/>
      <c r="D5" s="407" t="s">
        <v>22</v>
      </c>
      <c r="E5" s="1263" t="e">
        <f>IF(ISBLANK(#REF!),"",#REF!)</f>
        <v>#REF!</v>
      </c>
      <c r="F5" s="145"/>
      <c r="G5" s="391" t="s">
        <v>23</v>
      </c>
      <c r="H5" s="1263" t="e">
        <f>IF(ISBLANK(#REF!),"",#REF!)</f>
        <v>#REF!</v>
      </c>
    </row>
    <row r="6" spans="1:8" ht="6" customHeight="1" x14ac:dyDescent="0.2">
      <c r="A6" s="322"/>
      <c r="B6" s="322"/>
      <c r="C6" s="322"/>
      <c r="D6" s="322"/>
      <c r="E6" s="322"/>
      <c r="F6" s="322"/>
      <c r="G6" s="322"/>
      <c r="H6" s="322"/>
    </row>
    <row r="7" spans="1:8" s="6" customFormat="1" ht="15.95" customHeight="1" x14ac:dyDescent="0.2">
      <c r="A7" s="992" t="s">
        <v>30</v>
      </c>
      <c r="B7" s="1698" t="s">
        <v>15</v>
      </c>
      <c r="C7" s="1698"/>
      <c r="D7" s="1698"/>
      <c r="E7" s="1698"/>
      <c r="F7" s="1698"/>
      <c r="G7" s="1698"/>
      <c r="H7" s="1698"/>
    </row>
    <row r="8" spans="1:8" ht="15" customHeight="1" x14ac:dyDescent="0.2">
      <c r="A8" s="1384"/>
      <c r="B8" s="1701"/>
      <c r="C8" s="1701"/>
      <c r="D8" s="1701"/>
      <c r="E8" s="1701"/>
      <c r="F8" s="1701"/>
      <c r="G8" s="1701"/>
      <c r="H8" s="1701"/>
    </row>
    <row r="9" spans="1:8" ht="15" customHeight="1" x14ac:dyDescent="0.2">
      <c r="A9" s="1392"/>
      <c r="B9" s="1703"/>
      <c r="C9" s="1703"/>
      <c r="D9" s="1703"/>
      <c r="E9" s="1703"/>
      <c r="F9" s="1703"/>
      <c r="G9" s="1703"/>
      <c r="H9" s="1703"/>
    </row>
    <row r="10" spans="1:8" ht="15" customHeight="1" x14ac:dyDescent="0.2">
      <c r="A10" s="1392"/>
      <c r="B10" s="1703"/>
      <c r="C10" s="1703"/>
      <c r="D10" s="1703"/>
      <c r="E10" s="1703"/>
      <c r="F10" s="1703"/>
      <c r="G10" s="1703"/>
      <c r="H10" s="1703"/>
    </row>
    <row r="11" spans="1:8" ht="15" customHeight="1" x14ac:dyDescent="0.2">
      <c r="A11" s="1392"/>
      <c r="B11" s="1703"/>
      <c r="C11" s="1703"/>
      <c r="D11" s="1703"/>
      <c r="E11" s="1703"/>
      <c r="F11" s="1703"/>
      <c r="G11" s="1703"/>
      <c r="H11" s="1703"/>
    </row>
    <row r="12" spans="1:8" ht="15" customHeight="1" x14ac:dyDescent="0.2">
      <c r="A12" s="1392"/>
      <c r="B12" s="1703"/>
      <c r="C12" s="1703"/>
      <c r="D12" s="1703"/>
      <c r="E12" s="1703"/>
      <c r="F12" s="1703"/>
      <c r="G12" s="1703"/>
      <c r="H12" s="1703"/>
    </row>
    <row r="13" spans="1:8" ht="15" customHeight="1" x14ac:dyDescent="0.2">
      <c r="A13" s="1392"/>
      <c r="B13" s="1703"/>
      <c r="C13" s="1703"/>
      <c r="D13" s="1703"/>
      <c r="E13" s="1703"/>
      <c r="F13" s="1703"/>
      <c r="G13" s="1703"/>
      <c r="H13" s="1703"/>
    </row>
    <row r="14" spans="1:8" ht="15" customHeight="1" x14ac:dyDescent="0.2">
      <c r="A14" s="1392"/>
      <c r="B14" s="1703"/>
      <c r="C14" s="1703"/>
      <c r="D14" s="1703"/>
      <c r="E14" s="1703"/>
      <c r="F14" s="1703"/>
      <c r="G14" s="1703"/>
      <c r="H14" s="1703"/>
    </row>
    <row r="15" spans="1:8" ht="15" customHeight="1" x14ac:dyDescent="0.2">
      <c r="A15" s="1392"/>
      <c r="B15" s="1703"/>
      <c r="C15" s="1703"/>
      <c r="D15" s="1703"/>
      <c r="E15" s="1703"/>
      <c r="F15" s="1703"/>
      <c r="G15" s="1703"/>
      <c r="H15" s="1703"/>
    </row>
    <row r="16" spans="1:8" ht="15" customHeight="1" x14ac:dyDescent="0.2">
      <c r="A16" s="1392"/>
      <c r="B16" s="1703"/>
      <c r="C16" s="1703"/>
      <c r="D16" s="1703"/>
      <c r="E16" s="1703"/>
      <c r="F16" s="1703"/>
      <c r="G16" s="1703"/>
      <c r="H16" s="1703"/>
    </row>
    <row r="17" spans="1:8" ht="15" customHeight="1" x14ac:dyDescent="0.2">
      <c r="A17" s="1392"/>
      <c r="B17" s="1703"/>
      <c r="C17" s="1703"/>
      <c r="D17" s="1703"/>
      <c r="E17" s="1703"/>
      <c r="F17" s="1703"/>
      <c r="G17" s="1703"/>
      <c r="H17" s="1703"/>
    </row>
    <row r="18" spans="1:8" ht="15" customHeight="1" x14ac:dyDescent="0.2">
      <c r="A18" s="1392"/>
      <c r="B18" s="1703"/>
      <c r="C18" s="1703"/>
      <c r="D18" s="1703"/>
      <c r="E18" s="1703"/>
      <c r="F18" s="1703"/>
      <c r="G18" s="1703"/>
      <c r="H18" s="1703"/>
    </row>
    <row r="19" spans="1:8" ht="15" customHeight="1" x14ac:dyDescent="0.2">
      <c r="A19" s="1392"/>
      <c r="B19" s="1703"/>
      <c r="C19" s="1703"/>
      <c r="D19" s="1703"/>
      <c r="E19" s="1703"/>
      <c r="F19" s="1703"/>
      <c r="G19" s="1703"/>
      <c r="H19" s="1703"/>
    </row>
    <row r="20" spans="1:8" ht="15" customHeight="1" x14ac:dyDescent="0.2">
      <c r="A20" s="1392"/>
      <c r="B20" s="1703"/>
      <c r="C20" s="1703"/>
      <c r="D20" s="1703"/>
      <c r="E20" s="1703"/>
      <c r="F20" s="1703"/>
      <c r="G20" s="1703"/>
      <c r="H20" s="1703"/>
    </row>
    <row r="21" spans="1:8" ht="15" customHeight="1" x14ac:dyDescent="0.2">
      <c r="A21" s="1392"/>
      <c r="B21" s="1703"/>
      <c r="C21" s="1703"/>
      <c r="D21" s="1703"/>
      <c r="E21" s="1703"/>
      <c r="F21" s="1703"/>
      <c r="G21" s="1703"/>
      <c r="H21" s="1703"/>
    </row>
    <row r="22" spans="1:8" ht="15" customHeight="1" x14ac:dyDescent="0.2">
      <c r="A22" s="1392"/>
      <c r="B22" s="1703"/>
      <c r="C22" s="1703"/>
      <c r="D22" s="1703"/>
      <c r="E22" s="1703"/>
      <c r="F22" s="1703"/>
      <c r="G22" s="1703"/>
      <c r="H22" s="1703"/>
    </row>
    <row r="23" spans="1:8" ht="15" customHeight="1" x14ac:dyDescent="0.2">
      <c r="A23" s="1392"/>
      <c r="B23" s="1703"/>
      <c r="C23" s="1703"/>
      <c r="D23" s="1703"/>
      <c r="E23" s="1703"/>
      <c r="F23" s="1703"/>
      <c r="G23" s="1703"/>
      <c r="H23" s="1703"/>
    </row>
    <row r="24" spans="1:8" ht="15" customHeight="1" x14ac:dyDescent="0.2">
      <c r="A24" s="1392"/>
      <c r="B24" s="1703"/>
      <c r="C24" s="1703"/>
      <c r="D24" s="1703"/>
      <c r="E24" s="1703"/>
      <c r="F24" s="1703"/>
      <c r="G24" s="1703"/>
      <c r="H24" s="1703"/>
    </row>
    <row r="25" spans="1:8" ht="15" customHeight="1" x14ac:dyDescent="0.2">
      <c r="A25" s="1392"/>
      <c r="B25" s="1703"/>
      <c r="C25" s="1703"/>
      <c r="D25" s="1703"/>
      <c r="E25" s="1703"/>
      <c r="F25" s="1703"/>
      <c r="G25" s="1703"/>
      <c r="H25" s="1703"/>
    </row>
    <row r="26" spans="1:8" ht="15" customHeight="1" x14ac:dyDescent="0.2">
      <c r="A26" s="1392"/>
      <c r="B26" s="1703"/>
      <c r="C26" s="1703"/>
      <c r="D26" s="1703"/>
      <c r="E26" s="1703"/>
      <c r="F26" s="1703"/>
      <c r="G26" s="1703"/>
      <c r="H26" s="1703"/>
    </row>
    <row r="27" spans="1:8" ht="15" customHeight="1" x14ac:dyDescent="0.2">
      <c r="A27" s="1392"/>
      <c r="B27" s="1703"/>
      <c r="C27" s="1703"/>
      <c r="D27" s="1703"/>
      <c r="E27" s="1703"/>
      <c r="F27" s="1703"/>
      <c r="G27" s="1703"/>
      <c r="H27" s="1703"/>
    </row>
    <row r="28" spans="1:8" ht="15" customHeight="1" x14ac:dyDescent="0.2">
      <c r="A28" s="1392"/>
      <c r="B28" s="1703"/>
      <c r="C28" s="1703"/>
      <c r="D28" s="1703"/>
      <c r="E28" s="1703"/>
      <c r="F28" s="1703"/>
      <c r="G28" s="1703"/>
      <c r="H28" s="1703"/>
    </row>
    <row r="29" spans="1:8" ht="15" customHeight="1" x14ac:dyDescent="0.2">
      <c r="A29" s="1392"/>
      <c r="B29" s="1703"/>
      <c r="C29" s="1703"/>
      <c r="D29" s="1703"/>
      <c r="E29" s="1703"/>
      <c r="F29" s="1703"/>
      <c r="G29" s="1703"/>
      <c r="H29" s="1703"/>
    </row>
    <row r="30" spans="1:8" ht="15" customHeight="1" x14ac:dyDescent="0.2">
      <c r="A30" s="1392"/>
      <c r="B30" s="1703"/>
      <c r="C30" s="1703"/>
      <c r="D30" s="1703"/>
      <c r="E30" s="1703"/>
      <c r="F30" s="1703"/>
      <c r="G30" s="1703"/>
      <c r="H30" s="1703"/>
    </row>
    <row r="31" spans="1:8" ht="15" customHeight="1" x14ac:dyDescent="0.2">
      <c r="A31" s="1392"/>
      <c r="B31" s="1703"/>
      <c r="C31" s="1703"/>
      <c r="D31" s="1703"/>
      <c r="E31" s="1703"/>
      <c r="F31" s="1703"/>
      <c r="G31" s="1703"/>
      <c r="H31" s="1703"/>
    </row>
    <row r="32" spans="1:8" ht="15" customHeight="1" x14ac:dyDescent="0.2">
      <c r="A32" s="1392"/>
      <c r="B32" s="1703"/>
      <c r="C32" s="1703"/>
      <c r="D32" s="1703"/>
      <c r="E32" s="1703"/>
      <c r="F32" s="1703"/>
      <c r="G32" s="1703"/>
      <c r="H32" s="1703"/>
    </row>
    <row r="33" spans="1:8" ht="15" customHeight="1" x14ac:dyDescent="0.2">
      <c r="A33" s="1392"/>
      <c r="B33" s="1703"/>
      <c r="C33" s="1703"/>
      <c r="D33" s="1703"/>
      <c r="E33" s="1703"/>
      <c r="F33" s="1703"/>
      <c r="G33" s="1703"/>
      <c r="H33" s="1703"/>
    </row>
    <row r="34" spans="1:8" ht="15" customHeight="1" x14ac:dyDescent="0.2">
      <c r="A34" s="1392"/>
      <c r="B34" s="1703"/>
      <c r="C34" s="1703"/>
      <c r="D34" s="1703"/>
      <c r="E34" s="1703"/>
      <c r="F34" s="1703"/>
      <c r="G34" s="1703"/>
      <c r="H34" s="1703"/>
    </row>
    <row r="35" spans="1:8" ht="15" customHeight="1" x14ac:dyDescent="0.2">
      <c r="A35" s="1392"/>
      <c r="B35" s="1703"/>
      <c r="C35" s="1703"/>
      <c r="D35" s="1703"/>
      <c r="E35" s="1703"/>
      <c r="F35" s="1703"/>
      <c r="G35" s="1703"/>
      <c r="H35" s="1703"/>
    </row>
    <row r="36" spans="1:8" ht="15" customHeight="1" x14ac:dyDescent="0.2">
      <c r="A36" s="1392"/>
      <c r="B36" s="1703"/>
      <c r="C36" s="1703"/>
      <c r="D36" s="1703"/>
      <c r="E36" s="1703"/>
      <c r="F36" s="1703"/>
      <c r="G36" s="1703"/>
      <c r="H36" s="1703"/>
    </row>
    <row r="37" spans="1:8" ht="15" customHeight="1" x14ac:dyDescent="0.2">
      <c r="A37" s="1392"/>
      <c r="B37" s="1703"/>
      <c r="C37" s="1703"/>
      <c r="D37" s="1703"/>
      <c r="E37" s="1703"/>
      <c r="F37" s="1703"/>
      <c r="G37" s="1703"/>
      <c r="H37" s="1703"/>
    </row>
    <row r="38" spans="1:8" ht="15" customHeight="1" x14ac:dyDescent="0.2">
      <c r="A38" s="1392"/>
      <c r="B38" s="1703"/>
      <c r="C38" s="1703"/>
      <c r="D38" s="1703"/>
      <c r="E38" s="1703"/>
      <c r="F38" s="1703"/>
      <c r="G38" s="1703"/>
      <c r="H38" s="1703"/>
    </row>
    <row r="39" spans="1:8" ht="15" customHeight="1" x14ac:dyDescent="0.2">
      <c r="A39" s="1392"/>
      <c r="B39" s="1703"/>
      <c r="C39" s="1703"/>
      <c r="D39" s="1703"/>
      <c r="E39" s="1703"/>
      <c r="F39" s="1703"/>
      <c r="G39" s="1703"/>
      <c r="H39" s="1703"/>
    </row>
    <row r="40" spans="1:8" ht="15" customHeight="1" x14ac:dyDescent="0.2">
      <c r="A40" s="1392"/>
      <c r="B40" s="1703"/>
      <c r="C40" s="1703"/>
      <c r="D40" s="1703"/>
      <c r="E40" s="1703"/>
      <c r="F40" s="1703"/>
      <c r="G40" s="1703"/>
      <c r="H40" s="1703"/>
    </row>
    <row r="41" spans="1:8" ht="15" customHeight="1" x14ac:dyDescent="0.2">
      <c r="A41" s="1392"/>
      <c r="B41" s="1703"/>
      <c r="C41" s="1703"/>
      <c r="D41" s="1703"/>
      <c r="E41" s="1703"/>
      <c r="F41" s="1703"/>
      <c r="G41" s="1703"/>
      <c r="H41" s="1703"/>
    </row>
    <row r="42" spans="1:8" ht="15" customHeight="1" x14ac:dyDescent="0.2">
      <c r="A42" s="1392"/>
      <c r="B42" s="1703"/>
      <c r="C42" s="1703"/>
      <c r="D42" s="1703"/>
      <c r="E42" s="1703"/>
      <c r="F42" s="1703"/>
      <c r="G42" s="1703"/>
      <c r="H42" s="1703"/>
    </row>
    <row r="43" spans="1:8" ht="15" customHeight="1" x14ac:dyDescent="0.2">
      <c r="A43" s="1392"/>
      <c r="B43" s="1703"/>
      <c r="C43" s="1703"/>
      <c r="D43" s="1703"/>
      <c r="E43" s="1703"/>
      <c r="F43" s="1703"/>
      <c r="G43" s="1703"/>
      <c r="H43" s="1703"/>
    </row>
    <row r="44" spans="1:8" ht="15" customHeight="1" x14ac:dyDescent="0.2">
      <c r="A44" s="1392"/>
      <c r="B44" s="1703"/>
      <c r="C44" s="1703"/>
      <c r="D44" s="1703"/>
      <c r="E44" s="1703"/>
      <c r="F44" s="1703"/>
      <c r="G44" s="1703"/>
      <c r="H44" s="1703"/>
    </row>
    <row r="45" spans="1:8" ht="15" customHeight="1" x14ac:dyDescent="0.2">
      <c r="A45" s="1392"/>
      <c r="B45" s="1703"/>
      <c r="C45" s="1703"/>
      <c r="D45" s="1703"/>
      <c r="E45" s="1703"/>
      <c r="F45" s="1703"/>
      <c r="G45" s="1703"/>
      <c r="H45" s="1703"/>
    </row>
    <row r="46" spans="1:8" ht="15" customHeight="1" x14ac:dyDescent="0.2">
      <c r="A46" s="1392"/>
      <c r="B46" s="1703"/>
      <c r="C46" s="1703"/>
      <c r="D46" s="1703"/>
      <c r="E46" s="1703"/>
      <c r="F46" s="1703"/>
      <c r="G46" s="1703"/>
      <c r="H46" s="1703"/>
    </row>
    <row r="47" spans="1:8" ht="15" customHeight="1" x14ac:dyDescent="0.2">
      <c r="A47" s="1401"/>
      <c r="B47" s="1704"/>
      <c r="C47" s="1704"/>
      <c r="D47" s="1704"/>
      <c r="E47" s="1704"/>
      <c r="F47" s="1704"/>
      <c r="G47" s="1704"/>
      <c r="H47" s="1704"/>
    </row>
    <row r="59" spans="1:1" x14ac:dyDescent="0.2">
      <c r="A59" s="707" t="s">
        <v>614</v>
      </c>
    </row>
    <row r="60" spans="1:1" hidden="1" x14ac:dyDescent="0.2">
      <c r="A60" s="831" t="s">
        <v>613</v>
      </c>
    </row>
    <row r="61" spans="1:1" hidden="1" x14ac:dyDescent="0.2">
      <c r="A61" s="833"/>
    </row>
    <row r="62" spans="1:1" hidden="1" x14ac:dyDescent="0.2"/>
    <row r="63" spans="1:1" hidden="1" x14ac:dyDescent="0.2"/>
    <row r="64" spans="1:1" hidden="1" x14ac:dyDescent="0.2"/>
    <row r="65" spans="1:1" x14ac:dyDescent="0.2">
      <c r="A65" s="707" t="s">
        <v>615</v>
      </c>
    </row>
  </sheetData>
  <sheetProtection selectLockedCells="1"/>
  <dataConsolidate link="1"/>
  <mergeCells count="45">
    <mergeCell ref="B45:H45"/>
    <mergeCell ref="B46:H46"/>
    <mergeCell ref="B39:H39"/>
    <mergeCell ref="B40:H40"/>
    <mergeCell ref="B43:H43"/>
    <mergeCell ref="B44:H44"/>
    <mergeCell ref="B41:H41"/>
    <mergeCell ref="B42:H42"/>
    <mergeCell ref="B20:H20"/>
    <mergeCell ref="B17:H17"/>
    <mergeCell ref="B18:H18"/>
    <mergeCell ref="B38:H38"/>
    <mergeCell ref="B27:H27"/>
    <mergeCell ref="B28:H28"/>
    <mergeCell ref="B29:H29"/>
    <mergeCell ref="B30:H30"/>
    <mergeCell ref="B31:H31"/>
    <mergeCell ref="B32:H32"/>
    <mergeCell ref="B33:H33"/>
    <mergeCell ref="B34:H34"/>
    <mergeCell ref="B35:H35"/>
    <mergeCell ref="B36:H36"/>
    <mergeCell ref="B37:H37"/>
    <mergeCell ref="B9:H9"/>
    <mergeCell ref="B10:H10"/>
    <mergeCell ref="B47:H47"/>
    <mergeCell ref="B22:H22"/>
    <mergeCell ref="B23:H23"/>
    <mergeCell ref="B24:H24"/>
    <mergeCell ref="B13:H13"/>
    <mergeCell ref="B21:H21"/>
    <mergeCell ref="B14:H14"/>
    <mergeCell ref="B11:H11"/>
    <mergeCell ref="B12:H12"/>
    <mergeCell ref="B26:H26"/>
    <mergeCell ref="B25:H25"/>
    <mergeCell ref="B15:H15"/>
    <mergeCell ref="B16:H16"/>
    <mergeCell ref="B19:H19"/>
    <mergeCell ref="B8:H8"/>
    <mergeCell ref="F1:G1"/>
    <mergeCell ref="B7:H7"/>
    <mergeCell ref="B4:C4"/>
    <mergeCell ref="B5:C5"/>
    <mergeCell ref="E4:H4"/>
  </mergeCells>
  <phoneticPr fontId="0" type="noConversion"/>
  <printOptions horizontalCentered="1"/>
  <pageMargins left="0.3" right="0.3" top="0.5" bottom="0.5" header="0" footer="0.25"/>
  <pageSetup orientation="portrait" r:id="rId1"/>
  <headerFooter alignWithMargins="0">
    <oddFooter>&amp;L&amp;8Form Revised: 3/18/2008
File: &amp;F&amp;R&amp;8Printed: &amp;D &amp;T</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9">
    <tabColor rgb="FFFF6600"/>
  </sheetPr>
  <dimension ref="A1:V100"/>
  <sheetViews>
    <sheetView showGridLines="0" zoomScaleNormal="100" zoomScaleSheetLayoutView="100" workbookViewId="0">
      <selection activeCell="A13" sqref="A13"/>
    </sheetView>
  </sheetViews>
  <sheetFormatPr defaultColWidth="9.140625" defaultRowHeight="12" x14ac:dyDescent="0.2"/>
  <cols>
    <col min="1" max="1" width="10.7109375" style="154" customWidth="1"/>
    <col min="2" max="2" width="30.7109375" style="154" customWidth="1"/>
    <col min="3" max="6" width="6.42578125" style="154" customWidth="1"/>
    <col min="7" max="7" width="10.7109375" style="154" customWidth="1"/>
    <col min="8" max="8" width="6.7109375" style="154" customWidth="1"/>
    <col min="9" max="9" width="7.28515625" style="154" customWidth="1"/>
    <col min="10" max="10" width="10.7109375" style="154" customWidth="1"/>
    <col min="11" max="11" width="6.7109375" style="154" customWidth="1"/>
    <col min="12" max="13" width="5.7109375" style="154" hidden="1" customWidth="1"/>
    <col min="14" max="14" width="8.7109375" style="154" hidden="1" customWidth="1"/>
    <col min="15" max="15" width="8.7109375" style="729" hidden="1" customWidth="1"/>
    <col min="16" max="16" width="11.28515625" style="154" hidden="1" customWidth="1"/>
    <col min="17" max="18" width="15.7109375" style="154" hidden="1" customWidth="1"/>
    <col min="19" max="21" width="9.140625" style="154" hidden="1" customWidth="1"/>
    <col min="22" max="16384" width="9.140625" style="154"/>
  </cols>
  <sheetData>
    <row r="1" spans="1:22" s="303" customFormat="1" ht="15" customHeight="1" thickBot="1" x14ac:dyDescent="0.25">
      <c r="A1" s="298"/>
      <c r="B1" s="298"/>
      <c r="C1" s="298"/>
      <c r="D1" s="1705" t="e">
        <f>IF(L1="","",VLOOKUP(L1,#REF!,4,FALSE))</f>
        <v>#REF!</v>
      </c>
      <c r="E1" s="1706"/>
      <c r="F1" s="1706"/>
      <c r="G1" s="1707" t="s">
        <v>77</v>
      </c>
      <c r="H1" s="1708"/>
      <c r="I1" s="1709" t="e">
        <f>#REF!</f>
        <v>#REF!</v>
      </c>
      <c r="J1" s="1710"/>
      <c r="K1" s="423" t="s">
        <v>375</v>
      </c>
      <c r="L1" s="302" t="e">
        <f>#REF!</f>
        <v>#REF!</v>
      </c>
      <c r="M1" s="302" t="e">
        <f>#REF!</f>
        <v>#REF!</v>
      </c>
      <c r="N1" s="302"/>
      <c r="O1" s="727"/>
      <c r="R1" s="716" t="s">
        <v>791</v>
      </c>
      <c r="S1" s="576"/>
      <c r="T1" s="576" t="s">
        <v>797</v>
      </c>
      <c r="V1" s="424" t="s">
        <v>376</v>
      </c>
    </row>
    <row r="2" spans="1:22" s="303" customFormat="1" ht="12.95" customHeight="1" thickTop="1" x14ac:dyDescent="0.2">
      <c r="A2" s="298"/>
      <c r="B2" s="298"/>
      <c r="C2" s="298"/>
      <c r="D2" s="1711" t="e">
        <f>IF(L1="","",IF(VLOOKUP(L1,#REF!,2,FALSE),"Released for Fabrication",""))</f>
        <v>#REF!</v>
      </c>
      <c r="E2" s="1712"/>
      <c r="F2" s="1713"/>
      <c r="G2" s="1707" t="s">
        <v>78</v>
      </c>
      <c r="H2" s="1707"/>
      <c r="I2" s="1709" t="e">
        <f>#REF!</f>
        <v>#REF!</v>
      </c>
      <c r="J2" s="1710"/>
      <c r="O2" s="727"/>
      <c r="S2" s="576"/>
      <c r="T2" s="576" t="s">
        <v>793</v>
      </c>
    </row>
    <row r="3" spans="1:22" s="303" customFormat="1" ht="12.95" customHeight="1" x14ac:dyDescent="0.2">
      <c r="A3" s="298"/>
      <c r="B3" s="298"/>
      <c r="C3" s="298"/>
      <c r="D3" s="1714"/>
      <c r="E3" s="1715"/>
      <c r="F3" s="1716"/>
      <c r="G3" s="1707" t="s">
        <v>80</v>
      </c>
      <c r="H3" s="1707"/>
      <c r="I3" s="1709" t="e">
        <f>#REF!</f>
        <v>#REF!</v>
      </c>
      <c r="J3" s="1710"/>
      <c r="O3" s="727"/>
      <c r="S3" s="576"/>
      <c r="T3" s="576" t="s">
        <v>794</v>
      </c>
    </row>
    <row r="4" spans="1:22" s="303" customFormat="1" ht="12.95" customHeight="1" thickBot="1" x14ac:dyDescent="0.25">
      <c r="A4" s="298"/>
      <c r="B4" s="298"/>
      <c r="C4" s="298"/>
      <c r="D4" s="1717" t="e">
        <f>IF(L1="","",IF(VLOOKUP(L1,#REF!,2,FALSE),VLOOKUP(L1,#REF!,3,FALSE),""))</f>
        <v>#REF!</v>
      </c>
      <c r="E4" s="1718"/>
      <c r="F4" s="1719"/>
      <c r="G4" s="1707" t="s">
        <v>79</v>
      </c>
      <c r="H4" s="1707"/>
      <c r="I4" s="1709" t="e">
        <f>#REF!</f>
        <v>#REF!</v>
      </c>
      <c r="J4" s="1710"/>
      <c r="O4" s="727"/>
      <c r="S4" s="576"/>
      <c r="T4" s="576" t="s">
        <v>795</v>
      </c>
    </row>
    <row r="5" spans="1:22" s="303" customFormat="1" ht="12.95" customHeight="1" thickTop="1" x14ac:dyDescent="0.2">
      <c r="A5" s="1720" t="e">
        <f>#REF!</f>
        <v>#REF!</v>
      </c>
      <c r="B5" s="1720"/>
      <c r="C5" s="1720"/>
      <c r="D5" s="1720"/>
      <c r="E5" s="1720"/>
      <c r="F5" s="1720"/>
      <c r="G5" s="1418"/>
      <c r="H5" s="298"/>
      <c r="I5" s="298"/>
      <c r="J5" s="298"/>
      <c r="N5" s="1412"/>
      <c r="O5" s="727"/>
      <c r="S5" s="576"/>
      <c r="T5" s="576" t="s">
        <v>796</v>
      </c>
    </row>
    <row r="6" spans="1:22" s="303" customFormat="1" ht="12.95" customHeight="1" x14ac:dyDescent="0.2">
      <c r="A6" s="298"/>
      <c r="B6" s="298"/>
      <c r="C6" s="298"/>
      <c r="D6" s="298"/>
      <c r="E6" s="298"/>
      <c r="F6" s="298"/>
      <c r="G6" s="396" t="s">
        <v>20</v>
      </c>
      <c r="H6" s="1721" t="e">
        <f>IF(ISBLANK(#REF!),"",#REF!)</f>
        <v>#REF!</v>
      </c>
      <c r="I6" s="1721"/>
      <c r="J6" s="298"/>
      <c r="L6" s="995" t="s">
        <v>705</v>
      </c>
      <c r="M6" s="711"/>
      <c r="N6" s="1413"/>
      <c r="O6" s="727"/>
      <c r="T6" s="576" t="s">
        <v>798</v>
      </c>
    </row>
    <row r="7" spans="1:22" ht="12.95" customHeight="1" x14ac:dyDescent="0.2">
      <c r="A7" s="321" t="s">
        <v>42</v>
      </c>
      <c r="B7" s="322"/>
      <c r="C7" s="322"/>
      <c r="D7" s="322"/>
      <c r="E7" s="322"/>
      <c r="F7" s="742"/>
      <c r="G7" s="397" t="s">
        <v>21</v>
      </c>
      <c r="H7" s="1109" t="e">
        <f>CONCATENATE(L7, " of ",IF(ISBLANK(#REF!),"",#REF!))</f>
        <v>#REF!</v>
      </c>
      <c r="I7" s="601"/>
      <c r="J7" s="418"/>
      <c r="L7" s="997"/>
      <c r="M7" s="307"/>
      <c r="N7" s="1414"/>
      <c r="Q7" s="728"/>
      <c r="T7" s="707" t="s">
        <v>799</v>
      </c>
    </row>
    <row r="8" spans="1:22" ht="3.95" customHeight="1" x14ac:dyDescent="0.2">
      <c r="A8" s="322"/>
      <c r="B8" s="322"/>
      <c r="C8" s="322"/>
      <c r="D8" s="322"/>
      <c r="E8" s="322"/>
      <c r="F8" s="322"/>
      <c r="G8" s="322"/>
      <c r="H8" s="322"/>
      <c r="I8" s="322"/>
      <c r="J8" s="322"/>
      <c r="T8" s="707" t="s">
        <v>800</v>
      </c>
    </row>
    <row r="9" spans="1:22" ht="12.6" customHeight="1" x14ac:dyDescent="0.2">
      <c r="A9" s="417" t="s">
        <v>1</v>
      </c>
      <c r="B9" s="1699" t="e">
        <f>IF(ISBLANK(#REF!),"",#REF!)</f>
        <v>#REF!</v>
      </c>
      <c r="C9" s="1699"/>
      <c r="D9" s="1700"/>
      <c r="E9" s="419"/>
      <c r="F9" s="420" t="s">
        <v>2</v>
      </c>
      <c r="G9" s="1699" t="e">
        <f>IF(ISBLANK(#REF!),"",#REF!)</f>
        <v>#REF!</v>
      </c>
      <c r="H9" s="1699"/>
      <c r="I9" s="1699"/>
      <c r="J9" s="1700"/>
      <c r="L9" s="307"/>
      <c r="T9" s="707"/>
    </row>
    <row r="10" spans="1:22" ht="12.6" customHeight="1" x14ac:dyDescent="0.2">
      <c r="A10" s="417" t="s">
        <v>3</v>
      </c>
      <c r="B10" s="1699" t="e">
        <f>IF(ISBLANK(#REF!),"",#REF!)</f>
        <v>#REF!</v>
      </c>
      <c r="C10" s="1699"/>
      <c r="D10" s="1700"/>
      <c r="E10" s="412"/>
      <c r="F10" s="417" t="s">
        <v>22</v>
      </c>
      <c r="G10" s="1417" t="e">
        <f>IF(ISBLANK(#REF!),"",#REF!)</f>
        <v>#REF!</v>
      </c>
      <c r="H10" s="145"/>
      <c r="I10" s="420" t="s">
        <v>23</v>
      </c>
      <c r="J10" s="1417" t="e">
        <f>IF(ISBLANK(#REF!),"",#REF!)</f>
        <v>#REF!</v>
      </c>
      <c r="L10" s="876" t="s">
        <v>570</v>
      </c>
      <c r="M10" s="876" t="s">
        <v>138</v>
      </c>
      <c r="N10" s="707" t="s">
        <v>789</v>
      </c>
      <c r="O10" s="707"/>
      <c r="P10" s="154">
        <f>COUNTA(Q13:Q99)</f>
        <v>67</v>
      </c>
      <c r="R10" s="729"/>
    </row>
    <row r="11" spans="1:22" ht="3.95" customHeight="1" x14ac:dyDescent="0.2">
      <c r="A11" s="999"/>
      <c r="B11" s="322"/>
      <c r="C11" s="322"/>
      <c r="D11" s="322"/>
      <c r="E11" s="322"/>
      <c r="F11" s="322"/>
      <c r="G11" s="322"/>
      <c r="H11" s="322"/>
      <c r="I11" s="322"/>
      <c r="J11" s="322"/>
      <c r="N11" s="729"/>
      <c r="R11" s="729"/>
    </row>
    <row r="12" spans="1:22" s="415" customFormat="1" ht="15.4" customHeight="1" thickBot="1" x14ac:dyDescent="0.25">
      <c r="A12" s="1416" t="s">
        <v>30</v>
      </c>
      <c r="B12" s="1725" t="s">
        <v>15</v>
      </c>
      <c r="C12" s="1726"/>
      <c r="D12" s="1726"/>
      <c r="E12" s="1726"/>
      <c r="F12" s="1726"/>
      <c r="G12" s="1726"/>
      <c r="H12" s="1726"/>
      <c r="I12" s="1726"/>
      <c r="J12" s="1727"/>
      <c r="P12" s="734" t="s">
        <v>560</v>
      </c>
      <c r="Q12" s="735" t="s">
        <v>561</v>
      </c>
      <c r="R12" s="730" t="s">
        <v>565</v>
      </c>
    </row>
    <row r="13" spans="1:22" ht="15.4" customHeight="1" thickTop="1" x14ac:dyDescent="0.2">
      <c r="A13" s="1363"/>
      <c r="B13" s="1728"/>
      <c r="C13" s="1729"/>
      <c r="D13" s="1729"/>
      <c r="E13" s="1729"/>
      <c r="F13" s="1729"/>
      <c r="G13" s="1729"/>
      <c r="H13" s="1729"/>
      <c r="I13" s="1729"/>
      <c r="J13" s="1730"/>
      <c r="L13" s="878" t="str">
        <f>IF(ISBLANK(A13),"",SUBSTITUTE(A13,"*",""))</f>
        <v/>
      </c>
      <c r="M13" s="1411"/>
      <c r="N13" s="1415"/>
      <c r="O13" s="1403"/>
      <c r="P13" s="736"/>
      <c r="Q13" s="737" t="s">
        <v>617</v>
      </c>
      <c r="R13" s="731" t="str">
        <f>CONCATENATE("[",P13, "] - ", Q13)</f>
        <v>[] - SHAPES</v>
      </c>
    </row>
    <row r="14" spans="1:22" ht="15.4" customHeight="1" x14ac:dyDescent="0.2">
      <c r="A14" s="1367"/>
      <c r="B14" s="1722"/>
      <c r="C14" s="1723"/>
      <c r="D14" s="1723"/>
      <c r="E14" s="1723"/>
      <c r="F14" s="1723"/>
      <c r="G14" s="1723"/>
      <c r="H14" s="1723"/>
      <c r="I14" s="1723"/>
      <c r="J14" s="1724"/>
      <c r="L14" s="878" t="str">
        <f>IF(ISBLANK(A14),L13,SUBSTITUTE(A14,"*",""))</f>
        <v/>
      </c>
      <c r="M14" s="1411"/>
      <c r="N14" s="1415"/>
      <c r="O14" s="1403"/>
      <c r="P14" s="738" t="s">
        <v>562</v>
      </c>
      <c r="Q14" s="739" t="s">
        <v>618</v>
      </c>
      <c r="R14" s="732" t="str">
        <f t="shared" ref="R14:R77" si="0">CONCATENATE("[",P14, "] - ", Q14)</f>
        <v>[SP] - Single Pitch: (Ctr Depth=Designation) ##" Depth @ LBL, ##" Depth @ RBL</v>
      </c>
    </row>
    <row r="15" spans="1:22" ht="15.4" customHeight="1" x14ac:dyDescent="0.2">
      <c r="A15" s="1367"/>
      <c r="B15" s="1722"/>
      <c r="C15" s="1723"/>
      <c r="D15" s="1723"/>
      <c r="E15" s="1723"/>
      <c r="F15" s="1723"/>
      <c r="G15" s="1723"/>
      <c r="H15" s="1723"/>
      <c r="I15" s="1723"/>
      <c r="J15" s="1724"/>
      <c r="L15" s="878" t="str">
        <f t="shared" ref="L15:L51" si="1">IF(ISBLANK(A15),L14,SUBSTITUTE(A15,"*",""))</f>
        <v/>
      </c>
      <c r="M15" s="1411"/>
      <c r="N15" s="1415"/>
      <c r="O15" s="1403"/>
      <c r="P15" s="738" t="s">
        <v>563</v>
      </c>
      <c r="Q15" s="739" t="s">
        <v>619</v>
      </c>
      <c r="R15" s="732" t="str">
        <f t="shared" si="0"/>
        <v>[DP] - Double Pitch: Ridge @ ##’-## From LBL (Depth=Designation), ##" Depth @ LBL, ##" Depth @ RBL</v>
      </c>
    </row>
    <row r="16" spans="1:22" ht="15.4" customHeight="1" x14ac:dyDescent="0.2">
      <c r="A16" s="1367"/>
      <c r="B16" s="1722"/>
      <c r="C16" s="1723"/>
      <c r="D16" s="1723"/>
      <c r="E16" s="1723"/>
      <c r="F16" s="1723"/>
      <c r="G16" s="1723"/>
      <c r="H16" s="1723"/>
      <c r="I16" s="1723"/>
      <c r="J16" s="1724"/>
      <c r="L16" s="878" t="str">
        <f t="shared" si="1"/>
        <v/>
      </c>
      <c r="M16" s="1411"/>
      <c r="N16" s="1415"/>
      <c r="O16" s="1403"/>
      <c r="P16" s="738" t="s">
        <v>564</v>
      </c>
      <c r="Q16" s="739" t="s">
        <v>620</v>
      </c>
      <c r="R16" s="732" t="str">
        <f t="shared" si="0"/>
        <v>[TP] - Triple Pitch: Ridge Left @ ##’-## From LBL (Depth=Designation), ##" Depth @ LBL, ##" Depth @ RBL, Ridge Right @ ##'-## From LBL</v>
      </c>
    </row>
    <row r="17" spans="1:18" ht="15.4" customHeight="1" x14ac:dyDescent="0.2">
      <c r="A17" s="1367"/>
      <c r="B17" s="1722"/>
      <c r="C17" s="1723"/>
      <c r="D17" s="1723"/>
      <c r="E17" s="1723"/>
      <c r="F17" s="1723"/>
      <c r="G17" s="1723"/>
      <c r="H17" s="1723"/>
      <c r="I17" s="1723"/>
      <c r="J17" s="1724"/>
      <c r="L17" s="878" t="str">
        <f t="shared" si="1"/>
        <v/>
      </c>
      <c r="M17" s="1411"/>
      <c r="N17" s="1415"/>
      <c r="O17" s="1403"/>
      <c r="P17" s="738" t="s">
        <v>588</v>
      </c>
      <c r="Q17" s="739" t="s">
        <v>621</v>
      </c>
      <c r="R17" s="732" t="str">
        <f t="shared" si="0"/>
        <v>[AC] - Arched Chords: (Depth=Designation) ##" TC Radius</v>
      </c>
    </row>
    <row r="18" spans="1:18" ht="15.4" customHeight="1" x14ac:dyDescent="0.2">
      <c r="A18" s="1367"/>
      <c r="B18" s="1722"/>
      <c r="C18" s="1723"/>
      <c r="D18" s="1723"/>
      <c r="E18" s="1723"/>
      <c r="F18" s="1723"/>
      <c r="G18" s="1723"/>
      <c r="H18" s="1723"/>
      <c r="I18" s="1723"/>
      <c r="J18" s="1724"/>
      <c r="L18" s="878" t="str">
        <f t="shared" si="1"/>
        <v/>
      </c>
      <c r="M18" s="1411"/>
      <c r="N18" s="1415"/>
      <c r="O18" s="1403"/>
      <c r="P18" s="738" t="s">
        <v>589</v>
      </c>
      <c r="Q18" s="739" t="s">
        <v>622</v>
      </c>
      <c r="R18" s="732" t="str">
        <f t="shared" si="0"/>
        <v>[BW] - Bowstring: Ridge @ ##’-## From LBL (Depth=Designation), ##" Depth @ LBL, ##" TC Radius</v>
      </c>
    </row>
    <row r="19" spans="1:18" ht="15.4" customHeight="1" x14ac:dyDescent="0.2">
      <c r="A19" s="1367"/>
      <c r="B19" s="1722"/>
      <c r="C19" s="1723"/>
      <c r="D19" s="1723"/>
      <c r="E19" s="1723"/>
      <c r="F19" s="1723"/>
      <c r="G19" s="1723"/>
      <c r="H19" s="1723"/>
      <c r="I19" s="1723"/>
      <c r="J19" s="1724"/>
      <c r="L19" s="878" t="str">
        <f t="shared" si="1"/>
        <v/>
      </c>
      <c r="M19" s="1411"/>
      <c r="N19" s="1415"/>
      <c r="O19" s="1403"/>
      <c r="P19" s="738" t="s">
        <v>590</v>
      </c>
      <c r="Q19" s="739" t="s">
        <v>661</v>
      </c>
      <c r="R19" s="732" t="str">
        <f t="shared" si="0"/>
        <v>[SC] - Scissor: Ridge @ ##’-## From LBL (Vert Depth=Designation), BC Rise ##” @ Ridge From LBL, ##" Vert Depth @ LBL, ##" Vert Depth @ RBL, ##" BC Elev difference @ RBL</v>
      </c>
    </row>
    <row r="20" spans="1:18" ht="15.4" customHeight="1" x14ac:dyDescent="0.2">
      <c r="A20" s="1367"/>
      <c r="B20" s="1722"/>
      <c r="C20" s="1723"/>
      <c r="D20" s="1723"/>
      <c r="E20" s="1723"/>
      <c r="F20" s="1723"/>
      <c r="G20" s="1723"/>
      <c r="H20" s="1723"/>
      <c r="I20" s="1723"/>
      <c r="J20" s="1724"/>
      <c r="L20" s="878" t="str">
        <f t="shared" si="1"/>
        <v/>
      </c>
      <c r="M20" s="1411"/>
      <c r="N20" s="1415"/>
      <c r="O20" s="1403"/>
      <c r="P20" s="738"/>
      <c r="Q20" s="739" t="s">
        <v>623</v>
      </c>
      <c r="R20" s="732" t="str">
        <f t="shared" si="0"/>
        <v>[] - DEFLECTION</v>
      </c>
    </row>
    <row r="21" spans="1:18" ht="15.4" customHeight="1" x14ac:dyDescent="0.2">
      <c r="A21" s="1367"/>
      <c r="B21" s="1731"/>
      <c r="C21" s="1732"/>
      <c r="D21" s="1732"/>
      <c r="E21" s="1732"/>
      <c r="F21" s="1732"/>
      <c r="G21" s="1732"/>
      <c r="H21" s="1732"/>
      <c r="I21" s="1732"/>
      <c r="J21" s="1733"/>
      <c r="L21" s="878" t="str">
        <f t="shared" si="1"/>
        <v/>
      </c>
      <c r="M21" s="1411"/>
      <c r="N21" s="1415"/>
      <c r="O21" s="1415"/>
      <c r="P21" s="738" t="s">
        <v>583</v>
      </c>
      <c r="Q21" s="739" t="s">
        <v>624</v>
      </c>
      <c r="R21" s="732" t="str">
        <f t="shared" si="0"/>
        <v>[DefLL] - LL Deflection = L/###|Deflection=L/### Due To ### PLF LL|LL Deflection=L/### (LL/TL Ratio = ##%)</v>
      </c>
    </row>
    <row r="22" spans="1:18" ht="15.4" customHeight="1" x14ac:dyDescent="0.2">
      <c r="A22" s="1367"/>
      <c r="B22" s="1722"/>
      <c r="C22" s="1723"/>
      <c r="D22" s="1723"/>
      <c r="E22" s="1723"/>
      <c r="F22" s="1723"/>
      <c r="G22" s="1723"/>
      <c r="H22" s="1723"/>
      <c r="I22" s="1723"/>
      <c r="J22" s="1724"/>
      <c r="L22" s="878" t="str">
        <f t="shared" si="1"/>
        <v/>
      </c>
      <c r="M22" s="1411"/>
      <c r="N22" s="1415"/>
      <c r="O22" s="1403"/>
      <c r="P22" s="738" t="s">
        <v>584</v>
      </c>
      <c r="Q22" s="739" t="s">
        <v>625</v>
      </c>
      <c r="R22" s="732" t="str">
        <f t="shared" si="0"/>
        <v>[DefTL] - TL Deflection = L/###, Ck Std Camber Satisfies DL Def</v>
      </c>
    </row>
    <row r="23" spans="1:18" ht="15.4" customHeight="1" x14ac:dyDescent="0.2">
      <c r="A23" s="1367"/>
      <c r="B23" s="1728"/>
      <c r="C23" s="1729"/>
      <c r="D23" s="1729"/>
      <c r="E23" s="1729"/>
      <c r="F23" s="1729"/>
      <c r="G23" s="1729"/>
      <c r="H23" s="1729"/>
      <c r="I23" s="1729"/>
      <c r="J23" s="1730"/>
      <c r="L23" s="878" t="str">
        <f t="shared" si="1"/>
        <v/>
      </c>
      <c r="M23" s="1411"/>
      <c r="N23" s="1415"/>
      <c r="O23" s="1403"/>
      <c r="P23" s="738" t="s">
        <v>585</v>
      </c>
      <c r="Q23" s="739" t="s">
        <v>627</v>
      </c>
      <c r="R23" s="732" t="str">
        <f t="shared" si="0"/>
        <v>[DefTCX] - TCXL|TCXR Deflection = ##" Max Due To ### PLF LL|DL|TL</v>
      </c>
    </row>
    <row r="24" spans="1:18" ht="15.4" customHeight="1" x14ac:dyDescent="0.2">
      <c r="A24" s="1367"/>
      <c r="B24" s="1722"/>
      <c r="C24" s="1723"/>
      <c r="D24" s="1723"/>
      <c r="E24" s="1723"/>
      <c r="F24" s="1723"/>
      <c r="G24" s="1723"/>
      <c r="H24" s="1723"/>
      <c r="I24" s="1723"/>
      <c r="J24" s="1724"/>
      <c r="L24" s="878" t="str">
        <f t="shared" si="1"/>
        <v/>
      </c>
      <c r="M24" s="1411"/>
      <c r="N24" s="1415"/>
      <c r="O24" s="1403"/>
      <c r="P24" s="738" t="s">
        <v>586</v>
      </c>
      <c r="Q24" s="739" t="s">
        <v>626</v>
      </c>
      <c r="R24" s="732" t="str">
        <f t="shared" si="0"/>
        <v>[DefSP] - Special Deflection = ##" Max Due To ### PLF LL|DL|TL</v>
      </c>
    </row>
    <row r="25" spans="1:18" ht="15.4" customHeight="1" x14ac:dyDescent="0.2">
      <c r="A25" s="1367"/>
      <c r="B25" s="1722"/>
      <c r="C25" s="1723"/>
      <c r="D25" s="1723"/>
      <c r="E25" s="1723"/>
      <c r="F25" s="1723"/>
      <c r="G25" s="1723"/>
      <c r="H25" s="1723"/>
      <c r="I25" s="1723"/>
      <c r="J25" s="1724"/>
      <c r="L25" s="878" t="str">
        <f t="shared" si="1"/>
        <v/>
      </c>
      <c r="M25" s="1411"/>
      <c r="N25" s="1415"/>
      <c r="O25" s="1403"/>
      <c r="P25" s="738"/>
      <c r="Q25" s="739" t="s">
        <v>628</v>
      </c>
      <c r="R25" s="732" t="str">
        <f t="shared" si="0"/>
        <v>[] - BEARING SEATS</v>
      </c>
    </row>
    <row r="26" spans="1:18" ht="15.4" customHeight="1" x14ac:dyDescent="0.2">
      <c r="A26" s="1367"/>
      <c r="B26" s="1722"/>
      <c r="C26" s="1723"/>
      <c r="D26" s="1723"/>
      <c r="E26" s="1723"/>
      <c r="F26" s="1723"/>
      <c r="G26" s="1723"/>
      <c r="H26" s="1723"/>
      <c r="I26" s="1723"/>
      <c r="J26" s="1724"/>
      <c r="L26" s="878" t="str">
        <f t="shared" si="1"/>
        <v/>
      </c>
      <c r="M26" s="1411"/>
      <c r="N26" s="1403"/>
      <c r="O26" s="1403"/>
      <c r="P26" s="738" t="s">
        <v>770</v>
      </c>
      <c r="Q26" s="739" t="s">
        <v>774</v>
      </c>
      <c r="R26" s="732" t="str">
        <f t="shared" si="0"/>
        <v>[AddSeat] - Addn’l Bearing Seat @ LE|RE|BE, Setback = #’-##”, Depth = ##”</v>
      </c>
    </row>
    <row r="27" spans="1:18" ht="15.4" customHeight="1" x14ac:dyDescent="0.2">
      <c r="A27" s="1367"/>
      <c r="B27" s="1722"/>
      <c r="C27" s="1723"/>
      <c r="D27" s="1723"/>
      <c r="E27" s="1723"/>
      <c r="F27" s="1723"/>
      <c r="G27" s="1723"/>
      <c r="H27" s="1723"/>
      <c r="I27" s="1723"/>
      <c r="J27" s="1724"/>
      <c r="L27" s="878" t="str">
        <f t="shared" si="1"/>
        <v/>
      </c>
      <c r="M27" s="1411"/>
      <c r="N27" s="1403"/>
      <c r="O27" s="1403"/>
      <c r="P27" s="738" t="s">
        <v>597</v>
      </c>
      <c r="Q27" s="739" t="s">
        <v>641</v>
      </c>
      <c r="R27" s="732" t="str">
        <f t="shared" si="0"/>
        <v>[AddSlt] - Addn'l Seat Slots @ #" from L-OAL|R-OAL</v>
      </c>
    </row>
    <row r="28" spans="1:18" ht="15.4" customHeight="1" x14ac:dyDescent="0.2">
      <c r="A28" s="1367"/>
      <c r="B28" s="1722"/>
      <c r="C28" s="1723"/>
      <c r="D28" s="1723"/>
      <c r="E28" s="1723"/>
      <c r="F28" s="1723"/>
      <c r="G28" s="1723"/>
      <c r="H28" s="1723"/>
      <c r="I28" s="1723"/>
      <c r="J28" s="1724"/>
      <c r="L28" s="878" t="str">
        <f t="shared" si="1"/>
        <v/>
      </c>
      <c r="M28" s="1411"/>
      <c r="N28" s="1403"/>
      <c r="O28" s="1403"/>
      <c r="P28" s="738" t="s">
        <v>578</v>
      </c>
      <c r="Q28" s="739" t="s">
        <v>638</v>
      </c>
      <c r="R28" s="732" t="str">
        <f t="shared" si="0"/>
        <v>[BCBrg] - Bottom Chord Bearing @ LE|RE|BE</v>
      </c>
    </row>
    <row r="29" spans="1:18" ht="15.4" customHeight="1" x14ac:dyDescent="0.2">
      <c r="A29" s="1367"/>
      <c r="B29" s="1722"/>
      <c r="C29" s="1723"/>
      <c r="D29" s="1723"/>
      <c r="E29" s="1723"/>
      <c r="F29" s="1723"/>
      <c r="G29" s="1723"/>
      <c r="H29" s="1723"/>
      <c r="I29" s="1723"/>
      <c r="J29" s="1724"/>
      <c r="L29" s="878" t="str">
        <f t="shared" si="1"/>
        <v/>
      </c>
      <c r="M29" s="1411"/>
      <c r="N29" s="1403"/>
      <c r="O29" s="1403"/>
      <c r="P29" s="738" t="s">
        <v>771</v>
      </c>
      <c r="Q29" s="739" t="s">
        <v>775</v>
      </c>
      <c r="R29" s="732" t="str">
        <f t="shared" si="0"/>
        <v>[BCBrgCant] - Bottom Chord Bearing Cantilever @ LE|RE|BE, Ctr Line of Support = #’-##” @ LE|RE|BE</v>
      </c>
    </row>
    <row r="30" spans="1:18" ht="15.4" customHeight="1" x14ac:dyDescent="0.2">
      <c r="A30" s="1367"/>
      <c r="B30" s="1722"/>
      <c r="C30" s="1723"/>
      <c r="D30" s="1723"/>
      <c r="E30" s="1723"/>
      <c r="F30" s="1723"/>
      <c r="G30" s="1723"/>
      <c r="H30" s="1723"/>
      <c r="I30" s="1723"/>
      <c r="J30" s="1724"/>
      <c r="L30" s="878" t="str">
        <f t="shared" si="1"/>
        <v/>
      </c>
      <c r="M30" s="1411"/>
      <c r="N30" s="1403"/>
      <c r="O30" s="1403"/>
      <c r="P30" s="738" t="s">
        <v>772</v>
      </c>
      <c r="Q30" s="739" t="s">
        <v>776</v>
      </c>
      <c r="R30" s="732" t="str">
        <f t="shared" si="0"/>
        <v>[BPSetBk] - Shorten Base Pl @ LE|RE|BE, Setback = #’-#, Max TC Depth = ##”, Ck TCX For Unrein Length, See Section ##</v>
      </c>
    </row>
    <row r="31" spans="1:18" ht="15.4" customHeight="1" x14ac:dyDescent="0.2">
      <c r="A31" s="1367"/>
      <c r="B31" s="1722"/>
      <c r="C31" s="1723"/>
      <c r="D31" s="1723"/>
      <c r="E31" s="1723"/>
      <c r="F31" s="1723"/>
      <c r="G31" s="1723"/>
      <c r="H31" s="1723"/>
      <c r="I31" s="1723"/>
      <c r="J31" s="1724"/>
      <c r="L31" s="878" t="str">
        <f t="shared" si="1"/>
        <v/>
      </c>
      <c r="M31" s="1411"/>
      <c r="N31" s="1403"/>
      <c r="O31" s="1403"/>
      <c r="P31" s="738" t="s">
        <v>576</v>
      </c>
      <c r="Q31" s="739" t="s">
        <v>642</v>
      </c>
      <c r="R31" s="732" t="str">
        <f t="shared" si="0"/>
        <v>[BPThk] - Min Thickness of Base Plate = 0.xxx" @ LE|RE|BE</v>
      </c>
    </row>
    <row r="32" spans="1:18" ht="15.4" customHeight="1" x14ac:dyDescent="0.2">
      <c r="A32" s="1367"/>
      <c r="B32" s="1722"/>
      <c r="C32" s="1723"/>
      <c r="D32" s="1723"/>
      <c r="E32" s="1723"/>
      <c r="F32" s="1723"/>
      <c r="G32" s="1723"/>
      <c r="H32" s="1723"/>
      <c r="I32" s="1723"/>
      <c r="J32" s="1724"/>
      <c r="L32" s="878" t="str">
        <f t="shared" si="1"/>
        <v/>
      </c>
      <c r="M32" s="1411"/>
      <c r="N32" s="1403"/>
      <c r="O32" s="1403"/>
      <c r="P32" s="738" t="s">
        <v>598</v>
      </c>
      <c r="Q32" s="739" t="s">
        <v>599</v>
      </c>
      <c r="R32" s="732" t="str">
        <f t="shared" si="0"/>
        <v>[ClrBrg] - Min Clear Bearing = #" @ LE(RE)(BE)</v>
      </c>
    </row>
    <row r="33" spans="1:18" ht="15.4" customHeight="1" x14ac:dyDescent="0.2">
      <c r="A33" s="1367"/>
      <c r="B33" s="1722"/>
      <c r="C33" s="1723"/>
      <c r="D33" s="1723"/>
      <c r="E33" s="1723"/>
      <c r="F33" s="1723"/>
      <c r="G33" s="1723"/>
      <c r="H33" s="1723"/>
      <c r="I33" s="1723"/>
      <c r="J33" s="1724"/>
      <c r="L33" s="878" t="str">
        <f t="shared" si="1"/>
        <v/>
      </c>
      <c r="M33" s="1411"/>
      <c r="N33" s="1403"/>
      <c r="O33" s="1403"/>
      <c r="P33" s="738" t="s">
        <v>773</v>
      </c>
      <c r="Q33" s="739" t="s">
        <v>777</v>
      </c>
      <c r="R33" s="732" t="str">
        <f t="shared" si="0"/>
        <v>[ContAngle] - Continuity Angles for Load Transfer, Hold Double Angle W2 Down for Field Install, No TC Splices within 1st ##” @ LE|RE|BE</v>
      </c>
    </row>
    <row r="34" spans="1:18" ht="15.4" customHeight="1" x14ac:dyDescent="0.2">
      <c r="A34" s="1367"/>
      <c r="B34" s="1722"/>
      <c r="C34" s="1723"/>
      <c r="D34" s="1723"/>
      <c r="E34" s="1723"/>
      <c r="F34" s="1723"/>
      <c r="G34" s="1723"/>
      <c r="H34" s="1723"/>
      <c r="I34" s="1723"/>
      <c r="J34" s="1724"/>
      <c r="L34" s="878" t="str">
        <f t="shared" si="1"/>
        <v/>
      </c>
      <c r="M34" s="1411"/>
      <c r="N34" s="1403"/>
      <c r="O34" s="1403"/>
      <c r="P34" s="738" t="s">
        <v>633</v>
      </c>
      <c r="Q34" s="739" t="s">
        <v>635</v>
      </c>
      <c r="R34" s="732" t="str">
        <f t="shared" si="0"/>
        <v>[KickLd] - Axial Load Due To Kicker, No Rein Req’d</v>
      </c>
    </row>
    <row r="35" spans="1:18" ht="15.4" customHeight="1" x14ac:dyDescent="0.2">
      <c r="A35" s="1367"/>
      <c r="B35" s="1722"/>
      <c r="C35" s="1723"/>
      <c r="D35" s="1723"/>
      <c r="E35" s="1723"/>
      <c r="F35" s="1723"/>
      <c r="G35" s="1723"/>
      <c r="H35" s="1723"/>
      <c r="I35" s="1723"/>
      <c r="J35" s="1724"/>
      <c r="L35" s="878" t="str">
        <f t="shared" si="1"/>
        <v/>
      </c>
      <c r="M35" s="1411"/>
      <c r="N35" s="1403"/>
      <c r="O35" s="1403"/>
      <c r="P35" s="738" t="s">
        <v>632</v>
      </c>
      <c r="Q35" s="739" t="s">
        <v>634</v>
      </c>
      <c r="R35" s="732" t="str">
        <f t="shared" si="0"/>
        <v>[KnifePL] - Knife Pl Provided for Load Transfer, TC/Seat Gap Clear for 1st ##” @ LE|RE|BE</v>
      </c>
    </row>
    <row r="36" spans="1:18" ht="15.4" customHeight="1" x14ac:dyDescent="0.2">
      <c r="A36" s="1367"/>
      <c r="B36" s="1722"/>
      <c r="C36" s="1723"/>
      <c r="D36" s="1723"/>
      <c r="E36" s="1723"/>
      <c r="F36" s="1723"/>
      <c r="G36" s="1723"/>
      <c r="H36" s="1723"/>
      <c r="I36" s="1723"/>
      <c r="J36" s="1724"/>
      <c r="L36" s="878" t="str">
        <f t="shared" si="1"/>
        <v/>
      </c>
      <c r="M36" s="1411"/>
      <c r="N36" s="1403"/>
      <c r="O36" s="1403"/>
      <c r="P36" s="738" t="s">
        <v>643</v>
      </c>
      <c r="Q36" s="739" t="s">
        <v>644</v>
      </c>
      <c r="R36" s="732" t="str">
        <f t="shared" si="0"/>
        <v>[MaxWidth] - Max Width of TC &amp; Base Plate|BC for 1st ##” @ LE|RE|BE</v>
      </c>
    </row>
    <row r="37" spans="1:18" ht="15.4" customHeight="1" x14ac:dyDescent="0.2">
      <c r="A37" s="1367"/>
      <c r="B37" s="1722"/>
      <c r="C37" s="1723"/>
      <c r="D37" s="1723"/>
      <c r="E37" s="1723"/>
      <c r="F37" s="1723"/>
      <c r="G37" s="1723"/>
      <c r="H37" s="1723"/>
      <c r="I37" s="1723"/>
      <c r="J37" s="1724"/>
      <c r="L37" s="878" t="str">
        <f t="shared" si="1"/>
        <v/>
      </c>
      <c r="M37" s="1411"/>
      <c r="N37" s="1403"/>
      <c r="O37" s="1403"/>
      <c r="P37" s="738" t="s">
        <v>630</v>
      </c>
      <c r="Q37" s="739" t="s">
        <v>778</v>
      </c>
      <c r="R37" s="732" t="str">
        <f t="shared" si="0"/>
        <v>[NoRein] - Tie Pl Provided for Load Transfer, No Rein Req’d (***Could Show This Note in Load Note Remarks***)</v>
      </c>
    </row>
    <row r="38" spans="1:18" ht="15.4" customHeight="1" x14ac:dyDescent="0.2">
      <c r="A38" s="1367"/>
      <c r="B38" s="1722"/>
      <c r="C38" s="1723"/>
      <c r="D38" s="1723"/>
      <c r="E38" s="1723"/>
      <c r="F38" s="1723"/>
      <c r="G38" s="1723"/>
      <c r="H38" s="1723"/>
      <c r="I38" s="1723"/>
      <c r="J38" s="1724"/>
      <c r="L38" s="878" t="str">
        <f t="shared" si="1"/>
        <v/>
      </c>
      <c r="M38" s="1411"/>
      <c r="N38" s="1403"/>
      <c r="O38" s="1403"/>
      <c r="P38" s="738" t="s">
        <v>631</v>
      </c>
      <c r="Q38" s="739" t="s">
        <v>665</v>
      </c>
      <c r="R38" s="732" t="str">
        <f t="shared" si="0"/>
        <v>[Rein] - Reinforce Seats @ LE|RE|BE for Axial Load Transfer</v>
      </c>
    </row>
    <row r="39" spans="1:18" ht="15.4" customHeight="1" x14ac:dyDescent="0.2">
      <c r="A39" s="1367"/>
      <c r="B39" s="1722"/>
      <c r="C39" s="1723"/>
      <c r="D39" s="1723"/>
      <c r="E39" s="1723"/>
      <c r="F39" s="1723"/>
      <c r="G39" s="1723"/>
      <c r="H39" s="1723"/>
      <c r="I39" s="1723"/>
      <c r="J39" s="1724"/>
      <c r="L39" s="878" t="str">
        <f t="shared" si="1"/>
        <v/>
      </c>
      <c r="M39" s="1411"/>
      <c r="N39" s="1403"/>
      <c r="O39" s="1403"/>
      <c r="P39" s="738" t="s">
        <v>670</v>
      </c>
      <c r="Q39" s="739" t="s">
        <v>671</v>
      </c>
      <c r="R39" s="732" t="str">
        <f t="shared" si="0"/>
        <v>[RndShrtSlt] - #/#" Round Holes|#/#”x1” Slots, Ga=#” @ LE|RE|BE</v>
      </c>
    </row>
    <row r="40" spans="1:18" ht="15.4" customHeight="1" x14ac:dyDescent="0.2">
      <c r="A40" s="1367"/>
      <c r="B40" s="1722"/>
      <c r="C40" s="1723"/>
      <c r="D40" s="1723"/>
      <c r="E40" s="1723"/>
      <c r="F40" s="1723"/>
      <c r="G40" s="1723"/>
      <c r="H40" s="1723"/>
      <c r="I40" s="1723"/>
      <c r="J40" s="1724"/>
      <c r="L40" s="878" t="str">
        <f t="shared" si="1"/>
        <v/>
      </c>
      <c r="M40" s="1411"/>
      <c r="N40" s="1403"/>
      <c r="O40" s="1403"/>
      <c r="P40" s="738" t="s">
        <v>636</v>
      </c>
      <c r="Q40" s="739" t="s">
        <v>637</v>
      </c>
      <c r="R40" s="732" t="str">
        <f t="shared" si="0"/>
        <v>[Roll] - Seat Rollover Force = ##Kips @ LE|RE|BE</v>
      </c>
    </row>
    <row r="41" spans="1:18" ht="15.4" customHeight="1" x14ac:dyDescent="0.2">
      <c r="A41" s="1367"/>
      <c r="B41" s="1722"/>
      <c r="C41" s="1723"/>
      <c r="D41" s="1723"/>
      <c r="E41" s="1723"/>
      <c r="F41" s="1723"/>
      <c r="G41" s="1723"/>
      <c r="H41" s="1723"/>
      <c r="I41" s="1723"/>
      <c r="J41" s="1724"/>
      <c r="L41" s="878" t="str">
        <f t="shared" si="1"/>
        <v/>
      </c>
      <c r="M41" s="1411"/>
      <c r="N41" s="1403"/>
      <c r="O41" s="1403"/>
      <c r="P41" s="738" t="s">
        <v>662</v>
      </c>
      <c r="Q41" s="739" t="s">
        <v>663</v>
      </c>
      <c r="R41" s="732" t="str">
        <f t="shared" si="0"/>
        <v>[ShrtBrg] - Short Bearing = #” @ LE|RE|BE</v>
      </c>
    </row>
    <row r="42" spans="1:18" ht="15.4" customHeight="1" x14ac:dyDescent="0.2">
      <c r="A42" s="1367"/>
      <c r="B42" s="1722"/>
      <c r="C42" s="1723"/>
      <c r="D42" s="1723"/>
      <c r="E42" s="1723"/>
      <c r="F42" s="1723"/>
      <c r="G42" s="1723"/>
      <c r="H42" s="1723"/>
      <c r="I42" s="1723"/>
      <c r="J42" s="1724"/>
      <c r="L42" s="878" t="str">
        <f t="shared" si="1"/>
        <v/>
      </c>
      <c r="M42" s="1411"/>
      <c r="N42" s="1403"/>
      <c r="O42" s="1403"/>
      <c r="P42" s="738" t="s">
        <v>666</v>
      </c>
      <c r="Q42" s="739" t="s">
        <v>587</v>
      </c>
      <c r="R42" s="732" t="str">
        <f t="shared" si="0"/>
        <v>[Skew] - ##º Half(Full)-Skew, NS(FS), LE(RE)</v>
      </c>
    </row>
    <row r="43" spans="1:18" ht="15.4" customHeight="1" x14ac:dyDescent="0.2">
      <c r="A43" s="1367"/>
      <c r="B43" s="1722"/>
      <c r="C43" s="1723"/>
      <c r="D43" s="1723"/>
      <c r="E43" s="1723"/>
      <c r="F43" s="1723"/>
      <c r="G43" s="1723"/>
      <c r="H43" s="1723"/>
      <c r="I43" s="1723"/>
      <c r="J43" s="1724"/>
      <c r="L43" s="878" t="str">
        <f t="shared" si="1"/>
        <v/>
      </c>
      <c r="M43" s="1411"/>
      <c r="N43" s="1403"/>
      <c r="O43" s="1403"/>
      <c r="P43" s="738" t="s">
        <v>573</v>
      </c>
      <c r="Q43" s="739" t="s">
        <v>640</v>
      </c>
      <c r="R43" s="732" t="str">
        <f t="shared" si="0"/>
        <v>[SpSlt] - Special Seat Slots: #"x#" Slots, Ga=#" @ LE|RE|BE</v>
      </c>
    </row>
    <row r="44" spans="1:18" ht="15.4" customHeight="1" x14ac:dyDescent="0.2">
      <c r="A44" s="1367"/>
      <c r="B44" s="1722"/>
      <c r="C44" s="1723"/>
      <c r="D44" s="1723"/>
      <c r="E44" s="1723"/>
      <c r="F44" s="1723"/>
      <c r="G44" s="1723"/>
      <c r="H44" s="1723"/>
      <c r="I44" s="1723"/>
      <c r="J44" s="1724"/>
      <c r="L44" s="878" t="str">
        <f t="shared" si="1"/>
        <v/>
      </c>
      <c r="M44" s="1411"/>
      <c r="N44" s="1403"/>
      <c r="O44" s="1403"/>
      <c r="P44" s="738" t="s">
        <v>572</v>
      </c>
      <c r="Q44" s="739" t="s">
        <v>639</v>
      </c>
      <c r="R44" s="732" t="str">
        <f t="shared" si="0"/>
        <v>[StgSlt] - Stagger Seat Slots LE|RE: ##" NS, ##" FS</v>
      </c>
    </row>
    <row r="45" spans="1:18" ht="15.4" customHeight="1" x14ac:dyDescent="0.2">
      <c r="A45" s="1367"/>
      <c r="B45" s="1722"/>
      <c r="C45" s="1723"/>
      <c r="D45" s="1723"/>
      <c r="E45" s="1723"/>
      <c r="F45" s="1723"/>
      <c r="G45" s="1723"/>
      <c r="H45" s="1723"/>
      <c r="I45" s="1723"/>
      <c r="J45" s="1724"/>
      <c r="L45" s="878" t="str">
        <f t="shared" si="1"/>
        <v/>
      </c>
      <c r="M45" s="1411"/>
      <c r="N45" s="1403"/>
      <c r="O45" s="1403"/>
      <c r="P45" s="738" t="s">
        <v>577</v>
      </c>
      <c r="Q45" s="739" t="s">
        <v>629</v>
      </c>
      <c r="R45" s="732" t="str">
        <f t="shared" si="0"/>
        <v>[TCXMax] - Max Depth of TCXL|TCXR = ##"</v>
      </c>
    </row>
    <row r="46" spans="1:18" ht="15.4" customHeight="1" x14ac:dyDescent="0.2">
      <c r="A46" s="1367"/>
      <c r="B46" s="1722"/>
      <c r="C46" s="1723"/>
      <c r="D46" s="1723"/>
      <c r="E46" s="1723"/>
      <c r="F46" s="1723"/>
      <c r="G46" s="1723"/>
      <c r="H46" s="1723"/>
      <c r="I46" s="1723"/>
      <c r="J46" s="1724"/>
      <c r="L46" s="878" t="str">
        <f t="shared" si="1"/>
        <v/>
      </c>
      <c r="M46" s="1411"/>
      <c r="N46" s="1403"/>
      <c r="O46" s="1403"/>
      <c r="P46" s="738" t="s">
        <v>571</v>
      </c>
      <c r="Q46" s="739" t="s">
        <v>664</v>
      </c>
      <c r="R46" s="732" t="str">
        <f t="shared" si="0"/>
        <v>[TCXSup] - TCXL|TCXR Supported @ End</v>
      </c>
    </row>
    <row r="47" spans="1:18" ht="15.4" customHeight="1" x14ac:dyDescent="0.2">
      <c r="A47" s="1367"/>
      <c r="B47" s="1722"/>
      <c r="C47" s="1723"/>
      <c r="D47" s="1723"/>
      <c r="E47" s="1723"/>
      <c r="F47" s="1723"/>
      <c r="G47" s="1723"/>
      <c r="H47" s="1723"/>
      <c r="I47" s="1723"/>
      <c r="J47" s="1724"/>
      <c r="L47" s="878" t="str">
        <f t="shared" si="1"/>
        <v/>
      </c>
      <c r="M47" s="1411"/>
      <c r="N47" s="1403"/>
      <c r="O47" s="1403"/>
      <c r="P47" s="738"/>
      <c r="Q47" s="739" t="s">
        <v>645</v>
      </c>
      <c r="R47" s="732" t="str">
        <f t="shared" si="0"/>
        <v>[] - MISCELLANEOUS</v>
      </c>
    </row>
    <row r="48" spans="1:18" ht="15.4" customHeight="1" x14ac:dyDescent="0.2">
      <c r="A48" s="1367"/>
      <c r="B48" s="1722"/>
      <c r="C48" s="1723"/>
      <c r="D48" s="1723"/>
      <c r="E48" s="1723"/>
      <c r="F48" s="1723"/>
      <c r="G48" s="1723"/>
      <c r="H48" s="1723"/>
      <c r="I48" s="1723"/>
      <c r="J48" s="1724"/>
      <c r="L48" s="878" t="str">
        <f t="shared" si="1"/>
        <v/>
      </c>
      <c r="M48" s="1411"/>
      <c r="N48" s="1403"/>
      <c r="O48" s="1403"/>
      <c r="P48" s="738" t="s">
        <v>579</v>
      </c>
      <c r="Q48" s="739" t="s">
        <v>648</v>
      </c>
      <c r="R48" s="732" t="str">
        <f t="shared" si="0"/>
        <v>[BClip] - Bridging Clip(s) Required per Plan</v>
      </c>
    </row>
    <row r="49" spans="1:18" ht="15.4" customHeight="1" x14ac:dyDescent="0.2">
      <c r="A49" s="1367"/>
      <c r="B49" s="1722"/>
      <c r="C49" s="1723"/>
      <c r="D49" s="1723"/>
      <c r="E49" s="1723"/>
      <c r="F49" s="1723"/>
      <c r="G49" s="1723"/>
      <c r="H49" s="1723"/>
      <c r="I49" s="1723"/>
      <c r="J49" s="1724"/>
      <c r="L49" s="878" t="str">
        <f t="shared" si="1"/>
        <v/>
      </c>
      <c r="M49" s="1411"/>
      <c r="N49" s="1403"/>
      <c r="O49" s="1403"/>
      <c r="P49" s="738" t="s">
        <v>575</v>
      </c>
      <c r="Q49" s="739" t="s">
        <v>567</v>
      </c>
      <c r="R49" s="732" t="str">
        <f t="shared" si="0"/>
        <v>[BCThk] - Min Thickness of BC = 0.xxx"</v>
      </c>
    </row>
    <row r="50" spans="1:18" ht="15.4" customHeight="1" x14ac:dyDescent="0.2">
      <c r="A50" s="1367"/>
      <c r="B50" s="1722"/>
      <c r="C50" s="1723"/>
      <c r="D50" s="1723"/>
      <c r="E50" s="1723"/>
      <c r="F50" s="1723"/>
      <c r="G50" s="1723"/>
      <c r="H50" s="1723"/>
      <c r="I50" s="1723"/>
      <c r="J50" s="1724"/>
      <c r="L50" s="878" t="str">
        <f t="shared" si="1"/>
        <v/>
      </c>
      <c r="M50" s="1411"/>
      <c r="N50" s="1403"/>
      <c r="O50" s="1403"/>
      <c r="P50" s="738" t="s">
        <v>667</v>
      </c>
      <c r="Q50" s="739" t="s">
        <v>647</v>
      </c>
      <c r="R50" s="732" t="str">
        <f t="shared" si="0"/>
        <v>[Camb] - Camber = #"|Camber for DL|50% Std Camber|No Camber</v>
      </c>
    </row>
    <row r="51" spans="1:18" ht="15.4" customHeight="1" x14ac:dyDescent="0.2">
      <c r="A51" s="1371"/>
      <c r="B51" s="1734"/>
      <c r="C51" s="1735"/>
      <c r="D51" s="1735"/>
      <c r="E51" s="1735"/>
      <c r="F51" s="1735"/>
      <c r="G51" s="1735"/>
      <c r="H51" s="1735"/>
      <c r="I51" s="1735"/>
      <c r="J51" s="1736"/>
      <c r="L51" s="878" t="str">
        <f t="shared" si="1"/>
        <v/>
      </c>
      <c r="M51" s="1411"/>
      <c r="N51" s="1403"/>
      <c r="O51" s="1403"/>
      <c r="P51" s="738" t="s">
        <v>781</v>
      </c>
      <c r="Q51" s="739" t="s">
        <v>786</v>
      </c>
      <c r="R51" s="732" t="str">
        <f t="shared" si="0"/>
        <v>[DUCT] - ##" Dia|##"H x ##"W Duct @ #'-# from L-OAL</v>
      </c>
    </row>
    <row r="52" spans="1:18" ht="15.6" customHeight="1" x14ac:dyDescent="0.2">
      <c r="N52" s="154" t="e">
        <f>COUNTIF(N13:O51,TRUE)+IF(NOT($M$1),1,0)</f>
        <v>#REF!</v>
      </c>
      <c r="O52" s="1406" t="s">
        <v>792</v>
      </c>
      <c r="P52" s="738" t="s">
        <v>591</v>
      </c>
      <c r="Q52" s="739" t="s">
        <v>600</v>
      </c>
      <c r="R52" s="732" t="str">
        <f t="shared" si="0"/>
        <v>[HS] - Horiz Field Splice: See Detail on J1.xx</v>
      </c>
    </row>
    <row r="53" spans="1:18" ht="15.6" customHeight="1" x14ac:dyDescent="0.2">
      <c r="P53" s="738" t="s">
        <v>593</v>
      </c>
      <c r="Q53" s="739" t="s">
        <v>602</v>
      </c>
      <c r="R53" s="732" t="str">
        <f t="shared" si="0"/>
        <v>[MS] - Multiple Vert Field Splices: Type xx</v>
      </c>
    </row>
    <row r="54" spans="1:18" ht="15.6" customHeight="1" x14ac:dyDescent="0.2">
      <c r="P54" s="738" t="s">
        <v>782</v>
      </c>
      <c r="Q54" s="739" t="s">
        <v>785</v>
      </c>
      <c r="R54" s="732" t="str">
        <f t="shared" si="0"/>
        <v>[SpBClip] - Special Bridging Clip(s) Required per Plan, See Sketch</v>
      </c>
    </row>
    <row r="55" spans="1:18" ht="15.6" customHeight="1" x14ac:dyDescent="0.2">
      <c r="P55" s="738" t="s">
        <v>649</v>
      </c>
      <c r="Q55" s="739" t="s">
        <v>650</v>
      </c>
      <c r="R55" s="732" t="str">
        <f t="shared" si="0"/>
        <v>[SpConn] - Special Connection @ (location), See Section ##</v>
      </c>
    </row>
    <row r="56" spans="1:18" ht="15.6" customHeight="1" x14ac:dyDescent="0.2">
      <c r="P56" s="738" t="s">
        <v>574</v>
      </c>
      <c r="Q56" s="739" t="s">
        <v>566</v>
      </c>
      <c r="R56" s="732" t="str">
        <f t="shared" si="0"/>
        <v>[TCThk] - Min Thickness of TC = 0.xxx"</v>
      </c>
    </row>
    <row r="57" spans="1:18" ht="15.6" customHeight="1" x14ac:dyDescent="0.2">
      <c r="P57" s="738" t="s">
        <v>783</v>
      </c>
      <c r="Q57" s="739" t="s">
        <v>784</v>
      </c>
      <c r="R57" s="732" t="str">
        <f t="shared" si="0"/>
        <v xml:space="preserve">[V100] - Add Vertical to Support Load On BCXL|R </v>
      </c>
    </row>
    <row r="58" spans="1:18" ht="15.6" customHeight="1" x14ac:dyDescent="0.2">
      <c r="P58" s="738" t="s">
        <v>674</v>
      </c>
      <c r="Q58" s="739" t="s">
        <v>686</v>
      </c>
      <c r="R58" s="732" t="str">
        <f t="shared" si="0"/>
        <v>[Vier] - Vierendeel Panel, ##” W x ##” H, Bottom Left Corner of Opening @ ##” From Bot/Jst, ##’-##” From L-OAL</v>
      </c>
    </row>
    <row r="59" spans="1:18" ht="15.6" customHeight="1" x14ac:dyDescent="0.2">
      <c r="A59" s="707" t="s">
        <v>614</v>
      </c>
      <c r="P59" s="738" t="s">
        <v>592</v>
      </c>
      <c r="Q59" s="739" t="s">
        <v>601</v>
      </c>
      <c r="R59" s="732" t="str">
        <f t="shared" si="0"/>
        <v>[VS] - Vert Field Splice: Type xx, Near Midspan</v>
      </c>
    </row>
    <row r="60" spans="1:18" ht="15.6" hidden="1" customHeight="1" x14ac:dyDescent="0.2">
      <c r="A60" s="831" t="s">
        <v>613</v>
      </c>
      <c r="P60" s="738" t="s">
        <v>672</v>
      </c>
      <c r="Q60" s="739" t="s">
        <v>673</v>
      </c>
      <c r="R60" s="732" t="str">
        <f t="shared" si="0"/>
        <v>[ChdWdth] - Min|Max Width of TC|BC = ##”</v>
      </c>
    </row>
    <row r="61" spans="1:18" ht="15.6" hidden="1" customHeight="1" x14ac:dyDescent="0.2">
      <c r="A61" s="833"/>
      <c r="P61" s="738" t="s">
        <v>668</v>
      </c>
      <c r="Q61" s="739" t="s">
        <v>595</v>
      </c>
      <c r="R61" s="732" t="str">
        <f t="shared" si="0"/>
        <v>[Duct] - ##" Dia (##"H x ##"W) Duct @ #'-# from L-OAL</v>
      </c>
    </row>
    <row r="62" spans="1:18" ht="15.6" hidden="1" customHeight="1" x14ac:dyDescent="0.2">
      <c r="P62" s="738" t="s">
        <v>591</v>
      </c>
      <c r="Q62" s="739" t="s">
        <v>600</v>
      </c>
      <c r="R62" s="732" t="str">
        <f t="shared" si="0"/>
        <v>[HS] - Horiz Field Splice: See Detail on J1.xx</v>
      </c>
    </row>
    <row r="63" spans="1:18" ht="15.6" hidden="1" customHeight="1" x14ac:dyDescent="0.2">
      <c r="P63" s="738" t="s">
        <v>592</v>
      </c>
      <c r="Q63" s="739" t="s">
        <v>601</v>
      </c>
      <c r="R63" s="732" t="str">
        <f t="shared" si="0"/>
        <v>[VS] - Vert Field Splice: Type xx, Near Midspan</v>
      </c>
    </row>
    <row r="64" spans="1:18" ht="15.6" hidden="1" customHeight="1" x14ac:dyDescent="0.2">
      <c r="P64" s="738" t="s">
        <v>593</v>
      </c>
      <c r="Q64" s="739" t="s">
        <v>602</v>
      </c>
      <c r="R64" s="732" t="str">
        <f t="shared" si="0"/>
        <v>[MS] - Multiple Vert Field Splices: Type xx</v>
      </c>
    </row>
    <row r="65" spans="1:18" ht="15.6" customHeight="1" x14ac:dyDescent="0.2">
      <c r="A65" s="707" t="s">
        <v>615</v>
      </c>
      <c r="P65" s="738"/>
      <c r="Q65" s="739" t="s">
        <v>651</v>
      </c>
      <c r="R65" s="732" t="str">
        <f t="shared" si="0"/>
        <v>[] - GENERAL</v>
      </c>
    </row>
    <row r="66" spans="1:18" ht="15.6" customHeight="1" x14ac:dyDescent="0.2">
      <c r="P66" s="738" t="s">
        <v>779</v>
      </c>
      <c r="Q66" s="739" t="s">
        <v>780</v>
      </c>
      <c r="R66" s="732" t="str">
        <f t="shared" si="0"/>
        <v>[PAINT] - NO Shop Primer|NO Shop Primer – Galv|# Shop Coats – Std Gray Primer</v>
      </c>
    </row>
    <row r="67" spans="1:18" ht="15.6" customHeight="1" x14ac:dyDescent="0.2">
      <c r="P67" s="738" t="s">
        <v>609</v>
      </c>
      <c r="Q67" s="739" t="s">
        <v>610</v>
      </c>
      <c r="R67" s="732" t="str">
        <f t="shared" si="0"/>
        <v>[LRFD] - **LRFD**   **LRFD**   **LRFD**</v>
      </c>
    </row>
    <row r="68" spans="1:18" ht="15.6" customHeight="1" x14ac:dyDescent="0.2">
      <c r="P68" s="738" t="s">
        <v>569</v>
      </c>
      <c r="Q68" s="739" t="s">
        <v>596</v>
      </c>
      <c r="R68" s="732" t="str">
        <f t="shared" si="0"/>
        <v>[ESFR] - #"Dia Pipes, 8" Below Top/Jst, 15" Horiz Clearance @ ##'-#,  ##'-# &amp;  ##'-# from L-OAL</v>
      </c>
    </row>
    <row r="69" spans="1:18" ht="15.6" customHeight="1" x14ac:dyDescent="0.2">
      <c r="P69" s="738" t="s">
        <v>669</v>
      </c>
      <c r="Q69" s="739" t="s">
        <v>568</v>
      </c>
      <c r="R69" s="732" t="str">
        <f t="shared" si="0"/>
        <v>[Self] - Add Self-Weight to Design</v>
      </c>
    </row>
    <row r="70" spans="1:18" ht="15.6" customHeight="1" x14ac:dyDescent="0.2">
      <c r="P70" s="738" t="s">
        <v>604</v>
      </c>
      <c r="Q70" s="739" t="s">
        <v>606</v>
      </c>
      <c r="R70" s="732" t="str">
        <f t="shared" si="0"/>
        <v>[SpChd] - ##"^2 Min Chord Area</v>
      </c>
    </row>
    <row r="71" spans="1:18" ht="15.6" customHeight="1" x14ac:dyDescent="0.2">
      <c r="P71" s="738" t="s">
        <v>605</v>
      </c>
      <c r="Q71" s="739" t="s">
        <v>607</v>
      </c>
      <c r="R71" s="732" t="str">
        <f t="shared" si="0"/>
        <v>[SpWeb] - ##"^2 Min Web Area</v>
      </c>
    </row>
    <row r="72" spans="1:18" ht="15.6" customHeight="1" x14ac:dyDescent="0.2">
      <c r="P72" s="738" t="s">
        <v>646</v>
      </c>
      <c r="Q72" s="739" t="s">
        <v>608</v>
      </c>
      <c r="R72" s="732" t="str">
        <f t="shared" si="0"/>
        <v>[DomStl] - Domestic Steel Required (ARRA)</v>
      </c>
    </row>
    <row r="73" spans="1:18" ht="15.6" customHeight="1" x14ac:dyDescent="0.2">
      <c r="P73" s="738" t="s">
        <v>594</v>
      </c>
      <c r="Q73" s="739" t="s">
        <v>603</v>
      </c>
      <c r="R73" s="732" t="str">
        <f t="shared" si="0"/>
        <v>[SSR] - Standing Seam Roof: TC Lateral Support @ ##" Max.</v>
      </c>
    </row>
    <row r="74" spans="1:18" ht="15.6" customHeight="1" x14ac:dyDescent="0.2">
      <c r="P74" s="738" t="s">
        <v>675</v>
      </c>
      <c r="Q74" s="739" t="s">
        <v>681</v>
      </c>
      <c r="R74" s="732" t="str">
        <f t="shared" si="0"/>
        <v>[AlignPnls] - Align Panels of Adjacent Jsts</v>
      </c>
    </row>
    <row r="75" spans="1:18" ht="15.6" customHeight="1" x14ac:dyDescent="0.2">
      <c r="P75" s="738" t="s">
        <v>676</v>
      </c>
      <c r="Q75" s="739" t="s">
        <v>682</v>
      </c>
      <c r="R75" s="732" t="str">
        <f t="shared" si="0"/>
        <v>[SpBund] - Special Bundling Req’d, See Attached Listing</v>
      </c>
    </row>
    <row r="76" spans="1:18" ht="15.6" customHeight="1" x14ac:dyDescent="0.2">
      <c r="P76" s="738" t="s">
        <v>677</v>
      </c>
      <c r="Q76" s="739" t="s">
        <v>683</v>
      </c>
      <c r="R76" s="732" t="str">
        <f t="shared" si="0"/>
        <v>[BIM] - Building Information Modeling, Inform Dtlr When Design Completed</v>
      </c>
    </row>
    <row r="77" spans="1:18" ht="15.6" customHeight="1" x14ac:dyDescent="0.2">
      <c r="P77" s="738" t="s">
        <v>678</v>
      </c>
      <c r="Q77" s="739" t="s">
        <v>684</v>
      </c>
      <c r="R77" s="732" t="str">
        <f t="shared" si="0"/>
        <v>[Calcs] - Sealed Calcs req’d for Record|Appl</v>
      </c>
    </row>
    <row r="78" spans="1:18" ht="15.6" customHeight="1" x14ac:dyDescent="0.2">
      <c r="P78" s="738" t="s">
        <v>679</v>
      </c>
      <c r="Q78" s="739" t="s">
        <v>685</v>
      </c>
      <c r="R78" s="732" t="str">
        <f t="shared" ref="R78:R99" si="2">CONCATENATE("[",P78, "] - ", Q78)</f>
        <v>[Prof] - Joist|Girder Profiles Req’d</v>
      </c>
    </row>
    <row r="79" spans="1:18" ht="15.6" customHeight="1" x14ac:dyDescent="0.2">
      <c r="P79" s="738" t="s">
        <v>680</v>
      </c>
      <c r="Q79" s="739" t="s">
        <v>652</v>
      </c>
      <c r="R79" s="732" t="str">
        <f t="shared" si="2"/>
        <v>[UnDef] - Special Note Here (special condition not matching pre-defined codes)</v>
      </c>
    </row>
    <row r="80" spans="1:18" ht="15.6" customHeight="1" x14ac:dyDescent="0.2">
      <c r="P80" s="738"/>
      <c r="Q80" s="739"/>
      <c r="R80" s="732" t="str">
        <f t="shared" si="2"/>
        <v xml:space="preserve">[] - </v>
      </c>
    </row>
    <row r="81" spans="16:18" ht="15.6" customHeight="1" x14ac:dyDescent="0.2">
      <c r="P81" s="738"/>
      <c r="Q81" s="739"/>
      <c r="R81" s="732" t="str">
        <f t="shared" si="2"/>
        <v xml:space="preserve">[] - </v>
      </c>
    </row>
    <row r="82" spans="16:18" ht="15.6" customHeight="1" x14ac:dyDescent="0.2">
      <c r="P82" s="738"/>
      <c r="Q82" s="739"/>
      <c r="R82" s="732" t="str">
        <f t="shared" si="2"/>
        <v xml:space="preserve">[] - </v>
      </c>
    </row>
    <row r="83" spans="16:18" ht="15.6" customHeight="1" x14ac:dyDescent="0.2">
      <c r="P83" s="738"/>
      <c r="Q83" s="739"/>
      <c r="R83" s="732" t="str">
        <f t="shared" si="2"/>
        <v xml:space="preserve">[] - </v>
      </c>
    </row>
    <row r="84" spans="16:18" ht="15.6" customHeight="1" x14ac:dyDescent="0.2">
      <c r="P84" s="738"/>
      <c r="Q84" s="739"/>
      <c r="R84" s="732" t="str">
        <f t="shared" si="2"/>
        <v xml:space="preserve">[] - </v>
      </c>
    </row>
    <row r="85" spans="16:18" ht="15.6" customHeight="1" x14ac:dyDescent="0.2">
      <c r="P85" s="738"/>
      <c r="Q85" s="739"/>
      <c r="R85" s="732" t="str">
        <f t="shared" si="2"/>
        <v xml:space="preserve">[] - </v>
      </c>
    </row>
    <row r="86" spans="16:18" ht="15.6" customHeight="1" x14ac:dyDescent="0.2">
      <c r="P86" s="738"/>
      <c r="Q86" s="739"/>
      <c r="R86" s="732" t="str">
        <f t="shared" si="2"/>
        <v xml:space="preserve">[] - </v>
      </c>
    </row>
    <row r="87" spans="16:18" ht="15.6" customHeight="1" x14ac:dyDescent="0.2">
      <c r="P87" s="738"/>
      <c r="Q87" s="739"/>
      <c r="R87" s="732" t="str">
        <f t="shared" si="2"/>
        <v xml:space="preserve">[] - </v>
      </c>
    </row>
    <row r="88" spans="16:18" ht="15.6" customHeight="1" x14ac:dyDescent="0.2">
      <c r="P88" s="738"/>
      <c r="Q88" s="739"/>
      <c r="R88" s="732" t="str">
        <f t="shared" si="2"/>
        <v xml:space="preserve">[] - </v>
      </c>
    </row>
    <row r="89" spans="16:18" ht="15.6" customHeight="1" x14ac:dyDescent="0.2">
      <c r="P89" s="738"/>
      <c r="Q89" s="739"/>
      <c r="R89" s="732" t="str">
        <f t="shared" si="2"/>
        <v xml:space="preserve">[] - </v>
      </c>
    </row>
    <row r="90" spans="16:18" ht="15.6" customHeight="1" x14ac:dyDescent="0.2">
      <c r="P90" s="738"/>
      <c r="Q90" s="739"/>
      <c r="R90" s="732" t="str">
        <f t="shared" si="2"/>
        <v xml:space="preserve">[] - </v>
      </c>
    </row>
    <row r="91" spans="16:18" ht="15.6" customHeight="1" x14ac:dyDescent="0.2">
      <c r="P91" s="738"/>
      <c r="Q91" s="739"/>
      <c r="R91" s="732" t="str">
        <f t="shared" si="2"/>
        <v xml:space="preserve">[] - </v>
      </c>
    </row>
    <row r="92" spans="16:18" ht="15.6" customHeight="1" x14ac:dyDescent="0.2">
      <c r="P92" s="738"/>
      <c r="Q92" s="739"/>
      <c r="R92" s="732" t="str">
        <f t="shared" si="2"/>
        <v xml:space="preserve">[] - </v>
      </c>
    </row>
    <row r="93" spans="16:18" ht="15.6" customHeight="1" x14ac:dyDescent="0.2">
      <c r="P93" s="738"/>
      <c r="Q93" s="739"/>
      <c r="R93" s="732" t="str">
        <f t="shared" si="2"/>
        <v xml:space="preserve">[] - </v>
      </c>
    </row>
    <row r="94" spans="16:18" ht="15.6" customHeight="1" x14ac:dyDescent="0.2">
      <c r="P94" s="738"/>
      <c r="Q94" s="739"/>
      <c r="R94" s="732" t="str">
        <f t="shared" si="2"/>
        <v xml:space="preserve">[] - </v>
      </c>
    </row>
    <row r="95" spans="16:18" ht="15.6" customHeight="1" x14ac:dyDescent="0.2">
      <c r="P95" s="738"/>
      <c r="Q95" s="739"/>
      <c r="R95" s="732" t="str">
        <f t="shared" si="2"/>
        <v xml:space="preserve">[] - </v>
      </c>
    </row>
    <row r="96" spans="16:18" ht="15.6" customHeight="1" x14ac:dyDescent="0.2">
      <c r="P96" s="738"/>
      <c r="Q96" s="739"/>
      <c r="R96" s="732" t="str">
        <f t="shared" si="2"/>
        <v xml:space="preserve">[] - </v>
      </c>
    </row>
    <row r="97" spans="16:18" ht="15.6" customHeight="1" x14ac:dyDescent="0.2">
      <c r="P97" s="738"/>
      <c r="Q97" s="739"/>
      <c r="R97" s="732" t="str">
        <f t="shared" si="2"/>
        <v xml:space="preserve">[] - </v>
      </c>
    </row>
    <row r="98" spans="16:18" ht="15.6" customHeight="1" x14ac:dyDescent="0.2">
      <c r="P98" s="738"/>
      <c r="Q98" s="739"/>
      <c r="R98" s="732" t="str">
        <f t="shared" si="2"/>
        <v xml:space="preserve">[] - </v>
      </c>
    </row>
    <row r="99" spans="16:18" ht="15.6" customHeight="1" x14ac:dyDescent="0.2">
      <c r="P99" s="740"/>
      <c r="Q99" s="741"/>
      <c r="R99" s="733" t="str">
        <f t="shared" si="2"/>
        <v xml:space="preserve">[] - </v>
      </c>
    </row>
    <row r="100" spans="16:18" x14ac:dyDescent="0.2">
      <c r="R100" s="729"/>
    </row>
  </sheetData>
  <sheetProtection selectLockedCells="1"/>
  <mergeCells count="56">
    <mergeCell ref="B47:J47"/>
    <mergeCell ref="B48:J48"/>
    <mergeCell ref="B49:J49"/>
    <mergeCell ref="B50:J50"/>
    <mergeCell ref="B51:J51"/>
    <mergeCell ref="B46:J46"/>
    <mergeCell ref="B35:J35"/>
    <mergeCell ref="B36:J36"/>
    <mergeCell ref="B37:J37"/>
    <mergeCell ref="B38:J38"/>
    <mergeCell ref="B39:J39"/>
    <mergeCell ref="B40:J40"/>
    <mergeCell ref="B41:J41"/>
    <mergeCell ref="B42:J42"/>
    <mergeCell ref="B43:J43"/>
    <mergeCell ref="B44:J44"/>
    <mergeCell ref="B45:J45"/>
    <mergeCell ref="B34:J34"/>
    <mergeCell ref="B23:J23"/>
    <mergeCell ref="B24:J24"/>
    <mergeCell ref="B25:J25"/>
    <mergeCell ref="B26:J26"/>
    <mergeCell ref="B27:J27"/>
    <mergeCell ref="B28:J28"/>
    <mergeCell ref="B29:J29"/>
    <mergeCell ref="B30:J30"/>
    <mergeCell ref="B31:J31"/>
    <mergeCell ref="B32:J32"/>
    <mergeCell ref="B33:J33"/>
    <mergeCell ref="B22:J22"/>
    <mergeCell ref="B10:D10"/>
    <mergeCell ref="B12:J12"/>
    <mergeCell ref="B13:J13"/>
    <mergeCell ref="B14:J14"/>
    <mergeCell ref="B15:J15"/>
    <mergeCell ref="B16:J16"/>
    <mergeCell ref="B17:J17"/>
    <mergeCell ref="B18:J18"/>
    <mergeCell ref="B19:J19"/>
    <mergeCell ref="B20:J20"/>
    <mergeCell ref="B21:J21"/>
    <mergeCell ref="B9:D9"/>
    <mergeCell ref="G9:J9"/>
    <mergeCell ref="D1:F1"/>
    <mergeCell ref="G1:H1"/>
    <mergeCell ref="I1:J1"/>
    <mergeCell ref="D2:F3"/>
    <mergeCell ref="G2:H2"/>
    <mergeCell ref="I2:J2"/>
    <mergeCell ref="G3:H3"/>
    <mergeCell ref="I3:J3"/>
    <mergeCell ref="D4:F4"/>
    <mergeCell ref="G4:H4"/>
    <mergeCell ref="I4:J4"/>
    <mergeCell ref="A5:F5"/>
    <mergeCell ref="H6:I6"/>
  </mergeCells>
  <conditionalFormatting sqref="D2:F4">
    <cfRule type="cellIs" dxfId="642" priority="4" stopIfTrue="1" operator="equal">
      <formula>""</formula>
    </cfRule>
  </conditionalFormatting>
  <dataValidations count="2">
    <dataValidation type="list" allowBlank="1" sqref="B13:J51" xr:uid="{00000000-0002-0000-0500-000000000000}">
      <formula1>OFFSET($R$13,0,0,$P$10,1)</formula1>
    </dataValidation>
    <dataValidation type="list" allowBlank="1" showInputMessage="1" sqref="Q7" xr:uid="{00000000-0002-0000-0500-000001000000}">
      <formula1>OFFSET($R$13,0,0,$P$10,1)</formula1>
    </dataValidation>
  </dataValidations>
  <printOptions horizontalCentered="1"/>
  <pageMargins left="0.3" right="0.3" top="0.5" bottom="0.5" header="0" footer="0.25"/>
  <pageSetup orientation="portrait" r:id="rId1"/>
  <headerFooter alignWithMargins="0">
    <oddFooter>&amp;R&amp;7Printed: &amp;D &amp;T&amp;L&amp;7Version: 19.1021
File: &amp;F</oddFooter>
  </headerFooter>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4">
    <tabColor indexed="45"/>
  </sheetPr>
  <dimension ref="A1:BG65"/>
  <sheetViews>
    <sheetView showGridLines="0" zoomScaleNormal="100" zoomScaleSheetLayoutView="100" workbookViewId="0">
      <selection activeCell="B14" sqref="B14:D55"/>
    </sheetView>
  </sheetViews>
  <sheetFormatPr defaultColWidth="9.140625" defaultRowHeight="11.25" x14ac:dyDescent="0.2"/>
  <cols>
    <col min="1" max="1" width="7.7109375" style="154" customWidth="1"/>
    <col min="2" max="4" width="6.7109375" style="154" customWidth="1"/>
    <col min="5" max="5" width="6.7109375" style="154" hidden="1" customWidth="1"/>
    <col min="6" max="6" width="7.7109375" style="154" customWidth="1"/>
    <col min="7" max="7" width="3.7109375" style="154" customWidth="1"/>
    <col min="8" max="8" width="5.7109375" style="154" customWidth="1"/>
    <col min="9" max="9" width="7.7109375" style="154" customWidth="1"/>
    <col min="10" max="10" width="3.7109375" style="154" customWidth="1"/>
    <col min="11" max="12" width="5.7109375" style="154" customWidth="1"/>
    <col min="13" max="13" width="11.7109375" style="154" customWidth="1"/>
    <col min="14" max="14" width="22.7109375" style="154" customWidth="1"/>
    <col min="15" max="15" width="7.7109375" style="154" customWidth="1"/>
    <col min="16" max="16" width="7.7109375" style="154" hidden="1" customWidth="1"/>
    <col min="17" max="40" width="6.7109375" style="154" hidden="1" customWidth="1"/>
    <col min="41" max="43" width="9.140625" style="324" hidden="1" customWidth="1"/>
    <col min="44" max="56" width="9.140625" style="154" hidden="1" customWidth="1"/>
    <col min="57" max="57" width="9.140625" style="949" hidden="1" customWidth="1"/>
    <col min="58" max="58" width="9.140625" style="154" hidden="1" customWidth="1"/>
    <col min="59" max="16384" width="9.140625" style="154"/>
  </cols>
  <sheetData>
    <row r="1" spans="1:59" s="303" customFormat="1" ht="14.45" customHeight="1" thickBot="1" x14ac:dyDescent="0.25">
      <c r="A1" s="298"/>
      <c r="B1" s="298"/>
      <c r="C1" s="298"/>
      <c r="D1" s="298"/>
      <c r="E1" s="298"/>
      <c r="F1" s="298"/>
      <c r="G1" s="298"/>
      <c r="H1" s="421"/>
      <c r="I1" s="1705" t="e">
        <f>IF(S1="","",VLOOKUP(S1,#REF!,4,FALSE))</f>
        <v>#REF!</v>
      </c>
      <c r="J1" s="1705"/>
      <c r="K1" s="1705"/>
      <c r="L1" s="299"/>
      <c r="M1" s="299" t="s">
        <v>77</v>
      </c>
      <c r="N1" s="398" t="e">
        <f>#REF!</f>
        <v>#REF!</v>
      </c>
      <c r="O1" s="423" t="s">
        <v>375</v>
      </c>
      <c r="P1" s="965"/>
      <c r="S1" s="302" t="e">
        <f>#REF!</f>
        <v>#REF!</v>
      </c>
      <c r="T1" s="302" t="e">
        <f>#REF!</f>
        <v>#REF!</v>
      </c>
      <c r="AO1" s="302"/>
      <c r="AP1" s="302"/>
      <c r="AQ1" s="302"/>
      <c r="BD1" s="716" t="s">
        <v>790</v>
      </c>
      <c r="BE1" s="947"/>
      <c r="BG1" s="424" t="s">
        <v>376</v>
      </c>
    </row>
    <row r="2" spans="1:59" s="303" customFormat="1" ht="12.95" customHeight="1" thickTop="1" x14ac:dyDescent="0.2">
      <c r="A2" s="298"/>
      <c r="B2" s="298"/>
      <c r="C2" s="298"/>
      <c r="D2" s="298"/>
      <c r="E2" s="298"/>
      <c r="F2" s="298"/>
      <c r="G2" s="298"/>
      <c r="H2" s="421"/>
      <c r="I2" s="1711" t="e">
        <f>IF(S1="","",IF(VLOOKUP(S1,#REF!,2,FALSE),"Released for Fabrication",""))</f>
        <v>#REF!</v>
      </c>
      <c r="J2" s="1750"/>
      <c r="K2" s="1751"/>
      <c r="L2" s="299"/>
      <c r="M2" s="299" t="s">
        <v>78</v>
      </c>
      <c r="N2" s="398" t="e">
        <f>#REF!</f>
        <v>#REF!</v>
      </c>
      <c r="O2" s="965"/>
      <c r="P2" s="965"/>
      <c r="AO2" s="302"/>
      <c r="AP2" s="302"/>
      <c r="AQ2" s="302"/>
      <c r="BE2" s="947"/>
    </row>
    <row r="3" spans="1:59" s="303" customFormat="1" ht="12.95" customHeight="1" x14ac:dyDescent="0.2">
      <c r="A3" s="298"/>
      <c r="B3" s="298"/>
      <c r="C3" s="298"/>
      <c r="D3" s="298"/>
      <c r="E3" s="298"/>
      <c r="F3" s="298"/>
      <c r="G3" s="298"/>
      <c r="H3" s="421"/>
      <c r="I3" s="1752"/>
      <c r="J3" s="1753"/>
      <c r="K3" s="1754"/>
      <c r="L3" s="299"/>
      <c r="M3" s="299" t="s">
        <v>80</v>
      </c>
      <c r="N3" s="398" t="e">
        <f>#REF!</f>
        <v>#REF!</v>
      </c>
      <c r="O3" s="965"/>
      <c r="P3" s="965"/>
      <c r="AO3" s="302"/>
      <c r="AP3" s="302"/>
      <c r="AQ3" s="302"/>
      <c r="BE3" s="948"/>
    </row>
    <row r="4" spans="1:59" s="303" customFormat="1" ht="12.95" customHeight="1" thickBot="1" x14ac:dyDescent="0.25">
      <c r="A4" s="298"/>
      <c r="B4" s="298"/>
      <c r="C4" s="298"/>
      <c r="D4" s="298"/>
      <c r="E4" s="298"/>
      <c r="F4" s="298"/>
      <c r="G4" s="298"/>
      <c r="H4" s="298"/>
      <c r="I4" s="1717" t="e">
        <f>IF(S1="","",IF(VLOOKUP(S1,#REF!,2,FALSE),VLOOKUP(S1,#REF!,3,FALSE),""))</f>
        <v>#REF!</v>
      </c>
      <c r="J4" s="1755"/>
      <c r="K4" s="1756"/>
      <c r="L4" s="299"/>
      <c r="M4" s="299" t="s">
        <v>79</v>
      </c>
      <c r="N4" s="398" t="e">
        <f>#REF!</f>
        <v>#REF!</v>
      </c>
      <c r="O4" s="965"/>
      <c r="P4" s="965"/>
      <c r="AO4" s="302"/>
      <c r="AP4" s="302"/>
      <c r="AQ4" s="302"/>
      <c r="BE4" s="948"/>
    </row>
    <row r="5" spans="1:59" s="303" customFormat="1" ht="12.95" customHeight="1" thickTop="1" x14ac:dyDescent="0.2">
      <c r="A5" s="1720" t="e">
        <f>#REF!</f>
        <v>#REF!</v>
      </c>
      <c r="B5" s="1757"/>
      <c r="C5" s="1757"/>
      <c r="D5" s="1757"/>
      <c r="E5" s="1757"/>
      <c r="F5" s="1757"/>
      <c r="G5" s="1757"/>
      <c r="H5" s="1757"/>
      <c r="I5" s="1757"/>
      <c r="J5" s="1757"/>
      <c r="K5" s="298"/>
      <c r="L5" s="298"/>
      <c r="M5" s="298"/>
      <c r="N5" s="298"/>
      <c r="O5" s="965"/>
      <c r="P5" s="965"/>
      <c r="AO5" s="302"/>
      <c r="AP5" s="302"/>
      <c r="AQ5" s="302"/>
      <c r="BE5" s="948"/>
    </row>
    <row r="6" spans="1:59" s="303" customFormat="1" ht="12.95" customHeight="1" x14ac:dyDescent="0.2">
      <c r="A6" s="298"/>
      <c r="B6" s="298"/>
      <c r="C6" s="298"/>
      <c r="D6" s="298"/>
      <c r="E6" s="298"/>
      <c r="F6" s="298"/>
      <c r="G6" s="298"/>
      <c r="H6" s="298"/>
      <c r="I6" s="298"/>
      <c r="J6" s="298"/>
      <c r="K6" s="298"/>
      <c r="L6" s="298"/>
      <c r="M6" s="393" t="s">
        <v>20</v>
      </c>
      <c r="N6" s="957" t="e">
        <f>IF(ISBLANK(#REF!),"",#REF!)</f>
        <v>#REF!</v>
      </c>
      <c r="O6" s="966"/>
      <c r="P6" s="995" t="s">
        <v>705</v>
      </c>
      <c r="T6" s="576"/>
      <c r="AO6" s="302"/>
      <c r="AP6" s="302"/>
      <c r="AQ6" s="302"/>
      <c r="BE6" s="948"/>
    </row>
    <row r="7" spans="1:59" ht="12.95" customHeight="1" x14ac:dyDescent="0.2">
      <c r="A7" s="321" t="s">
        <v>805</v>
      </c>
      <c r="B7" s="322"/>
      <c r="C7" s="322"/>
      <c r="D7" s="322"/>
      <c r="E7" s="322"/>
      <c r="F7" s="322"/>
      <c r="G7" s="298"/>
      <c r="H7" s="298"/>
      <c r="I7" s="298"/>
      <c r="J7" s="298"/>
      <c r="K7" s="298"/>
      <c r="L7" s="298"/>
      <c r="M7" s="394" t="s">
        <v>21</v>
      </c>
      <c r="N7" s="1107" t="e">
        <f>CONCATENATE(P7, " of ",IF(ISBLANK(#REF!),"",#REF!))</f>
        <v>#REF!</v>
      </c>
      <c r="O7" s="928"/>
      <c r="P7" s="143"/>
      <c r="U7" s="303"/>
      <c r="V7" s="573"/>
    </row>
    <row r="8" spans="1:59" ht="3.95" customHeight="1" x14ac:dyDescent="0.2">
      <c r="A8" s="322"/>
      <c r="B8" s="322"/>
      <c r="C8" s="322"/>
      <c r="D8" s="322"/>
      <c r="E8" s="322"/>
      <c r="F8" s="322"/>
      <c r="G8" s="322"/>
      <c r="H8" s="322"/>
      <c r="I8" s="322"/>
      <c r="J8" s="322"/>
      <c r="K8" s="322"/>
      <c r="L8" s="322"/>
      <c r="M8" s="322"/>
      <c r="N8" s="322"/>
      <c r="O8" s="928"/>
      <c r="P8" s="928"/>
    </row>
    <row r="9" spans="1:59" ht="12.6" customHeight="1" x14ac:dyDescent="0.2">
      <c r="A9" s="407" t="s">
        <v>1</v>
      </c>
      <c r="B9" s="1699" t="e">
        <f>IF(ISBLANK(#REF!),"",#REF!)</f>
        <v>#REF!</v>
      </c>
      <c r="C9" s="1699"/>
      <c r="D9" s="1699"/>
      <c r="E9" s="1699"/>
      <c r="F9" s="1699"/>
      <c r="G9" s="1699"/>
      <c r="H9" s="1700"/>
      <c r="I9" s="405"/>
      <c r="J9" s="391" t="s">
        <v>2</v>
      </c>
      <c r="K9" s="1699" t="e">
        <f>IF(ISBLANK(#REF!),"",#REF!)</f>
        <v>#REF!</v>
      </c>
      <c r="L9" s="1759"/>
      <c r="M9" s="1759"/>
      <c r="N9" s="1760"/>
      <c r="O9" s="967"/>
      <c r="P9" s="967"/>
      <c r="V9" s="574"/>
    </row>
    <row r="10" spans="1:59" ht="12.6" customHeight="1" x14ac:dyDescent="0.2">
      <c r="A10" s="407" t="s">
        <v>3</v>
      </c>
      <c r="B10" s="1699" t="e">
        <f>IF(ISBLANK(#REF!),"",#REF!)</f>
        <v>#REF!</v>
      </c>
      <c r="C10" s="1699"/>
      <c r="D10" s="1699"/>
      <c r="E10" s="1699"/>
      <c r="F10" s="1699"/>
      <c r="G10" s="1699"/>
      <c r="H10" s="1700"/>
      <c r="I10" s="1758" t="s">
        <v>22</v>
      </c>
      <c r="J10" s="1758"/>
      <c r="K10" s="1699" t="e">
        <f>IF(ISBLANK(#REF!),"",#REF!)</f>
        <v>#REF!</v>
      </c>
      <c r="L10" s="1700"/>
      <c r="M10" s="956" t="s">
        <v>23</v>
      </c>
      <c r="N10" s="963" t="e">
        <f>IF(ISBLANK(#REF!),"",#REF!)</f>
        <v>#REF!</v>
      </c>
      <c r="O10" s="967"/>
      <c r="P10" s="967"/>
      <c r="W10" s="575"/>
    </row>
    <row r="11" spans="1:59" ht="3.95" customHeight="1" x14ac:dyDescent="0.2">
      <c r="A11" s="999"/>
      <c r="B11" s="322"/>
      <c r="C11" s="322"/>
      <c r="D11" s="322"/>
      <c r="E11" s="322"/>
      <c r="F11" s="322"/>
      <c r="G11" s="322"/>
      <c r="H11" s="322"/>
      <c r="I11" s="322"/>
      <c r="J11" s="322"/>
      <c r="K11" s="322"/>
      <c r="L11" s="322"/>
      <c r="M11" s="322"/>
      <c r="N11" s="322"/>
      <c r="O11" s="965"/>
      <c r="P11" s="965"/>
    </row>
    <row r="12" spans="1:59" s="415" customFormat="1" ht="14.1" customHeight="1" x14ac:dyDescent="0.2">
      <c r="A12" s="1743" t="s">
        <v>68</v>
      </c>
      <c r="B12" s="1744"/>
      <c r="C12" s="1744"/>
      <c r="D12" s="1744"/>
      <c r="E12" s="1761"/>
      <c r="F12" s="1743" t="s">
        <v>49</v>
      </c>
      <c r="G12" s="1744"/>
      <c r="H12" s="1745"/>
      <c r="I12" s="1743" t="s">
        <v>50</v>
      </c>
      <c r="J12" s="1744"/>
      <c r="K12" s="1745"/>
      <c r="L12" s="1748" t="s">
        <v>51</v>
      </c>
      <c r="M12" s="1746" t="s">
        <v>392</v>
      </c>
      <c r="N12" s="1748" t="s">
        <v>52</v>
      </c>
      <c r="O12" s="998"/>
      <c r="P12" s="998"/>
      <c r="AO12" s="712" t="s">
        <v>570</v>
      </c>
      <c r="AP12" s="876" t="s">
        <v>138</v>
      </c>
      <c r="AQ12" s="1737" t="s">
        <v>752</v>
      </c>
      <c r="AR12" s="1738"/>
      <c r="AS12" s="1738"/>
      <c r="AT12" s="1738"/>
      <c r="AU12" s="1738"/>
      <c r="AV12" s="1738"/>
      <c r="AW12" s="1738"/>
      <c r="AX12" s="1738"/>
      <c r="AY12" s="1738"/>
      <c r="AZ12" s="1739"/>
      <c r="BA12" s="1739"/>
      <c r="BB12" s="1739"/>
      <c r="BC12" s="1740"/>
      <c r="BE12" s="1405"/>
    </row>
    <row r="13" spans="1:59" s="415" customFormat="1" ht="14.1" customHeight="1" x14ac:dyDescent="0.2">
      <c r="A13" s="958" t="s">
        <v>46</v>
      </c>
      <c r="B13" s="959" t="s">
        <v>17</v>
      </c>
      <c r="C13" s="959" t="s">
        <v>45</v>
      </c>
      <c r="D13" s="959" t="s">
        <v>69</v>
      </c>
      <c r="E13" s="1240" t="s">
        <v>44</v>
      </c>
      <c r="F13" s="958" t="s">
        <v>47</v>
      </c>
      <c r="G13" s="1741" t="s">
        <v>48</v>
      </c>
      <c r="H13" s="1742"/>
      <c r="I13" s="958" t="s">
        <v>47</v>
      </c>
      <c r="J13" s="1741" t="s">
        <v>48</v>
      </c>
      <c r="K13" s="1742"/>
      <c r="L13" s="1762"/>
      <c r="M13" s="1747"/>
      <c r="N13" s="1749"/>
      <c r="O13" s="998"/>
      <c r="P13" s="1404" t="s">
        <v>789</v>
      </c>
      <c r="Q13" s="1255"/>
      <c r="R13" s="1402" t="s">
        <v>788</v>
      </c>
      <c r="AQ13" s="1256" t="s">
        <v>753</v>
      </c>
      <c r="AR13" s="1257" t="s">
        <v>754</v>
      </c>
      <c r="AS13" s="1257" t="s">
        <v>755</v>
      </c>
      <c r="AT13" s="1257" t="s">
        <v>768</v>
      </c>
      <c r="AU13" s="1257" t="s">
        <v>756</v>
      </c>
      <c r="AV13" s="1257" t="s">
        <v>764</v>
      </c>
      <c r="AW13" s="1257" t="s">
        <v>765</v>
      </c>
      <c r="AX13" s="1257" t="s">
        <v>757</v>
      </c>
      <c r="AY13" s="1257" t="s">
        <v>766</v>
      </c>
      <c r="AZ13" s="1257" t="s">
        <v>767</v>
      </c>
      <c r="BA13" s="1257" t="s">
        <v>758</v>
      </c>
      <c r="BB13" s="1257" t="s">
        <v>759</v>
      </c>
      <c r="BC13" s="1258" t="s">
        <v>760</v>
      </c>
      <c r="BD13" s="1255" t="s">
        <v>769</v>
      </c>
      <c r="BE13" s="1405"/>
    </row>
    <row r="14" spans="1:59" ht="14.1" customHeight="1" x14ac:dyDescent="0.2">
      <c r="A14" s="1378"/>
      <c r="B14" s="1379"/>
      <c r="C14" s="1379"/>
      <c r="D14" s="1379"/>
      <c r="E14" s="1380"/>
      <c r="F14" s="1381"/>
      <c r="G14" s="1382"/>
      <c r="H14" s="1383"/>
      <c r="I14" s="1381"/>
      <c r="J14" s="1382"/>
      <c r="K14" s="1383"/>
      <c r="L14" s="1384"/>
      <c r="M14" s="1385"/>
      <c r="N14" s="1661"/>
      <c r="O14" s="1527"/>
      <c r="P14" s="154" t="b">
        <f t="shared" ref="P14:P16" si="0">IF(ISERROR(VLOOKUP(AO14,BE:BE,1,FALSE)),FALSE,IF(AO14&lt;&gt;"",VLOOKUP(AO14,BE:BE,1,FALSE)=AO14))</f>
        <v>0</v>
      </c>
      <c r="R14" s="154" t="b">
        <f>OR(B14="CP",B14="CA", B14="AX",B14="M",B14="S")</f>
        <v>0</v>
      </c>
      <c r="S14" s="324">
        <v>1</v>
      </c>
      <c r="T14" s="324">
        <v>0</v>
      </c>
      <c r="U14" s="324">
        <v>0</v>
      </c>
      <c r="V14" s="324">
        <v>1</v>
      </c>
      <c r="W14" s="324">
        <v>0</v>
      </c>
      <c r="X14" s="324">
        <v>0</v>
      </c>
      <c r="Y14" s="324">
        <v>0</v>
      </c>
      <c r="Z14" s="324">
        <v>0</v>
      </c>
      <c r="AA14" s="324">
        <v>0</v>
      </c>
      <c r="AB14" s="324">
        <v>0</v>
      </c>
      <c r="AC14" s="324">
        <v>2</v>
      </c>
      <c r="AD14" s="324">
        <v>3</v>
      </c>
      <c r="AE14" s="324">
        <v>0</v>
      </c>
      <c r="AF14" s="324">
        <v>0</v>
      </c>
      <c r="AG14" s="324">
        <v>0</v>
      </c>
      <c r="AL14" s="154" t="b">
        <v>1</v>
      </c>
      <c r="AO14" s="143" t="str">
        <f>IF(ISBLANK(A14),"",SUBSTITUTE(A14,"*",""))</f>
        <v/>
      </c>
      <c r="AP14" s="877" t="b">
        <v>0</v>
      </c>
      <c r="AQ14" s="1236"/>
      <c r="AR14" s="1237"/>
      <c r="AS14" s="1237"/>
      <c r="AT14" s="1237"/>
      <c r="AU14" s="1237"/>
      <c r="AV14" s="1237"/>
      <c r="AW14" s="1237"/>
      <c r="AX14" s="1237"/>
      <c r="AY14" s="1237"/>
      <c r="AZ14" s="1237"/>
      <c r="BA14" s="1407"/>
      <c r="BB14" s="1407"/>
      <c r="BC14" s="1408"/>
    </row>
    <row r="15" spans="1:59" ht="14.1" customHeight="1" x14ac:dyDescent="0.2">
      <c r="A15" s="1386"/>
      <c r="B15" s="1387"/>
      <c r="C15" s="1387"/>
      <c r="D15" s="1387"/>
      <c r="E15" s="1388"/>
      <c r="F15" s="1389"/>
      <c r="G15" s="1390"/>
      <c r="H15" s="1391"/>
      <c r="I15" s="1389"/>
      <c r="J15" s="1390"/>
      <c r="K15" s="1391"/>
      <c r="L15" s="1392"/>
      <c r="M15" s="1393"/>
      <c r="N15" s="1659" t="s">
        <v>90</v>
      </c>
      <c r="O15" s="1527"/>
      <c r="P15" s="154" t="b">
        <f t="shared" si="0"/>
        <v>0</v>
      </c>
      <c r="R15" s="154" t="b">
        <f t="shared" ref="R15:R55" si="1">OR(B15="CP",B15="CA", B15="AX",B15="M",B15="S")</f>
        <v>0</v>
      </c>
      <c r="S15" s="500" t="s">
        <v>119</v>
      </c>
      <c r="T15" s="500" t="s">
        <v>114</v>
      </c>
      <c r="U15" s="500" t="s">
        <v>120</v>
      </c>
      <c r="V15" s="500" t="s">
        <v>118</v>
      </c>
      <c r="W15" s="500" t="s">
        <v>121</v>
      </c>
      <c r="X15" s="500" t="s">
        <v>122</v>
      </c>
      <c r="Y15" s="500" t="s">
        <v>123</v>
      </c>
      <c r="Z15" s="500" t="s">
        <v>116</v>
      </c>
      <c r="AA15" s="500" t="s">
        <v>124</v>
      </c>
      <c r="AB15" s="500" t="s">
        <v>125</v>
      </c>
      <c r="AC15" s="500" t="s">
        <v>91</v>
      </c>
      <c r="AD15" s="500" t="s">
        <v>126</v>
      </c>
      <c r="AE15" s="1501" t="s">
        <v>32</v>
      </c>
      <c r="AF15" s="1501" t="s">
        <v>819</v>
      </c>
      <c r="AG15" s="143"/>
      <c r="AH15" s="324">
        <v>0</v>
      </c>
      <c r="AI15" s="324">
        <v>1</v>
      </c>
      <c r="AJ15" s="324">
        <v>2</v>
      </c>
      <c r="AK15" s="324">
        <v>3</v>
      </c>
      <c r="AL15" s="324"/>
      <c r="AM15" s="324"/>
      <c r="AO15" s="143" t="str">
        <f>IF(ISBLANK(A15),AO14,SUBSTITUTE(A15,"*",""))</f>
        <v/>
      </c>
      <c r="AP15" s="877" t="b">
        <v>0</v>
      </c>
      <c r="AQ15" s="1236"/>
      <c r="AR15" s="1237"/>
      <c r="AS15" s="1237"/>
      <c r="AT15" s="1237"/>
      <c r="AU15" s="1237"/>
      <c r="AV15" s="1237"/>
      <c r="AW15" s="1237"/>
      <c r="AX15" s="1237"/>
      <c r="AY15" s="1237"/>
      <c r="AZ15" s="1237"/>
      <c r="BA15" s="1407"/>
      <c r="BB15" s="1407"/>
      <c r="BC15" s="1408"/>
    </row>
    <row r="16" spans="1:59" ht="14.1" customHeight="1" x14ac:dyDescent="0.2">
      <c r="A16" s="1386"/>
      <c r="B16" s="1387"/>
      <c r="C16" s="1387"/>
      <c r="D16" s="1387"/>
      <c r="E16" s="1388"/>
      <c r="F16" s="1389"/>
      <c r="G16" s="1390"/>
      <c r="H16" s="1391"/>
      <c r="I16" s="1389"/>
      <c r="J16" s="1390"/>
      <c r="K16" s="1391"/>
      <c r="L16" s="1392"/>
      <c r="M16" s="1393"/>
      <c r="N16" s="1659"/>
      <c r="O16" s="1527"/>
      <c r="P16" s="154" t="b">
        <f t="shared" si="0"/>
        <v>0</v>
      </c>
      <c r="R16" s="154" t="b">
        <f t="shared" si="1"/>
        <v>0</v>
      </c>
      <c r="S16" s="500" t="s">
        <v>117</v>
      </c>
      <c r="T16" s="500" t="s">
        <v>112</v>
      </c>
      <c r="U16" s="500" t="s">
        <v>112</v>
      </c>
      <c r="V16" s="500" t="s">
        <v>117</v>
      </c>
      <c r="W16" s="500" t="s">
        <v>117</v>
      </c>
      <c r="X16" s="500" t="s">
        <v>117</v>
      </c>
      <c r="Y16" s="500" t="s">
        <v>117</v>
      </c>
      <c r="Z16" s="500" t="s">
        <v>117</v>
      </c>
      <c r="AA16" s="500" t="s">
        <v>117</v>
      </c>
      <c r="AB16" s="500" t="s">
        <v>117</v>
      </c>
      <c r="AC16" s="500" t="s">
        <v>117</v>
      </c>
      <c r="AD16" s="500" t="s">
        <v>117</v>
      </c>
      <c r="AE16" s="500" t="s">
        <v>117</v>
      </c>
      <c r="AF16" s="1501" t="s">
        <v>131</v>
      </c>
      <c r="AG16" s="143"/>
      <c r="AH16" s="143" t="s">
        <v>115</v>
      </c>
      <c r="AI16" s="143" t="s">
        <v>115</v>
      </c>
      <c r="AJ16" s="143" t="s">
        <v>136</v>
      </c>
      <c r="AK16" s="143" t="s">
        <v>115</v>
      </c>
      <c r="AL16" s="143" t="s">
        <v>353</v>
      </c>
      <c r="AM16" s="143" t="s">
        <v>353</v>
      </c>
      <c r="AN16" s="382" t="s">
        <v>393</v>
      </c>
      <c r="AO16" s="143" t="str">
        <f t="shared" ref="AO16:AO55" si="2">IF(ISBLANK(A16),AO15,SUBSTITUTE(A16,"*",""))</f>
        <v/>
      </c>
      <c r="AP16" s="877" t="b">
        <v>0</v>
      </c>
      <c r="AQ16" s="1236"/>
      <c r="AR16" s="1237"/>
      <c r="AS16" s="1237"/>
      <c r="AT16" s="1237"/>
      <c r="AU16" s="1237"/>
      <c r="AV16" s="1237"/>
      <c r="AW16" s="1237"/>
      <c r="AX16" s="1237"/>
      <c r="AY16" s="1237"/>
      <c r="AZ16" s="1237"/>
      <c r="BA16" s="1407"/>
      <c r="BB16" s="1407"/>
      <c r="BC16" s="1408"/>
    </row>
    <row r="17" spans="1:55" ht="14.1" customHeight="1" x14ac:dyDescent="0.2">
      <c r="A17" s="1386"/>
      <c r="B17" s="1387"/>
      <c r="C17" s="1387"/>
      <c r="D17" s="1387"/>
      <c r="E17" s="1388"/>
      <c r="F17" s="1389"/>
      <c r="G17" s="1390"/>
      <c r="H17" s="1391"/>
      <c r="I17" s="1389"/>
      <c r="J17" s="1390"/>
      <c r="K17" s="1391"/>
      <c r="L17" s="1392"/>
      <c r="M17" s="1393"/>
      <c r="N17" s="1659"/>
      <c r="O17" s="1527"/>
      <c r="P17" s="154" t="b">
        <f>IF(ISERROR(VLOOKUP(AO17,BE:BE,1,FALSE)),FALSE,IF(AO17&lt;&gt;"",VLOOKUP(AO17,BE:BE,1,FALSE)=AO17))</f>
        <v>0</v>
      </c>
      <c r="R17" s="154" t="b">
        <f t="shared" si="1"/>
        <v>0</v>
      </c>
      <c r="S17" s="500" t="s">
        <v>130</v>
      </c>
      <c r="T17" s="500" t="s">
        <v>135</v>
      </c>
      <c r="U17" s="500" t="s">
        <v>135</v>
      </c>
      <c r="V17" s="500" t="s">
        <v>130</v>
      </c>
      <c r="W17" s="500" t="s">
        <v>130</v>
      </c>
      <c r="X17" s="500" t="s">
        <v>130</v>
      </c>
      <c r="Y17" s="500" t="s">
        <v>130</v>
      </c>
      <c r="Z17" s="500" t="s">
        <v>130</v>
      </c>
      <c r="AA17" s="500" t="s">
        <v>130</v>
      </c>
      <c r="AB17" s="500" t="s">
        <v>130</v>
      </c>
      <c r="AC17" s="500" t="s">
        <v>130</v>
      </c>
      <c r="AD17" s="500" t="s">
        <v>130</v>
      </c>
      <c r="AE17" s="500" t="s">
        <v>130</v>
      </c>
      <c r="AF17" s="143"/>
      <c r="AG17" s="143"/>
      <c r="AH17" s="143" t="s">
        <v>127</v>
      </c>
      <c r="AI17" s="143" t="s">
        <v>127</v>
      </c>
      <c r="AJ17" s="143" t="s">
        <v>137</v>
      </c>
      <c r="AK17" s="143"/>
      <c r="AL17" s="143" t="s">
        <v>354</v>
      </c>
      <c r="AM17" s="143" t="s">
        <v>355</v>
      </c>
      <c r="AN17" s="382" t="s">
        <v>394</v>
      </c>
      <c r="AO17" s="143" t="str">
        <f t="shared" si="2"/>
        <v/>
      </c>
      <c r="AP17" s="877" t="b">
        <v>0</v>
      </c>
      <c r="AQ17" s="1236"/>
      <c r="AR17" s="1237"/>
      <c r="AS17" s="1237"/>
      <c r="AT17" s="1237"/>
      <c r="AU17" s="1237"/>
      <c r="AV17" s="1237"/>
      <c r="AW17" s="1237"/>
      <c r="AX17" s="1237"/>
      <c r="AY17" s="1237"/>
      <c r="AZ17" s="1237"/>
      <c r="BA17" s="1407"/>
      <c r="BB17" s="1407"/>
      <c r="BC17" s="1408"/>
    </row>
    <row r="18" spans="1:55" ht="14.1" customHeight="1" x14ac:dyDescent="0.2">
      <c r="A18" s="1386"/>
      <c r="B18" s="1387"/>
      <c r="C18" s="1387"/>
      <c r="D18" s="1387"/>
      <c r="E18" s="1388"/>
      <c r="F18" s="1389"/>
      <c r="G18" s="1390"/>
      <c r="H18" s="1391"/>
      <c r="I18" s="1389"/>
      <c r="J18" s="1390"/>
      <c r="K18" s="1391"/>
      <c r="L18" s="1392"/>
      <c r="M18" s="1393"/>
      <c r="N18" s="1659"/>
      <c r="O18" s="1527"/>
      <c r="P18" s="154" t="b">
        <f t="shared" ref="P18:P55" si="3">IF(ISERROR(VLOOKUP(AO18,BE:BE,1,FALSE)),FALSE,IF(AO18&lt;&gt;"",VLOOKUP(AO18,BE:BE,1,FALSE)=AO18))</f>
        <v>0</v>
      </c>
      <c r="R18" s="154" t="b">
        <f t="shared" si="1"/>
        <v>0</v>
      </c>
      <c r="S18" s="500" t="s">
        <v>131</v>
      </c>
      <c r="T18" s="143"/>
      <c r="U18" s="143"/>
      <c r="V18" s="500" t="s">
        <v>131</v>
      </c>
      <c r="W18" s="500" t="s">
        <v>131</v>
      </c>
      <c r="X18" s="500" t="s">
        <v>131</v>
      </c>
      <c r="Y18" s="500" t="s">
        <v>131</v>
      </c>
      <c r="Z18" s="500" t="s">
        <v>131</v>
      </c>
      <c r="AA18" s="500" t="s">
        <v>131</v>
      </c>
      <c r="AB18" s="500" t="s">
        <v>131</v>
      </c>
      <c r="AC18" s="500" t="s">
        <v>131</v>
      </c>
      <c r="AD18" s="500" t="s">
        <v>131</v>
      </c>
      <c r="AE18" s="500" t="s">
        <v>131</v>
      </c>
      <c r="AF18" s="143"/>
      <c r="AG18" s="143"/>
      <c r="AH18" s="143"/>
      <c r="AI18" s="143" t="s">
        <v>128</v>
      </c>
      <c r="AJ18" s="143" t="s">
        <v>113</v>
      </c>
      <c r="AK18" s="143"/>
      <c r="AL18" s="143" t="s">
        <v>355</v>
      </c>
      <c r="AM18" s="143" t="s">
        <v>357</v>
      </c>
      <c r="AN18" s="382" t="s">
        <v>395</v>
      </c>
      <c r="AO18" s="143" t="str">
        <f t="shared" si="2"/>
        <v/>
      </c>
      <c r="AP18" s="877" t="b">
        <v>0</v>
      </c>
      <c r="AQ18" s="1236"/>
      <c r="AR18" s="1237"/>
      <c r="AS18" s="1237"/>
      <c r="AT18" s="1237"/>
      <c r="AU18" s="1237"/>
      <c r="AV18" s="1237"/>
      <c r="AW18" s="1237"/>
      <c r="AX18" s="1237"/>
      <c r="AY18" s="1237"/>
      <c r="AZ18" s="1237"/>
      <c r="BA18" s="1407"/>
      <c r="BB18" s="1407"/>
      <c r="BC18" s="1408"/>
    </row>
    <row r="19" spans="1:55" ht="14.1" customHeight="1" x14ac:dyDescent="0.2">
      <c r="A19" s="1386"/>
      <c r="B19" s="1387"/>
      <c r="C19" s="1387"/>
      <c r="D19" s="1387"/>
      <c r="E19" s="1388"/>
      <c r="F19" s="1389"/>
      <c r="G19" s="1390"/>
      <c r="H19" s="1391"/>
      <c r="I19" s="1389"/>
      <c r="J19" s="1390"/>
      <c r="K19" s="1391"/>
      <c r="L19" s="1392"/>
      <c r="M19" s="1393"/>
      <c r="N19" s="1659" t="s">
        <v>90</v>
      </c>
      <c r="O19" s="1527"/>
      <c r="P19" s="154" t="b">
        <f t="shared" si="3"/>
        <v>0</v>
      </c>
      <c r="R19" s="154" t="b">
        <f t="shared" si="1"/>
        <v>0</v>
      </c>
      <c r="S19" s="500" t="s">
        <v>112</v>
      </c>
      <c r="T19" s="143"/>
      <c r="U19" s="143"/>
      <c r="V19" s="500" t="s">
        <v>112</v>
      </c>
      <c r="W19" s="500" t="s">
        <v>112</v>
      </c>
      <c r="X19" s="500" t="s">
        <v>112</v>
      </c>
      <c r="Y19" s="500" t="s">
        <v>112</v>
      </c>
      <c r="Z19" s="500" t="s">
        <v>112</v>
      </c>
      <c r="AA19" s="500" t="s">
        <v>112</v>
      </c>
      <c r="AB19" s="500" t="s">
        <v>112</v>
      </c>
      <c r="AC19" s="500" t="s">
        <v>112</v>
      </c>
      <c r="AD19" s="500" t="s">
        <v>133</v>
      </c>
      <c r="AE19" s="500" t="s">
        <v>112</v>
      </c>
      <c r="AF19" s="143"/>
      <c r="AG19" s="143"/>
      <c r="AH19" s="143"/>
      <c r="AI19" s="143" t="s">
        <v>129</v>
      </c>
      <c r="AJ19" s="143"/>
      <c r="AK19" s="399"/>
      <c r="AL19" s="143" t="s">
        <v>356</v>
      </c>
      <c r="AM19" s="143" t="s">
        <v>358</v>
      </c>
      <c r="AN19" s="382" t="s">
        <v>396</v>
      </c>
      <c r="AO19" s="143" t="str">
        <f t="shared" si="2"/>
        <v/>
      </c>
      <c r="AP19" s="877" t="b">
        <v>0</v>
      </c>
      <c r="AQ19" s="1236"/>
      <c r="AR19" s="1237"/>
      <c r="AS19" s="1237"/>
      <c r="AT19" s="1237"/>
      <c r="AU19" s="1237"/>
      <c r="AV19" s="1237"/>
      <c r="AW19" s="1237"/>
      <c r="AX19" s="1237"/>
      <c r="AY19" s="1237"/>
      <c r="AZ19" s="1237"/>
      <c r="BA19" s="1407"/>
      <c r="BB19" s="1407"/>
      <c r="BC19" s="1408"/>
    </row>
    <row r="20" spans="1:55" ht="14.1" customHeight="1" x14ac:dyDescent="0.2">
      <c r="A20" s="1386"/>
      <c r="B20" s="1387"/>
      <c r="C20" s="1387"/>
      <c r="D20" s="1387"/>
      <c r="E20" s="1388"/>
      <c r="F20" s="1389"/>
      <c r="G20" s="1390"/>
      <c r="H20" s="1391"/>
      <c r="I20" s="1389"/>
      <c r="J20" s="1390"/>
      <c r="K20" s="1391"/>
      <c r="L20" s="1392"/>
      <c r="M20" s="1393"/>
      <c r="N20" s="1394"/>
      <c r="O20" s="1528"/>
      <c r="P20" s="154" t="b">
        <f t="shared" si="3"/>
        <v>0</v>
      </c>
      <c r="R20" s="154" t="b">
        <f t="shared" si="1"/>
        <v>0</v>
      </c>
      <c r="S20" s="500" t="s">
        <v>132</v>
      </c>
      <c r="T20" s="143"/>
      <c r="U20" s="143"/>
      <c r="V20" s="500" t="s">
        <v>133</v>
      </c>
      <c r="W20" s="500" t="s">
        <v>133</v>
      </c>
      <c r="X20" s="500" t="s">
        <v>133</v>
      </c>
      <c r="Y20" s="500" t="s">
        <v>133</v>
      </c>
      <c r="Z20" s="500" t="s">
        <v>133</v>
      </c>
      <c r="AA20" s="500" t="s">
        <v>133</v>
      </c>
      <c r="AB20" s="500" t="s">
        <v>133</v>
      </c>
      <c r="AC20" s="500" t="s">
        <v>133</v>
      </c>
      <c r="AD20" s="143"/>
      <c r="AE20" s="1499" t="s">
        <v>132</v>
      </c>
      <c r="AF20" s="143"/>
      <c r="AG20" s="143"/>
      <c r="AH20" s="324"/>
      <c r="AI20" s="324"/>
      <c r="AJ20" s="324"/>
      <c r="AL20" s="143" t="s">
        <v>357</v>
      </c>
      <c r="AM20" s="143"/>
      <c r="AN20" s="382"/>
      <c r="AO20" s="143" t="str">
        <f t="shared" si="2"/>
        <v/>
      </c>
      <c r="AP20" s="877" t="b">
        <v>0</v>
      </c>
      <c r="AQ20" s="1236"/>
      <c r="AR20" s="1237"/>
      <c r="AS20" s="1237"/>
      <c r="AT20" s="1237"/>
      <c r="AU20" s="1237"/>
      <c r="AV20" s="1237"/>
      <c r="AW20" s="1237"/>
      <c r="AX20" s="1237"/>
      <c r="AY20" s="1237"/>
      <c r="AZ20" s="1237"/>
      <c r="BA20" s="1407"/>
      <c r="BB20" s="1407"/>
      <c r="BC20" s="1408"/>
    </row>
    <row r="21" spans="1:55" ht="14.1" customHeight="1" x14ac:dyDescent="0.2">
      <c r="A21" s="1386"/>
      <c r="B21" s="1387"/>
      <c r="C21" s="1387"/>
      <c r="D21" s="1387"/>
      <c r="E21" s="1388"/>
      <c r="F21" s="1389"/>
      <c r="G21" s="1390"/>
      <c r="H21" s="1391"/>
      <c r="I21" s="1389"/>
      <c r="J21" s="1390"/>
      <c r="K21" s="1391"/>
      <c r="L21" s="1392"/>
      <c r="M21" s="1393"/>
      <c r="N21" s="1394"/>
      <c r="O21" s="1528"/>
      <c r="P21" s="154" t="b">
        <f t="shared" si="3"/>
        <v>0</v>
      </c>
      <c r="R21" s="154" t="b">
        <f t="shared" si="1"/>
        <v>0</v>
      </c>
      <c r="S21" s="500" t="s">
        <v>133</v>
      </c>
      <c r="T21" s="143"/>
      <c r="U21" s="143"/>
      <c r="V21" s="500" t="s">
        <v>135</v>
      </c>
      <c r="W21" s="500" t="s">
        <v>135</v>
      </c>
      <c r="X21" s="500" t="s">
        <v>135</v>
      </c>
      <c r="Y21" s="500" t="s">
        <v>135</v>
      </c>
      <c r="Z21" s="500" t="s">
        <v>135</v>
      </c>
      <c r="AA21" s="500" t="s">
        <v>135</v>
      </c>
      <c r="AB21" s="500" t="s">
        <v>135</v>
      </c>
      <c r="AC21" s="500" t="s">
        <v>135</v>
      </c>
      <c r="AD21" s="143"/>
      <c r="AE21" s="500" t="s">
        <v>133</v>
      </c>
      <c r="AF21" s="143"/>
      <c r="AG21" s="143"/>
      <c r="AH21" s="324"/>
      <c r="AI21" s="324"/>
      <c r="AJ21" s="324"/>
      <c r="AL21" s="143" t="s">
        <v>358</v>
      </c>
      <c r="AM21" s="143"/>
      <c r="AN21" s="382"/>
      <c r="AO21" s="143" t="str">
        <f t="shared" si="2"/>
        <v/>
      </c>
      <c r="AP21" s="877" t="b">
        <v>0</v>
      </c>
      <c r="AQ21" s="1236"/>
      <c r="AR21" s="1237"/>
      <c r="AS21" s="1237"/>
      <c r="AT21" s="1237"/>
      <c r="AU21" s="1237"/>
      <c r="AV21" s="1237"/>
      <c r="AW21" s="1237"/>
      <c r="AX21" s="1237"/>
      <c r="AY21" s="1237"/>
      <c r="AZ21" s="1237"/>
      <c r="BA21" s="1407"/>
      <c r="BB21" s="1407"/>
      <c r="BC21" s="1408"/>
    </row>
    <row r="22" spans="1:55" ht="14.1" customHeight="1" x14ac:dyDescent="0.2">
      <c r="A22" s="1386"/>
      <c r="B22" s="1387"/>
      <c r="C22" s="1387"/>
      <c r="D22" s="1387"/>
      <c r="E22" s="1388"/>
      <c r="F22" s="1389"/>
      <c r="G22" s="1390"/>
      <c r="H22" s="1391"/>
      <c r="I22" s="1389"/>
      <c r="J22" s="1390"/>
      <c r="K22" s="1391"/>
      <c r="L22" s="1392"/>
      <c r="M22" s="1393"/>
      <c r="N22" s="1394"/>
      <c r="O22" s="1528"/>
      <c r="P22" s="154" t="b">
        <f t="shared" si="3"/>
        <v>0</v>
      </c>
      <c r="R22" s="154" t="b">
        <f t="shared" si="1"/>
        <v>0</v>
      </c>
      <c r="S22" s="500" t="s">
        <v>135</v>
      </c>
      <c r="T22" s="143"/>
      <c r="U22" s="143"/>
      <c r="V22" s="500" t="s">
        <v>134</v>
      </c>
      <c r="W22" s="500" t="s">
        <v>134</v>
      </c>
      <c r="X22" s="500" t="s">
        <v>134</v>
      </c>
      <c r="Y22" s="500" t="s">
        <v>134</v>
      </c>
      <c r="Z22" s="500" t="s">
        <v>134</v>
      </c>
      <c r="AA22" s="500" t="s">
        <v>134</v>
      </c>
      <c r="AB22" s="500" t="s">
        <v>134</v>
      </c>
      <c r="AC22" s="500" t="s">
        <v>134</v>
      </c>
      <c r="AD22" s="143"/>
      <c r="AE22" s="500" t="s">
        <v>135</v>
      </c>
      <c r="AF22" s="143"/>
      <c r="AG22" s="143"/>
      <c r="AH22" s="324"/>
      <c r="AI22" s="324"/>
      <c r="AJ22" s="324"/>
      <c r="AL22" s="143"/>
      <c r="AM22" s="143"/>
      <c r="AN22" s="382"/>
      <c r="AO22" s="143" t="str">
        <f t="shared" si="2"/>
        <v/>
      </c>
      <c r="AP22" s="877" t="b">
        <v>0</v>
      </c>
      <c r="AQ22" s="1236"/>
      <c r="AR22" s="1237"/>
      <c r="AS22" s="1237"/>
      <c r="AT22" s="1237"/>
      <c r="AU22" s="1237"/>
      <c r="AV22" s="1237"/>
      <c r="AW22" s="1237"/>
      <c r="AX22" s="1237"/>
      <c r="AY22" s="1237"/>
      <c r="AZ22" s="1237"/>
      <c r="BA22" s="1407"/>
      <c r="BB22" s="1407"/>
      <c r="BC22" s="1408"/>
    </row>
    <row r="23" spans="1:55" ht="14.1" customHeight="1" x14ac:dyDescent="0.2">
      <c r="A23" s="1386"/>
      <c r="B23" s="1387"/>
      <c r="C23" s="1387"/>
      <c r="D23" s="1387"/>
      <c r="E23" s="1388"/>
      <c r="F23" s="1389"/>
      <c r="G23" s="1390"/>
      <c r="H23" s="1391"/>
      <c r="I23" s="1389"/>
      <c r="J23" s="1390"/>
      <c r="K23" s="1391"/>
      <c r="L23" s="1392"/>
      <c r="M23" s="1393"/>
      <c r="N23" s="1394"/>
      <c r="O23" s="1528"/>
      <c r="P23" s="154" t="b">
        <f t="shared" si="3"/>
        <v>0</v>
      </c>
      <c r="R23" s="154" t="b">
        <f t="shared" si="1"/>
        <v>0</v>
      </c>
      <c r="S23" s="500" t="s">
        <v>134</v>
      </c>
      <c r="T23" s="422"/>
      <c r="U23" s="422"/>
      <c r="V23" s="422"/>
      <c r="W23" s="422"/>
      <c r="X23" s="422"/>
      <c r="Y23" s="422"/>
      <c r="Z23" s="422"/>
      <c r="AA23" s="422"/>
      <c r="AB23" s="422"/>
      <c r="AC23" s="422"/>
      <c r="AD23" s="422"/>
      <c r="AE23" s="500" t="s">
        <v>134</v>
      </c>
      <c r="AF23" s="422"/>
      <c r="AG23" s="422"/>
      <c r="AH23" s="324"/>
      <c r="AI23" s="324"/>
      <c r="AJ23" s="324"/>
      <c r="AL23" s="143"/>
      <c r="AM23" s="143"/>
      <c r="AN23" s="382"/>
      <c r="AO23" s="143" t="str">
        <f t="shared" si="2"/>
        <v/>
      </c>
      <c r="AP23" s="877" t="b">
        <v>0</v>
      </c>
      <c r="AQ23" s="1236"/>
      <c r="AR23" s="1237"/>
      <c r="AS23" s="1237"/>
      <c r="AT23" s="1237"/>
      <c r="AU23" s="1237"/>
      <c r="AV23" s="1237"/>
      <c r="AW23" s="1237"/>
      <c r="AX23" s="1237"/>
      <c r="AY23" s="1237"/>
      <c r="AZ23" s="1237"/>
      <c r="BA23" s="1407"/>
      <c r="BB23" s="1407"/>
      <c r="BC23" s="1408"/>
    </row>
    <row r="24" spans="1:55" ht="14.1" customHeight="1" x14ac:dyDescent="0.2">
      <c r="A24" s="1386"/>
      <c r="B24" s="1387"/>
      <c r="C24" s="1387"/>
      <c r="D24" s="1387"/>
      <c r="E24" s="1388"/>
      <c r="F24" s="1389"/>
      <c r="G24" s="1390"/>
      <c r="H24" s="1391"/>
      <c r="I24" s="1389"/>
      <c r="J24" s="1390"/>
      <c r="K24" s="1391"/>
      <c r="L24" s="1392"/>
      <c r="M24" s="1393"/>
      <c r="N24" s="1394"/>
      <c r="O24" s="1528"/>
      <c r="P24" s="154" t="b">
        <f t="shared" si="3"/>
        <v>0</v>
      </c>
      <c r="R24" s="154" t="b">
        <f t="shared" si="1"/>
        <v>0</v>
      </c>
      <c r="S24" s="422"/>
      <c r="T24" s="422"/>
      <c r="U24" s="422"/>
      <c r="V24" s="422"/>
      <c r="W24" s="422"/>
      <c r="X24" s="422"/>
      <c r="Y24" s="422"/>
      <c r="Z24" s="422"/>
      <c r="AA24" s="422"/>
      <c r="AB24" s="422"/>
      <c r="AC24" s="422"/>
      <c r="AD24" s="422"/>
      <c r="AE24" s="1500" t="s">
        <v>114</v>
      </c>
      <c r="AF24" s="422"/>
      <c r="AG24" s="422"/>
      <c r="AH24" s="324"/>
      <c r="AI24" s="324"/>
      <c r="AJ24" s="324"/>
      <c r="AL24" s="143"/>
      <c r="AM24" s="143"/>
      <c r="AN24" s="382"/>
      <c r="AO24" s="143" t="str">
        <f t="shared" si="2"/>
        <v/>
      </c>
      <c r="AP24" s="877" t="b">
        <v>0</v>
      </c>
      <c r="AQ24" s="1236"/>
      <c r="AR24" s="1237"/>
      <c r="AS24" s="1237"/>
      <c r="AT24" s="1237"/>
      <c r="AU24" s="1237"/>
      <c r="AV24" s="1237"/>
      <c r="AW24" s="1237"/>
      <c r="AX24" s="1237"/>
      <c r="AY24" s="1237"/>
      <c r="AZ24" s="1237"/>
      <c r="BA24" s="1407"/>
      <c r="BB24" s="1407"/>
      <c r="BC24" s="1408"/>
    </row>
    <row r="25" spans="1:55" ht="14.1" customHeight="1" x14ac:dyDescent="0.2">
      <c r="A25" s="1386"/>
      <c r="B25" s="1387"/>
      <c r="C25" s="1387"/>
      <c r="D25" s="1387"/>
      <c r="E25" s="1388"/>
      <c r="F25" s="1389"/>
      <c r="G25" s="1390"/>
      <c r="H25" s="1391"/>
      <c r="I25" s="1389"/>
      <c r="J25" s="1390"/>
      <c r="K25" s="1391"/>
      <c r="L25" s="1392"/>
      <c r="M25" s="1393"/>
      <c r="N25" s="1394"/>
      <c r="O25" s="1528"/>
      <c r="P25" s="154" t="b">
        <f t="shared" si="3"/>
        <v>0</v>
      </c>
      <c r="R25" s="154" t="b">
        <f t="shared" si="1"/>
        <v>0</v>
      </c>
      <c r="S25" s="143"/>
      <c r="T25" s="143"/>
      <c r="U25" s="143"/>
      <c r="V25" s="143"/>
      <c r="W25" s="143"/>
      <c r="X25" s="143"/>
      <c r="Y25" s="143"/>
      <c r="Z25" s="143"/>
      <c r="AA25" s="143"/>
      <c r="AB25" s="143"/>
      <c r="AC25" s="143"/>
      <c r="AD25" s="143"/>
      <c r="AE25" s="1500" t="s">
        <v>120</v>
      </c>
      <c r="AF25" s="143"/>
      <c r="AG25" s="143"/>
      <c r="AH25" s="324"/>
      <c r="AI25" s="324"/>
      <c r="AJ25" s="324"/>
      <c r="AO25" s="143" t="str">
        <f t="shared" si="2"/>
        <v/>
      </c>
      <c r="AP25" s="877" t="b">
        <v>0</v>
      </c>
      <c r="AQ25" s="1236"/>
      <c r="AR25" s="1237"/>
      <c r="AS25" s="1237"/>
      <c r="AT25" s="1237"/>
      <c r="AU25" s="1237"/>
      <c r="AV25" s="1237"/>
      <c r="AW25" s="1237"/>
      <c r="AX25" s="1237"/>
      <c r="AY25" s="1237"/>
      <c r="AZ25" s="1237"/>
      <c r="BA25" s="1407"/>
      <c r="BB25" s="1407"/>
      <c r="BC25" s="1408"/>
    </row>
    <row r="26" spans="1:55" ht="14.1" customHeight="1" x14ac:dyDescent="0.2">
      <c r="A26" s="1386"/>
      <c r="B26" s="1387"/>
      <c r="C26" s="1387"/>
      <c r="D26" s="1387"/>
      <c r="E26" s="1388"/>
      <c r="F26" s="1389"/>
      <c r="G26" s="1390"/>
      <c r="H26" s="1391"/>
      <c r="I26" s="1389"/>
      <c r="J26" s="1390"/>
      <c r="K26" s="1391"/>
      <c r="L26" s="1392"/>
      <c r="M26" s="1393"/>
      <c r="N26" s="1394"/>
      <c r="O26" s="1528"/>
      <c r="P26" s="154" t="b">
        <f t="shared" si="3"/>
        <v>0</v>
      </c>
      <c r="R26" s="154" t="b">
        <f t="shared" si="1"/>
        <v>0</v>
      </c>
      <c r="S26" s="143"/>
      <c r="T26" s="143"/>
      <c r="U26" s="143"/>
      <c r="V26" s="143"/>
      <c r="W26" s="143"/>
      <c r="X26" s="143"/>
      <c r="Y26" s="143"/>
      <c r="Z26" s="143"/>
      <c r="AA26" s="143"/>
      <c r="AB26" s="143"/>
      <c r="AC26" s="143"/>
      <c r="AD26" s="143"/>
      <c r="AE26" s="143"/>
      <c r="AF26" s="143"/>
      <c r="AG26" s="143"/>
      <c r="AH26" s="324"/>
      <c r="AI26" s="324"/>
      <c r="AJ26" s="324"/>
      <c r="AO26" s="143" t="str">
        <f t="shared" si="2"/>
        <v/>
      </c>
      <c r="AP26" s="877" t="b">
        <v>0</v>
      </c>
      <c r="AQ26" s="1236"/>
      <c r="AR26" s="1237"/>
      <c r="AS26" s="1237"/>
      <c r="AT26" s="1237"/>
      <c r="AU26" s="1237"/>
      <c r="AV26" s="1237"/>
      <c r="AW26" s="1237"/>
      <c r="AX26" s="1237"/>
      <c r="AY26" s="1237"/>
      <c r="AZ26" s="1237"/>
      <c r="BA26" s="1407"/>
      <c r="BB26" s="1407"/>
      <c r="BC26" s="1408"/>
    </row>
    <row r="27" spans="1:55" ht="14.1" customHeight="1" x14ac:dyDescent="0.2">
      <c r="A27" s="1386"/>
      <c r="B27" s="1387"/>
      <c r="C27" s="1387"/>
      <c r="D27" s="1387"/>
      <c r="E27" s="1388"/>
      <c r="F27" s="1389"/>
      <c r="G27" s="1390"/>
      <c r="H27" s="1391"/>
      <c r="I27" s="1389"/>
      <c r="J27" s="1390"/>
      <c r="K27" s="1391"/>
      <c r="L27" s="1392"/>
      <c r="M27" s="1393"/>
      <c r="N27" s="1394"/>
      <c r="O27" s="1528"/>
      <c r="P27" s="154" t="b">
        <f t="shared" si="3"/>
        <v>0</v>
      </c>
      <c r="R27" s="154" t="b">
        <f t="shared" si="1"/>
        <v>0</v>
      </c>
      <c r="S27" s="143"/>
      <c r="T27" s="143"/>
      <c r="U27" s="143"/>
      <c r="V27" s="143"/>
      <c r="W27" s="143"/>
      <c r="X27" s="143"/>
      <c r="Y27" s="143"/>
      <c r="Z27" s="143"/>
      <c r="AA27" s="143"/>
      <c r="AB27" s="143"/>
      <c r="AC27" s="143"/>
      <c r="AD27" s="143"/>
      <c r="AE27" s="143"/>
      <c r="AF27" s="143"/>
      <c r="AG27" s="143"/>
      <c r="AH27" s="324"/>
      <c r="AI27" s="324"/>
      <c r="AJ27" s="324"/>
      <c r="AO27" s="143" t="str">
        <f t="shared" si="2"/>
        <v/>
      </c>
      <c r="AP27" s="877" t="b">
        <v>0</v>
      </c>
      <c r="AQ27" s="1236"/>
      <c r="AR27" s="1237"/>
      <c r="AS27" s="1237"/>
      <c r="AT27" s="1237"/>
      <c r="AU27" s="1237"/>
      <c r="AV27" s="1237"/>
      <c r="AW27" s="1237"/>
      <c r="AX27" s="1237"/>
      <c r="AY27" s="1237"/>
      <c r="AZ27" s="1237"/>
      <c r="BA27" s="1407"/>
      <c r="BB27" s="1407"/>
      <c r="BC27" s="1408"/>
    </row>
    <row r="28" spans="1:55" ht="14.1" customHeight="1" x14ac:dyDescent="0.2">
      <c r="A28" s="1386"/>
      <c r="B28" s="1387"/>
      <c r="C28" s="1387"/>
      <c r="D28" s="1387"/>
      <c r="E28" s="1388"/>
      <c r="F28" s="1389"/>
      <c r="G28" s="1390"/>
      <c r="H28" s="1391"/>
      <c r="I28" s="1389"/>
      <c r="J28" s="1390"/>
      <c r="K28" s="1391"/>
      <c r="L28" s="1392"/>
      <c r="M28" s="1393"/>
      <c r="N28" s="1659"/>
      <c r="O28" s="1527"/>
      <c r="P28" s="154" t="b">
        <f t="shared" si="3"/>
        <v>0</v>
      </c>
      <c r="R28" s="154" t="b">
        <f t="shared" si="1"/>
        <v>0</v>
      </c>
      <c r="S28" s="143"/>
      <c r="T28" s="143"/>
      <c r="U28" s="143"/>
      <c r="V28" s="143"/>
      <c r="W28" s="143"/>
      <c r="X28" s="143"/>
      <c r="Y28" s="143"/>
      <c r="Z28" s="143"/>
      <c r="AA28" s="143"/>
      <c r="AB28" s="143"/>
      <c r="AC28" s="143"/>
      <c r="AD28" s="143"/>
      <c r="AE28" s="143"/>
      <c r="AF28" s="143"/>
      <c r="AG28" s="143"/>
      <c r="AH28" s="324"/>
      <c r="AI28" s="324"/>
      <c r="AJ28" s="324"/>
      <c r="AO28" s="143" t="str">
        <f t="shared" si="2"/>
        <v/>
      </c>
      <c r="AP28" s="877" t="b">
        <v>0</v>
      </c>
      <c r="AQ28" s="1236"/>
      <c r="AR28" s="1237"/>
      <c r="AS28" s="1237"/>
      <c r="AT28" s="1237"/>
      <c r="AU28" s="1237"/>
      <c r="AV28" s="1237"/>
      <c r="AW28" s="1237"/>
      <c r="AX28" s="1237"/>
      <c r="AY28" s="1237"/>
      <c r="AZ28" s="1237"/>
      <c r="BA28" s="1407"/>
      <c r="BB28" s="1407"/>
      <c r="BC28" s="1408"/>
    </row>
    <row r="29" spans="1:55" ht="14.1" customHeight="1" x14ac:dyDescent="0.2">
      <c r="A29" s="1386"/>
      <c r="B29" s="1387"/>
      <c r="C29" s="1387"/>
      <c r="D29" s="1387"/>
      <c r="E29" s="1388"/>
      <c r="F29" s="1389"/>
      <c r="G29" s="1390"/>
      <c r="H29" s="1391"/>
      <c r="I29" s="1389"/>
      <c r="J29" s="1390"/>
      <c r="K29" s="1391"/>
      <c r="L29" s="1392"/>
      <c r="M29" s="1393"/>
      <c r="N29" s="1659"/>
      <c r="O29" s="1527"/>
      <c r="P29" s="154" t="b">
        <f t="shared" si="3"/>
        <v>0</v>
      </c>
      <c r="R29" s="154" t="b">
        <f t="shared" si="1"/>
        <v>0</v>
      </c>
      <c r="S29" s="143"/>
      <c r="T29" s="143"/>
      <c r="U29" s="143"/>
      <c r="V29" s="143"/>
      <c r="W29" s="143"/>
      <c r="X29" s="143"/>
      <c r="Y29" s="143"/>
      <c r="Z29" s="143"/>
      <c r="AA29" s="143"/>
      <c r="AB29" s="143"/>
      <c r="AC29" s="143"/>
      <c r="AD29" s="143"/>
      <c r="AE29" s="143"/>
      <c r="AF29" s="143"/>
      <c r="AG29" s="143"/>
      <c r="AH29" s="324"/>
      <c r="AI29" s="324"/>
      <c r="AJ29" s="324"/>
      <c r="AO29" s="143" t="str">
        <f t="shared" si="2"/>
        <v/>
      </c>
      <c r="AP29" s="877" t="b">
        <v>0</v>
      </c>
      <c r="AQ29" s="1236"/>
      <c r="AR29" s="1237"/>
      <c r="AS29" s="1237"/>
      <c r="AT29" s="1237"/>
      <c r="AU29" s="1237"/>
      <c r="AV29" s="1237"/>
      <c r="AW29" s="1237"/>
      <c r="AX29" s="1237"/>
      <c r="AY29" s="1237"/>
      <c r="AZ29" s="1237"/>
      <c r="BA29" s="1407"/>
      <c r="BB29" s="1407"/>
      <c r="BC29" s="1408"/>
    </row>
    <row r="30" spans="1:55" ht="14.1" customHeight="1" x14ac:dyDescent="0.2">
      <c r="A30" s="1386"/>
      <c r="B30" s="1387"/>
      <c r="C30" s="1387"/>
      <c r="D30" s="1387"/>
      <c r="E30" s="1388"/>
      <c r="F30" s="1389"/>
      <c r="G30" s="1390"/>
      <c r="H30" s="1391"/>
      <c r="I30" s="1389"/>
      <c r="J30" s="1390"/>
      <c r="K30" s="1391"/>
      <c r="L30" s="1392"/>
      <c r="M30" s="1393"/>
      <c r="N30" s="1659" t="s">
        <v>90</v>
      </c>
      <c r="O30" s="1527"/>
      <c r="P30" s="154" t="b">
        <f t="shared" si="3"/>
        <v>0</v>
      </c>
      <c r="R30" s="154" t="b">
        <f t="shared" si="1"/>
        <v>0</v>
      </c>
      <c r="S30" s="523">
        <f t="shared" ref="S30:AN30" si="4">COUNTA(S16:S29)</f>
        <v>8</v>
      </c>
      <c r="T30" s="523">
        <f t="shared" si="4"/>
        <v>2</v>
      </c>
      <c r="U30" s="523">
        <f t="shared" si="4"/>
        <v>2</v>
      </c>
      <c r="V30" s="523">
        <f t="shared" si="4"/>
        <v>7</v>
      </c>
      <c r="W30" s="523">
        <f t="shared" si="4"/>
        <v>7</v>
      </c>
      <c r="X30" s="523">
        <f t="shared" si="4"/>
        <v>7</v>
      </c>
      <c r="Y30" s="523">
        <f t="shared" si="4"/>
        <v>7</v>
      </c>
      <c r="Z30" s="523">
        <f t="shared" si="4"/>
        <v>7</v>
      </c>
      <c r="AA30" s="523">
        <f t="shared" si="4"/>
        <v>7</v>
      </c>
      <c r="AB30" s="523">
        <f t="shared" si="4"/>
        <v>7</v>
      </c>
      <c r="AC30" s="523">
        <f t="shared" si="4"/>
        <v>7</v>
      </c>
      <c r="AD30" s="523">
        <f t="shared" si="4"/>
        <v>4</v>
      </c>
      <c r="AE30" s="523">
        <f t="shared" si="4"/>
        <v>10</v>
      </c>
      <c r="AF30" s="523">
        <f t="shared" si="4"/>
        <v>1</v>
      </c>
      <c r="AG30" s="523">
        <f t="shared" si="4"/>
        <v>0</v>
      </c>
      <c r="AH30" s="523">
        <f t="shared" si="4"/>
        <v>2</v>
      </c>
      <c r="AI30" s="523">
        <f t="shared" si="4"/>
        <v>4</v>
      </c>
      <c r="AJ30" s="523">
        <f t="shared" si="4"/>
        <v>3</v>
      </c>
      <c r="AK30" s="523">
        <f t="shared" si="4"/>
        <v>1</v>
      </c>
      <c r="AL30" s="523">
        <f t="shared" si="4"/>
        <v>6</v>
      </c>
      <c r="AM30" s="523">
        <f t="shared" si="4"/>
        <v>4</v>
      </c>
      <c r="AN30" s="523">
        <f t="shared" si="4"/>
        <v>4</v>
      </c>
      <c r="AO30" s="143" t="str">
        <f t="shared" si="2"/>
        <v/>
      </c>
      <c r="AP30" s="877" t="b">
        <v>0</v>
      </c>
      <c r="AQ30" s="1236"/>
      <c r="AR30" s="1237"/>
      <c r="AS30" s="1237"/>
      <c r="AT30" s="1237"/>
      <c r="AU30" s="1237"/>
      <c r="AV30" s="1237"/>
      <c r="AW30" s="1237"/>
      <c r="AX30" s="1237"/>
      <c r="AY30" s="1237"/>
      <c r="AZ30" s="1237"/>
      <c r="BA30" s="1407"/>
      <c r="BB30" s="1407"/>
      <c r="BC30" s="1408"/>
    </row>
    <row r="31" spans="1:55" ht="14.1" customHeight="1" x14ac:dyDescent="0.2">
      <c r="A31" s="1386"/>
      <c r="B31" s="1387"/>
      <c r="C31" s="1387"/>
      <c r="D31" s="1387"/>
      <c r="E31" s="1388"/>
      <c r="F31" s="1389"/>
      <c r="G31" s="1390"/>
      <c r="H31" s="1391"/>
      <c r="I31" s="1389"/>
      <c r="J31" s="1390"/>
      <c r="K31" s="1391"/>
      <c r="L31" s="1392"/>
      <c r="M31" s="1392"/>
      <c r="N31" s="1659" t="s">
        <v>90</v>
      </c>
      <c r="O31" s="1527"/>
      <c r="P31" s="154" t="b">
        <f t="shared" si="3"/>
        <v>0</v>
      </c>
      <c r="R31" s="154" t="b">
        <f t="shared" si="1"/>
        <v>0</v>
      </c>
      <c r="AO31" s="143" t="str">
        <f t="shared" si="2"/>
        <v/>
      </c>
      <c r="AP31" s="877" t="b">
        <v>0</v>
      </c>
      <c r="AQ31" s="1236"/>
      <c r="AR31" s="1237"/>
      <c r="AS31" s="1237"/>
      <c r="AT31" s="1237"/>
      <c r="AU31" s="1237"/>
      <c r="AV31" s="1237"/>
      <c r="AW31" s="1237"/>
      <c r="AX31" s="1237"/>
      <c r="AY31" s="1237"/>
      <c r="AZ31" s="1237"/>
      <c r="BA31" s="1407"/>
      <c r="BB31" s="1407"/>
      <c r="BC31" s="1408"/>
    </row>
    <row r="32" spans="1:55" ht="14.1" customHeight="1" x14ac:dyDescent="0.2">
      <c r="A32" s="1386"/>
      <c r="B32" s="1387"/>
      <c r="C32" s="1387"/>
      <c r="D32" s="1387"/>
      <c r="E32" s="1388"/>
      <c r="F32" s="1389"/>
      <c r="G32" s="1390"/>
      <c r="H32" s="1391"/>
      <c r="I32" s="1389"/>
      <c r="J32" s="1390"/>
      <c r="K32" s="1391"/>
      <c r="L32" s="1392"/>
      <c r="M32" s="1392"/>
      <c r="N32" s="1659" t="s">
        <v>90</v>
      </c>
      <c r="O32" s="1527"/>
      <c r="P32" s="154" t="b">
        <f t="shared" si="3"/>
        <v>0</v>
      </c>
      <c r="R32" s="154" t="b">
        <f t="shared" si="1"/>
        <v>0</v>
      </c>
      <c r="AO32" s="143" t="str">
        <f t="shared" si="2"/>
        <v/>
      </c>
      <c r="AP32" s="877" t="b">
        <v>0</v>
      </c>
      <c r="AQ32" s="1236"/>
      <c r="AR32" s="1237"/>
      <c r="AS32" s="1237"/>
      <c r="AT32" s="1237"/>
      <c r="AU32" s="1237"/>
      <c r="AV32" s="1237"/>
      <c r="AW32" s="1237"/>
      <c r="AX32" s="1237"/>
      <c r="AY32" s="1237"/>
      <c r="AZ32" s="1237"/>
      <c r="BA32" s="1407"/>
      <c r="BB32" s="1407"/>
      <c r="BC32" s="1408"/>
    </row>
    <row r="33" spans="1:55" ht="14.1" customHeight="1" x14ac:dyDescent="0.2">
      <c r="A33" s="1386"/>
      <c r="B33" s="1387"/>
      <c r="C33" s="1387"/>
      <c r="D33" s="1387"/>
      <c r="E33" s="1388"/>
      <c r="F33" s="1389"/>
      <c r="G33" s="1390"/>
      <c r="H33" s="1391"/>
      <c r="I33" s="1389"/>
      <c r="J33" s="1390"/>
      <c r="K33" s="1391"/>
      <c r="L33" s="1392"/>
      <c r="M33" s="1392"/>
      <c r="N33" s="1659" t="s">
        <v>90</v>
      </c>
      <c r="O33" s="1527"/>
      <c r="P33" s="154" t="b">
        <f t="shared" si="3"/>
        <v>0</v>
      </c>
      <c r="R33" s="154" t="b">
        <f t="shared" si="1"/>
        <v>0</v>
      </c>
      <c r="AO33" s="143" t="str">
        <f t="shared" si="2"/>
        <v/>
      </c>
      <c r="AP33" s="877" t="b">
        <v>0</v>
      </c>
      <c r="AQ33" s="1236"/>
      <c r="AR33" s="1237"/>
      <c r="AS33" s="1237"/>
      <c r="AT33" s="1237"/>
      <c r="AU33" s="1237"/>
      <c r="AV33" s="1237"/>
      <c r="AW33" s="1237"/>
      <c r="AX33" s="1237"/>
      <c r="AY33" s="1237"/>
      <c r="AZ33" s="1237"/>
      <c r="BA33" s="1407"/>
      <c r="BB33" s="1407"/>
      <c r="BC33" s="1408"/>
    </row>
    <row r="34" spans="1:55" ht="14.1" customHeight="1" x14ac:dyDescent="0.2">
      <c r="A34" s="1386"/>
      <c r="B34" s="1387"/>
      <c r="C34" s="1387"/>
      <c r="D34" s="1387"/>
      <c r="E34" s="1388"/>
      <c r="F34" s="1389"/>
      <c r="G34" s="1390"/>
      <c r="H34" s="1391"/>
      <c r="I34" s="1389"/>
      <c r="J34" s="1390"/>
      <c r="K34" s="1391"/>
      <c r="L34" s="1392"/>
      <c r="M34" s="1392"/>
      <c r="N34" s="1659" t="s">
        <v>90</v>
      </c>
      <c r="O34" s="1527"/>
      <c r="P34" s="154" t="b">
        <f t="shared" si="3"/>
        <v>0</v>
      </c>
      <c r="R34" s="154" t="b">
        <f t="shared" si="1"/>
        <v>0</v>
      </c>
      <c r="AO34" s="143" t="str">
        <f t="shared" si="2"/>
        <v/>
      </c>
      <c r="AP34" s="877" t="b">
        <v>0</v>
      </c>
      <c r="AQ34" s="1236"/>
      <c r="AR34" s="1237"/>
      <c r="AS34" s="1237"/>
      <c r="AT34" s="1237"/>
      <c r="AU34" s="1237"/>
      <c r="AV34" s="1237"/>
      <c r="AW34" s="1237"/>
      <c r="AX34" s="1237"/>
      <c r="AY34" s="1237"/>
      <c r="AZ34" s="1237"/>
      <c r="BA34" s="1407"/>
      <c r="BB34" s="1407"/>
      <c r="BC34" s="1408"/>
    </row>
    <row r="35" spans="1:55" ht="14.1" customHeight="1" x14ac:dyDescent="0.2">
      <c r="A35" s="1386"/>
      <c r="B35" s="1387"/>
      <c r="C35" s="1387"/>
      <c r="D35" s="1387"/>
      <c r="E35" s="1388"/>
      <c r="F35" s="1389"/>
      <c r="G35" s="1390"/>
      <c r="H35" s="1391"/>
      <c r="I35" s="1389"/>
      <c r="J35" s="1390"/>
      <c r="K35" s="1391"/>
      <c r="L35" s="1392"/>
      <c r="M35" s="1392"/>
      <c r="N35" s="1659" t="s">
        <v>90</v>
      </c>
      <c r="O35" s="1527"/>
      <c r="P35" s="154" t="b">
        <f t="shared" si="3"/>
        <v>0</v>
      </c>
      <c r="R35" s="154" t="b">
        <f t="shared" si="1"/>
        <v>0</v>
      </c>
      <c r="AO35" s="143" t="str">
        <f t="shared" si="2"/>
        <v/>
      </c>
      <c r="AP35" s="877" t="b">
        <v>0</v>
      </c>
      <c r="AQ35" s="1236"/>
      <c r="AR35" s="1237"/>
      <c r="AS35" s="1237"/>
      <c r="AT35" s="1237"/>
      <c r="AU35" s="1237"/>
      <c r="AV35" s="1237"/>
      <c r="AW35" s="1237"/>
      <c r="AX35" s="1237"/>
      <c r="AY35" s="1237"/>
      <c r="AZ35" s="1237"/>
      <c r="BA35" s="1407"/>
      <c r="BB35" s="1407"/>
      <c r="BC35" s="1408"/>
    </row>
    <row r="36" spans="1:55" ht="14.1" customHeight="1" x14ac:dyDescent="0.2">
      <c r="A36" s="1386"/>
      <c r="B36" s="1387"/>
      <c r="C36" s="1387"/>
      <c r="D36" s="1387"/>
      <c r="E36" s="1388"/>
      <c r="F36" s="1389"/>
      <c r="G36" s="1390"/>
      <c r="H36" s="1391"/>
      <c r="I36" s="1389"/>
      <c r="J36" s="1390"/>
      <c r="K36" s="1391"/>
      <c r="L36" s="1392"/>
      <c r="M36" s="1392"/>
      <c r="N36" s="1659" t="s">
        <v>90</v>
      </c>
      <c r="O36" s="1527"/>
      <c r="P36" s="154" t="b">
        <f t="shared" si="3"/>
        <v>0</v>
      </c>
      <c r="R36" s="154" t="b">
        <f t="shared" si="1"/>
        <v>0</v>
      </c>
      <c r="AO36" s="143" t="str">
        <f t="shared" si="2"/>
        <v/>
      </c>
      <c r="AP36" s="877" t="b">
        <v>0</v>
      </c>
      <c r="AQ36" s="1236"/>
      <c r="AR36" s="1237"/>
      <c r="AS36" s="1237"/>
      <c r="AT36" s="1237"/>
      <c r="AU36" s="1237"/>
      <c r="AV36" s="1237"/>
      <c r="AW36" s="1237"/>
      <c r="AX36" s="1237"/>
      <c r="AY36" s="1237"/>
      <c r="AZ36" s="1237"/>
      <c r="BA36" s="1407"/>
      <c r="BB36" s="1407"/>
      <c r="BC36" s="1408"/>
    </row>
    <row r="37" spans="1:55" ht="14.1" customHeight="1" x14ac:dyDescent="0.2">
      <c r="A37" s="1386"/>
      <c r="B37" s="1387"/>
      <c r="C37" s="1387"/>
      <c r="D37" s="1387"/>
      <c r="E37" s="1388"/>
      <c r="F37" s="1389"/>
      <c r="G37" s="1390"/>
      <c r="H37" s="1391"/>
      <c r="I37" s="1389"/>
      <c r="J37" s="1390"/>
      <c r="K37" s="1391"/>
      <c r="L37" s="1392"/>
      <c r="M37" s="1392"/>
      <c r="N37" s="1659" t="s">
        <v>90</v>
      </c>
      <c r="O37" s="1527"/>
      <c r="P37" s="154" t="b">
        <f t="shared" si="3"/>
        <v>0</v>
      </c>
      <c r="R37" s="154" t="b">
        <f t="shared" si="1"/>
        <v>0</v>
      </c>
      <c r="AO37" s="143" t="str">
        <f t="shared" si="2"/>
        <v/>
      </c>
      <c r="AP37" s="877" t="b">
        <v>0</v>
      </c>
      <c r="AQ37" s="1236"/>
      <c r="AR37" s="1237"/>
      <c r="AS37" s="1237"/>
      <c r="AT37" s="1237"/>
      <c r="AU37" s="1237"/>
      <c r="AV37" s="1237"/>
      <c r="AW37" s="1237"/>
      <c r="AX37" s="1237"/>
      <c r="AY37" s="1237"/>
      <c r="AZ37" s="1237"/>
      <c r="BA37" s="1407"/>
      <c r="BB37" s="1407"/>
      <c r="BC37" s="1408"/>
    </row>
    <row r="38" spans="1:55" ht="14.1" customHeight="1" x14ac:dyDescent="0.2">
      <c r="A38" s="1386"/>
      <c r="B38" s="1387"/>
      <c r="C38" s="1387"/>
      <c r="D38" s="1387"/>
      <c r="E38" s="1388"/>
      <c r="F38" s="1389"/>
      <c r="G38" s="1390"/>
      <c r="H38" s="1391"/>
      <c r="I38" s="1389"/>
      <c r="J38" s="1390"/>
      <c r="K38" s="1391"/>
      <c r="L38" s="1392"/>
      <c r="M38" s="1392"/>
      <c r="N38" s="1659" t="s">
        <v>90</v>
      </c>
      <c r="O38" s="1527"/>
      <c r="P38" s="154" t="b">
        <f t="shared" si="3"/>
        <v>0</v>
      </c>
      <c r="R38" s="154" t="b">
        <f t="shared" si="1"/>
        <v>0</v>
      </c>
      <c r="AO38" s="143" t="str">
        <f t="shared" si="2"/>
        <v/>
      </c>
      <c r="AP38" s="877" t="b">
        <v>0</v>
      </c>
      <c r="AQ38" s="1236"/>
      <c r="AR38" s="1237"/>
      <c r="AS38" s="1237"/>
      <c r="AT38" s="1237"/>
      <c r="AU38" s="1237"/>
      <c r="AV38" s="1237"/>
      <c r="AW38" s="1237"/>
      <c r="AX38" s="1237"/>
      <c r="AY38" s="1237"/>
      <c r="AZ38" s="1237"/>
      <c r="BA38" s="1407"/>
      <c r="BB38" s="1407"/>
      <c r="BC38" s="1408"/>
    </row>
    <row r="39" spans="1:55" ht="14.1" customHeight="1" x14ac:dyDescent="0.2">
      <c r="A39" s="1386"/>
      <c r="B39" s="1387"/>
      <c r="C39" s="1387"/>
      <c r="D39" s="1387"/>
      <c r="E39" s="1388"/>
      <c r="F39" s="1389"/>
      <c r="G39" s="1390"/>
      <c r="H39" s="1391"/>
      <c r="I39" s="1389"/>
      <c r="J39" s="1390"/>
      <c r="K39" s="1391"/>
      <c r="L39" s="1392"/>
      <c r="M39" s="1392"/>
      <c r="N39" s="1659" t="s">
        <v>90</v>
      </c>
      <c r="O39" s="1527"/>
      <c r="P39" s="154" t="b">
        <f t="shared" si="3"/>
        <v>0</v>
      </c>
      <c r="R39" s="154" t="b">
        <f t="shared" si="1"/>
        <v>0</v>
      </c>
      <c r="AO39" s="143" t="str">
        <f t="shared" si="2"/>
        <v/>
      </c>
      <c r="AP39" s="877" t="b">
        <v>0</v>
      </c>
      <c r="AQ39" s="1236"/>
      <c r="AR39" s="1237"/>
      <c r="AS39" s="1237"/>
      <c r="AT39" s="1237"/>
      <c r="AU39" s="1237"/>
      <c r="AV39" s="1237"/>
      <c r="AW39" s="1237"/>
      <c r="AX39" s="1237"/>
      <c r="AY39" s="1237"/>
      <c r="AZ39" s="1237"/>
      <c r="BA39" s="1407"/>
      <c r="BB39" s="1407"/>
      <c r="BC39" s="1408"/>
    </row>
    <row r="40" spans="1:55" ht="14.1" customHeight="1" x14ac:dyDescent="0.2">
      <c r="A40" s="1386"/>
      <c r="B40" s="1387"/>
      <c r="C40" s="1387"/>
      <c r="D40" s="1387"/>
      <c r="E40" s="1388"/>
      <c r="F40" s="1389"/>
      <c r="G40" s="1390"/>
      <c r="H40" s="1391"/>
      <c r="I40" s="1389"/>
      <c r="J40" s="1390"/>
      <c r="K40" s="1391"/>
      <c r="L40" s="1392"/>
      <c r="M40" s="1392"/>
      <c r="N40" s="1659" t="s">
        <v>90</v>
      </c>
      <c r="O40" s="1527"/>
      <c r="P40" s="154" t="b">
        <f t="shared" si="3"/>
        <v>0</v>
      </c>
      <c r="R40" s="154" t="b">
        <f t="shared" si="1"/>
        <v>0</v>
      </c>
      <c r="AO40" s="143" t="str">
        <f t="shared" si="2"/>
        <v/>
      </c>
      <c r="AP40" s="877" t="b">
        <v>0</v>
      </c>
      <c r="AQ40" s="1236"/>
      <c r="AR40" s="1237"/>
      <c r="AS40" s="1237"/>
      <c r="AT40" s="1237"/>
      <c r="AU40" s="1237"/>
      <c r="AV40" s="1237"/>
      <c r="AW40" s="1237"/>
      <c r="AX40" s="1237"/>
      <c r="AY40" s="1237"/>
      <c r="AZ40" s="1237"/>
      <c r="BA40" s="1407"/>
      <c r="BB40" s="1407"/>
      <c r="BC40" s="1408"/>
    </row>
    <row r="41" spans="1:55" ht="14.1" customHeight="1" x14ac:dyDescent="0.2">
      <c r="A41" s="1386"/>
      <c r="B41" s="1387"/>
      <c r="C41" s="1387"/>
      <c r="D41" s="1387"/>
      <c r="E41" s="1388"/>
      <c r="F41" s="1389"/>
      <c r="G41" s="1390"/>
      <c r="H41" s="1391"/>
      <c r="I41" s="1389"/>
      <c r="J41" s="1390"/>
      <c r="K41" s="1391"/>
      <c r="L41" s="1392"/>
      <c r="M41" s="1392"/>
      <c r="N41" s="1659" t="s">
        <v>90</v>
      </c>
      <c r="O41" s="1527"/>
      <c r="P41" s="154" t="b">
        <f t="shared" si="3"/>
        <v>0</v>
      </c>
      <c r="R41" s="154" t="b">
        <f t="shared" si="1"/>
        <v>0</v>
      </c>
      <c r="AO41" s="143" t="str">
        <f t="shared" si="2"/>
        <v/>
      </c>
      <c r="AP41" s="877" t="b">
        <v>0</v>
      </c>
      <c r="AQ41" s="1236"/>
      <c r="AR41" s="1237"/>
      <c r="AS41" s="1237"/>
      <c r="AT41" s="1237"/>
      <c r="AU41" s="1237"/>
      <c r="AV41" s="1237"/>
      <c r="AW41" s="1237"/>
      <c r="AX41" s="1237"/>
      <c r="AY41" s="1237"/>
      <c r="AZ41" s="1237"/>
      <c r="BA41" s="1407"/>
      <c r="BB41" s="1407"/>
      <c r="BC41" s="1408"/>
    </row>
    <row r="42" spans="1:55" ht="14.1" customHeight="1" x14ac:dyDescent="0.2">
      <c r="A42" s="1386"/>
      <c r="B42" s="1387"/>
      <c r="C42" s="1387"/>
      <c r="D42" s="1387"/>
      <c r="E42" s="1388"/>
      <c r="F42" s="1389"/>
      <c r="G42" s="1390"/>
      <c r="H42" s="1391"/>
      <c r="I42" s="1389"/>
      <c r="J42" s="1390"/>
      <c r="K42" s="1391"/>
      <c r="L42" s="1392"/>
      <c r="M42" s="1392"/>
      <c r="N42" s="1659" t="s">
        <v>90</v>
      </c>
      <c r="O42" s="1527"/>
      <c r="P42" s="154" t="b">
        <f t="shared" si="3"/>
        <v>0</v>
      </c>
      <c r="R42" s="154" t="b">
        <f t="shared" si="1"/>
        <v>0</v>
      </c>
      <c r="AO42" s="143" t="str">
        <f t="shared" si="2"/>
        <v/>
      </c>
      <c r="AP42" s="877" t="b">
        <v>0</v>
      </c>
      <c r="AQ42" s="1236"/>
      <c r="AR42" s="1237"/>
      <c r="AS42" s="1237"/>
      <c r="AT42" s="1237"/>
      <c r="AU42" s="1237"/>
      <c r="AV42" s="1237"/>
      <c r="AW42" s="1237"/>
      <c r="AX42" s="1237"/>
      <c r="AY42" s="1237"/>
      <c r="AZ42" s="1237"/>
      <c r="BA42" s="1407"/>
      <c r="BB42" s="1407"/>
      <c r="BC42" s="1408"/>
    </row>
    <row r="43" spans="1:55" ht="14.1" customHeight="1" x14ac:dyDescent="0.2">
      <c r="A43" s="1386"/>
      <c r="B43" s="1387"/>
      <c r="C43" s="1387"/>
      <c r="D43" s="1387"/>
      <c r="E43" s="1388"/>
      <c r="F43" s="1389"/>
      <c r="G43" s="1390"/>
      <c r="H43" s="1391"/>
      <c r="I43" s="1389"/>
      <c r="J43" s="1390"/>
      <c r="K43" s="1391"/>
      <c r="L43" s="1392"/>
      <c r="M43" s="1392"/>
      <c r="N43" s="1659" t="s">
        <v>90</v>
      </c>
      <c r="O43" s="1527"/>
      <c r="P43" s="154" t="b">
        <f t="shared" si="3"/>
        <v>0</v>
      </c>
      <c r="R43" s="154" t="b">
        <f t="shared" si="1"/>
        <v>0</v>
      </c>
      <c r="AO43" s="143" t="str">
        <f t="shared" si="2"/>
        <v/>
      </c>
      <c r="AP43" s="877" t="b">
        <v>0</v>
      </c>
      <c r="AQ43" s="1236"/>
      <c r="AR43" s="1237"/>
      <c r="AS43" s="1237"/>
      <c r="AT43" s="1237"/>
      <c r="AU43" s="1237"/>
      <c r="AV43" s="1237"/>
      <c r="AW43" s="1237"/>
      <c r="AX43" s="1237"/>
      <c r="AY43" s="1237"/>
      <c r="AZ43" s="1237"/>
      <c r="BA43" s="1407"/>
      <c r="BB43" s="1407"/>
      <c r="BC43" s="1408"/>
    </row>
    <row r="44" spans="1:55" ht="14.1" customHeight="1" x14ac:dyDescent="0.2">
      <c r="A44" s="1386"/>
      <c r="B44" s="1387"/>
      <c r="C44" s="1387"/>
      <c r="D44" s="1387"/>
      <c r="E44" s="1388"/>
      <c r="F44" s="1389"/>
      <c r="G44" s="1390"/>
      <c r="H44" s="1391"/>
      <c r="I44" s="1389"/>
      <c r="J44" s="1390"/>
      <c r="K44" s="1391"/>
      <c r="L44" s="1392"/>
      <c r="M44" s="1392"/>
      <c r="N44" s="1659" t="s">
        <v>90</v>
      </c>
      <c r="O44" s="1527"/>
      <c r="P44" s="154" t="b">
        <f t="shared" si="3"/>
        <v>0</v>
      </c>
      <c r="R44" s="154" t="b">
        <f t="shared" si="1"/>
        <v>0</v>
      </c>
      <c r="AO44" s="143" t="str">
        <f t="shared" si="2"/>
        <v/>
      </c>
      <c r="AP44" s="877" t="b">
        <v>0</v>
      </c>
      <c r="AQ44" s="1236"/>
      <c r="AR44" s="1237"/>
      <c r="AS44" s="1237"/>
      <c r="AT44" s="1237"/>
      <c r="AU44" s="1237"/>
      <c r="AV44" s="1237"/>
      <c r="AW44" s="1237"/>
      <c r="AX44" s="1237"/>
      <c r="AY44" s="1237"/>
      <c r="AZ44" s="1237"/>
      <c r="BA44" s="1407"/>
      <c r="BB44" s="1407"/>
      <c r="BC44" s="1408"/>
    </row>
    <row r="45" spans="1:55" ht="14.1" customHeight="1" x14ac:dyDescent="0.2">
      <c r="A45" s="1386"/>
      <c r="B45" s="1387"/>
      <c r="C45" s="1387"/>
      <c r="D45" s="1387"/>
      <c r="E45" s="1388"/>
      <c r="F45" s="1389"/>
      <c r="G45" s="1390"/>
      <c r="H45" s="1391"/>
      <c r="I45" s="1389"/>
      <c r="J45" s="1390"/>
      <c r="K45" s="1391"/>
      <c r="L45" s="1392"/>
      <c r="M45" s="1392"/>
      <c r="N45" s="1659" t="s">
        <v>90</v>
      </c>
      <c r="O45" s="1527"/>
      <c r="P45" s="154" t="b">
        <f t="shared" si="3"/>
        <v>0</v>
      </c>
      <c r="R45" s="154" t="b">
        <f t="shared" si="1"/>
        <v>0</v>
      </c>
      <c r="AO45" s="143" t="str">
        <f t="shared" si="2"/>
        <v/>
      </c>
      <c r="AP45" s="877" t="b">
        <v>0</v>
      </c>
      <c r="AQ45" s="1236"/>
      <c r="AR45" s="1237"/>
      <c r="AS45" s="1237"/>
      <c r="AT45" s="1237"/>
      <c r="AU45" s="1237"/>
      <c r="AV45" s="1237"/>
      <c r="AW45" s="1237"/>
      <c r="AX45" s="1237"/>
      <c r="AY45" s="1237"/>
      <c r="AZ45" s="1237"/>
      <c r="BA45" s="1407"/>
      <c r="BB45" s="1407"/>
      <c r="BC45" s="1408"/>
    </row>
    <row r="46" spans="1:55" ht="14.1" customHeight="1" x14ac:dyDescent="0.2">
      <c r="A46" s="1386"/>
      <c r="B46" s="1387"/>
      <c r="C46" s="1387"/>
      <c r="D46" s="1387"/>
      <c r="E46" s="1388"/>
      <c r="F46" s="1389"/>
      <c r="G46" s="1390"/>
      <c r="H46" s="1391"/>
      <c r="I46" s="1389"/>
      <c r="J46" s="1390"/>
      <c r="K46" s="1391"/>
      <c r="L46" s="1392"/>
      <c r="M46" s="1392"/>
      <c r="N46" s="1659" t="s">
        <v>90</v>
      </c>
      <c r="O46" s="1527"/>
      <c r="P46" s="154" t="b">
        <f t="shared" si="3"/>
        <v>0</v>
      </c>
      <c r="R46" s="154" t="b">
        <f t="shared" si="1"/>
        <v>0</v>
      </c>
      <c r="AO46" s="143" t="str">
        <f t="shared" si="2"/>
        <v/>
      </c>
      <c r="AP46" s="877" t="b">
        <v>0</v>
      </c>
      <c r="AQ46" s="1236"/>
      <c r="AR46" s="1237"/>
      <c r="AS46" s="1237"/>
      <c r="AT46" s="1237"/>
      <c r="AU46" s="1237"/>
      <c r="AV46" s="1237"/>
      <c r="AW46" s="1237"/>
      <c r="AX46" s="1237"/>
      <c r="AY46" s="1237"/>
      <c r="AZ46" s="1237"/>
      <c r="BA46" s="1407"/>
      <c r="BB46" s="1407"/>
      <c r="BC46" s="1408"/>
    </row>
    <row r="47" spans="1:55" ht="14.1" customHeight="1" x14ac:dyDescent="0.2">
      <c r="A47" s="1386"/>
      <c r="B47" s="1387"/>
      <c r="C47" s="1387"/>
      <c r="D47" s="1387"/>
      <c r="E47" s="1388"/>
      <c r="F47" s="1389"/>
      <c r="G47" s="1390"/>
      <c r="H47" s="1391"/>
      <c r="I47" s="1389"/>
      <c r="J47" s="1390"/>
      <c r="K47" s="1391"/>
      <c r="L47" s="1392"/>
      <c r="M47" s="1392"/>
      <c r="N47" s="1659" t="s">
        <v>90</v>
      </c>
      <c r="O47" s="1527"/>
      <c r="P47" s="154" t="b">
        <f t="shared" si="3"/>
        <v>0</v>
      </c>
      <c r="R47" s="154" t="b">
        <f t="shared" si="1"/>
        <v>0</v>
      </c>
      <c r="AO47" s="143" t="str">
        <f t="shared" si="2"/>
        <v/>
      </c>
      <c r="AP47" s="877" t="b">
        <v>0</v>
      </c>
      <c r="AQ47" s="1236"/>
      <c r="AR47" s="1237"/>
      <c r="AS47" s="1237"/>
      <c r="AT47" s="1237"/>
      <c r="AU47" s="1237"/>
      <c r="AV47" s="1237"/>
      <c r="AW47" s="1237"/>
      <c r="AX47" s="1237"/>
      <c r="AY47" s="1237"/>
      <c r="AZ47" s="1237"/>
      <c r="BA47" s="1407"/>
      <c r="BB47" s="1407"/>
      <c r="BC47" s="1408"/>
    </row>
    <row r="48" spans="1:55" ht="14.1" customHeight="1" x14ac:dyDescent="0.2">
      <c r="A48" s="1386"/>
      <c r="B48" s="1387"/>
      <c r="C48" s="1387"/>
      <c r="D48" s="1387"/>
      <c r="E48" s="1388"/>
      <c r="F48" s="1389"/>
      <c r="G48" s="1390"/>
      <c r="H48" s="1391"/>
      <c r="I48" s="1389"/>
      <c r="J48" s="1390"/>
      <c r="K48" s="1391"/>
      <c r="L48" s="1392"/>
      <c r="M48" s="1392"/>
      <c r="N48" s="1659" t="s">
        <v>90</v>
      </c>
      <c r="O48" s="1527"/>
      <c r="P48" s="154" t="b">
        <f t="shared" si="3"/>
        <v>0</v>
      </c>
      <c r="R48" s="154" t="b">
        <f t="shared" si="1"/>
        <v>0</v>
      </c>
      <c r="AO48" s="143" t="str">
        <f t="shared" si="2"/>
        <v/>
      </c>
      <c r="AP48" s="877" t="b">
        <v>0</v>
      </c>
      <c r="AQ48" s="1236"/>
      <c r="AR48" s="1237"/>
      <c r="AS48" s="1237"/>
      <c r="AT48" s="1237"/>
      <c r="AU48" s="1237"/>
      <c r="AV48" s="1237"/>
      <c r="AW48" s="1237"/>
      <c r="AX48" s="1237"/>
      <c r="AY48" s="1237"/>
      <c r="AZ48" s="1237"/>
      <c r="BA48" s="1407"/>
      <c r="BB48" s="1407"/>
      <c r="BC48" s="1408"/>
    </row>
    <row r="49" spans="1:55" ht="14.1" customHeight="1" x14ac:dyDescent="0.2">
      <c r="A49" s="1386"/>
      <c r="B49" s="1387"/>
      <c r="C49" s="1387"/>
      <c r="D49" s="1387"/>
      <c r="E49" s="1388"/>
      <c r="F49" s="1389"/>
      <c r="G49" s="1390"/>
      <c r="H49" s="1391"/>
      <c r="I49" s="1389"/>
      <c r="J49" s="1390"/>
      <c r="K49" s="1391"/>
      <c r="L49" s="1392"/>
      <c r="M49" s="1392"/>
      <c r="N49" s="1659" t="s">
        <v>90</v>
      </c>
      <c r="O49" s="1527"/>
      <c r="P49" s="154" t="b">
        <f t="shared" si="3"/>
        <v>0</v>
      </c>
      <c r="R49" s="154" t="b">
        <f t="shared" si="1"/>
        <v>0</v>
      </c>
      <c r="AO49" s="143" t="str">
        <f t="shared" si="2"/>
        <v/>
      </c>
      <c r="AP49" s="877" t="b">
        <v>0</v>
      </c>
      <c r="AQ49" s="1236"/>
      <c r="AR49" s="1237"/>
      <c r="AS49" s="1237"/>
      <c r="AT49" s="1237"/>
      <c r="AU49" s="1237"/>
      <c r="AV49" s="1237"/>
      <c r="AW49" s="1237"/>
      <c r="AX49" s="1237"/>
      <c r="AY49" s="1237"/>
      <c r="AZ49" s="1237"/>
      <c r="BA49" s="1407"/>
      <c r="BB49" s="1407"/>
      <c r="BC49" s="1408"/>
    </row>
    <row r="50" spans="1:55" ht="14.1" customHeight="1" x14ac:dyDescent="0.2">
      <c r="A50" s="1386"/>
      <c r="B50" s="1387"/>
      <c r="C50" s="1387"/>
      <c r="D50" s="1387"/>
      <c r="E50" s="1388"/>
      <c r="F50" s="1389"/>
      <c r="G50" s="1390"/>
      <c r="H50" s="1391"/>
      <c r="I50" s="1389"/>
      <c r="J50" s="1390"/>
      <c r="K50" s="1391"/>
      <c r="L50" s="1392"/>
      <c r="M50" s="1392"/>
      <c r="N50" s="1659" t="s">
        <v>90</v>
      </c>
      <c r="O50" s="1527"/>
      <c r="P50" s="154" t="b">
        <f t="shared" si="3"/>
        <v>0</v>
      </c>
      <c r="R50" s="154" t="b">
        <f t="shared" si="1"/>
        <v>0</v>
      </c>
      <c r="AO50" s="143" t="str">
        <f t="shared" si="2"/>
        <v/>
      </c>
      <c r="AP50" s="877" t="b">
        <v>0</v>
      </c>
      <c r="AQ50" s="1236"/>
      <c r="AR50" s="1237"/>
      <c r="AS50" s="1237"/>
      <c r="AT50" s="1237"/>
      <c r="AU50" s="1237"/>
      <c r="AV50" s="1237"/>
      <c r="AW50" s="1237"/>
      <c r="AX50" s="1237"/>
      <c r="AY50" s="1237"/>
      <c r="AZ50" s="1237"/>
      <c r="BA50" s="1407"/>
      <c r="BB50" s="1407"/>
      <c r="BC50" s="1408"/>
    </row>
    <row r="51" spans="1:55" ht="14.1" customHeight="1" x14ac:dyDescent="0.2">
      <c r="A51" s="1386"/>
      <c r="B51" s="1387"/>
      <c r="C51" s="1387"/>
      <c r="D51" s="1387"/>
      <c r="E51" s="1388"/>
      <c r="F51" s="1389"/>
      <c r="G51" s="1390"/>
      <c r="H51" s="1391"/>
      <c r="I51" s="1389"/>
      <c r="J51" s="1390"/>
      <c r="K51" s="1391"/>
      <c r="L51" s="1392"/>
      <c r="M51" s="1392"/>
      <c r="N51" s="1659" t="s">
        <v>90</v>
      </c>
      <c r="O51" s="1527"/>
      <c r="P51" s="154" t="b">
        <f t="shared" si="3"/>
        <v>0</v>
      </c>
      <c r="R51" s="154" t="b">
        <f t="shared" si="1"/>
        <v>0</v>
      </c>
      <c r="AO51" s="143" t="str">
        <f t="shared" si="2"/>
        <v/>
      </c>
      <c r="AP51" s="877" t="b">
        <v>0</v>
      </c>
      <c r="AQ51" s="1236"/>
      <c r="AR51" s="1237"/>
      <c r="AS51" s="1237"/>
      <c r="AT51" s="1237"/>
      <c r="AU51" s="1237"/>
      <c r="AV51" s="1237"/>
      <c r="AW51" s="1237"/>
      <c r="AX51" s="1237"/>
      <c r="AY51" s="1237"/>
      <c r="AZ51" s="1237"/>
      <c r="BA51" s="1407"/>
      <c r="BB51" s="1407"/>
      <c r="BC51" s="1408"/>
    </row>
    <row r="52" spans="1:55" ht="14.1" customHeight="1" x14ac:dyDescent="0.2">
      <c r="A52" s="1386"/>
      <c r="B52" s="1387"/>
      <c r="C52" s="1387"/>
      <c r="D52" s="1387"/>
      <c r="E52" s="1388"/>
      <c r="F52" s="1389"/>
      <c r="G52" s="1390"/>
      <c r="H52" s="1391"/>
      <c r="I52" s="1389"/>
      <c r="J52" s="1390"/>
      <c r="K52" s="1391"/>
      <c r="L52" s="1392"/>
      <c r="M52" s="1392"/>
      <c r="N52" s="1659" t="s">
        <v>90</v>
      </c>
      <c r="O52" s="1527"/>
      <c r="P52" s="154" t="b">
        <f t="shared" si="3"/>
        <v>0</v>
      </c>
      <c r="R52" s="154" t="b">
        <f t="shared" si="1"/>
        <v>0</v>
      </c>
      <c r="AO52" s="143" t="str">
        <f t="shared" si="2"/>
        <v/>
      </c>
      <c r="AP52" s="877" t="b">
        <v>0</v>
      </c>
      <c r="AQ52" s="1236"/>
      <c r="AR52" s="1237"/>
      <c r="AS52" s="1237"/>
      <c r="AT52" s="1237"/>
      <c r="AU52" s="1237"/>
      <c r="AV52" s="1237"/>
      <c r="AW52" s="1237"/>
      <c r="AX52" s="1237"/>
      <c r="AY52" s="1237"/>
      <c r="AZ52" s="1237"/>
      <c r="BA52" s="1407"/>
      <c r="BB52" s="1407"/>
      <c r="BC52" s="1408"/>
    </row>
    <row r="53" spans="1:55" ht="14.1" customHeight="1" x14ac:dyDescent="0.2">
      <c r="A53" s="1386"/>
      <c r="B53" s="1387"/>
      <c r="C53" s="1387"/>
      <c r="D53" s="1387"/>
      <c r="E53" s="1388"/>
      <c r="F53" s="1389"/>
      <c r="G53" s="1390"/>
      <c r="H53" s="1391"/>
      <c r="I53" s="1389"/>
      <c r="J53" s="1390"/>
      <c r="K53" s="1391"/>
      <c r="L53" s="1392"/>
      <c r="M53" s="1392"/>
      <c r="N53" s="1659" t="s">
        <v>90</v>
      </c>
      <c r="O53" s="1527"/>
      <c r="P53" s="154" t="b">
        <f t="shared" si="3"/>
        <v>0</v>
      </c>
      <c r="R53" s="154" t="b">
        <f t="shared" si="1"/>
        <v>0</v>
      </c>
      <c r="AO53" s="143" t="str">
        <f t="shared" si="2"/>
        <v/>
      </c>
      <c r="AP53" s="877" t="b">
        <v>0</v>
      </c>
      <c r="AQ53" s="1236"/>
      <c r="AR53" s="1237"/>
      <c r="AS53" s="1237"/>
      <c r="AT53" s="1237"/>
      <c r="AU53" s="1237"/>
      <c r="AV53" s="1237"/>
      <c r="AW53" s="1237"/>
      <c r="AX53" s="1237"/>
      <c r="AY53" s="1237"/>
      <c r="AZ53" s="1237"/>
      <c r="BA53" s="1407"/>
      <c r="BB53" s="1407"/>
      <c r="BC53" s="1408"/>
    </row>
    <row r="54" spans="1:55" ht="14.1" customHeight="1" x14ac:dyDescent="0.2">
      <c r="A54" s="1386"/>
      <c r="B54" s="1387"/>
      <c r="C54" s="1387"/>
      <c r="D54" s="1387"/>
      <c r="E54" s="1388"/>
      <c r="F54" s="1389"/>
      <c r="G54" s="1390"/>
      <c r="H54" s="1391"/>
      <c r="I54" s="1389"/>
      <c r="J54" s="1390"/>
      <c r="K54" s="1391"/>
      <c r="L54" s="1392"/>
      <c r="M54" s="1392"/>
      <c r="N54" s="1659" t="s">
        <v>90</v>
      </c>
      <c r="O54" s="1527"/>
      <c r="P54" s="154" t="b">
        <f t="shared" si="3"/>
        <v>0</v>
      </c>
      <c r="R54" s="154" t="b">
        <f t="shared" si="1"/>
        <v>0</v>
      </c>
      <c r="AO54" s="143" t="str">
        <f t="shared" si="2"/>
        <v/>
      </c>
      <c r="AP54" s="877" t="b">
        <v>0</v>
      </c>
      <c r="AQ54" s="1236"/>
      <c r="AR54" s="1237"/>
      <c r="AS54" s="1237"/>
      <c r="AT54" s="1237"/>
      <c r="AU54" s="1237"/>
      <c r="AV54" s="1237"/>
      <c r="AW54" s="1237"/>
      <c r="AX54" s="1237"/>
      <c r="AY54" s="1237"/>
      <c r="AZ54" s="1237"/>
      <c r="BA54" s="1407"/>
      <c r="BB54" s="1407"/>
      <c r="BC54" s="1408"/>
    </row>
    <row r="55" spans="1:55" ht="14.1" customHeight="1" x14ac:dyDescent="0.2">
      <c r="A55" s="1395"/>
      <c r="B55" s="1396"/>
      <c r="C55" s="1396"/>
      <c r="D55" s="1396"/>
      <c r="E55" s="1397"/>
      <c r="F55" s="1398"/>
      <c r="G55" s="1399"/>
      <c r="H55" s="1400"/>
      <c r="I55" s="1398"/>
      <c r="J55" s="1399"/>
      <c r="K55" s="1400"/>
      <c r="L55" s="1401"/>
      <c r="M55" s="1401"/>
      <c r="N55" s="1660"/>
      <c r="O55" s="1527"/>
      <c r="P55" s="154" t="b">
        <f t="shared" si="3"/>
        <v>0</v>
      </c>
      <c r="R55" s="154" t="b">
        <f t="shared" si="1"/>
        <v>0</v>
      </c>
      <c r="AO55" s="143" t="str">
        <f t="shared" si="2"/>
        <v/>
      </c>
      <c r="AP55" s="877" t="b">
        <v>0</v>
      </c>
      <c r="AQ55" s="1238"/>
      <c r="AR55" s="1239"/>
      <c r="AS55" s="1239"/>
      <c r="AT55" s="1239"/>
      <c r="AU55" s="1239"/>
      <c r="AV55" s="1239"/>
      <c r="AW55" s="1239"/>
      <c r="AX55" s="1239"/>
      <c r="AY55" s="1239"/>
      <c r="AZ55" s="1239"/>
      <c r="BA55" s="1409"/>
      <c r="BB55" s="1409"/>
      <c r="BC55" s="1410"/>
    </row>
    <row r="56" spans="1:55" ht="15.95" customHeight="1" x14ac:dyDescent="0.2">
      <c r="J56" s="303"/>
      <c r="K56" s="303"/>
      <c r="O56" s="303"/>
      <c r="P56" s="303" t="e">
        <f>COUNTIF(P14:P55,TRUE)+IF(NOT($T$1),1, 0)</f>
        <v>#REF!</v>
      </c>
      <c r="Q56" s="935" t="s">
        <v>792</v>
      </c>
    </row>
    <row r="57" spans="1:55" ht="15.95" customHeight="1" x14ac:dyDescent="0.2"/>
    <row r="58" spans="1:55" ht="15.95" customHeight="1" x14ac:dyDescent="0.2"/>
    <row r="59" spans="1:55" ht="15.95" customHeight="1" x14ac:dyDescent="0.2">
      <c r="A59" s="707" t="s">
        <v>614</v>
      </c>
    </row>
    <row r="60" spans="1:55" ht="15.95" hidden="1" customHeight="1" x14ac:dyDescent="0.2">
      <c r="A60" s="831" t="s">
        <v>86</v>
      </c>
    </row>
    <row r="61" spans="1:55" ht="15.95" hidden="1" customHeight="1" x14ac:dyDescent="0.2">
      <c r="A61" s="833"/>
    </row>
    <row r="62" spans="1:55" ht="15.95" hidden="1" customHeight="1" x14ac:dyDescent="0.2"/>
    <row r="63" spans="1:55" hidden="1" x14ac:dyDescent="0.2"/>
    <row r="64" spans="1:55" hidden="1" x14ac:dyDescent="0.2"/>
    <row r="65" spans="1:1" x14ac:dyDescent="0.2">
      <c r="A65" s="707" t="s">
        <v>615</v>
      </c>
    </row>
  </sheetData>
  <sheetProtection selectLockedCells="1"/>
  <mergeCells count="18">
    <mergeCell ref="A12:E12"/>
    <mergeCell ref="B9:H9"/>
    <mergeCell ref="B10:H10"/>
    <mergeCell ref="L12:L13"/>
    <mergeCell ref="G13:H13"/>
    <mergeCell ref="F12:H12"/>
    <mergeCell ref="I1:K1"/>
    <mergeCell ref="I2:K3"/>
    <mergeCell ref="I4:K4"/>
    <mergeCell ref="A5:J5"/>
    <mergeCell ref="K10:L10"/>
    <mergeCell ref="I10:J10"/>
    <mergeCell ref="K9:N9"/>
    <mergeCell ref="AQ12:BC12"/>
    <mergeCell ref="J13:K13"/>
    <mergeCell ref="I12:K12"/>
    <mergeCell ref="M12:M13"/>
    <mergeCell ref="N12:N13"/>
  </mergeCells>
  <phoneticPr fontId="0" type="noConversion"/>
  <conditionalFormatting sqref="F14:F55">
    <cfRule type="expression" dxfId="641" priority="13" stopIfTrue="1">
      <formula>AND($B14="NU",F14&lt;0)</formula>
    </cfRule>
  </conditionalFormatting>
  <conditionalFormatting sqref="B14:B55">
    <cfRule type="expression" dxfId="640" priority="14" stopIfTrue="1">
      <formula>OR(AND($B14="NU",F14&lt;0),AND($B14="NU",I14&lt;0))</formula>
    </cfRule>
  </conditionalFormatting>
  <conditionalFormatting sqref="G14:H55 J14:L55">
    <cfRule type="expression" dxfId="639" priority="15" stopIfTrue="1">
      <formula>$R14</formula>
    </cfRule>
  </conditionalFormatting>
  <conditionalFormatting sqref="I2:K4">
    <cfRule type="cellIs" dxfId="638" priority="17" stopIfTrue="1" operator="equal">
      <formula>""</formula>
    </cfRule>
  </conditionalFormatting>
  <conditionalFormatting sqref="I14:I55">
    <cfRule type="expression" dxfId="637" priority="271" stopIfTrue="1">
      <formula>OR($R14,$B14="CZ",AND($B14="NU",I14&lt;0))</formula>
    </cfRule>
  </conditionalFormatting>
  <conditionalFormatting sqref="A14:N55">
    <cfRule type="expression" dxfId="636" priority="5">
      <formula>AND(NOT($P14),$T$1)</formula>
    </cfRule>
    <cfRule type="expression" dxfId="635" priority="12">
      <formula>AND($AP14,$S$1="M")</formula>
    </cfRule>
  </conditionalFormatting>
  <conditionalFormatting sqref="A14:A55">
    <cfRule type="expression" dxfId="634" priority="6">
      <formula>NOT($P14)</formula>
    </cfRule>
  </conditionalFormatting>
  <conditionalFormatting sqref="B14:D55">
    <cfRule type="expression" dxfId="633" priority="1">
      <formula>_xlfn.LET(_xlpm.ThisCellIsEmpty, OR(ISBLANK(B14), B14 = ""),  _xlpm.Load1IsPresent, NOT(OR(ISBLANK($F14), $F14 = "")),  _xlpm.Load2IsPresent, NOT(OR(ISBLANK($I14), $I14 = "")),  _xlpm.highlightRed, AND(_xlpm.ThisCellIsEmpty, OR(_xlpm.Load1IsPresent, _xlpm.Load2IsPresent)),  _xlpm.highlightRed )</formula>
    </cfRule>
  </conditionalFormatting>
  <dataValidations count="6">
    <dataValidation type="list" allowBlank="1" showErrorMessage="1" errorTitle="Invalid Type" error="You MUST select a Type from the dropdown list provided._x000a__x000a_Also, make sure your Cap Lock is turned on." sqref="B14:B55" xr:uid="{00000000-0002-0000-0600-000000000000}">
      <formula1>$S$15:$AF$15</formula1>
    </dataValidation>
    <dataValidation type="list" allowBlank="1" showErrorMessage="1" errorTitle="Invalid Reference Location" error="You MUST select a Reference Location from the dropdown list provided._x000a__x000a_Also, make sure your Cap Lock is turned on." sqref="L14:L55" xr:uid="{00000000-0002-0000-0600-000001000000}">
      <formula1>IF($AL$14,$AL$16:$AL$21,$AM$16:$AM$19)</formula1>
    </dataValidation>
    <dataValidation allowBlank="1" showInputMessage="1" errorTitle="Invalid Load Case" error="You MUST use a Load Case from the list provided." sqref="M14:M55" xr:uid="{00000000-0002-0000-0600-000002000000}"/>
    <dataValidation type="list" allowBlank="1" showErrorMessage="1" errorTitle="Invalid Position" error="You MUST select a Position from the dropdown list provided._x000a__x000a_Also, make sure your Cap Lock is turned on." sqref="D14:D55" xr:uid="{00000000-0002-0000-0600-000003000000}">
      <formula1>OFFSET($AH$16,0,OFFSET($S$14,0,MATCH($B14,Type,0)-1),OFFSET($AH$30,0, OFFSET($S$14,0,MATCH($B14,Type,0)-1)))</formula1>
    </dataValidation>
    <dataValidation type="list" allowBlank="1" showErrorMessage="1" errorTitle="Invalid Category" error="You MUST select a Category from the dropdown list provided._x000a__x000a_Also, make sure your Cap Lock is turned on." sqref="C15:C55" xr:uid="{00000000-0002-0000-0600-000004000000}">
      <formula1>OFFSET($S$16,0,MATCH($B15,Type,0)-1,OFFSET($S$30,0,MATCH($B15,Type,0)-1,1),1)</formula1>
    </dataValidation>
    <dataValidation type="list" allowBlank="1" showErrorMessage="1" errorTitle="Invalid Category" error="You MUST select a Category from the dropdown list provided._x000a__x000a_Also, make sure your Cap Lock is turned on." sqref="C14" xr:uid="{00000000-0002-0000-0600-000005000000}">
      <formula1>OFFSET($S$16,0,MATCH($B14,Type,0)-1,OFFSET($S$30,0,MATCH($B14,Type,0)-1))</formula1>
    </dataValidation>
  </dataValidations>
  <printOptions horizontalCentered="1"/>
  <pageMargins left="0.3" right="0.3" top="0.5" bottom="0.5" header="0" footer="0.25"/>
  <pageSetup orientation="portrait" r:id="rId1"/>
  <headerFooter alignWithMargins="0">
    <oddFooter>&amp;R&amp;7Printed: &amp;D &amp;T&amp;L&amp;7Version: 21.0428
File: &amp;F</oddFooter>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3">
    <tabColor indexed="44"/>
  </sheetPr>
  <dimension ref="A1:V100"/>
  <sheetViews>
    <sheetView showGridLines="0" zoomScaleNormal="100" zoomScaleSheetLayoutView="100" workbookViewId="0">
      <selection activeCell="A13" sqref="A13"/>
    </sheetView>
  </sheetViews>
  <sheetFormatPr defaultColWidth="9.140625" defaultRowHeight="12" x14ac:dyDescent="0.2"/>
  <cols>
    <col min="1" max="1" width="10.7109375" style="154" customWidth="1"/>
    <col min="2" max="2" width="30.7109375" style="154" customWidth="1"/>
    <col min="3" max="6" width="6.42578125" style="154" customWidth="1"/>
    <col min="7" max="7" width="10.7109375" style="154" customWidth="1"/>
    <col min="8" max="8" width="6.7109375" style="154" customWidth="1"/>
    <col min="9" max="9" width="7.28515625" style="154" customWidth="1"/>
    <col min="10" max="10" width="10.7109375" style="154" customWidth="1"/>
    <col min="11" max="11" width="6.7109375" style="154" customWidth="1"/>
    <col min="12" max="13" width="5.7109375" style="154" hidden="1" customWidth="1"/>
    <col min="14" max="14" width="8.7109375" style="154" hidden="1" customWidth="1"/>
    <col min="15" max="15" width="8.7109375" style="729" hidden="1" customWidth="1"/>
    <col min="16" max="16" width="11.28515625" style="154" hidden="1" customWidth="1"/>
    <col min="17" max="18" width="15.7109375" style="154" hidden="1" customWidth="1"/>
    <col min="19" max="21" width="9.140625" style="154" hidden="1" customWidth="1"/>
    <col min="22" max="16384" width="9.140625" style="154"/>
  </cols>
  <sheetData>
    <row r="1" spans="1:22" s="303" customFormat="1" ht="15" customHeight="1" thickBot="1" x14ac:dyDescent="0.25">
      <c r="A1" s="298"/>
      <c r="B1" s="298"/>
      <c r="C1" s="298"/>
      <c r="D1" s="1705" t="e">
        <f>IF(L1="","",VLOOKUP(L1,#REF!,4,FALSE))</f>
        <v>#REF!</v>
      </c>
      <c r="E1" s="1706"/>
      <c r="F1" s="1706"/>
      <c r="G1" s="1707" t="s">
        <v>77</v>
      </c>
      <c r="H1" s="1708"/>
      <c r="I1" s="1709" t="e">
        <f>#REF!</f>
        <v>#REF!</v>
      </c>
      <c r="J1" s="1710"/>
      <c r="K1" s="423" t="s">
        <v>375</v>
      </c>
      <c r="L1" s="302" t="e">
        <f>#REF!</f>
        <v>#REF!</v>
      </c>
      <c r="M1" s="302" t="e">
        <f>#REF!</f>
        <v>#REF!</v>
      </c>
      <c r="N1" s="302"/>
      <c r="O1" s="727"/>
      <c r="R1" s="716" t="s">
        <v>791</v>
      </c>
      <c r="S1" s="576"/>
      <c r="T1" s="576" t="s">
        <v>797</v>
      </c>
      <c r="V1" s="424" t="s">
        <v>376</v>
      </c>
    </row>
    <row r="2" spans="1:22" s="303" customFormat="1" ht="12.95" customHeight="1" thickTop="1" x14ac:dyDescent="0.2">
      <c r="A2" s="298"/>
      <c r="B2" s="298"/>
      <c r="C2" s="298"/>
      <c r="D2" s="1711" t="e">
        <f>IF(L1="","",IF(VLOOKUP(L1,#REF!,2,FALSE),"Released for Fabrication",""))</f>
        <v>#REF!</v>
      </c>
      <c r="E2" s="1712"/>
      <c r="F2" s="1713"/>
      <c r="G2" s="1707" t="s">
        <v>78</v>
      </c>
      <c r="H2" s="1707"/>
      <c r="I2" s="1709" t="e">
        <f>#REF!</f>
        <v>#REF!</v>
      </c>
      <c r="J2" s="1710"/>
      <c r="O2" s="727"/>
      <c r="S2" s="576"/>
      <c r="T2" s="576" t="s">
        <v>793</v>
      </c>
    </row>
    <row r="3" spans="1:22" s="303" customFormat="1" ht="12.95" customHeight="1" x14ac:dyDescent="0.2">
      <c r="A3" s="298"/>
      <c r="B3" s="298"/>
      <c r="C3" s="298"/>
      <c r="D3" s="1714"/>
      <c r="E3" s="1715"/>
      <c r="F3" s="1716"/>
      <c r="G3" s="1707" t="s">
        <v>80</v>
      </c>
      <c r="H3" s="1707"/>
      <c r="I3" s="1709" t="e">
        <f>#REF!</f>
        <v>#REF!</v>
      </c>
      <c r="J3" s="1710"/>
      <c r="O3" s="727"/>
      <c r="S3" s="576"/>
      <c r="T3" s="576" t="s">
        <v>794</v>
      </c>
    </row>
    <row r="4" spans="1:22" s="303" customFormat="1" ht="12.95" customHeight="1" thickBot="1" x14ac:dyDescent="0.25">
      <c r="A4" s="298"/>
      <c r="B4" s="298"/>
      <c r="C4" s="298"/>
      <c r="D4" s="1717" t="e">
        <f>IF(L1="","",IF(VLOOKUP(L1,#REF!,2,FALSE),VLOOKUP(L1,#REF!,3,FALSE),""))</f>
        <v>#REF!</v>
      </c>
      <c r="E4" s="1718"/>
      <c r="F4" s="1719"/>
      <c r="G4" s="1707" t="s">
        <v>79</v>
      </c>
      <c r="H4" s="1707"/>
      <c r="I4" s="1709" t="e">
        <f>#REF!</f>
        <v>#REF!</v>
      </c>
      <c r="J4" s="1710"/>
      <c r="O4" s="727"/>
      <c r="S4" s="576"/>
      <c r="T4" s="576" t="s">
        <v>795</v>
      </c>
    </row>
    <row r="5" spans="1:22" s="303" customFormat="1" ht="12.95" customHeight="1" thickTop="1" x14ac:dyDescent="0.2">
      <c r="A5" s="1720" t="e">
        <f>#REF!</f>
        <v>#REF!</v>
      </c>
      <c r="B5" s="1720"/>
      <c r="C5" s="1720"/>
      <c r="D5" s="1720"/>
      <c r="E5" s="1720"/>
      <c r="F5" s="1720"/>
      <c r="G5" s="141"/>
      <c r="H5" s="298"/>
      <c r="I5" s="298"/>
      <c r="J5" s="298"/>
      <c r="N5" s="1412"/>
      <c r="O5" s="727"/>
      <c r="S5" s="576"/>
      <c r="T5" s="576" t="s">
        <v>796</v>
      </c>
    </row>
    <row r="6" spans="1:22" s="303" customFormat="1" ht="12.95" customHeight="1" x14ac:dyDescent="0.2">
      <c r="A6" s="298"/>
      <c r="B6" s="298"/>
      <c r="C6" s="298"/>
      <c r="D6" s="298"/>
      <c r="E6" s="298"/>
      <c r="F6" s="298"/>
      <c r="G6" s="396" t="s">
        <v>20</v>
      </c>
      <c r="H6" s="1721" t="e">
        <f>IF(ISBLANK(#REF!),"",#REF!)</f>
        <v>#REF!</v>
      </c>
      <c r="I6" s="1721"/>
      <c r="J6" s="298"/>
      <c r="L6" s="995" t="s">
        <v>705</v>
      </c>
      <c r="M6" s="711"/>
      <c r="N6" s="1413"/>
      <c r="O6" s="727"/>
      <c r="T6" s="576" t="s">
        <v>798</v>
      </c>
    </row>
    <row r="7" spans="1:22" ht="12.95" customHeight="1" x14ac:dyDescent="0.2">
      <c r="A7" s="321" t="s">
        <v>29</v>
      </c>
      <c r="B7" s="322"/>
      <c r="C7" s="322"/>
      <c r="D7" s="322"/>
      <c r="E7" s="322"/>
      <c r="F7" s="742"/>
      <c r="G7" s="397" t="s">
        <v>21</v>
      </c>
      <c r="H7" s="1109" t="e">
        <f>CONCATENATE(L7, " of ",IF(ISBLANK(#REF!),"",#REF!))</f>
        <v>#REF!</v>
      </c>
      <c r="I7" s="601"/>
      <c r="J7" s="418"/>
      <c r="L7" s="997"/>
      <c r="M7" s="307"/>
      <c r="N7" s="1414"/>
      <c r="Q7" s="728"/>
      <c r="T7" s="707" t="s">
        <v>799</v>
      </c>
    </row>
    <row r="8" spans="1:22" ht="3.95" customHeight="1" x14ac:dyDescent="0.2">
      <c r="A8" s="322"/>
      <c r="B8" s="322"/>
      <c r="C8" s="322"/>
      <c r="D8" s="322"/>
      <c r="E8" s="322"/>
      <c r="F8" s="322"/>
      <c r="G8" s="322"/>
      <c r="H8" s="322"/>
      <c r="I8" s="322"/>
      <c r="J8" s="322"/>
      <c r="T8" s="707" t="s">
        <v>800</v>
      </c>
    </row>
    <row r="9" spans="1:22" ht="12.6" customHeight="1" x14ac:dyDescent="0.2">
      <c r="A9" s="417" t="s">
        <v>1</v>
      </c>
      <c r="B9" s="1699" t="e">
        <f>IF(ISBLANK(#REF!),"",#REF!)</f>
        <v>#REF!</v>
      </c>
      <c r="C9" s="1699"/>
      <c r="D9" s="1700"/>
      <c r="E9" s="419"/>
      <c r="F9" s="420" t="s">
        <v>2</v>
      </c>
      <c r="G9" s="1699" t="e">
        <f>IF(ISBLANK(#REF!),"",#REF!)</f>
        <v>#REF!</v>
      </c>
      <c r="H9" s="1699"/>
      <c r="I9" s="1699"/>
      <c r="J9" s="1700"/>
      <c r="L9" s="307"/>
      <c r="T9" s="707" t="s">
        <v>88</v>
      </c>
    </row>
    <row r="10" spans="1:22" ht="12.6" customHeight="1" x14ac:dyDescent="0.2">
      <c r="A10" s="417" t="s">
        <v>3</v>
      </c>
      <c r="B10" s="1699" t="e">
        <f>IF(ISBLANK(#REF!),"",#REF!)</f>
        <v>#REF!</v>
      </c>
      <c r="C10" s="1699"/>
      <c r="D10" s="1700"/>
      <c r="E10" s="412"/>
      <c r="F10" s="417" t="s">
        <v>22</v>
      </c>
      <c r="G10" s="604" t="e">
        <f>IF(ISBLANK(#REF!),"",#REF!)</f>
        <v>#REF!</v>
      </c>
      <c r="H10" s="145"/>
      <c r="I10" s="420" t="s">
        <v>23</v>
      </c>
      <c r="J10" s="604" t="e">
        <f>IF(ISBLANK(#REF!),"",#REF!)</f>
        <v>#REF!</v>
      </c>
      <c r="L10" s="876" t="s">
        <v>570</v>
      </c>
      <c r="M10" s="876" t="s">
        <v>138</v>
      </c>
      <c r="N10" s="707" t="s">
        <v>789</v>
      </c>
      <c r="O10" s="707"/>
      <c r="P10" s="154">
        <f>COUNTA(Q13:Q99)</f>
        <v>67</v>
      </c>
      <c r="R10" s="729"/>
      <c r="T10" s="707" t="s">
        <v>807</v>
      </c>
    </row>
    <row r="11" spans="1:22" ht="3.95" customHeight="1" x14ac:dyDescent="0.2">
      <c r="A11" s="999"/>
      <c r="B11" s="322"/>
      <c r="C11" s="322"/>
      <c r="D11" s="322"/>
      <c r="E11" s="322"/>
      <c r="F11" s="322"/>
      <c r="G11" s="322"/>
      <c r="H11" s="322"/>
      <c r="I11" s="322"/>
      <c r="J11" s="322"/>
      <c r="N11" s="729"/>
      <c r="R11" s="729"/>
    </row>
    <row r="12" spans="1:22" s="415" customFormat="1" ht="15.4" customHeight="1" thickBot="1" x14ac:dyDescent="0.25">
      <c r="A12" s="992" t="s">
        <v>30</v>
      </c>
      <c r="B12" s="1725" t="s">
        <v>15</v>
      </c>
      <c r="C12" s="1726"/>
      <c r="D12" s="1726"/>
      <c r="E12" s="1726"/>
      <c r="F12" s="1726"/>
      <c r="G12" s="1726"/>
      <c r="H12" s="1726"/>
      <c r="I12" s="1726"/>
      <c r="J12" s="1727"/>
      <c r="P12" s="734" t="s">
        <v>560</v>
      </c>
      <c r="Q12" s="735" t="s">
        <v>561</v>
      </c>
      <c r="R12" s="730" t="s">
        <v>565</v>
      </c>
    </row>
    <row r="13" spans="1:22" ht="15.4" customHeight="1" thickTop="1" x14ac:dyDescent="0.2">
      <c r="A13" s="1363"/>
      <c r="B13" s="1728"/>
      <c r="C13" s="1729"/>
      <c r="D13" s="1729"/>
      <c r="E13" s="1729"/>
      <c r="F13" s="1729"/>
      <c r="G13" s="1729"/>
      <c r="H13" s="1729"/>
      <c r="I13" s="1729"/>
      <c r="J13" s="1730"/>
      <c r="L13" s="878" t="str">
        <f>IF(ISBLANK(A13),"",SUBSTITUTE(A13,"*",""))</f>
        <v/>
      </c>
      <c r="M13" s="1411" t="b">
        <v>0</v>
      </c>
      <c r="N13" s="1415" t="b">
        <f>IF(ISERROR(VLOOKUP(L13,S:S,1,FALSE)),FALSE,VLOOKUP(L13,S:S,1,FALSE)=L13)</f>
        <v>0</v>
      </c>
      <c r="O13" s="1403" t="b" cm="1">
        <f t="array" ref="O13">IF(AND(NOT(N13),LEN(L13)&gt;2),OR(ISNUMBER(SEARCH($T$1:$T$15,L13))),FALSE)</f>
        <v>0</v>
      </c>
      <c r="P13" s="736"/>
      <c r="Q13" s="737" t="s">
        <v>617</v>
      </c>
      <c r="R13" s="731" t="str">
        <f>CONCATENATE("[",P13, "] - ", Q13)</f>
        <v>[] - SHAPES</v>
      </c>
    </row>
    <row r="14" spans="1:22" ht="15.4" customHeight="1" x14ac:dyDescent="0.2">
      <c r="A14" s="1367"/>
      <c r="B14" s="1722"/>
      <c r="C14" s="1723"/>
      <c r="D14" s="1723"/>
      <c r="E14" s="1723"/>
      <c r="F14" s="1723"/>
      <c r="G14" s="1723"/>
      <c r="H14" s="1723"/>
      <c r="I14" s="1723"/>
      <c r="J14" s="1724"/>
      <c r="L14" s="878" t="str">
        <f>IF(ISBLANK(A14),L13,SUBSTITUTE(A14,"*",""))</f>
        <v/>
      </c>
      <c r="M14" s="1411" t="b">
        <v>0</v>
      </c>
      <c r="N14" s="1415" t="b">
        <f t="shared" ref="N14:N51" si="0">IF(ISERROR(VLOOKUP(L14,S:S,1,FALSE)),FALSE,VLOOKUP(L14,S:S,1,FALSE)=L14)</f>
        <v>0</v>
      </c>
      <c r="O14" s="1403" t="b" cm="1">
        <f t="array" ref="O14">IF(AND(NOT(N14),LEN(L14)&gt;2),OR(ISNUMBER(SEARCH($T$1:$T$15,L14))),FALSE)</f>
        <v>0</v>
      </c>
      <c r="P14" s="738" t="s">
        <v>562</v>
      </c>
      <c r="Q14" s="739" t="s">
        <v>618</v>
      </c>
      <c r="R14" s="732" t="str">
        <f t="shared" ref="R14:R77" si="1">CONCATENATE("[",P14, "] - ", Q14)</f>
        <v>[SP] - Single Pitch: (Ctr Depth=Designation) ##" Depth @ LBL, ##" Depth @ RBL</v>
      </c>
    </row>
    <row r="15" spans="1:22" ht="15.4" customHeight="1" x14ac:dyDescent="0.2">
      <c r="A15" s="1367"/>
      <c r="B15" s="1722"/>
      <c r="C15" s="1723"/>
      <c r="D15" s="1723"/>
      <c r="E15" s="1723"/>
      <c r="F15" s="1723"/>
      <c r="G15" s="1723"/>
      <c r="H15" s="1723"/>
      <c r="I15" s="1723"/>
      <c r="J15" s="1724"/>
      <c r="L15" s="878" t="str">
        <f t="shared" ref="L15:L51" si="2">IF(ISBLANK(A15),L14,SUBSTITUTE(A15,"*",""))</f>
        <v/>
      </c>
      <c r="M15" s="1411" t="b">
        <v>0</v>
      </c>
      <c r="N15" s="1415" t="b">
        <f t="shared" si="0"/>
        <v>0</v>
      </c>
      <c r="O15" s="1403" t="b" cm="1">
        <f t="array" ref="O15">IF(AND(NOT(N15),LEN(L15)&gt;2),OR(ISNUMBER(SEARCH($T$1:$T$15,L15))),FALSE)</f>
        <v>0</v>
      </c>
      <c r="P15" s="738" t="s">
        <v>563</v>
      </c>
      <c r="Q15" s="739" t="s">
        <v>619</v>
      </c>
      <c r="R15" s="732" t="str">
        <f t="shared" si="1"/>
        <v>[DP] - Double Pitch: Ridge @ ##’-## From LBL (Depth=Designation), ##" Depth @ LBL, ##" Depth @ RBL</v>
      </c>
    </row>
    <row r="16" spans="1:22" ht="15.4" customHeight="1" x14ac:dyDescent="0.2">
      <c r="A16" s="1367"/>
      <c r="B16" s="1722"/>
      <c r="C16" s="1723"/>
      <c r="D16" s="1723"/>
      <c r="E16" s="1723"/>
      <c r="F16" s="1723"/>
      <c r="G16" s="1723"/>
      <c r="H16" s="1723"/>
      <c r="I16" s="1723"/>
      <c r="J16" s="1724"/>
      <c r="L16" s="878" t="str">
        <f t="shared" si="2"/>
        <v/>
      </c>
      <c r="M16" s="1411" t="b">
        <v>0</v>
      </c>
      <c r="N16" s="1415" t="b">
        <f t="shared" si="0"/>
        <v>0</v>
      </c>
      <c r="O16" s="1403" t="b" cm="1">
        <f t="array" ref="O16">IF(AND(NOT(N16),LEN(L16)&gt;2),OR(ISNUMBER(SEARCH($T$1:$T$15,L16))),FALSE)</f>
        <v>0</v>
      </c>
      <c r="P16" s="738" t="s">
        <v>564</v>
      </c>
      <c r="Q16" s="739" t="s">
        <v>620</v>
      </c>
      <c r="R16" s="732" t="str">
        <f t="shared" si="1"/>
        <v>[TP] - Triple Pitch: Ridge Left @ ##’-## From LBL (Depth=Designation), ##" Depth @ LBL, ##" Depth @ RBL, Ridge Right @ ##'-## From LBL</v>
      </c>
    </row>
    <row r="17" spans="1:18" ht="15.4" customHeight="1" x14ac:dyDescent="0.2">
      <c r="A17" s="1367"/>
      <c r="B17" s="1722"/>
      <c r="C17" s="1723"/>
      <c r="D17" s="1723"/>
      <c r="E17" s="1723"/>
      <c r="F17" s="1723"/>
      <c r="G17" s="1723"/>
      <c r="H17" s="1723"/>
      <c r="I17" s="1723"/>
      <c r="J17" s="1724"/>
      <c r="L17" s="878" t="str">
        <f t="shared" si="2"/>
        <v/>
      </c>
      <c r="M17" s="1411" t="b">
        <v>0</v>
      </c>
      <c r="N17" s="1415" t="b">
        <f t="shared" si="0"/>
        <v>0</v>
      </c>
      <c r="O17" s="1403" t="b" cm="1">
        <f t="array" ref="O17">IF(AND(NOT(N17),LEN(L17)&gt;2),OR(ISNUMBER(SEARCH($T$1:$T$15,L17))),FALSE)</f>
        <v>0</v>
      </c>
      <c r="P17" s="738" t="s">
        <v>588</v>
      </c>
      <c r="Q17" s="739" t="s">
        <v>621</v>
      </c>
      <c r="R17" s="732" t="str">
        <f t="shared" si="1"/>
        <v>[AC] - Arched Chords: (Depth=Designation) ##" TC Radius</v>
      </c>
    </row>
    <row r="18" spans="1:18" ht="15.4" customHeight="1" x14ac:dyDescent="0.2">
      <c r="A18" s="1367"/>
      <c r="B18" s="1722"/>
      <c r="C18" s="1723"/>
      <c r="D18" s="1723"/>
      <c r="E18" s="1723"/>
      <c r="F18" s="1723"/>
      <c r="G18" s="1723"/>
      <c r="H18" s="1723"/>
      <c r="I18" s="1723"/>
      <c r="J18" s="1724"/>
      <c r="L18" s="878" t="str">
        <f t="shared" si="2"/>
        <v/>
      </c>
      <c r="M18" s="1411" t="b">
        <v>0</v>
      </c>
      <c r="N18" s="1415" t="b">
        <f t="shared" si="0"/>
        <v>0</v>
      </c>
      <c r="O18" s="1403" t="b" cm="1">
        <f t="array" ref="O18">IF(AND(NOT(N18),LEN(L18)&gt;2),OR(ISNUMBER(SEARCH($T$1:$T$15,L18))),FALSE)</f>
        <v>0</v>
      </c>
      <c r="P18" s="738" t="s">
        <v>589</v>
      </c>
      <c r="Q18" s="739" t="s">
        <v>622</v>
      </c>
      <c r="R18" s="732" t="str">
        <f t="shared" si="1"/>
        <v>[BW] - Bowstring: Ridge @ ##’-## From LBL (Depth=Designation), ##" Depth @ LBL, ##" TC Radius</v>
      </c>
    </row>
    <row r="19" spans="1:18" ht="15.4" customHeight="1" x14ac:dyDescent="0.2">
      <c r="A19" s="1367"/>
      <c r="B19" s="1722"/>
      <c r="C19" s="1723"/>
      <c r="D19" s="1723"/>
      <c r="E19" s="1723"/>
      <c r="F19" s="1723"/>
      <c r="G19" s="1723"/>
      <c r="H19" s="1723"/>
      <c r="I19" s="1723"/>
      <c r="J19" s="1724"/>
      <c r="L19" s="878" t="str">
        <f t="shared" si="2"/>
        <v/>
      </c>
      <c r="M19" s="1411" t="b">
        <v>0</v>
      </c>
      <c r="N19" s="1415" t="b">
        <f t="shared" si="0"/>
        <v>0</v>
      </c>
      <c r="O19" s="1403" t="b" cm="1">
        <f t="array" ref="O19">IF(AND(NOT(N19),LEN(L19)&gt;2),OR(ISNUMBER(SEARCH($T$1:$T$15,L19))),FALSE)</f>
        <v>0</v>
      </c>
      <c r="P19" s="738" t="s">
        <v>590</v>
      </c>
      <c r="Q19" s="739" t="s">
        <v>661</v>
      </c>
      <c r="R19" s="732" t="str">
        <f t="shared" si="1"/>
        <v>[SC] - Scissor: Ridge @ ##’-## From LBL (Vert Depth=Designation), BC Rise ##” @ Ridge From LBL, ##" Vert Depth @ LBL, ##" Vert Depth @ RBL, ##" BC Elev difference @ RBL</v>
      </c>
    </row>
    <row r="20" spans="1:18" ht="15.4" customHeight="1" x14ac:dyDescent="0.2">
      <c r="A20" s="1367"/>
      <c r="B20" s="1722"/>
      <c r="C20" s="1723"/>
      <c r="D20" s="1723"/>
      <c r="E20" s="1723"/>
      <c r="F20" s="1723"/>
      <c r="G20" s="1723"/>
      <c r="H20" s="1723"/>
      <c r="I20" s="1723"/>
      <c r="J20" s="1724"/>
      <c r="L20" s="878" t="str">
        <f t="shared" si="2"/>
        <v/>
      </c>
      <c r="M20" s="1411" t="b">
        <v>0</v>
      </c>
      <c r="N20" s="1415" t="b">
        <f t="shared" si="0"/>
        <v>0</v>
      </c>
      <c r="O20" s="1403" t="b" cm="1">
        <f t="array" ref="O20">IF(AND(NOT(N20),LEN(L20)&gt;2),OR(ISNUMBER(SEARCH($T$1:$T$15,L20))),FALSE)</f>
        <v>0</v>
      </c>
      <c r="P20" s="738"/>
      <c r="Q20" s="739" t="s">
        <v>623</v>
      </c>
      <c r="R20" s="732" t="str">
        <f t="shared" si="1"/>
        <v>[] - DEFLECTION</v>
      </c>
    </row>
    <row r="21" spans="1:18" ht="15.4" customHeight="1" x14ac:dyDescent="0.2">
      <c r="A21" s="1367"/>
      <c r="B21" s="1731"/>
      <c r="C21" s="1732"/>
      <c r="D21" s="1732"/>
      <c r="E21" s="1732"/>
      <c r="F21" s="1732"/>
      <c r="G21" s="1732"/>
      <c r="H21" s="1732"/>
      <c r="I21" s="1732"/>
      <c r="J21" s="1733"/>
      <c r="L21" s="878" t="str">
        <f t="shared" si="2"/>
        <v/>
      </c>
      <c r="M21" s="1411" t="b">
        <v>0</v>
      </c>
      <c r="N21" s="1415" t="b">
        <f t="shared" si="0"/>
        <v>0</v>
      </c>
      <c r="O21" s="1415" t="b" cm="1">
        <f t="array" ref="O21">IF(AND(NOT(N21),LEN(L21)&gt;2),OR(ISNUMBER(SEARCH($T$1:$T$15,L21))),FALSE)</f>
        <v>0</v>
      </c>
      <c r="P21" s="738" t="s">
        <v>583</v>
      </c>
      <c r="Q21" s="739" t="s">
        <v>624</v>
      </c>
      <c r="R21" s="732" t="str">
        <f t="shared" si="1"/>
        <v>[DefLL] - LL Deflection = L/###|Deflection=L/### Due To ### PLF LL|LL Deflection=L/### (LL/TL Ratio = ##%)</v>
      </c>
    </row>
    <row r="22" spans="1:18" ht="15.4" customHeight="1" x14ac:dyDescent="0.2">
      <c r="A22" s="1367"/>
      <c r="B22" s="1722"/>
      <c r="C22" s="1723"/>
      <c r="D22" s="1723"/>
      <c r="E22" s="1723"/>
      <c r="F22" s="1723"/>
      <c r="G22" s="1723"/>
      <c r="H22" s="1723"/>
      <c r="I22" s="1723"/>
      <c r="J22" s="1724"/>
      <c r="L22" s="878" t="str">
        <f t="shared" si="2"/>
        <v/>
      </c>
      <c r="M22" s="1411" t="b">
        <v>0</v>
      </c>
      <c r="N22" s="1415" t="b">
        <f t="shared" si="0"/>
        <v>0</v>
      </c>
      <c r="O22" s="1403" t="b" cm="1">
        <f t="array" ref="O22">IF(AND(NOT(N22),LEN(L22)&gt;2),OR(ISNUMBER(SEARCH($T$1:$T$15,L22))),FALSE)</f>
        <v>0</v>
      </c>
      <c r="P22" s="738" t="s">
        <v>584</v>
      </c>
      <c r="Q22" s="739" t="s">
        <v>625</v>
      </c>
      <c r="R22" s="732" t="str">
        <f t="shared" si="1"/>
        <v>[DefTL] - TL Deflection = L/###, Ck Std Camber Satisfies DL Def</v>
      </c>
    </row>
    <row r="23" spans="1:18" ht="15.4" customHeight="1" x14ac:dyDescent="0.2">
      <c r="A23" s="1367"/>
      <c r="B23" s="1728"/>
      <c r="C23" s="1729"/>
      <c r="D23" s="1729"/>
      <c r="E23" s="1729"/>
      <c r="F23" s="1729"/>
      <c r="G23" s="1729"/>
      <c r="H23" s="1729"/>
      <c r="I23" s="1729"/>
      <c r="J23" s="1730"/>
      <c r="L23" s="878" t="str">
        <f t="shared" si="2"/>
        <v/>
      </c>
      <c r="M23" s="1411" t="b">
        <v>0</v>
      </c>
      <c r="N23" s="1415" t="b">
        <f t="shared" si="0"/>
        <v>0</v>
      </c>
      <c r="O23" s="1403" t="b" cm="1">
        <f t="array" ref="O23">IF(AND(NOT(N23),LEN(L23)&gt;2),OR(ISNUMBER(SEARCH($T$1:$T$15,L23))),FALSE)</f>
        <v>0</v>
      </c>
      <c r="P23" s="738" t="s">
        <v>585</v>
      </c>
      <c r="Q23" s="739" t="s">
        <v>627</v>
      </c>
      <c r="R23" s="732" t="str">
        <f t="shared" si="1"/>
        <v>[DefTCX] - TCXL|TCXR Deflection = ##" Max Due To ### PLF LL|DL|TL</v>
      </c>
    </row>
    <row r="24" spans="1:18" ht="15.4" customHeight="1" x14ac:dyDescent="0.2">
      <c r="A24" s="1367"/>
      <c r="B24" s="1722"/>
      <c r="C24" s="1723"/>
      <c r="D24" s="1723"/>
      <c r="E24" s="1723"/>
      <c r="F24" s="1723"/>
      <c r="G24" s="1723"/>
      <c r="H24" s="1723"/>
      <c r="I24" s="1723"/>
      <c r="J24" s="1724"/>
      <c r="L24" s="878" t="str">
        <f t="shared" si="2"/>
        <v/>
      </c>
      <c r="M24" s="1411" t="b">
        <v>0</v>
      </c>
      <c r="N24" s="1415" t="b">
        <f t="shared" si="0"/>
        <v>0</v>
      </c>
      <c r="O24" s="1403" t="b" cm="1">
        <f t="array" ref="O24">IF(AND(NOT(N24),LEN(L24)&gt;2),OR(ISNUMBER(SEARCH($T$1:$T$15,L24))),FALSE)</f>
        <v>0</v>
      </c>
      <c r="P24" s="738" t="s">
        <v>586</v>
      </c>
      <c r="Q24" s="739" t="s">
        <v>626</v>
      </c>
      <c r="R24" s="732" t="str">
        <f t="shared" si="1"/>
        <v>[DefSP] - Special Deflection = ##" Max Due To ### PLF LL|DL|TL</v>
      </c>
    </row>
    <row r="25" spans="1:18" ht="15.4" customHeight="1" x14ac:dyDescent="0.2">
      <c r="A25" s="1367"/>
      <c r="B25" s="1722"/>
      <c r="C25" s="1723"/>
      <c r="D25" s="1723"/>
      <c r="E25" s="1723"/>
      <c r="F25" s="1723"/>
      <c r="G25" s="1723"/>
      <c r="H25" s="1723"/>
      <c r="I25" s="1723"/>
      <c r="J25" s="1724"/>
      <c r="L25" s="878" t="str">
        <f t="shared" si="2"/>
        <v/>
      </c>
      <c r="M25" s="1411" t="b">
        <v>0</v>
      </c>
      <c r="N25" s="1415" t="b">
        <f t="shared" si="0"/>
        <v>0</v>
      </c>
      <c r="O25" s="1403" t="b" cm="1">
        <f t="array" ref="O25">IF(AND(NOT(N25),LEN(L25)&gt;2),OR(ISNUMBER(SEARCH($T$1:$T$15,L25))),FALSE)</f>
        <v>0</v>
      </c>
      <c r="P25" s="738"/>
      <c r="Q25" s="739" t="s">
        <v>628</v>
      </c>
      <c r="R25" s="732" t="str">
        <f t="shared" si="1"/>
        <v>[] - BEARING SEATS</v>
      </c>
    </row>
    <row r="26" spans="1:18" ht="15.4" customHeight="1" x14ac:dyDescent="0.2">
      <c r="A26" s="1367"/>
      <c r="B26" s="1722"/>
      <c r="C26" s="1723"/>
      <c r="D26" s="1723"/>
      <c r="E26" s="1723"/>
      <c r="F26" s="1723"/>
      <c r="G26" s="1723"/>
      <c r="H26" s="1723"/>
      <c r="I26" s="1723"/>
      <c r="J26" s="1724"/>
      <c r="L26" s="878" t="str">
        <f t="shared" si="2"/>
        <v/>
      </c>
      <c r="M26" s="1411" t="b">
        <v>0</v>
      </c>
      <c r="N26" s="1403" t="b">
        <f t="shared" si="0"/>
        <v>0</v>
      </c>
      <c r="O26" s="1403" t="b" cm="1">
        <f t="array" ref="O26">IF(AND(NOT(N26),LEN(L26)&gt;2),OR(ISNUMBER(SEARCH($T$1:$T$15,L26))),FALSE)</f>
        <v>0</v>
      </c>
      <c r="P26" s="738" t="s">
        <v>770</v>
      </c>
      <c r="Q26" s="739" t="s">
        <v>774</v>
      </c>
      <c r="R26" s="732" t="str">
        <f t="shared" si="1"/>
        <v>[AddSeat] - Addn’l Bearing Seat @ LE|RE|BE, Setback = #’-##”, Depth = ##”</v>
      </c>
    </row>
    <row r="27" spans="1:18" ht="15.4" customHeight="1" x14ac:dyDescent="0.2">
      <c r="A27" s="1367"/>
      <c r="B27" s="1722"/>
      <c r="C27" s="1723"/>
      <c r="D27" s="1723"/>
      <c r="E27" s="1723"/>
      <c r="F27" s="1723"/>
      <c r="G27" s="1723"/>
      <c r="H27" s="1723"/>
      <c r="I27" s="1723"/>
      <c r="J27" s="1724"/>
      <c r="L27" s="878" t="str">
        <f t="shared" si="2"/>
        <v/>
      </c>
      <c r="M27" s="1411" t="b">
        <v>0</v>
      </c>
      <c r="N27" s="1403" t="b">
        <f t="shared" si="0"/>
        <v>0</v>
      </c>
      <c r="O27" s="1403" t="b" cm="1">
        <f t="array" ref="O27">IF(AND(NOT(N27),LEN(L27)&gt;2),OR(ISNUMBER(SEARCH($T$1:$T$15,L27))),FALSE)</f>
        <v>0</v>
      </c>
      <c r="P27" s="738" t="s">
        <v>597</v>
      </c>
      <c r="Q27" s="739" t="s">
        <v>641</v>
      </c>
      <c r="R27" s="732" t="str">
        <f t="shared" si="1"/>
        <v>[AddSlt] - Addn'l Seat Slots @ #" from L-OAL|R-OAL</v>
      </c>
    </row>
    <row r="28" spans="1:18" ht="15.4" customHeight="1" x14ac:dyDescent="0.2">
      <c r="A28" s="1367"/>
      <c r="B28" s="1722"/>
      <c r="C28" s="1723"/>
      <c r="D28" s="1723"/>
      <c r="E28" s="1723"/>
      <c r="F28" s="1723"/>
      <c r="G28" s="1723"/>
      <c r="H28" s="1723"/>
      <c r="I28" s="1723"/>
      <c r="J28" s="1724"/>
      <c r="L28" s="878" t="str">
        <f t="shared" si="2"/>
        <v/>
      </c>
      <c r="M28" s="1411" t="b">
        <v>0</v>
      </c>
      <c r="N28" s="1403" t="b">
        <f t="shared" si="0"/>
        <v>0</v>
      </c>
      <c r="O28" s="1403" t="b" cm="1">
        <f t="array" ref="O28">IF(AND(NOT(N28),LEN(L28)&gt;2),OR(ISNUMBER(SEARCH($T$1:$T$15,L28))),FALSE)</f>
        <v>0</v>
      </c>
      <c r="P28" s="738" t="s">
        <v>578</v>
      </c>
      <c r="Q28" s="739" t="s">
        <v>638</v>
      </c>
      <c r="R28" s="732" t="str">
        <f t="shared" si="1"/>
        <v>[BCBrg] - Bottom Chord Bearing @ LE|RE|BE</v>
      </c>
    </row>
    <row r="29" spans="1:18" ht="15.4" customHeight="1" x14ac:dyDescent="0.2">
      <c r="A29" s="1367"/>
      <c r="B29" s="1722"/>
      <c r="C29" s="1723"/>
      <c r="D29" s="1723"/>
      <c r="E29" s="1723"/>
      <c r="F29" s="1723"/>
      <c r="G29" s="1723"/>
      <c r="H29" s="1723"/>
      <c r="I29" s="1723"/>
      <c r="J29" s="1724"/>
      <c r="L29" s="878" t="str">
        <f t="shared" si="2"/>
        <v/>
      </c>
      <c r="M29" s="1411" t="b">
        <v>0</v>
      </c>
      <c r="N29" s="1403" t="b">
        <f t="shared" si="0"/>
        <v>0</v>
      </c>
      <c r="O29" s="1403" t="b" cm="1">
        <f t="array" ref="O29">IF(AND(NOT(N29),LEN(L29)&gt;2),OR(ISNUMBER(SEARCH($T$1:$T$15,L29))),FALSE)</f>
        <v>0</v>
      </c>
      <c r="P29" s="738" t="s">
        <v>771</v>
      </c>
      <c r="Q29" s="739" t="s">
        <v>775</v>
      </c>
      <c r="R29" s="732" t="str">
        <f t="shared" si="1"/>
        <v>[BCBrgCant] - Bottom Chord Bearing Cantilever @ LE|RE|BE, Ctr Line of Support = #’-##” @ LE|RE|BE</v>
      </c>
    </row>
    <row r="30" spans="1:18" ht="15.4" customHeight="1" x14ac:dyDescent="0.2">
      <c r="A30" s="1367"/>
      <c r="B30" s="1722"/>
      <c r="C30" s="1723"/>
      <c r="D30" s="1723"/>
      <c r="E30" s="1723"/>
      <c r="F30" s="1723"/>
      <c r="G30" s="1723"/>
      <c r="H30" s="1723"/>
      <c r="I30" s="1723"/>
      <c r="J30" s="1724"/>
      <c r="L30" s="878" t="str">
        <f t="shared" si="2"/>
        <v/>
      </c>
      <c r="M30" s="1411" t="b">
        <v>0</v>
      </c>
      <c r="N30" s="1403" t="b">
        <f t="shared" si="0"/>
        <v>0</v>
      </c>
      <c r="O30" s="1403" t="b" cm="1">
        <f t="array" ref="O30">IF(AND(NOT(N30),LEN(L30)&gt;2),OR(ISNUMBER(SEARCH($T$1:$T$15,L30))),FALSE)</f>
        <v>0</v>
      </c>
      <c r="P30" s="738" t="s">
        <v>772</v>
      </c>
      <c r="Q30" s="739" t="s">
        <v>776</v>
      </c>
      <c r="R30" s="732" t="str">
        <f t="shared" si="1"/>
        <v>[BPSetBk] - Shorten Base Pl @ LE|RE|BE, Setback = #’-#, Max TC Depth = ##”, Ck TCX For Unrein Length, See Section ##</v>
      </c>
    </row>
    <row r="31" spans="1:18" ht="15.4" customHeight="1" x14ac:dyDescent="0.2">
      <c r="A31" s="1367"/>
      <c r="B31" s="1722"/>
      <c r="C31" s="1723"/>
      <c r="D31" s="1723"/>
      <c r="E31" s="1723"/>
      <c r="F31" s="1723"/>
      <c r="G31" s="1723"/>
      <c r="H31" s="1723"/>
      <c r="I31" s="1723"/>
      <c r="J31" s="1724"/>
      <c r="L31" s="878" t="str">
        <f t="shared" si="2"/>
        <v/>
      </c>
      <c r="M31" s="1411" t="b">
        <v>0</v>
      </c>
      <c r="N31" s="1403" t="b">
        <f t="shared" si="0"/>
        <v>0</v>
      </c>
      <c r="O31" s="1403" t="b" cm="1">
        <f t="array" ref="O31">IF(AND(NOT(N31),LEN(L31)&gt;2),OR(ISNUMBER(SEARCH($T$1:$T$15,L31))),FALSE)</f>
        <v>0</v>
      </c>
      <c r="P31" s="738" t="s">
        <v>576</v>
      </c>
      <c r="Q31" s="739" t="s">
        <v>642</v>
      </c>
      <c r="R31" s="732" t="str">
        <f t="shared" si="1"/>
        <v>[BPThk] - Min Thickness of Base Plate = 0.xxx" @ LE|RE|BE</v>
      </c>
    </row>
    <row r="32" spans="1:18" ht="15.4" customHeight="1" x14ac:dyDescent="0.2">
      <c r="A32" s="1367"/>
      <c r="B32" s="1722"/>
      <c r="C32" s="1723"/>
      <c r="D32" s="1723"/>
      <c r="E32" s="1723"/>
      <c r="F32" s="1723"/>
      <c r="G32" s="1723"/>
      <c r="H32" s="1723"/>
      <c r="I32" s="1723"/>
      <c r="J32" s="1724"/>
      <c r="L32" s="878" t="str">
        <f t="shared" si="2"/>
        <v/>
      </c>
      <c r="M32" s="1411" t="b">
        <v>0</v>
      </c>
      <c r="N32" s="1403" t="b">
        <f t="shared" si="0"/>
        <v>0</v>
      </c>
      <c r="O32" s="1403" t="b" cm="1">
        <f t="array" ref="O32">IF(AND(NOT(N32),LEN(L32)&gt;2),OR(ISNUMBER(SEARCH($T$1:$T$15,L32))),FALSE)</f>
        <v>0</v>
      </c>
      <c r="P32" s="738" t="s">
        <v>598</v>
      </c>
      <c r="Q32" s="739" t="s">
        <v>599</v>
      </c>
      <c r="R32" s="732" t="str">
        <f t="shared" si="1"/>
        <v>[ClrBrg] - Min Clear Bearing = #" @ LE(RE)(BE)</v>
      </c>
    </row>
    <row r="33" spans="1:18" ht="15.4" customHeight="1" x14ac:dyDescent="0.2">
      <c r="A33" s="1367"/>
      <c r="B33" s="1722"/>
      <c r="C33" s="1723"/>
      <c r="D33" s="1723"/>
      <c r="E33" s="1723"/>
      <c r="F33" s="1723"/>
      <c r="G33" s="1723"/>
      <c r="H33" s="1723"/>
      <c r="I33" s="1723"/>
      <c r="J33" s="1724"/>
      <c r="L33" s="878" t="str">
        <f t="shared" si="2"/>
        <v/>
      </c>
      <c r="M33" s="1411" t="b">
        <v>0</v>
      </c>
      <c r="N33" s="1403" t="b">
        <f t="shared" si="0"/>
        <v>0</v>
      </c>
      <c r="O33" s="1403" t="b" cm="1">
        <f t="array" ref="O33">IF(AND(NOT(N33),LEN(L33)&gt;2),OR(ISNUMBER(SEARCH($T$1:$T$15,L33))),FALSE)</f>
        <v>0</v>
      </c>
      <c r="P33" s="738" t="s">
        <v>773</v>
      </c>
      <c r="Q33" s="739" t="s">
        <v>777</v>
      </c>
      <c r="R33" s="732" t="str">
        <f t="shared" si="1"/>
        <v>[ContAngle] - Continuity Angles for Load Transfer, Hold Double Angle W2 Down for Field Install, No TC Splices within 1st ##” @ LE|RE|BE</v>
      </c>
    </row>
    <row r="34" spans="1:18" ht="15.4" customHeight="1" x14ac:dyDescent="0.2">
      <c r="A34" s="1367"/>
      <c r="B34" s="1722"/>
      <c r="C34" s="1723"/>
      <c r="D34" s="1723"/>
      <c r="E34" s="1723"/>
      <c r="F34" s="1723"/>
      <c r="G34" s="1723"/>
      <c r="H34" s="1723"/>
      <c r="I34" s="1723"/>
      <c r="J34" s="1724"/>
      <c r="L34" s="878" t="str">
        <f t="shared" si="2"/>
        <v/>
      </c>
      <c r="M34" s="1411" t="b">
        <v>0</v>
      </c>
      <c r="N34" s="1403" t="b">
        <f t="shared" si="0"/>
        <v>0</v>
      </c>
      <c r="O34" s="1403" t="b" cm="1">
        <f t="array" ref="O34">IF(AND(NOT(N34),LEN(L34)&gt;2),OR(ISNUMBER(SEARCH($T$1:$T$15,L34))),FALSE)</f>
        <v>0</v>
      </c>
      <c r="P34" s="738" t="s">
        <v>633</v>
      </c>
      <c r="Q34" s="739" t="s">
        <v>635</v>
      </c>
      <c r="R34" s="732" t="str">
        <f t="shared" si="1"/>
        <v>[KickLd] - Axial Load Due To Kicker, No Rein Req’d</v>
      </c>
    </row>
    <row r="35" spans="1:18" ht="15.4" customHeight="1" x14ac:dyDescent="0.2">
      <c r="A35" s="1367"/>
      <c r="B35" s="1722"/>
      <c r="C35" s="1723"/>
      <c r="D35" s="1723"/>
      <c r="E35" s="1723"/>
      <c r="F35" s="1723"/>
      <c r="G35" s="1723"/>
      <c r="H35" s="1723"/>
      <c r="I35" s="1723"/>
      <c r="J35" s="1724"/>
      <c r="L35" s="878" t="str">
        <f t="shared" si="2"/>
        <v/>
      </c>
      <c r="M35" s="1411" t="b">
        <v>0</v>
      </c>
      <c r="N35" s="1403" t="b">
        <f t="shared" si="0"/>
        <v>0</v>
      </c>
      <c r="O35" s="1403" t="b" cm="1">
        <f t="array" ref="O35">IF(AND(NOT(N35),LEN(L35)&gt;2),OR(ISNUMBER(SEARCH($T$1:$T$15,L35))),FALSE)</f>
        <v>0</v>
      </c>
      <c r="P35" s="738" t="s">
        <v>632</v>
      </c>
      <c r="Q35" s="739" t="s">
        <v>634</v>
      </c>
      <c r="R35" s="732" t="str">
        <f t="shared" si="1"/>
        <v>[KnifePL] - Knife Pl Provided for Load Transfer, TC/Seat Gap Clear for 1st ##” @ LE|RE|BE</v>
      </c>
    </row>
    <row r="36" spans="1:18" ht="15.4" customHeight="1" x14ac:dyDescent="0.2">
      <c r="A36" s="1367"/>
      <c r="B36" s="1722"/>
      <c r="C36" s="1723"/>
      <c r="D36" s="1723"/>
      <c r="E36" s="1723"/>
      <c r="F36" s="1723"/>
      <c r="G36" s="1723"/>
      <c r="H36" s="1723"/>
      <c r="I36" s="1723"/>
      <c r="J36" s="1724"/>
      <c r="L36" s="878" t="str">
        <f t="shared" si="2"/>
        <v/>
      </c>
      <c r="M36" s="1411" t="b">
        <v>0</v>
      </c>
      <c r="N36" s="1403" t="b">
        <f t="shared" si="0"/>
        <v>0</v>
      </c>
      <c r="O36" s="1403" t="b" cm="1">
        <f t="array" ref="O36">IF(AND(NOT(N36),LEN(L36)&gt;2),OR(ISNUMBER(SEARCH($T$1:$T$15,L36))),FALSE)</f>
        <v>0</v>
      </c>
      <c r="P36" s="738" t="s">
        <v>643</v>
      </c>
      <c r="Q36" s="739" t="s">
        <v>644</v>
      </c>
      <c r="R36" s="732" t="str">
        <f t="shared" si="1"/>
        <v>[MaxWidth] - Max Width of TC &amp; Base Plate|BC for 1st ##” @ LE|RE|BE</v>
      </c>
    </row>
    <row r="37" spans="1:18" ht="15.4" customHeight="1" x14ac:dyDescent="0.2">
      <c r="A37" s="1367"/>
      <c r="B37" s="1722"/>
      <c r="C37" s="1723"/>
      <c r="D37" s="1723"/>
      <c r="E37" s="1723"/>
      <c r="F37" s="1723"/>
      <c r="G37" s="1723"/>
      <c r="H37" s="1723"/>
      <c r="I37" s="1723"/>
      <c r="J37" s="1724"/>
      <c r="L37" s="878" t="str">
        <f t="shared" si="2"/>
        <v/>
      </c>
      <c r="M37" s="1411" t="b">
        <v>0</v>
      </c>
      <c r="N37" s="1403" t="b">
        <f t="shared" si="0"/>
        <v>0</v>
      </c>
      <c r="O37" s="1403" t="b" cm="1">
        <f t="array" ref="O37">IF(AND(NOT(N37),LEN(L37)&gt;2),OR(ISNUMBER(SEARCH($T$1:$T$15,L37))),FALSE)</f>
        <v>0</v>
      </c>
      <c r="P37" s="738" t="s">
        <v>630</v>
      </c>
      <c r="Q37" s="739" t="s">
        <v>778</v>
      </c>
      <c r="R37" s="732" t="str">
        <f t="shared" si="1"/>
        <v>[NoRein] - Tie Pl Provided for Load Transfer, No Rein Req’d (***Could Show This Note in Load Note Remarks***)</v>
      </c>
    </row>
    <row r="38" spans="1:18" ht="15.4" customHeight="1" x14ac:dyDescent="0.2">
      <c r="A38" s="1367"/>
      <c r="B38" s="1722"/>
      <c r="C38" s="1723"/>
      <c r="D38" s="1723"/>
      <c r="E38" s="1723"/>
      <c r="F38" s="1723"/>
      <c r="G38" s="1723"/>
      <c r="H38" s="1723"/>
      <c r="I38" s="1723"/>
      <c r="J38" s="1724"/>
      <c r="L38" s="878" t="str">
        <f t="shared" si="2"/>
        <v/>
      </c>
      <c r="M38" s="1411" t="b">
        <v>0</v>
      </c>
      <c r="N38" s="1403" t="b">
        <f t="shared" si="0"/>
        <v>0</v>
      </c>
      <c r="O38" s="1403" t="b" cm="1">
        <f t="array" ref="O38">IF(AND(NOT(N38),LEN(L38)&gt;2),OR(ISNUMBER(SEARCH($T$1:$T$15,L38))),FALSE)</f>
        <v>0</v>
      </c>
      <c r="P38" s="738" t="s">
        <v>631</v>
      </c>
      <c r="Q38" s="739" t="s">
        <v>665</v>
      </c>
      <c r="R38" s="732" t="str">
        <f t="shared" si="1"/>
        <v>[Rein] - Reinforce Seats @ LE|RE|BE for Axial Load Transfer</v>
      </c>
    </row>
    <row r="39" spans="1:18" ht="15.4" customHeight="1" x14ac:dyDescent="0.2">
      <c r="A39" s="1367"/>
      <c r="B39" s="1722"/>
      <c r="C39" s="1723"/>
      <c r="D39" s="1723"/>
      <c r="E39" s="1723"/>
      <c r="F39" s="1723"/>
      <c r="G39" s="1723"/>
      <c r="H39" s="1723"/>
      <c r="I39" s="1723"/>
      <c r="J39" s="1724"/>
      <c r="L39" s="878" t="str">
        <f t="shared" si="2"/>
        <v/>
      </c>
      <c r="M39" s="1411" t="b">
        <v>0</v>
      </c>
      <c r="N39" s="1403" t="b">
        <f t="shared" si="0"/>
        <v>0</v>
      </c>
      <c r="O39" s="1403" t="b" cm="1">
        <f t="array" ref="O39">IF(AND(NOT(N39),LEN(L39)&gt;2),OR(ISNUMBER(SEARCH($T$1:$T$15,L39))),FALSE)</f>
        <v>0</v>
      </c>
      <c r="P39" s="738" t="s">
        <v>670</v>
      </c>
      <c r="Q39" s="739" t="s">
        <v>671</v>
      </c>
      <c r="R39" s="732" t="str">
        <f t="shared" si="1"/>
        <v>[RndShrtSlt] - #/#" Round Holes|#/#”x1” Slots, Ga=#” @ LE|RE|BE</v>
      </c>
    </row>
    <row r="40" spans="1:18" ht="15.4" customHeight="1" x14ac:dyDescent="0.2">
      <c r="A40" s="1367"/>
      <c r="B40" s="1722"/>
      <c r="C40" s="1723"/>
      <c r="D40" s="1723"/>
      <c r="E40" s="1723"/>
      <c r="F40" s="1723"/>
      <c r="G40" s="1723"/>
      <c r="H40" s="1723"/>
      <c r="I40" s="1723"/>
      <c r="J40" s="1724"/>
      <c r="L40" s="878" t="str">
        <f t="shared" si="2"/>
        <v/>
      </c>
      <c r="M40" s="1411" t="b">
        <v>0</v>
      </c>
      <c r="N40" s="1403" t="b">
        <f t="shared" si="0"/>
        <v>0</v>
      </c>
      <c r="O40" s="1403" t="b" cm="1">
        <f t="array" ref="O40">IF(AND(NOT(N40),LEN(L40)&gt;2),OR(ISNUMBER(SEARCH($T$1:$T$15,L40))),FALSE)</f>
        <v>0</v>
      </c>
      <c r="P40" s="738" t="s">
        <v>636</v>
      </c>
      <c r="Q40" s="739" t="s">
        <v>637</v>
      </c>
      <c r="R40" s="732" t="str">
        <f t="shared" si="1"/>
        <v>[Roll] - Seat Rollover Force = ##Kips @ LE|RE|BE</v>
      </c>
    </row>
    <row r="41" spans="1:18" ht="15.4" customHeight="1" x14ac:dyDescent="0.2">
      <c r="A41" s="1367"/>
      <c r="B41" s="1722"/>
      <c r="C41" s="1723"/>
      <c r="D41" s="1723"/>
      <c r="E41" s="1723"/>
      <c r="F41" s="1723"/>
      <c r="G41" s="1723"/>
      <c r="H41" s="1723"/>
      <c r="I41" s="1723"/>
      <c r="J41" s="1724"/>
      <c r="L41" s="878" t="str">
        <f t="shared" si="2"/>
        <v/>
      </c>
      <c r="M41" s="1411" t="b">
        <v>0</v>
      </c>
      <c r="N41" s="1403" t="b">
        <f t="shared" si="0"/>
        <v>0</v>
      </c>
      <c r="O41" s="1403" t="b" cm="1">
        <f t="array" ref="O41">IF(AND(NOT(N41),LEN(L41)&gt;2),OR(ISNUMBER(SEARCH($T$1:$T$15,L41))),FALSE)</f>
        <v>0</v>
      </c>
      <c r="P41" s="738" t="s">
        <v>662</v>
      </c>
      <c r="Q41" s="739" t="s">
        <v>663</v>
      </c>
      <c r="R41" s="732" t="str">
        <f t="shared" si="1"/>
        <v>[ShrtBrg] - Short Bearing = #” @ LE|RE|BE</v>
      </c>
    </row>
    <row r="42" spans="1:18" ht="15.4" customHeight="1" x14ac:dyDescent="0.2">
      <c r="A42" s="1367"/>
      <c r="B42" s="1722"/>
      <c r="C42" s="1723"/>
      <c r="D42" s="1723"/>
      <c r="E42" s="1723"/>
      <c r="F42" s="1723"/>
      <c r="G42" s="1723"/>
      <c r="H42" s="1723"/>
      <c r="I42" s="1723"/>
      <c r="J42" s="1724"/>
      <c r="L42" s="878" t="str">
        <f t="shared" si="2"/>
        <v/>
      </c>
      <c r="M42" s="1411" t="b">
        <v>0</v>
      </c>
      <c r="N42" s="1403" t="b">
        <f t="shared" si="0"/>
        <v>0</v>
      </c>
      <c r="O42" s="1403" t="b" cm="1">
        <f t="array" ref="O42">IF(AND(NOT(N42),LEN(L42)&gt;2),OR(ISNUMBER(SEARCH($T$1:$T$15,L42))),FALSE)</f>
        <v>0</v>
      </c>
      <c r="P42" s="738" t="s">
        <v>666</v>
      </c>
      <c r="Q42" s="739" t="s">
        <v>587</v>
      </c>
      <c r="R42" s="732" t="str">
        <f t="shared" si="1"/>
        <v>[Skew] - ##º Half(Full)-Skew, NS(FS), LE(RE)</v>
      </c>
    </row>
    <row r="43" spans="1:18" ht="15.4" customHeight="1" x14ac:dyDescent="0.2">
      <c r="A43" s="1367"/>
      <c r="B43" s="1722"/>
      <c r="C43" s="1723"/>
      <c r="D43" s="1723"/>
      <c r="E43" s="1723"/>
      <c r="F43" s="1723"/>
      <c r="G43" s="1723"/>
      <c r="H43" s="1723"/>
      <c r="I43" s="1723"/>
      <c r="J43" s="1724"/>
      <c r="L43" s="878" t="str">
        <f t="shared" si="2"/>
        <v/>
      </c>
      <c r="M43" s="1411" t="b">
        <v>0</v>
      </c>
      <c r="N43" s="1403" t="b">
        <f t="shared" si="0"/>
        <v>0</v>
      </c>
      <c r="O43" s="1403" t="b" cm="1">
        <f t="array" ref="O43">IF(AND(NOT(N43),LEN(L43)&gt;2),OR(ISNUMBER(SEARCH($T$1:$T$15,L43))),FALSE)</f>
        <v>0</v>
      </c>
      <c r="P43" s="738" t="s">
        <v>573</v>
      </c>
      <c r="Q43" s="739" t="s">
        <v>640</v>
      </c>
      <c r="R43" s="732" t="str">
        <f t="shared" si="1"/>
        <v>[SpSlt] - Special Seat Slots: #"x#" Slots, Ga=#" @ LE|RE|BE</v>
      </c>
    </row>
    <row r="44" spans="1:18" ht="15.4" customHeight="1" x14ac:dyDescent="0.2">
      <c r="A44" s="1367"/>
      <c r="B44" s="1722"/>
      <c r="C44" s="1723"/>
      <c r="D44" s="1723"/>
      <c r="E44" s="1723"/>
      <c r="F44" s="1723"/>
      <c r="G44" s="1723"/>
      <c r="H44" s="1723"/>
      <c r="I44" s="1723"/>
      <c r="J44" s="1724"/>
      <c r="L44" s="878" t="str">
        <f t="shared" si="2"/>
        <v/>
      </c>
      <c r="M44" s="1411" t="b">
        <v>0</v>
      </c>
      <c r="N44" s="1403" t="b">
        <f t="shared" si="0"/>
        <v>0</v>
      </c>
      <c r="O44" s="1403" t="b" cm="1">
        <f t="array" ref="O44">IF(AND(NOT(N44),LEN(L44)&gt;2),OR(ISNUMBER(SEARCH($T$1:$T$15,L44))),FALSE)</f>
        <v>0</v>
      </c>
      <c r="P44" s="738" t="s">
        <v>572</v>
      </c>
      <c r="Q44" s="739" t="s">
        <v>639</v>
      </c>
      <c r="R44" s="732" t="str">
        <f t="shared" si="1"/>
        <v>[StgSlt] - Stagger Seat Slots LE|RE: ##" NS, ##" FS</v>
      </c>
    </row>
    <row r="45" spans="1:18" ht="15.4" customHeight="1" x14ac:dyDescent="0.2">
      <c r="A45" s="1367"/>
      <c r="B45" s="1722"/>
      <c r="C45" s="1723"/>
      <c r="D45" s="1723"/>
      <c r="E45" s="1723"/>
      <c r="F45" s="1723"/>
      <c r="G45" s="1723"/>
      <c r="H45" s="1723"/>
      <c r="I45" s="1723"/>
      <c r="J45" s="1724"/>
      <c r="L45" s="878" t="str">
        <f t="shared" si="2"/>
        <v/>
      </c>
      <c r="M45" s="1411" t="b">
        <v>0</v>
      </c>
      <c r="N45" s="1403" t="b">
        <f t="shared" si="0"/>
        <v>0</v>
      </c>
      <c r="O45" s="1403" t="b" cm="1">
        <f t="array" ref="O45">IF(AND(NOT(N45),LEN(L45)&gt;2),OR(ISNUMBER(SEARCH($T$1:$T$15,L45))),FALSE)</f>
        <v>0</v>
      </c>
      <c r="P45" s="738" t="s">
        <v>577</v>
      </c>
      <c r="Q45" s="739" t="s">
        <v>629</v>
      </c>
      <c r="R45" s="732" t="str">
        <f t="shared" si="1"/>
        <v>[TCXMax] - Max Depth of TCXL|TCXR = ##"</v>
      </c>
    </row>
    <row r="46" spans="1:18" ht="15.4" customHeight="1" x14ac:dyDescent="0.2">
      <c r="A46" s="1367"/>
      <c r="B46" s="1722"/>
      <c r="C46" s="1723"/>
      <c r="D46" s="1723"/>
      <c r="E46" s="1723"/>
      <c r="F46" s="1723"/>
      <c r="G46" s="1723"/>
      <c r="H46" s="1723"/>
      <c r="I46" s="1723"/>
      <c r="J46" s="1724"/>
      <c r="L46" s="878" t="str">
        <f t="shared" si="2"/>
        <v/>
      </c>
      <c r="M46" s="1411" t="b">
        <v>0</v>
      </c>
      <c r="N46" s="1403" t="b">
        <f t="shared" si="0"/>
        <v>0</v>
      </c>
      <c r="O46" s="1403" t="b" cm="1">
        <f t="array" ref="O46">IF(AND(NOT(N46),LEN(L46)&gt;2),OR(ISNUMBER(SEARCH($T$1:$T$15,L46))),FALSE)</f>
        <v>0</v>
      </c>
      <c r="P46" s="738" t="s">
        <v>571</v>
      </c>
      <c r="Q46" s="739" t="s">
        <v>664</v>
      </c>
      <c r="R46" s="732" t="str">
        <f t="shared" si="1"/>
        <v>[TCXSup] - TCXL|TCXR Supported @ End</v>
      </c>
    </row>
    <row r="47" spans="1:18" ht="15.4" customHeight="1" x14ac:dyDescent="0.2">
      <c r="A47" s="1367"/>
      <c r="B47" s="1722"/>
      <c r="C47" s="1723"/>
      <c r="D47" s="1723"/>
      <c r="E47" s="1723"/>
      <c r="F47" s="1723"/>
      <c r="G47" s="1723"/>
      <c r="H47" s="1723"/>
      <c r="I47" s="1723"/>
      <c r="J47" s="1724"/>
      <c r="L47" s="878" t="str">
        <f t="shared" si="2"/>
        <v/>
      </c>
      <c r="M47" s="1411" t="b">
        <v>0</v>
      </c>
      <c r="N47" s="1403" t="b">
        <f t="shared" si="0"/>
        <v>0</v>
      </c>
      <c r="O47" s="1403" t="b" cm="1">
        <f t="array" ref="O47">IF(AND(NOT(N47),LEN(L47)&gt;2),OR(ISNUMBER(SEARCH($T$1:$T$15,L47))),FALSE)</f>
        <v>0</v>
      </c>
      <c r="P47" s="738"/>
      <c r="Q47" s="739" t="s">
        <v>645</v>
      </c>
      <c r="R47" s="732" t="str">
        <f t="shared" si="1"/>
        <v>[] - MISCELLANEOUS</v>
      </c>
    </row>
    <row r="48" spans="1:18" ht="15.4" customHeight="1" x14ac:dyDescent="0.2">
      <c r="A48" s="1367"/>
      <c r="B48" s="1722"/>
      <c r="C48" s="1723"/>
      <c r="D48" s="1723"/>
      <c r="E48" s="1723"/>
      <c r="F48" s="1723"/>
      <c r="G48" s="1723"/>
      <c r="H48" s="1723"/>
      <c r="I48" s="1723"/>
      <c r="J48" s="1724"/>
      <c r="L48" s="878" t="str">
        <f t="shared" si="2"/>
        <v/>
      </c>
      <c r="M48" s="1411" t="b">
        <v>0</v>
      </c>
      <c r="N48" s="1403" t="b">
        <f t="shared" si="0"/>
        <v>0</v>
      </c>
      <c r="O48" s="1403" t="b" cm="1">
        <f t="array" ref="O48">IF(AND(NOT(N48),LEN(L48)&gt;2),OR(ISNUMBER(SEARCH($T$1:$T$15,L48))),FALSE)</f>
        <v>0</v>
      </c>
      <c r="P48" s="738" t="s">
        <v>579</v>
      </c>
      <c r="Q48" s="739" t="s">
        <v>648</v>
      </c>
      <c r="R48" s="732" t="str">
        <f t="shared" si="1"/>
        <v>[BClip] - Bridging Clip(s) Required per Plan</v>
      </c>
    </row>
    <row r="49" spans="1:18" ht="15.4" customHeight="1" x14ac:dyDescent="0.2">
      <c r="A49" s="1367"/>
      <c r="B49" s="1722"/>
      <c r="C49" s="1723"/>
      <c r="D49" s="1723"/>
      <c r="E49" s="1723"/>
      <c r="F49" s="1723"/>
      <c r="G49" s="1723"/>
      <c r="H49" s="1723"/>
      <c r="I49" s="1723"/>
      <c r="J49" s="1724"/>
      <c r="L49" s="878" t="str">
        <f t="shared" si="2"/>
        <v/>
      </c>
      <c r="M49" s="1411" t="b">
        <v>0</v>
      </c>
      <c r="N49" s="1403" t="b">
        <f t="shared" si="0"/>
        <v>0</v>
      </c>
      <c r="O49" s="1403" t="b" cm="1">
        <f t="array" ref="O49">IF(AND(NOT(N49),LEN(L49)&gt;2),OR(ISNUMBER(SEARCH($T$1:$T$15,L49))),FALSE)</f>
        <v>0</v>
      </c>
      <c r="P49" s="738" t="s">
        <v>575</v>
      </c>
      <c r="Q49" s="739" t="s">
        <v>567</v>
      </c>
      <c r="R49" s="732" t="str">
        <f t="shared" si="1"/>
        <v>[BCThk] - Min Thickness of BC = 0.xxx"</v>
      </c>
    </row>
    <row r="50" spans="1:18" ht="15.4" customHeight="1" x14ac:dyDescent="0.2">
      <c r="A50" s="1367"/>
      <c r="B50" s="1722"/>
      <c r="C50" s="1723"/>
      <c r="D50" s="1723"/>
      <c r="E50" s="1723"/>
      <c r="F50" s="1723"/>
      <c r="G50" s="1723"/>
      <c r="H50" s="1723"/>
      <c r="I50" s="1723"/>
      <c r="J50" s="1724"/>
      <c r="L50" s="878" t="str">
        <f t="shared" si="2"/>
        <v/>
      </c>
      <c r="M50" s="1411" t="b">
        <v>0</v>
      </c>
      <c r="N50" s="1403" t="b">
        <f t="shared" si="0"/>
        <v>0</v>
      </c>
      <c r="O50" s="1403" t="b" cm="1">
        <f t="array" ref="O50">IF(AND(NOT(N50),LEN(L50)&gt;2),OR(ISNUMBER(SEARCH($T$1:$T$15,L50))),FALSE)</f>
        <v>0</v>
      </c>
      <c r="P50" s="738" t="s">
        <v>667</v>
      </c>
      <c r="Q50" s="739" t="s">
        <v>647</v>
      </c>
      <c r="R50" s="732" t="str">
        <f t="shared" si="1"/>
        <v>[Camb] - Camber = #"|Camber for DL|50% Std Camber|No Camber</v>
      </c>
    </row>
    <row r="51" spans="1:18" ht="15.4" customHeight="1" x14ac:dyDescent="0.2">
      <c r="A51" s="1371"/>
      <c r="B51" s="1734"/>
      <c r="C51" s="1735"/>
      <c r="D51" s="1735"/>
      <c r="E51" s="1735"/>
      <c r="F51" s="1735"/>
      <c r="G51" s="1735"/>
      <c r="H51" s="1735"/>
      <c r="I51" s="1735"/>
      <c r="J51" s="1736"/>
      <c r="L51" s="878" t="str">
        <f t="shared" si="2"/>
        <v/>
      </c>
      <c r="M51" s="1411" t="b">
        <v>0</v>
      </c>
      <c r="N51" s="1403" t="b">
        <f t="shared" si="0"/>
        <v>0</v>
      </c>
      <c r="O51" s="1403" t="b" cm="1">
        <f t="array" ref="O51">IF(AND(NOT(N51),LEN(L51)&gt;2),OR(ISNUMBER(SEARCH($T$1:$T$15,L51))),FALSE)</f>
        <v>0</v>
      </c>
      <c r="P51" s="738" t="s">
        <v>781</v>
      </c>
      <c r="Q51" s="739" t="s">
        <v>786</v>
      </c>
      <c r="R51" s="732" t="str">
        <f t="shared" si="1"/>
        <v>[DUCT] - ##" Dia|##"H x ##"W Duct @ #'-# from L-OAL</v>
      </c>
    </row>
    <row r="52" spans="1:18" ht="15.6" customHeight="1" x14ac:dyDescent="0.2">
      <c r="N52" s="154" t="e">
        <f>COUNTIF(N13:O51,TRUE)+IF(NOT($M$1),1,0)</f>
        <v>#REF!</v>
      </c>
      <c r="O52" s="1406" t="s">
        <v>792</v>
      </c>
      <c r="P52" s="738" t="s">
        <v>591</v>
      </c>
      <c r="Q52" s="739" t="s">
        <v>600</v>
      </c>
      <c r="R52" s="732" t="str">
        <f t="shared" si="1"/>
        <v>[HS] - Horiz Field Splice: See Detail on J1.xx</v>
      </c>
    </row>
    <row r="53" spans="1:18" ht="15.6" customHeight="1" x14ac:dyDescent="0.2">
      <c r="P53" s="738" t="s">
        <v>593</v>
      </c>
      <c r="Q53" s="739" t="s">
        <v>602</v>
      </c>
      <c r="R53" s="732" t="str">
        <f t="shared" si="1"/>
        <v>[MS] - Multiple Vert Field Splices: Type xx</v>
      </c>
    </row>
    <row r="54" spans="1:18" ht="15.6" customHeight="1" x14ac:dyDescent="0.2">
      <c r="P54" s="738" t="s">
        <v>782</v>
      </c>
      <c r="Q54" s="739" t="s">
        <v>785</v>
      </c>
      <c r="R54" s="732" t="str">
        <f t="shared" si="1"/>
        <v>[SpBClip] - Special Bridging Clip(s) Required per Plan, See Sketch</v>
      </c>
    </row>
    <row r="55" spans="1:18" ht="15.6" customHeight="1" x14ac:dyDescent="0.2">
      <c r="P55" s="738" t="s">
        <v>649</v>
      </c>
      <c r="Q55" s="739" t="s">
        <v>650</v>
      </c>
      <c r="R55" s="732" t="str">
        <f t="shared" si="1"/>
        <v>[SpConn] - Special Connection @ (location), See Section ##</v>
      </c>
    </row>
    <row r="56" spans="1:18" ht="15.6" customHeight="1" x14ac:dyDescent="0.2">
      <c r="P56" s="738" t="s">
        <v>574</v>
      </c>
      <c r="Q56" s="739" t="s">
        <v>566</v>
      </c>
      <c r="R56" s="732" t="str">
        <f t="shared" si="1"/>
        <v>[TCThk] - Min Thickness of TC = 0.xxx"</v>
      </c>
    </row>
    <row r="57" spans="1:18" ht="15.6" customHeight="1" x14ac:dyDescent="0.2">
      <c r="P57" s="738" t="s">
        <v>783</v>
      </c>
      <c r="Q57" s="739" t="s">
        <v>784</v>
      </c>
      <c r="R57" s="732" t="str">
        <f t="shared" si="1"/>
        <v xml:space="preserve">[V100] - Add Vertical to Support Load On BCXL|R </v>
      </c>
    </row>
    <row r="58" spans="1:18" ht="15.6" customHeight="1" x14ac:dyDescent="0.2">
      <c r="P58" s="738" t="s">
        <v>674</v>
      </c>
      <c r="Q58" s="739" t="s">
        <v>686</v>
      </c>
      <c r="R58" s="732" t="str">
        <f t="shared" si="1"/>
        <v>[Vier] - Vierendeel Panel, ##” W x ##” H, Bottom Left Corner of Opening @ ##” From Bot/Jst, ##’-##” From L-OAL</v>
      </c>
    </row>
    <row r="59" spans="1:18" ht="15.6" customHeight="1" x14ac:dyDescent="0.2">
      <c r="A59" s="707" t="s">
        <v>614</v>
      </c>
      <c r="P59" s="738" t="s">
        <v>592</v>
      </c>
      <c r="Q59" s="739" t="s">
        <v>601</v>
      </c>
      <c r="R59" s="732" t="str">
        <f t="shared" si="1"/>
        <v>[VS] - Vert Field Splice: Type xx, Near Midspan</v>
      </c>
    </row>
    <row r="60" spans="1:18" ht="15.6" hidden="1" customHeight="1" x14ac:dyDescent="0.2">
      <c r="A60" s="831" t="s">
        <v>34</v>
      </c>
      <c r="P60" s="738" t="s">
        <v>672</v>
      </c>
      <c r="Q60" s="739" t="s">
        <v>673</v>
      </c>
      <c r="R60" s="732" t="str">
        <f t="shared" si="1"/>
        <v>[ChdWdth] - Min|Max Width of TC|BC = ##”</v>
      </c>
    </row>
    <row r="61" spans="1:18" ht="15.6" hidden="1" customHeight="1" x14ac:dyDescent="0.2">
      <c r="A61" s="833"/>
      <c r="P61" s="738" t="s">
        <v>668</v>
      </c>
      <c r="Q61" s="739" t="s">
        <v>595</v>
      </c>
      <c r="R61" s="732" t="str">
        <f t="shared" si="1"/>
        <v>[Duct] - ##" Dia (##"H x ##"W) Duct @ #'-# from L-OAL</v>
      </c>
    </row>
    <row r="62" spans="1:18" ht="15.6" hidden="1" customHeight="1" x14ac:dyDescent="0.2">
      <c r="P62" s="738" t="s">
        <v>591</v>
      </c>
      <c r="Q62" s="739" t="s">
        <v>600</v>
      </c>
      <c r="R62" s="732" t="str">
        <f t="shared" si="1"/>
        <v>[HS] - Horiz Field Splice: See Detail on J1.xx</v>
      </c>
    </row>
    <row r="63" spans="1:18" ht="15.6" hidden="1" customHeight="1" x14ac:dyDescent="0.2">
      <c r="P63" s="738" t="s">
        <v>592</v>
      </c>
      <c r="Q63" s="739" t="s">
        <v>601</v>
      </c>
      <c r="R63" s="732" t="str">
        <f t="shared" si="1"/>
        <v>[VS] - Vert Field Splice: Type xx, Near Midspan</v>
      </c>
    </row>
    <row r="64" spans="1:18" ht="15.6" hidden="1" customHeight="1" x14ac:dyDescent="0.2">
      <c r="P64" s="738" t="s">
        <v>593</v>
      </c>
      <c r="Q64" s="739" t="s">
        <v>602</v>
      </c>
      <c r="R64" s="732" t="str">
        <f t="shared" si="1"/>
        <v>[MS] - Multiple Vert Field Splices: Type xx</v>
      </c>
    </row>
    <row r="65" spans="1:18" ht="15.6" customHeight="1" x14ac:dyDescent="0.2">
      <c r="A65" s="707" t="s">
        <v>615</v>
      </c>
      <c r="P65" s="738"/>
      <c r="Q65" s="739" t="s">
        <v>651</v>
      </c>
      <c r="R65" s="732" t="str">
        <f t="shared" si="1"/>
        <v>[] - GENERAL</v>
      </c>
    </row>
    <row r="66" spans="1:18" ht="15.6" customHeight="1" x14ac:dyDescent="0.2">
      <c r="P66" s="738" t="s">
        <v>779</v>
      </c>
      <c r="Q66" s="739" t="s">
        <v>780</v>
      </c>
      <c r="R66" s="732" t="str">
        <f t="shared" si="1"/>
        <v>[PAINT] - NO Shop Primer|NO Shop Primer – Galv|# Shop Coats – Std Gray Primer</v>
      </c>
    </row>
    <row r="67" spans="1:18" ht="15.6" customHeight="1" x14ac:dyDescent="0.2">
      <c r="P67" s="738" t="s">
        <v>609</v>
      </c>
      <c r="Q67" s="739" t="s">
        <v>610</v>
      </c>
      <c r="R67" s="732" t="str">
        <f t="shared" si="1"/>
        <v>[LRFD] - **LRFD**   **LRFD**   **LRFD**</v>
      </c>
    </row>
    <row r="68" spans="1:18" ht="15.6" customHeight="1" x14ac:dyDescent="0.2">
      <c r="P68" s="738" t="s">
        <v>569</v>
      </c>
      <c r="Q68" s="739" t="s">
        <v>596</v>
      </c>
      <c r="R68" s="732" t="str">
        <f t="shared" si="1"/>
        <v>[ESFR] - #"Dia Pipes, 8" Below Top/Jst, 15" Horiz Clearance @ ##'-#,  ##'-# &amp;  ##'-# from L-OAL</v>
      </c>
    </row>
    <row r="69" spans="1:18" ht="15.6" customHeight="1" x14ac:dyDescent="0.2">
      <c r="P69" s="738" t="s">
        <v>669</v>
      </c>
      <c r="Q69" s="739" t="s">
        <v>568</v>
      </c>
      <c r="R69" s="732" t="str">
        <f t="shared" si="1"/>
        <v>[Self] - Add Self-Weight to Design</v>
      </c>
    </row>
    <row r="70" spans="1:18" ht="15.6" customHeight="1" x14ac:dyDescent="0.2">
      <c r="P70" s="738" t="s">
        <v>604</v>
      </c>
      <c r="Q70" s="739" t="s">
        <v>606</v>
      </c>
      <c r="R70" s="732" t="str">
        <f t="shared" si="1"/>
        <v>[SpChd] - ##"^2 Min Chord Area</v>
      </c>
    </row>
    <row r="71" spans="1:18" ht="15.6" customHeight="1" x14ac:dyDescent="0.2">
      <c r="P71" s="738" t="s">
        <v>605</v>
      </c>
      <c r="Q71" s="739" t="s">
        <v>607</v>
      </c>
      <c r="R71" s="732" t="str">
        <f t="shared" si="1"/>
        <v>[SpWeb] - ##"^2 Min Web Area</v>
      </c>
    </row>
    <row r="72" spans="1:18" ht="15.6" customHeight="1" x14ac:dyDescent="0.2">
      <c r="P72" s="738" t="s">
        <v>646</v>
      </c>
      <c r="Q72" s="739" t="s">
        <v>608</v>
      </c>
      <c r="R72" s="732" t="str">
        <f t="shared" si="1"/>
        <v>[DomStl] - Domestic Steel Required (ARRA)</v>
      </c>
    </row>
    <row r="73" spans="1:18" ht="15.6" customHeight="1" x14ac:dyDescent="0.2">
      <c r="P73" s="738" t="s">
        <v>594</v>
      </c>
      <c r="Q73" s="739" t="s">
        <v>603</v>
      </c>
      <c r="R73" s="732" t="str">
        <f t="shared" si="1"/>
        <v>[SSR] - Standing Seam Roof: TC Lateral Support @ ##" Max.</v>
      </c>
    </row>
    <row r="74" spans="1:18" ht="15.6" customHeight="1" x14ac:dyDescent="0.2">
      <c r="P74" s="738" t="s">
        <v>675</v>
      </c>
      <c r="Q74" s="739" t="s">
        <v>681</v>
      </c>
      <c r="R74" s="732" t="str">
        <f t="shared" si="1"/>
        <v>[AlignPnls] - Align Panels of Adjacent Jsts</v>
      </c>
    </row>
    <row r="75" spans="1:18" ht="15.6" customHeight="1" x14ac:dyDescent="0.2">
      <c r="P75" s="738" t="s">
        <v>676</v>
      </c>
      <c r="Q75" s="739" t="s">
        <v>682</v>
      </c>
      <c r="R75" s="732" t="str">
        <f t="shared" si="1"/>
        <v>[SpBund] - Special Bundling Req’d, See Attached Listing</v>
      </c>
    </row>
    <row r="76" spans="1:18" ht="15.6" customHeight="1" x14ac:dyDescent="0.2">
      <c r="P76" s="738" t="s">
        <v>677</v>
      </c>
      <c r="Q76" s="739" t="s">
        <v>683</v>
      </c>
      <c r="R76" s="732" t="str">
        <f t="shared" si="1"/>
        <v>[BIM] - Building Information Modeling, Inform Dtlr When Design Completed</v>
      </c>
    </row>
    <row r="77" spans="1:18" ht="15.6" customHeight="1" x14ac:dyDescent="0.2">
      <c r="P77" s="738" t="s">
        <v>678</v>
      </c>
      <c r="Q77" s="739" t="s">
        <v>684</v>
      </c>
      <c r="R77" s="732" t="str">
        <f t="shared" si="1"/>
        <v>[Calcs] - Sealed Calcs req’d for Record|Appl</v>
      </c>
    </row>
    <row r="78" spans="1:18" ht="15.6" customHeight="1" x14ac:dyDescent="0.2">
      <c r="P78" s="738" t="s">
        <v>679</v>
      </c>
      <c r="Q78" s="739" t="s">
        <v>685</v>
      </c>
      <c r="R78" s="732" t="str">
        <f t="shared" ref="R78:R99" si="3">CONCATENATE("[",P78, "] - ", Q78)</f>
        <v>[Prof] - Joist|Girder Profiles Req’d</v>
      </c>
    </row>
    <row r="79" spans="1:18" ht="15.6" customHeight="1" x14ac:dyDescent="0.2">
      <c r="P79" s="738" t="s">
        <v>680</v>
      </c>
      <c r="Q79" s="739" t="s">
        <v>652</v>
      </c>
      <c r="R79" s="732" t="str">
        <f t="shared" si="3"/>
        <v>[UnDef] - Special Note Here (special condition not matching pre-defined codes)</v>
      </c>
    </row>
    <row r="80" spans="1:18" ht="15.6" customHeight="1" x14ac:dyDescent="0.2">
      <c r="P80" s="738"/>
      <c r="Q80" s="739"/>
      <c r="R80" s="732" t="str">
        <f t="shared" si="3"/>
        <v xml:space="preserve">[] - </v>
      </c>
    </row>
    <row r="81" spans="16:18" ht="15.6" customHeight="1" x14ac:dyDescent="0.2">
      <c r="P81" s="738"/>
      <c r="Q81" s="739"/>
      <c r="R81" s="732" t="str">
        <f t="shared" si="3"/>
        <v xml:space="preserve">[] - </v>
      </c>
    </row>
    <row r="82" spans="16:18" ht="15.6" customHeight="1" x14ac:dyDescent="0.2">
      <c r="P82" s="738"/>
      <c r="Q82" s="739"/>
      <c r="R82" s="732" t="str">
        <f t="shared" si="3"/>
        <v xml:space="preserve">[] - </v>
      </c>
    </row>
    <row r="83" spans="16:18" ht="15.6" customHeight="1" x14ac:dyDescent="0.2">
      <c r="P83" s="738"/>
      <c r="Q83" s="739"/>
      <c r="R83" s="732" t="str">
        <f t="shared" si="3"/>
        <v xml:space="preserve">[] - </v>
      </c>
    </row>
    <row r="84" spans="16:18" ht="15.6" customHeight="1" x14ac:dyDescent="0.2">
      <c r="P84" s="738"/>
      <c r="Q84" s="739"/>
      <c r="R84" s="732" t="str">
        <f t="shared" si="3"/>
        <v xml:space="preserve">[] - </v>
      </c>
    </row>
    <row r="85" spans="16:18" ht="15.6" customHeight="1" x14ac:dyDescent="0.2">
      <c r="P85" s="738"/>
      <c r="Q85" s="739"/>
      <c r="R85" s="732" t="str">
        <f t="shared" si="3"/>
        <v xml:space="preserve">[] - </v>
      </c>
    </row>
    <row r="86" spans="16:18" ht="15.6" customHeight="1" x14ac:dyDescent="0.2">
      <c r="P86" s="738"/>
      <c r="Q86" s="739"/>
      <c r="R86" s="732" t="str">
        <f t="shared" si="3"/>
        <v xml:space="preserve">[] - </v>
      </c>
    </row>
    <row r="87" spans="16:18" ht="15.6" customHeight="1" x14ac:dyDescent="0.2">
      <c r="P87" s="738"/>
      <c r="Q87" s="739"/>
      <c r="R87" s="732" t="str">
        <f t="shared" si="3"/>
        <v xml:space="preserve">[] - </v>
      </c>
    </row>
    <row r="88" spans="16:18" ht="15.6" customHeight="1" x14ac:dyDescent="0.2">
      <c r="P88" s="738"/>
      <c r="Q88" s="739"/>
      <c r="R88" s="732" t="str">
        <f t="shared" si="3"/>
        <v xml:space="preserve">[] - </v>
      </c>
    </row>
    <row r="89" spans="16:18" ht="15.6" customHeight="1" x14ac:dyDescent="0.2">
      <c r="P89" s="738"/>
      <c r="Q89" s="739"/>
      <c r="R89" s="732" t="str">
        <f t="shared" si="3"/>
        <v xml:space="preserve">[] - </v>
      </c>
    </row>
    <row r="90" spans="16:18" ht="15.6" customHeight="1" x14ac:dyDescent="0.2">
      <c r="P90" s="738"/>
      <c r="Q90" s="739"/>
      <c r="R90" s="732" t="str">
        <f t="shared" si="3"/>
        <v xml:space="preserve">[] - </v>
      </c>
    </row>
    <row r="91" spans="16:18" ht="15.6" customHeight="1" x14ac:dyDescent="0.2">
      <c r="P91" s="738"/>
      <c r="Q91" s="739"/>
      <c r="R91" s="732" t="str">
        <f t="shared" si="3"/>
        <v xml:space="preserve">[] - </v>
      </c>
    </row>
    <row r="92" spans="16:18" ht="15.6" customHeight="1" x14ac:dyDescent="0.2">
      <c r="P92" s="738"/>
      <c r="Q92" s="739"/>
      <c r="R92" s="732" t="str">
        <f t="shared" si="3"/>
        <v xml:space="preserve">[] - </v>
      </c>
    </row>
    <row r="93" spans="16:18" ht="15.6" customHeight="1" x14ac:dyDescent="0.2">
      <c r="P93" s="738"/>
      <c r="Q93" s="739"/>
      <c r="R93" s="732" t="str">
        <f t="shared" si="3"/>
        <v xml:space="preserve">[] - </v>
      </c>
    </row>
    <row r="94" spans="16:18" ht="15.6" customHeight="1" x14ac:dyDescent="0.2">
      <c r="P94" s="738"/>
      <c r="Q94" s="739"/>
      <c r="R94" s="732" t="str">
        <f t="shared" si="3"/>
        <v xml:space="preserve">[] - </v>
      </c>
    </row>
    <row r="95" spans="16:18" ht="15.6" customHeight="1" x14ac:dyDescent="0.2">
      <c r="P95" s="738"/>
      <c r="Q95" s="739"/>
      <c r="R95" s="732" t="str">
        <f t="shared" si="3"/>
        <v xml:space="preserve">[] - </v>
      </c>
    </row>
    <row r="96" spans="16:18" ht="15.6" customHeight="1" x14ac:dyDescent="0.2">
      <c r="P96" s="738"/>
      <c r="Q96" s="739"/>
      <c r="R96" s="732" t="str">
        <f t="shared" si="3"/>
        <v xml:space="preserve">[] - </v>
      </c>
    </row>
    <row r="97" spans="16:18" ht="15.6" customHeight="1" x14ac:dyDescent="0.2">
      <c r="P97" s="738"/>
      <c r="Q97" s="739"/>
      <c r="R97" s="732" t="str">
        <f t="shared" si="3"/>
        <v xml:space="preserve">[] - </v>
      </c>
    </row>
    <row r="98" spans="16:18" ht="15.6" customHeight="1" x14ac:dyDescent="0.2">
      <c r="P98" s="738"/>
      <c r="Q98" s="739"/>
      <c r="R98" s="732" t="str">
        <f t="shared" si="3"/>
        <v xml:space="preserve">[] - </v>
      </c>
    </row>
    <row r="99" spans="16:18" ht="15.6" customHeight="1" x14ac:dyDescent="0.2">
      <c r="P99" s="740"/>
      <c r="Q99" s="741"/>
      <c r="R99" s="733" t="str">
        <f t="shared" si="3"/>
        <v xml:space="preserve">[] - </v>
      </c>
    </row>
    <row r="100" spans="16:18" x14ac:dyDescent="0.2">
      <c r="R100" s="729"/>
    </row>
  </sheetData>
  <sheetProtection selectLockedCells="1"/>
  <mergeCells count="56">
    <mergeCell ref="B49:J49"/>
    <mergeCell ref="B50:J50"/>
    <mergeCell ref="B51:J51"/>
    <mergeCell ref="I4:J4"/>
    <mergeCell ref="H6:I6"/>
    <mergeCell ref="B12:J12"/>
    <mergeCell ref="B9:D9"/>
    <mergeCell ref="B10:D10"/>
    <mergeCell ref="G9:J9"/>
    <mergeCell ref="G4:H4"/>
    <mergeCell ref="A5:F5"/>
    <mergeCell ref="B19:J19"/>
    <mergeCell ref="B20:J20"/>
    <mergeCell ref="B25:J25"/>
    <mergeCell ref="B26:J26"/>
    <mergeCell ref="B27:J27"/>
    <mergeCell ref="D1:F1"/>
    <mergeCell ref="D2:F3"/>
    <mergeCell ref="D4:F4"/>
    <mergeCell ref="B17:J17"/>
    <mergeCell ref="B18:J18"/>
    <mergeCell ref="B13:J13"/>
    <mergeCell ref="B14:J14"/>
    <mergeCell ref="B15:J15"/>
    <mergeCell ref="B16:J16"/>
    <mergeCell ref="G1:H1"/>
    <mergeCell ref="I1:J1"/>
    <mergeCell ref="I2:J2"/>
    <mergeCell ref="I3:J3"/>
    <mergeCell ref="G2:H2"/>
    <mergeCell ref="G3:H3"/>
    <mergeCell ref="B28:J28"/>
    <mergeCell ref="B21:J21"/>
    <mergeCell ref="B22:J22"/>
    <mergeCell ref="B23:J23"/>
    <mergeCell ref="B24:J24"/>
    <mergeCell ref="B35:J35"/>
    <mergeCell ref="B36:J36"/>
    <mergeCell ref="B29:J29"/>
    <mergeCell ref="B30:J30"/>
    <mergeCell ref="B31:J31"/>
    <mergeCell ref="B32:J32"/>
    <mergeCell ref="B33:J33"/>
    <mergeCell ref="B34:J34"/>
    <mergeCell ref="B48:J48"/>
    <mergeCell ref="B41:J41"/>
    <mergeCell ref="B42:J42"/>
    <mergeCell ref="B43:J43"/>
    <mergeCell ref="B44:J44"/>
    <mergeCell ref="B45:J45"/>
    <mergeCell ref="B47:J47"/>
    <mergeCell ref="B37:J37"/>
    <mergeCell ref="B38:J38"/>
    <mergeCell ref="B39:J39"/>
    <mergeCell ref="B40:J40"/>
    <mergeCell ref="B46:J46"/>
  </mergeCells>
  <phoneticPr fontId="0" type="noConversion"/>
  <conditionalFormatting sqref="D2:F4">
    <cfRule type="cellIs" dxfId="632" priority="4" stopIfTrue="1" operator="equal">
      <formula>""</formula>
    </cfRule>
  </conditionalFormatting>
  <conditionalFormatting sqref="A13:J51">
    <cfRule type="expression" dxfId="631" priority="1">
      <formula>AND(NOT($N13),NOT($O13),$M$1)</formula>
    </cfRule>
    <cfRule type="expression" dxfId="630" priority="3">
      <formula>AND($M13,$L$1="M")</formula>
    </cfRule>
  </conditionalFormatting>
  <conditionalFormatting sqref="A13:A51">
    <cfRule type="expression" dxfId="629" priority="2">
      <formula>NOT(OR($N13,$O13))</formula>
    </cfRule>
  </conditionalFormatting>
  <dataValidations count="2">
    <dataValidation type="list" allowBlank="1" showInputMessage="1" sqref="Q7" xr:uid="{00000000-0002-0000-0700-000000000000}">
      <formula1>OFFSET($R$13,0,0,$P$10,1)</formula1>
    </dataValidation>
    <dataValidation type="list" allowBlank="1" sqref="B13:J51" xr:uid="{00000000-0002-0000-0700-000001000000}">
      <formula1>OFFSET($R$13,0,0,$P$10,1)</formula1>
    </dataValidation>
  </dataValidations>
  <printOptions horizontalCentered="1"/>
  <pageMargins left="0.3" right="0.3" top="0.5" bottom="0.5" header="0" footer="0.25"/>
  <pageSetup orientation="portrait" r:id="rId1"/>
  <headerFooter alignWithMargins="0">
    <oddFooter>&amp;R&amp;7Printed: &amp;D &amp;T&amp;L&amp;7Version: 21.0428
File: &amp;F</oddFooter>
  </headerFooter>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5">
    <tabColor indexed="51"/>
  </sheetPr>
  <dimension ref="A1:AM67"/>
  <sheetViews>
    <sheetView showGridLines="0" zoomScaleNormal="100" zoomScaleSheetLayoutView="100" workbookViewId="0">
      <selection activeCell="A13" sqref="A13"/>
    </sheetView>
  </sheetViews>
  <sheetFormatPr defaultColWidth="9.140625" defaultRowHeight="11.25" x14ac:dyDescent="0.2"/>
  <cols>
    <col min="1" max="1" width="10.7109375" style="154" customWidth="1"/>
    <col min="2" max="2" width="4.7109375" style="156" customWidth="1"/>
    <col min="3" max="3" width="4.7109375" style="154" customWidth="1"/>
    <col min="4" max="4" width="5.7109375" style="307" customWidth="1"/>
    <col min="5" max="10" width="6.7109375" style="154" customWidth="1"/>
    <col min="11" max="11" width="11.28515625" style="154" customWidth="1"/>
    <col min="12" max="12" width="7.28515625" style="154" customWidth="1"/>
    <col min="13" max="13" width="11.28515625" style="154" customWidth="1"/>
    <col min="14" max="15" width="6.7109375" style="154" customWidth="1"/>
    <col min="16" max="16" width="10.7109375" style="154" hidden="1" customWidth="1"/>
    <col min="17" max="35" width="6.7109375" style="154" hidden="1" customWidth="1"/>
    <col min="36" max="38" width="9.140625" style="154" hidden="1" customWidth="1"/>
    <col min="39" max="16384" width="9.140625" style="154"/>
  </cols>
  <sheetData>
    <row r="1" spans="1:39" s="303" customFormat="1" ht="14.45" customHeight="1" thickBot="1" x14ac:dyDescent="0.25">
      <c r="A1" s="298"/>
      <c r="B1" s="396"/>
      <c r="C1" s="298"/>
      <c r="D1" s="410"/>
      <c r="E1" s="319"/>
      <c r="F1" s="319"/>
      <c r="G1" s="319"/>
      <c r="H1" s="1705" t="e">
        <f>IF(P1="","",VLOOKUP(P1,#REF!,4,FALSE))</f>
        <v>#REF!</v>
      </c>
      <c r="I1" s="1705"/>
      <c r="J1" s="1705"/>
      <c r="K1" s="1707" t="s">
        <v>77</v>
      </c>
      <c r="L1" s="1708"/>
      <c r="M1" s="1709" t="e">
        <f>#REF!</f>
        <v>#REF!</v>
      </c>
      <c r="N1" s="1710"/>
      <c r="O1" s="423" t="s">
        <v>375</v>
      </c>
      <c r="P1" s="302" t="e">
        <f>#REF!</f>
        <v>#REF!</v>
      </c>
      <c r="Q1" s="302" t="e">
        <f>#REF!</f>
        <v>#REF!</v>
      </c>
      <c r="R1" s="303" t="s">
        <v>93</v>
      </c>
      <c r="S1" s="303" t="s">
        <v>103</v>
      </c>
      <c r="T1" s="302"/>
      <c r="AM1" s="424" t="s">
        <v>397</v>
      </c>
    </row>
    <row r="2" spans="1:39" s="303" customFormat="1" ht="12.95" customHeight="1" thickTop="1" x14ac:dyDescent="0.2">
      <c r="A2" s="298"/>
      <c r="B2" s="396"/>
      <c r="C2" s="298"/>
      <c r="D2" s="410"/>
      <c r="E2" s="319"/>
      <c r="F2" s="319"/>
      <c r="G2" s="319"/>
      <c r="H2" s="1711" t="e">
        <f>IF(P1="","",IF(VLOOKUP(P1,#REF!,2,FALSE),"Released for Fabrication",""))</f>
        <v>#REF!</v>
      </c>
      <c r="I2" s="1750"/>
      <c r="J2" s="1751"/>
      <c r="K2" s="1707" t="s">
        <v>78</v>
      </c>
      <c r="L2" s="1707"/>
      <c r="M2" s="1709" t="e">
        <f>#REF!</f>
        <v>#REF!</v>
      </c>
      <c r="N2" s="1710"/>
      <c r="R2" s="303" t="s">
        <v>94</v>
      </c>
      <c r="S2" s="303" t="s">
        <v>104</v>
      </c>
      <c r="T2" s="302"/>
    </row>
    <row r="3" spans="1:39" s="303" customFormat="1" ht="12.95" customHeight="1" x14ac:dyDescent="0.2">
      <c r="A3" s="298"/>
      <c r="B3" s="396"/>
      <c r="C3" s="298"/>
      <c r="D3" s="410"/>
      <c r="E3" s="319"/>
      <c r="F3" s="319"/>
      <c r="G3" s="319"/>
      <c r="H3" s="1752"/>
      <c r="I3" s="1753"/>
      <c r="J3" s="1754"/>
      <c r="K3" s="1707" t="s">
        <v>80</v>
      </c>
      <c r="L3" s="1707"/>
      <c r="M3" s="1709" t="e">
        <f>#REF!</f>
        <v>#REF!</v>
      </c>
      <c r="N3" s="1710"/>
      <c r="R3" s="303" t="s">
        <v>95</v>
      </c>
      <c r="S3" s="303" t="s">
        <v>105</v>
      </c>
    </row>
    <row r="4" spans="1:39" s="303" customFormat="1" ht="12.95" customHeight="1" thickBot="1" x14ac:dyDescent="0.25">
      <c r="A4" s="298"/>
      <c r="B4" s="396"/>
      <c r="C4" s="298"/>
      <c r="D4" s="410"/>
      <c r="E4" s="319"/>
      <c r="F4" s="319"/>
      <c r="G4" s="319"/>
      <c r="H4" s="1717" t="e">
        <f>IF(P1="","",IF(VLOOKUP(P1,#REF!,2,FALSE),VLOOKUP(P1,#REF!,3,FALSE),""))</f>
        <v>#REF!</v>
      </c>
      <c r="I4" s="1755"/>
      <c r="J4" s="1756"/>
      <c r="K4" s="1707" t="s">
        <v>79</v>
      </c>
      <c r="L4" s="1707"/>
      <c r="M4" s="1709" t="e">
        <f>#REF!</f>
        <v>#REF!</v>
      </c>
      <c r="N4" s="1710"/>
      <c r="R4" s="303" t="s">
        <v>96</v>
      </c>
      <c r="S4" s="303" t="s">
        <v>106</v>
      </c>
    </row>
    <row r="5" spans="1:39" s="303" customFormat="1" ht="12.95" customHeight="1" thickTop="1" x14ac:dyDescent="0.2">
      <c r="A5" s="1720" t="e">
        <f>#REF!</f>
        <v>#REF!</v>
      </c>
      <c r="B5" s="1776"/>
      <c r="C5" s="1776"/>
      <c r="D5" s="1776"/>
      <c r="E5" s="1776"/>
      <c r="F5" s="1776"/>
      <c r="G5" s="1776"/>
      <c r="H5" s="1776"/>
      <c r="I5" s="1776"/>
      <c r="J5" s="1776"/>
      <c r="K5" s="17"/>
      <c r="L5" s="298"/>
      <c r="M5" s="298"/>
      <c r="N5" s="298"/>
      <c r="R5" s="303" t="s">
        <v>97</v>
      </c>
      <c r="S5" s="303" t="s">
        <v>107</v>
      </c>
    </row>
    <row r="6" spans="1:39" s="303" customFormat="1" ht="12.95" customHeight="1" x14ac:dyDescent="0.2">
      <c r="A6" s="298"/>
      <c r="B6" s="396"/>
      <c r="C6" s="298"/>
      <c r="D6" s="410"/>
      <c r="E6" s="298"/>
      <c r="F6" s="298"/>
      <c r="G6" s="298"/>
      <c r="H6" s="298"/>
      <c r="I6" s="298"/>
      <c r="J6" s="298"/>
      <c r="K6" s="396" t="s">
        <v>20</v>
      </c>
      <c r="L6" s="1702" t="e">
        <f>IF(ISBLANK(#REF!),"",#REF!)</f>
        <v>#REF!</v>
      </c>
      <c r="M6" s="1702"/>
      <c r="N6" s="298"/>
      <c r="P6" s="995" t="s">
        <v>705</v>
      </c>
      <c r="R6" s="303" t="s">
        <v>98</v>
      </c>
      <c r="S6" s="303" t="s">
        <v>108</v>
      </c>
    </row>
    <row r="7" spans="1:39" ht="12.95" customHeight="1" x14ac:dyDescent="0.2">
      <c r="A7" s="321" t="s">
        <v>55</v>
      </c>
      <c r="B7" s="397"/>
      <c r="C7" s="322"/>
      <c r="D7" s="411"/>
      <c r="E7" s="413"/>
      <c r="F7" s="413"/>
      <c r="G7" s="298"/>
      <c r="H7" s="298"/>
      <c r="I7" s="298"/>
      <c r="J7" s="298"/>
      <c r="K7" s="397" t="s">
        <v>21</v>
      </c>
      <c r="L7" s="1108" t="e">
        <f>CONCATENATE(P7, " of ",IF(ISBLANK(#REF!),"",#REF!))</f>
        <v>#REF!</v>
      </c>
      <c r="M7" s="601"/>
      <c r="N7" s="322"/>
      <c r="P7" s="996"/>
      <c r="R7" s="154" t="s">
        <v>99</v>
      </c>
      <c r="S7" s="154" t="s">
        <v>109</v>
      </c>
    </row>
    <row r="8" spans="1:39" ht="3.95" customHeight="1" x14ac:dyDescent="0.2">
      <c r="A8" s="322"/>
      <c r="B8" s="397"/>
      <c r="C8" s="322"/>
      <c r="D8" s="411"/>
      <c r="E8" s="322"/>
      <c r="F8" s="322"/>
      <c r="G8" s="322"/>
      <c r="H8" s="322"/>
      <c r="I8" s="322"/>
      <c r="J8" s="322"/>
      <c r="K8" s="322"/>
      <c r="L8" s="322"/>
      <c r="M8" s="322"/>
      <c r="N8" s="322"/>
      <c r="R8" s="154" t="s">
        <v>100</v>
      </c>
      <c r="S8" s="154" t="s">
        <v>110</v>
      </c>
    </row>
    <row r="9" spans="1:39" ht="12.6" customHeight="1" x14ac:dyDescent="0.2">
      <c r="A9" s="417" t="s">
        <v>1</v>
      </c>
      <c r="B9" s="1699" t="e">
        <f>IF(ISBLANK(#REF!),"",#REF!)</f>
        <v>#REF!</v>
      </c>
      <c r="C9" s="1770"/>
      <c r="D9" s="1770"/>
      <c r="E9" s="1770"/>
      <c r="F9" s="1770"/>
      <c r="G9" s="1770"/>
      <c r="H9" s="1770"/>
      <c r="I9" s="1770"/>
      <c r="J9" s="1771"/>
      <c r="K9" s="417" t="s">
        <v>2</v>
      </c>
      <c r="L9" s="602" t="e">
        <f>IF(ISBLANK(#REF!),"",#REF!)</f>
        <v>#REF!</v>
      </c>
      <c r="M9" s="331"/>
      <c r="N9" s="414"/>
      <c r="R9" s="154" t="s">
        <v>101</v>
      </c>
      <c r="S9" s="154" t="s">
        <v>111</v>
      </c>
    </row>
    <row r="10" spans="1:39" ht="12.6" customHeight="1" x14ac:dyDescent="0.2">
      <c r="A10" s="417" t="s">
        <v>3</v>
      </c>
      <c r="B10" s="1699" t="e">
        <f>IF(ISBLANK(#REF!),"",#REF!)</f>
        <v>#REF!</v>
      </c>
      <c r="C10" s="1770"/>
      <c r="D10" s="1770"/>
      <c r="E10" s="1770"/>
      <c r="F10" s="1770"/>
      <c r="G10" s="1770"/>
      <c r="H10" s="1770"/>
      <c r="I10" s="1770"/>
      <c r="J10" s="1771"/>
      <c r="K10" s="417" t="s">
        <v>22</v>
      </c>
      <c r="L10" s="603" t="e">
        <f>IF(ISBLANK(#REF!),"",#REF!)</f>
        <v>#REF!</v>
      </c>
      <c r="M10" s="417" t="s">
        <v>23</v>
      </c>
      <c r="N10" s="604" t="e">
        <f>IF(ISBLANK(#REF!),"",#REF!)</f>
        <v>#REF!</v>
      </c>
      <c r="AJ10" s="1781" t="s">
        <v>700</v>
      </c>
      <c r="AK10" s="1782"/>
      <c r="AL10" s="1782"/>
    </row>
    <row r="11" spans="1:39" ht="3.95" customHeight="1" x14ac:dyDescent="0.2">
      <c r="A11" s="999"/>
      <c r="B11" s="397"/>
      <c r="C11" s="322"/>
      <c r="D11" s="411"/>
      <c r="E11" s="322"/>
      <c r="F11" s="322"/>
      <c r="G11" s="322"/>
      <c r="H11" s="322"/>
      <c r="I11" s="322"/>
      <c r="J11" s="322"/>
      <c r="K11" s="322"/>
      <c r="L11" s="322"/>
      <c r="M11" s="322"/>
      <c r="N11" s="322"/>
      <c r="AJ11" s="1782"/>
      <c r="AK11" s="1782"/>
      <c r="AL11" s="1782"/>
    </row>
    <row r="12" spans="1:39" s="415" customFormat="1" ht="16.350000000000001" customHeight="1" x14ac:dyDescent="0.2">
      <c r="A12" s="964" t="s">
        <v>54</v>
      </c>
      <c r="B12" s="1769" t="s">
        <v>92</v>
      </c>
      <c r="C12" s="1726"/>
      <c r="D12" s="1727"/>
      <c r="E12" s="1725" t="s">
        <v>748</v>
      </c>
      <c r="F12" s="1726"/>
      <c r="G12" s="1726"/>
      <c r="H12" s="1726"/>
      <c r="I12" s="1726"/>
      <c r="J12" s="1726"/>
      <c r="K12" s="1767"/>
      <c r="L12" s="1767"/>
      <c r="M12" s="1767"/>
      <c r="N12" s="1768"/>
      <c r="R12" s="416">
        <v>0</v>
      </c>
      <c r="S12" s="416">
        <v>1</v>
      </c>
      <c r="T12" s="416">
        <v>2</v>
      </c>
      <c r="U12" s="416">
        <v>3</v>
      </c>
      <c r="V12" s="416">
        <v>4</v>
      </c>
      <c r="W12" s="416">
        <v>5</v>
      </c>
      <c r="X12" s="416">
        <v>6</v>
      </c>
      <c r="Y12" s="416">
        <v>7</v>
      </c>
      <c r="Z12" s="416">
        <v>0</v>
      </c>
      <c r="AA12" s="416">
        <v>1</v>
      </c>
      <c r="AB12" s="416">
        <v>2</v>
      </c>
      <c r="AC12" s="416">
        <v>3</v>
      </c>
      <c r="AD12" s="416">
        <v>4</v>
      </c>
      <c r="AE12" s="416">
        <v>5</v>
      </c>
      <c r="AF12" s="416">
        <v>6</v>
      </c>
      <c r="AJ12" s="1783"/>
      <c r="AK12" s="1783"/>
      <c r="AL12" s="1783"/>
    </row>
    <row r="13" spans="1:39" ht="16.350000000000001" customHeight="1" x14ac:dyDescent="0.2">
      <c r="A13" s="989"/>
      <c r="B13" s="990"/>
      <c r="C13" s="968"/>
      <c r="D13" s="991"/>
      <c r="E13" s="1772"/>
      <c r="F13" s="1773"/>
      <c r="G13" s="1774"/>
      <c r="H13" s="1774"/>
      <c r="I13" s="1774"/>
      <c r="J13" s="1774"/>
      <c r="K13" s="1774"/>
      <c r="L13" s="1774"/>
      <c r="M13" s="1774"/>
      <c r="N13" s="1775"/>
      <c r="P13" s="399" t="str">
        <f t="shared" ref="P13:P48" si="0">CONCATENATE(IF(ISBLANK(B13),"",VLOOKUP(B13,$R$1:$S$9,2,FALSE)),IF(ISBLANK(C13),"",CONCATENATE("/",VLOOKUP(C13,$R$1:$S$9,2,FALSE))),IF(ISBLANK(D13),"",CONCATENATE("/",VLOOKUP(D13,$R$1:$S$9,2,FALSE))))</f>
        <v/>
      </c>
      <c r="R13" s="143" t="str">
        <f t="shared" ref="R13:R48" ca="1" si="1">OFFSET($R$1,R$12+(COUNTIF($R$1:$R$1,B13)),0)</f>
        <v>WHT</v>
      </c>
      <c r="S13" s="143" t="str">
        <f t="shared" ref="S13:S48" ca="1" si="2">OFFSET($R$1,S$12+(COUNTIF($R$1:$R$2,B13)),0)</f>
        <v>BRN</v>
      </c>
      <c r="T13" s="143" t="str">
        <f t="shared" ref="T13:T48" ca="1" si="3">OFFSET($R$1,T$12+(COUNTIF($R$1:$R$3,B13)),0)</f>
        <v>ORG</v>
      </c>
      <c r="U13" s="143" t="str">
        <f t="shared" ref="U13:U48" ca="1" si="4">OFFSET($R$1,U$12+(COUNTIF($R$1:$R$4,B13)),0)</f>
        <v>BLU</v>
      </c>
      <c r="V13" s="143" t="str">
        <f t="shared" ref="V13:V48" ca="1" si="5">OFFSET($R$1,V$12+(COUNTIF($R$1:$R$5,B13)),0)</f>
        <v>GRN</v>
      </c>
      <c r="W13" s="143" t="str">
        <f t="shared" ref="W13:W48" ca="1" si="6">OFFSET($R$1,W$12+(COUNTIF($R$1:$R$6,B13)),0)</f>
        <v>YLW</v>
      </c>
      <c r="X13" s="143" t="str">
        <f t="shared" ref="X13:X48" ca="1" si="7">OFFSET($R$1,X$12+(COUNTIF($R$1:$R$7,B13)),0)</f>
        <v>PRP</v>
      </c>
      <c r="Y13" s="143" t="str">
        <f t="shared" ref="Y13:Y48" ca="1" si="8">OFFSET($R$1,Y$12+(COUNTIF($R$1:$R$8,B13)),0)</f>
        <v>RED</v>
      </c>
      <c r="Z13" s="143" t="str">
        <f ca="1">OFFSET($R13,0,R$12+(COUNTIF($R13:R13,$C13)))</f>
        <v>WHT</v>
      </c>
      <c r="AA13" s="143" t="str">
        <f ca="1">OFFSET($R13,0,S$12+(COUNTIF($R13:S13,$C13)))</f>
        <v>BRN</v>
      </c>
      <c r="AB13" s="143" t="str">
        <f ca="1">OFFSET($R13,0,T$12+(COUNTIF($R13:T13,$C13)))</f>
        <v>ORG</v>
      </c>
      <c r="AC13" s="143" t="str">
        <f ca="1">OFFSET($R13,0,U$12+(COUNTIF($R13:U13,$C13)))</f>
        <v>BLU</v>
      </c>
      <c r="AD13" s="143" t="str">
        <f ca="1">OFFSET($R13,0,V$12+(COUNTIF($R13:V13,$C13)))</f>
        <v>GRN</v>
      </c>
      <c r="AE13" s="143" t="str">
        <f ca="1">OFFSET($R13,0,W$12+(COUNTIF($R13:W13,$C13)))</f>
        <v>YLW</v>
      </c>
      <c r="AF13" s="143" t="str">
        <f ca="1">OFFSET($R13,0,X$12+(COUNTIF($R13:X13,$C13)))</f>
        <v>PRP</v>
      </c>
      <c r="AG13" s="154" t="b">
        <f t="shared" ref="AG13:AG25" si="9">ISBLANK(B13)</f>
        <v>1</v>
      </c>
      <c r="AH13" s="154" t="b">
        <f t="shared" ref="AH13:AH25" si="10">ISBLANK(C13)</f>
        <v>1</v>
      </c>
      <c r="AJ13" s="916" t="s">
        <v>93</v>
      </c>
      <c r="AK13" s="916"/>
      <c r="AL13" s="916"/>
    </row>
    <row r="14" spans="1:39" ht="16.350000000000001" customHeight="1" x14ac:dyDescent="0.2">
      <c r="A14" s="983"/>
      <c r="B14" s="985"/>
      <c r="C14" s="595"/>
      <c r="D14" s="986"/>
      <c r="E14" s="1763"/>
      <c r="F14" s="1764"/>
      <c r="G14" s="1765"/>
      <c r="H14" s="1765"/>
      <c r="I14" s="1765"/>
      <c r="J14" s="1765"/>
      <c r="K14" s="1765"/>
      <c r="L14" s="1765"/>
      <c r="M14" s="1765"/>
      <c r="N14" s="1766"/>
      <c r="P14" s="399" t="str">
        <f t="shared" si="0"/>
        <v/>
      </c>
      <c r="R14" s="143" t="str">
        <f t="shared" ca="1" si="1"/>
        <v>WHT</v>
      </c>
      <c r="S14" s="143" t="str">
        <f t="shared" ca="1" si="2"/>
        <v>BRN</v>
      </c>
      <c r="T14" s="143" t="str">
        <f t="shared" ca="1" si="3"/>
        <v>ORG</v>
      </c>
      <c r="U14" s="143" t="str">
        <f t="shared" ca="1" si="4"/>
        <v>BLU</v>
      </c>
      <c r="V14" s="143" t="str">
        <f t="shared" ca="1" si="5"/>
        <v>GRN</v>
      </c>
      <c r="W14" s="143" t="str">
        <f t="shared" ca="1" si="6"/>
        <v>YLW</v>
      </c>
      <c r="X14" s="143" t="str">
        <f t="shared" ca="1" si="7"/>
        <v>PRP</v>
      </c>
      <c r="Y14" s="143" t="str">
        <f t="shared" ca="1" si="8"/>
        <v>RED</v>
      </c>
      <c r="Z14" s="143" t="str">
        <f ca="1">OFFSET($R14,0,R$12+(COUNTIF($R14:R14,$C14)))</f>
        <v>WHT</v>
      </c>
      <c r="AA14" s="143" t="str">
        <f ca="1">OFFSET($R14,0,S$12+(COUNTIF($R14:S14,$C14)))</f>
        <v>BRN</v>
      </c>
      <c r="AB14" s="143" t="str">
        <f ca="1">OFFSET($R14,0,T$12+(COUNTIF($R14:T14,$C14)))</f>
        <v>ORG</v>
      </c>
      <c r="AC14" s="143" t="str">
        <f ca="1">OFFSET($R14,0,U$12+(COUNTIF($R14:U14,$C14)))</f>
        <v>BLU</v>
      </c>
      <c r="AD14" s="143" t="str">
        <f ca="1">OFFSET($R14,0,V$12+(COUNTIF($R14:V14,$C14)))</f>
        <v>GRN</v>
      </c>
      <c r="AE14" s="143" t="str">
        <f ca="1">OFFSET($R14,0,W$12+(COUNTIF($R14:W14,$C14)))</f>
        <v>YLW</v>
      </c>
      <c r="AF14" s="143" t="str">
        <f ca="1">OFFSET($R14,0,X$12+(COUNTIF($R14:X14,$C14)))</f>
        <v>PRP</v>
      </c>
      <c r="AG14" s="154" t="b">
        <f t="shared" si="9"/>
        <v>1</v>
      </c>
      <c r="AH14" s="154" t="b">
        <f t="shared" si="10"/>
        <v>1</v>
      </c>
      <c r="AJ14" s="916" t="s">
        <v>94</v>
      </c>
      <c r="AK14" s="916"/>
      <c r="AL14" s="916"/>
    </row>
    <row r="15" spans="1:39" ht="16.350000000000001" customHeight="1" x14ac:dyDescent="0.2">
      <c r="A15" s="983"/>
      <c r="B15" s="985"/>
      <c r="C15" s="595"/>
      <c r="D15" s="986"/>
      <c r="E15" s="1763"/>
      <c r="F15" s="1764"/>
      <c r="G15" s="1765"/>
      <c r="H15" s="1765"/>
      <c r="I15" s="1765"/>
      <c r="J15" s="1765"/>
      <c r="K15" s="1765"/>
      <c r="L15" s="1765"/>
      <c r="M15" s="1765"/>
      <c r="N15" s="1766"/>
      <c r="P15" s="399" t="str">
        <f t="shared" si="0"/>
        <v/>
      </c>
      <c r="R15" s="143" t="str">
        <f t="shared" ca="1" si="1"/>
        <v>WHT</v>
      </c>
      <c r="S15" s="143" t="str">
        <f t="shared" ca="1" si="2"/>
        <v>BRN</v>
      </c>
      <c r="T15" s="143" t="str">
        <f t="shared" ca="1" si="3"/>
        <v>ORG</v>
      </c>
      <c r="U15" s="143" t="str">
        <f t="shared" ca="1" si="4"/>
        <v>BLU</v>
      </c>
      <c r="V15" s="143" t="str">
        <f t="shared" ca="1" si="5"/>
        <v>GRN</v>
      </c>
      <c r="W15" s="143" t="str">
        <f t="shared" ca="1" si="6"/>
        <v>YLW</v>
      </c>
      <c r="X15" s="143" t="str">
        <f t="shared" ca="1" si="7"/>
        <v>PRP</v>
      </c>
      <c r="Y15" s="143" t="str">
        <f t="shared" ca="1" si="8"/>
        <v>RED</v>
      </c>
      <c r="Z15" s="143" t="str">
        <f ca="1">OFFSET($R15,0,R$12+(COUNTIF($R15:R15,$C15)))</f>
        <v>WHT</v>
      </c>
      <c r="AA15" s="143" t="str">
        <f ca="1">OFFSET($R15,0,S$12+(COUNTIF($R15:S15,$C15)))</f>
        <v>BRN</v>
      </c>
      <c r="AB15" s="143" t="str">
        <f ca="1">OFFSET($R15,0,T$12+(COUNTIF($R15:T15,$C15)))</f>
        <v>ORG</v>
      </c>
      <c r="AC15" s="143" t="str">
        <f ca="1">OFFSET($R15,0,U$12+(COUNTIF($R15:U15,$C15)))</f>
        <v>BLU</v>
      </c>
      <c r="AD15" s="143" t="str">
        <f ca="1">OFFSET($R15,0,V$12+(COUNTIF($R15:V15,$C15)))</f>
        <v>GRN</v>
      </c>
      <c r="AE15" s="143" t="str">
        <f ca="1">OFFSET($R15,0,W$12+(COUNTIF($R15:W15,$C15)))</f>
        <v>YLW</v>
      </c>
      <c r="AF15" s="143" t="str">
        <f ca="1">OFFSET($R15,0,X$12+(COUNTIF($R15:X15,$C15)))</f>
        <v>PRP</v>
      </c>
      <c r="AG15" s="154" t="b">
        <f t="shared" si="9"/>
        <v>1</v>
      </c>
      <c r="AH15" s="154" t="b">
        <f t="shared" si="10"/>
        <v>1</v>
      </c>
      <c r="AJ15" s="916" t="s">
        <v>95</v>
      </c>
      <c r="AK15" s="916"/>
      <c r="AL15" s="916"/>
    </row>
    <row r="16" spans="1:39" ht="16.350000000000001" customHeight="1" x14ac:dyDescent="0.2">
      <c r="A16" s="983"/>
      <c r="B16" s="985"/>
      <c r="C16" s="595"/>
      <c r="D16" s="986"/>
      <c r="E16" s="1763"/>
      <c r="F16" s="1764"/>
      <c r="G16" s="1765"/>
      <c r="H16" s="1765"/>
      <c r="I16" s="1765"/>
      <c r="J16" s="1765"/>
      <c r="K16" s="1765"/>
      <c r="L16" s="1765"/>
      <c r="M16" s="1765"/>
      <c r="N16" s="1766"/>
      <c r="P16" s="399" t="str">
        <f t="shared" si="0"/>
        <v/>
      </c>
      <c r="R16" s="143" t="str">
        <f t="shared" ca="1" si="1"/>
        <v>WHT</v>
      </c>
      <c r="S16" s="143" t="str">
        <f t="shared" ca="1" si="2"/>
        <v>BRN</v>
      </c>
      <c r="T16" s="143" t="str">
        <f t="shared" ca="1" si="3"/>
        <v>ORG</v>
      </c>
      <c r="U16" s="143" t="str">
        <f t="shared" ca="1" si="4"/>
        <v>BLU</v>
      </c>
      <c r="V16" s="143" t="str">
        <f t="shared" ca="1" si="5"/>
        <v>GRN</v>
      </c>
      <c r="W16" s="143" t="str">
        <f t="shared" ca="1" si="6"/>
        <v>YLW</v>
      </c>
      <c r="X16" s="143" t="str">
        <f t="shared" ca="1" si="7"/>
        <v>PRP</v>
      </c>
      <c r="Y16" s="143" t="str">
        <f t="shared" ca="1" si="8"/>
        <v>RED</v>
      </c>
      <c r="Z16" s="143" t="str">
        <f ca="1">OFFSET($R16,0,R$12+(COUNTIF($R16:R16,$C16)))</f>
        <v>WHT</v>
      </c>
      <c r="AA16" s="143" t="str">
        <f ca="1">OFFSET($R16,0,S$12+(COUNTIF($R16:S16,$C16)))</f>
        <v>BRN</v>
      </c>
      <c r="AB16" s="143" t="str">
        <f ca="1">OFFSET($R16,0,T$12+(COUNTIF($R16:T16,$C16)))</f>
        <v>ORG</v>
      </c>
      <c r="AC16" s="143" t="str">
        <f ca="1">OFFSET($R16,0,U$12+(COUNTIF($R16:U16,$C16)))</f>
        <v>BLU</v>
      </c>
      <c r="AD16" s="143" t="str">
        <f ca="1">OFFSET($R16,0,V$12+(COUNTIF($R16:V16,$C16)))</f>
        <v>GRN</v>
      </c>
      <c r="AE16" s="143" t="str">
        <f ca="1">OFFSET($R16,0,W$12+(COUNTIF($R16:W16,$C16)))</f>
        <v>YLW</v>
      </c>
      <c r="AF16" s="143" t="str">
        <f ca="1">OFFSET($R16,0,X$12+(COUNTIF($R16:X16,$C16)))</f>
        <v>PRP</v>
      </c>
      <c r="AG16" s="154" t="b">
        <f t="shared" si="9"/>
        <v>1</v>
      </c>
      <c r="AH16" s="154" t="b">
        <f t="shared" si="10"/>
        <v>1</v>
      </c>
      <c r="AJ16" s="916" t="s">
        <v>96</v>
      </c>
      <c r="AK16" s="916"/>
      <c r="AL16" s="916"/>
    </row>
    <row r="17" spans="1:38" ht="16.350000000000001" customHeight="1" x14ac:dyDescent="0.2">
      <c r="A17" s="983"/>
      <c r="B17" s="985"/>
      <c r="C17" s="595"/>
      <c r="D17" s="986"/>
      <c r="E17" s="1763"/>
      <c r="F17" s="1764"/>
      <c r="G17" s="1765"/>
      <c r="H17" s="1765"/>
      <c r="I17" s="1765"/>
      <c r="J17" s="1765"/>
      <c r="K17" s="1765"/>
      <c r="L17" s="1765"/>
      <c r="M17" s="1765"/>
      <c r="N17" s="1766"/>
      <c r="P17" s="399" t="str">
        <f t="shared" si="0"/>
        <v/>
      </c>
      <c r="R17" s="143" t="str">
        <f t="shared" ca="1" si="1"/>
        <v>WHT</v>
      </c>
      <c r="S17" s="143" t="str">
        <f t="shared" ca="1" si="2"/>
        <v>BRN</v>
      </c>
      <c r="T17" s="143" t="str">
        <f t="shared" ca="1" si="3"/>
        <v>ORG</v>
      </c>
      <c r="U17" s="143" t="str">
        <f t="shared" ca="1" si="4"/>
        <v>BLU</v>
      </c>
      <c r="V17" s="143" t="str">
        <f t="shared" ca="1" si="5"/>
        <v>GRN</v>
      </c>
      <c r="W17" s="143" t="str">
        <f t="shared" ca="1" si="6"/>
        <v>YLW</v>
      </c>
      <c r="X17" s="143" t="str">
        <f t="shared" ca="1" si="7"/>
        <v>PRP</v>
      </c>
      <c r="Y17" s="143" t="str">
        <f t="shared" ca="1" si="8"/>
        <v>RED</v>
      </c>
      <c r="Z17" s="143" t="str">
        <f ca="1">OFFSET($R17,0,R$12+(COUNTIF($R17:R17,$C17)))</f>
        <v>WHT</v>
      </c>
      <c r="AA17" s="143" t="str">
        <f ca="1">OFFSET($R17,0,S$12+(COUNTIF($R17:S17,$C17)))</f>
        <v>BRN</v>
      </c>
      <c r="AB17" s="143" t="str">
        <f ca="1">OFFSET($R17,0,T$12+(COUNTIF($R17:T17,$C17)))</f>
        <v>ORG</v>
      </c>
      <c r="AC17" s="143" t="str">
        <f ca="1">OFFSET($R17,0,U$12+(COUNTIF($R17:U17,$C17)))</f>
        <v>BLU</v>
      </c>
      <c r="AD17" s="143" t="str">
        <f ca="1">OFFSET($R17,0,V$12+(COUNTIF($R17:V17,$C17)))</f>
        <v>GRN</v>
      </c>
      <c r="AE17" s="143" t="str">
        <f ca="1">OFFSET($R17,0,W$12+(COUNTIF($R17:W17,$C17)))</f>
        <v>YLW</v>
      </c>
      <c r="AF17" s="143" t="str">
        <f ca="1">OFFSET($R17,0,X$12+(COUNTIF($R17:X17,$C17)))</f>
        <v>PRP</v>
      </c>
      <c r="AG17" s="154" t="b">
        <f t="shared" si="9"/>
        <v>1</v>
      </c>
      <c r="AH17" s="154" t="b">
        <f t="shared" si="10"/>
        <v>1</v>
      </c>
      <c r="AJ17" s="916" t="s">
        <v>97</v>
      </c>
      <c r="AK17" s="916"/>
      <c r="AL17" s="916"/>
    </row>
    <row r="18" spans="1:38" ht="16.350000000000001" customHeight="1" x14ac:dyDescent="0.2">
      <c r="A18" s="983"/>
      <c r="B18" s="985"/>
      <c r="C18" s="595"/>
      <c r="D18" s="986"/>
      <c r="E18" s="1763"/>
      <c r="F18" s="1764"/>
      <c r="G18" s="1765"/>
      <c r="H18" s="1765"/>
      <c r="I18" s="1765"/>
      <c r="J18" s="1765"/>
      <c r="K18" s="1765"/>
      <c r="L18" s="1765"/>
      <c r="M18" s="1765"/>
      <c r="N18" s="1766"/>
      <c r="P18" s="399" t="str">
        <f t="shared" si="0"/>
        <v/>
      </c>
      <c r="R18" s="143" t="str">
        <f t="shared" ca="1" si="1"/>
        <v>WHT</v>
      </c>
      <c r="S18" s="143" t="str">
        <f t="shared" ca="1" si="2"/>
        <v>BRN</v>
      </c>
      <c r="T18" s="143" t="str">
        <f t="shared" ca="1" si="3"/>
        <v>ORG</v>
      </c>
      <c r="U18" s="143" t="str">
        <f t="shared" ca="1" si="4"/>
        <v>BLU</v>
      </c>
      <c r="V18" s="143" t="str">
        <f t="shared" ca="1" si="5"/>
        <v>GRN</v>
      </c>
      <c r="W18" s="143" t="str">
        <f t="shared" ca="1" si="6"/>
        <v>YLW</v>
      </c>
      <c r="X18" s="143" t="str">
        <f t="shared" ca="1" si="7"/>
        <v>PRP</v>
      </c>
      <c r="Y18" s="143" t="str">
        <f t="shared" ca="1" si="8"/>
        <v>RED</v>
      </c>
      <c r="Z18" s="143" t="str">
        <f ca="1">OFFSET($R18,0,R$12+(COUNTIF($R18:R18,$C18)))</f>
        <v>WHT</v>
      </c>
      <c r="AA18" s="143" t="str">
        <f ca="1">OFFSET($R18,0,S$12+(COUNTIF($R18:S18,$C18)))</f>
        <v>BRN</v>
      </c>
      <c r="AB18" s="143" t="str">
        <f ca="1">OFFSET($R18,0,T$12+(COUNTIF($R18:T18,$C18)))</f>
        <v>ORG</v>
      </c>
      <c r="AC18" s="143" t="str">
        <f ca="1">OFFSET($R18,0,U$12+(COUNTIF($R18:U18,$C18)))</f>
        <v>BLU</v>
      </c>
      <c r="AD18" s="143" t="str">
        <f ca="1">OFFSET($R18,0,V$12+(COUNTIF($R18:V18,$C18)))</f>
        <v>GRN</v>
      </c>
      <c r="AE18" s="143" t="str">
        <f ca="1">OFFSET($R18,0,W$12+(COUNTIF($R18:W18,$C18)))</f>
        <v>YLW</v>
      </c>
      <c r="AF18" s="143" t="str">
        <f ca="1">OFFSET($R18,0,X$12+(COUNTIF($R18:X18,$C18)))</f>
        <v>PRP</v>
      </c>
      <c r="AG18" s="154" t="b">
        <f t="shared" si="9"/>
        <v>1</v>
      </c>
      <c r="AH18" s="154" t="b">
        <f t="shared" si="10"/>
        <v>1</v>
      </c>
      <c r="AJ18" s="916" t="s">
        <v>98</v>
      </c>
      <c r="AK18" s="916"/>
      <c r="AL18" s="916"/>
    </row>
    <row r="19" spans="1:38" ht="16.350000000000001" customHeight="1" x14ac:dyDescent="0.2">
      <c r="A19" s="983"/>
      <c r="B19" s="985"/>
      <c r="C19" s="595"/>
      <c r="D19" s="986"/>
      <c r="E19" s="1763"/>
      <c r="F19" s="1764"/>
      <c r="G19" s="1765"/>
      <c r="H19" s="1765"/>
      <c r="I19" s="1765"/>
      <c r="J19" s="1765"/>
      <c r="K19" s="1765"/>
      <c r="L19" s="1765"/>
      <c r="M19" s="1765"/>
      <c r="N19" s="1766"/>
      <c r="P19" s="399" t="str">
        <f t="shared" si="0"/>
        <v/>
      </c>
      <c r="R19" s="143" t="str">
        <f t="shared" ca="1" si="1"/>
        <v>WHT</v>
      </c>
      <c r="S19" s="143" t="str">
        <f t="shared" ca="1" si="2"/>
        <v>BRN</v>
      </c>
      <c r="T19" s="143" t="str">
        <f t="shared" ca="1" si="3"/>
        <v>ORG</v>
      </c>
      <c r="U19" s="143" t="str">
        <f t="shared" ca="1" si="4"/>
        <v>BLU</v>
      </c>
      <c r="V19" s="143" t="str">
        <f t="shared" ca="1" si="5"/>
        <v>GRN</v>
      </c>
      <c r="W19" s="143" t="str">
        <f t="shared" ca="1" si="6"/>
        <v>YLW</v>
      </c>
      <c r="X19" s="143" t="str">
        <f t="shared" ca="1" si="7"/>
        <v>PRP</v>
      </c>
      <c r="Y19" s="143" t="str">
        <f t="shared" ca="1" si="8"/>
        <v>RED</v>
      </c>
      <c r="Z19" s="143" t="str">
        <f ca="1">OFFSET($R19,0,R$12+(COUNTIF($R19:R19,$C19)))</f>
        <v>WHT</v>
      </c>
      <c r="AA19" s="143" t="str">
        <f ca="1">OFFSET($R19,0,S$12+(COUNTIF($R19:S19,$C19)))</f>
        <v>BRN</v>
      </c>
      <c r="AB19" s="143" t="str">
        <f ca="1">OFFSET($R19,0,T$12+(COUNTIF($R19:T19,$C19)))</f>
        <v>ORG</v>
      </c>
      <c r="AC19" s="143" t="str">
        <f ca="1">OFFSET($R19,0,U$12+(COUNTIF($R19:U19,$C19)))</f>
        <v>BLU</v>
      </c>
      <c r="AD19" s="143" t="str">
        <f ca="1">OFFSET($R19,0,V$12+(COUNTIF($R19:V19,$C19)))</f>
        <v>GRN</v>
      </c>
      <c r="AE19" s="143" t="str">
        <f ca="1">OFFSET($R19,0,W$12+(COUNTIF($R19:W19,$C19)))</f>
        <v>YLW</v>
      </c>
      <c r="AF19" s="143" t="str">
        <f ca="1">OFFSET($R19,0,X$12+(COUNTIF($R19:X19,$C19)))</f>
        <v>PRP</v>
      </c>
      <c r="AG19" s="154" t="b">
        <f t="shared" si="9"/>
        <v>1</v>
      </c>
      <c r="AH19" s="154" t="b">
        <f t="shared" si="10"/>
        <v>1</v>
      </c>
      <c r="AJ19" s="916" t="s">
        <v>99</v>
      </c>
      <c r="AK19" s="916"/>
      <c r="AL19" s="916"/>
    </row>
    <row r="20" spans="1:38" ht="16.350000000000001" customHeight="1" x14ac:dyDescent="0.2">
      <c r="A20" s="983"/>
      <c r="B20" s="985"/>
      <c r="C20" s="595"/>
      <c r="D20" s="986"/>
      <c r="E20" s="1763"/>
      <c r="F20" s="1764"/>
      <c r="G20" s="1765"/>
      <c r="H20" s="1765"/>
      <c r="I20" s="1765"/>
      <c r="J20" s="1765"/>
      <c r="K20" s="1765"/>
      <c r="L20" s="1765"/>
      <c r="M20" s="1765"/>
      <c r="N20" s="1766"/>
      <c r="P20" s="399" t="str">
        <f t="shared" si="0"/>
        <v/>
      </c>
      <c r="R20" s="143" t="str">
        <f t="shared" ca="1" si="1"/>
        <v>WHT</v>
      </c>
      <c r="S20" s="143" t="str">
        <f t="shared" ca="1" si="2"/>
        <v>BRN</v>
      </c>
      <c r="T20" s="143" t="str">
        <f t="shared" ca="1" si="3"/>
        <v>ORG</v>
      </c>
      <c r="U20" s="143" t="str">
        <f t="shared" ca="1" si="4"/>
        <v>BLU</v>
      </c>
      <c r="V20" s="143" t="str">
        <f t="shared" ca="1" si="5"/>
        <v>GRN</v>
      </c>
      <c r="W20" s="143" t="str">
        <f t="shared" ca="1" si="6"/>
        <v>YLW</v>
      </c>
      <c r="X20" s="143" t="str">
        <f t="shared" ca="1" si="7"/>
        <v>PRP</v>
      </c>
      <c r="Y20" s="143" t="str">
        <f t="shared" ca="1" si="8"/>
        <v>RED</v>
      </c>
      <c r="Z20" s="143" t="str">
        <f ca="1">OFFSET($R20,0,R$12+(COUNTIF($R20:R20,$C20)))</f>
        <v>WHT</v>
      </c>
      <c r="AA20" s="143" t="str">
        <f ca="1">OFFSET($R20,0,S$12+(COUNTIF($R20:S20,$C20)))</f>
        <v>BRN</v>
      </c>
      <c r="AB20" s="143" t="str">
        <f ca="1">OFFSET($R20,0,T$12+(COUNTIF($R20:T20,$C20)))</f>
        <v>ORG</v>
      </c>
      <c r="AC20" s="143" t="str">
        <f ca="1">OFFSET($R20,0,U$12+(COUNTIF($R20:U20,$C20)))</f>
        <v>BLU</v>
      </c>
      <c r="AD20" s="143" t="str">
        <f ca="1">OFFSET($R20,0,V$12+(COUNTIF($R20:V20,$C20)))</f>
        <v>GRN</v>
      </c>
      <c r="AE20" s="143" t="str">
        <f ca="1">OFFSET($R20,0,W$12+(COUNTIF($R20:W20,$C20)))</f>
        <v>YLW</v>
      </c>
      <c r="AF20" s="143" t="str">
        <f ca="1">OFFSET($R20,0,X$12+(COUNTIF($R20:X20,$C20)))</f>
        <v>PRP</v>
      </c>
      <c r="AG20" s="154" t="b">
        <f t="shared" si="9"/>
        <v>1</v>
      </c>
      <c r="AH20" s="154" t="b">
        <f t="shared" si="10"/>
        <v>1</v>
      </c>
      <c r="AJ20" s="916" t="s">
        <v>100</v>
      </c>
      <c r="AK20" s="916"/>
      <c r="AL20" s="916"/>
    </row>
    <row r="21" spans="1:38" ht="16.350000000000001" customHeight="1" x14ac:dyDescent="0.2">
      <c r="A21" s="983"/>
      <c r="B21" s="985"/>
      <c r="C21" s="595"/>
      <c r="D21" s="986"/>
      <c r="E21" s="1763"/>
      <c r="F21" s="1764"/>
      <c r="G21" s="1765"/>
      <c r="H21" s="1765"/>
      <c r="I21" s="1765"/>
      <c r="J21" s="1765"/>
      <c r="K21" s="1765"/>
      <c r="L21" s="1765"/>
      <c r="M21" s="1765"/>
      <c r="N21" s="1766"/>
      <c r="P21" s="399" t="str">
        <f t="shared" si="0"/>
        <v/>
      </c>
      <c r="R21" s="143" t="str">
        <f t="shared" ca="1" si="1"/>
        <v>WHT</v>
      </c>
      <c r="S21" s="143" t="str">
        <f t="shared" ca="1" si="2"/>
        <v>BRN</v>
      </c>
      <c r="T21" s="143" t="str">
        <f t="shared" ca="1" si="3"/>
        <v>ORG</v>
      </c>
      <c r="U21" s="143" t="str">
        <f t="shared" ca="1" si="4"/>
        <v>BLU</v>
      </c>
      <c r="V21" s="143" t="str">
        <f t="shared" ca="1" si="5"/>
        <v>GRN</v>
      </c>
      <c r="W21" s="143" t="str">
        <f t="shared" ca="1" si="6"/>
        <v>YLW</v>
      </c>
      <c r="X21" s="143" t="str">
        <f t="shared" ca="1" si="7"/>
        <v>PRP</v>
      </c>
      <c r="Y21" s="143" t="str">
        <f t="shared" ca="1" si="8"/>
        <v>RED</v>
      </c>
      <c r="Z21" s="143" t="str">
        <f ca="1">OFFSET($R21,0,R$12+(COUNTIF($R21:R21,$C21)))</f>
        <v>WHT</v>
      </c>
      <c r="AA21" s="143" t="str">
        <f ca="1">OFFSET($R21,0,S$12+(COUNTIF($R21:S21,$C21)))</f>
        <v>BRN</v>
      </c>
      <c r="AB21" s="143" t="str">
        <f ca="1">OFFSET($R21,0,T$12+(COUNTIF($R21:T21,$C21)))</f>
        <v>ORG</v>
      </c>
      <c r="AC21" s="143" t="str">
        <f ca="1">OFFSET($R21,0,U$12+(COUNTIF($R21:U21,$C21)))</f>
        <v>BLU</v>
      </c>
      <c r="AD21" s="143" t="str">
        <f ca="1">OFFSET($R21,0,V$12+(COUNTIF($R21:V21,$C21)))</f>
        <v>GRN</v>
      </c>
      <c r="AE21" s="143" t="str">
        <f ca="1">OFFSET($R21,0,W$12+(COUNTIF($R21:W21,$C21)))</f>
        <v>YLW</v>
      </c>
      <c r="AF21" s="143" t="str">
        <f ca="1">OFFSET($R21,0,X$12+(COUNTIF($R21:X21,$C21)))</f>
        <v>PRP</v>
      </c>
      <c r="AG21" s="154" t="b">
        <f t="shared" si="9"/>
        <v>1</v>
      </c>
      <c r="AH21" s="154" t="b">
        <f t="shared" si="10"/>
        <v>1</v>
      </c>
      <c r="AJ21" s="916" t="s">
        <v>101</v>
      </c>
      <c r="AK21" s="916"/>
      <c r="AL21" s="916"/>
    </row>
    <row r="22" spans="1:38" ht="16.350000000000001" customHeight="1" x14ac:dyDescent="0.2">
      <c r="A22" s="983"/>
      <c r="B22" s="985"/>
      <c r="C22" s="595"/>
      <c r="D22" s="986"/>
      <c r="E22" s="1763"/>
      <c r="F22" s="1764"/>
      <c r="G22" s="1765"/>
      <c r="H22" s="1765"/>
      <c r="I22" s="1765"/>
      <c r="J22" s="1765"/>
      <c r="K22" s="1765"/>
      <c r="L22" s="1765"/>
      <c r="M22" s="1765"/>
      <c r="N22" s="1766"/>
      <c r="P22" s="399" t="str">
        <f t="shared" si="0"/>
        <v/>
      </c>
      <c r="R22" s="143" t="str">
        <f t="shared" ca="1" si="1"/>
        <v>WHT</v>
      </c>
      <c r="S22" s="143" t="str">
        <f t="shared" ca="1" si="2"/>
        <v>BRN</v>
      </c>
      <c r="T22" s="143" t="str">
        <f t="shared" ca="1" si="3"/>
        <v>ORG</v>
      </c>
      <c r="U22" s="143" t="str">
        <f t="shared" ca="1" si="4"/>
        <v>BLU</v>
      </c>
      <c r="V22" s="143" t="str">
        <f t="shared" ca="1" si="5"/>
        <v>GRN</v>
      </c>
      <c r="W22" s="143" t="str">
        <f t="shared" ca="1" si="6"/>
        <v>YLW</v>
      </c>
      <c r="X22" s="143" t="str">
        <f t="shared" ca="1" si="7"/>
        <v>PRP</v>
      </c>
      <c r="Y22" s="143" t="str">
        <f t="shared" ca="1" si="8"/>
        <v>RED</v>
      </c>
      <c r="Z22" s="143" t="str">
        <f ca="1">OFFSET($R22,0,R$12+(COUNTIF($R22:R22,$C22)))</f>
        <v>WHT</v>
      </c>
      <c r="AA22" s="143" t="str">
        <f ca="1">OFFSET($R22,0,S$12+(COUNTIF($R22:S22,$C22)))</f>
        <v>BRN</v>
      </c>
      <c r="AB22" s="143" t="str">
        <f ca="1">OFFSET($R22,0,T$12+(COUNTIF($R22:T22,$C22)))</f>
        <v>ORG</v>
      </c>
      <c r="AC22" s="143" t="str">
        <f ca="1">OFFSET($R22,0,U$12+(COUNTIF($R22:U22,$C22)))</f>
        <v>BLU</v>
      </c>
      <c r="AD22" s="143" t="str">
        <f ca="1">OFFSET($R22,0,V$12+(COUNTIF($R22:V22,$C22)))</f>
        <v>GRN</v>
      </c>
      <c r="AE22" s="143" t="str">
        <f ca="1">OFFSET($R22,0,W$12+(COUNTIF($R22:W22,$C22)))</f>
        <v>YLW</v>
      </c>
      <c r="AF22" s="143" t="str">
        <f ca="1">OFFSET($R22,0,X$12+(COUNTIF($R22:X22,$C22)))</f>
        <v>PRP</v>
      </c>
      <c r="AG22" s="154" t="b">
        <f t="shared" si="9"/>
        <v>1</v>
      </c>
      <c r="AH22" s="154" t="b">
        <f t="shared" si="10"/>
        <v>1</v>
      </c>
      <c r="AJ22" s="916" t="s">
        <v>93</v>
      </c>
      <c r="AK22" s="916" t="s">
        <v>101</v>
      </c>
      <c r="AL22" s="916"/>
    </row>
    <row r="23" spans="1:38" ht="16.350000000000001" customHeight="1" x14ac:dyDescent="0.2">
      <c r="A23" s="983"/>
      <c r="B23" s="985"/>
      <c r="C23" s="595"/>
      <c r="D23" s="986"/>
      <c r="E23" s="1763"/>
      <c r="F23" s="1764"/>
      <c r="G23" s="1765"/>
      <c r="H23" s="1765"/>
      <c r="I23" s="1765"/>
      <c r="J23" s="1765"/>
      <c r="K23" s="1765"/>
      <c r="L23" s="1765"/>
      <c r="M23" s="1765"/>
      <c r="N23" s="1766"/>
      <c r="P23" s="399" t="str">
        <f t="shared" si="0"/>
        <v/>
      </c>
      <c r="R23" s="143" t="str">
        <f t="shared" ca="1" si="1"/>
        <v>WHT</v>
      </c>
      <c r="S23" s="143" t="str">
        <f t="shared" ca="1" si="2"/>
        <v>BRN</v>
      </c>
      <c r="T23" s="143" t="str">
        <f t="shared" ca="1" si="3"/>
        <v>ORG</v>
      </c>
      <c r="U23" s="143" t="str">
        <f t="shared" ca="1" si="4"/>
        <v>BLU</v>
      </c>
      <c r="V23" s="143" t="str">
        <f t="shared" ca="1" si="5"/>
        <v>GRN</v>
      </c>
      <c r="W23" s="143" t="str">
        <f t="shared" ca="1" si="6"/>
        <v>YLW</v>
      </c>
      <c r="X23" s="143" t="str">
        <f t="shared" ca="1" si="7"/>
        <v>PRP</v>
      </c>
      <c r="Y23" s="143" t="str">
        <f t="shared" ca="1" si="8"/>
        <v>RED</v>
      </c>
      <c r="Z23" s="143" t="str">
        <f ca="1">OFFSET($R23,0,R$12+(COUNTIF($R23:R23,$C23)))</f>
        <v>WHT</v>
      </c>
      <c r="AA23" s="143" t="str">
        <f ca="1">OFFSET($R23,0,S$12+(COUNTIF($R23:S23,$C23)))</f>
        <v>BRN</v>
      </c>
      <c r="AB23" s="143" t="str">
        <f ca="1">OFFSET($R23,0,T$12+(COUNTIF($R23:T23,$C23)))</f>
        <v>ORG</v>
      </c>
      <c r="AC23" s="143" t="str">
        <f ca="1">OFFSET($R23,0,U$12+(COUNTIF($R23:U23,$C23)))</f>
        <v>BLU</v>
      </c>
      <c r="AD23" s="143" t="str">
        <f ca="1">OFFSET($R23,0,V$12+(COUNTIF($R23:V23,$C23)))</f>
        <v>GRN</v>
      </c>
      <c r="AE23" s="143" t="str">
        <f ca="1">OFFSET($R23,0,W$12+(COUNTIF($R23:W23,$C23)))</f>
        <v>YLW</v>
      </c>
      <c r="AF23" s="143" t="str">
        <f ca="1">OFFSET($R23,0,X$12+(COUNTIF($R23:X23,$C23)))</f>
        <v>PRP</v>
      </c>
      <c r="AG23" s="154" t="b">
        <f t="shared" si="9"/>
        <v>1</v>
      </c>
      <c r="AH23" s="154" t="b">
        <f t="shared" si="10"/>
        <v>1</v>
      </c>
      <c r="AJ23" s="916" t="s">
        <v>94</v>
      </c>
      <c r="AK23" s="916" t="s">
        <v>100</v>
      </c>
      <c r="AL23" s="916"/>
    </row>
    <row r="24" spans="1:38" ht="16.350000000000001" customHeight="1" x14ac:dyDescent="0.2">
      <c r="A24" s="983"/>
      <c r="B24" s="985"/>
      <c r="C24" s="595"/>
      <c r="D24" s="986"/>
      <c r="E24" s="1763"/>
      <c r="F24" s="1764"/>
      <c r="G24" s="1765"/>
      <c r="H24" s="1765"/>
      <c r="I24" s="1765"/>
      <c r="J24" s="1765"/>
      <c r="K24" s="1765"/>
      <c r="L24" s="1765"/>
      <c r="M24" s="1765"/>
      <c r="N24" s="1766"/>
      <c r="P24" s="399" t="str">
        <f t="shared" si="0"/>
        <v/>
      </c>
      <c r="R24" s="143" t="str">
        <f t="shared" ca="1" si="1"/>
        <v>WHT</v>
      </c>
      <c r="S24" s="143" t="str">
        <f t="shared" ca="1" si="2"/>
        <v>BRN</v>
      </c>
      <c r="T24" s="143" t="str">
        <f t="shared" ca="1" si="3"/>
        <v>ORG</v>
      </c>
      <c r="U24" s="143" t="str">
        <f t="shared" ca="1" si="4"/>
        <v>BLU</v>
      </c>
      <c r="V24" s="143" t="str">
        <f t="shared" ca="1" si="5"/>
        <v>GRN</v>
      </c>
      <c r="W24" s="143" t="str">
        <f t="shared" ca="1" si="6"/>
        <v>YLW</v>
      </c>
      <c r="X24" s="143" t="str">
        <f t="shared" ca="1" si="7"/>
        <v>PRP</v>
      </c>
      <c r="Y24" s="143" t="str">
        <f t="shared" ca="1" si="8"/>
        <v>RED</v>
      </c>
      <c r="Z24" s="143" t="str">
        <f ca="1">OFFSET($R24,0,R$12+(COUNTIF($R24:R24,$C24)))</f>
        <v>WHT</v>
      </c>
      <c r="AA24" s="143" t="str">
        <f ca="1">OFFSET($R24,0,S$12+(COUNTIF($R24:S24,$C24)))</f>
        <v>BRN</v>
      </c>
      <c r="AB24" s="143" t="str">
        <f ca="1">OFFSET($R24,0,T$12+(COUNTIF($R24:T24,$C24)))</f>
        <v>ORG</v>
      </c>
      <c r="AC24" s="143" t="str">
        <f ca="1">OFFSET($R24,0,U$12+(COUNTIF($R24:U24,$C24)))</f>
        <v>BLU</v>
      </c>
      <c r="AD24" s="143" t="str">
        <f ca="1">OFFSET($R24,0,V$12+(COUNTIF($R24:V24,$C24)))</f>
        <v>GRN</v>
      </c>
      <c r="AE24" s="143" t="str">
        <f ca="1">OFFSET($R24,0,W$12+(COUNTIF($R24:W24,$C24)))</f>
        <v>YLW</v>
      </c>
      <c r="AF24" s="143" t="str">
        <f ca="1">OFFSET($R24,0,X$12+(COUNTIF($R24:X24,$C24)))</f>
        <v>PRP</v>
      </c>
      <c r="AG24" s="154" t="b">
        <f t="shared" si="9"/>
        <v>1</v>
      </c>
      <c r="AH24" s="154" t="b">
        <f t="shared" si="10"/>
        <v>1</v>
      </c>
      <c r="AJ24" s="916" t="s">
        <v>95</v>
      </c>
      <c r="AK24" s="916" t="s">
        <v>99</v>
      </c>
      <c r="AL24" s="916"/>
    </row>
    <row r="25" spans="1:38" ht="16.350000000000001" customHeight="1" x14ac:dyDescent="0.2">
      <c r="A25" s="983"/>
      <c r="B25" s="985"/>
      <c r="C25" s="595"/>
      <c r="D25" s="986"/>
      <c r="E25" s="1763"/>
      <c r="F25" s="1764"/>
      <c r="G25" s="1765"/>
      <c r="H25" s="1765"/>
      <c r="I25" s="1765"/>
      <c r="J25" s="1765"/>
      <c r="K25" s="1765"/>
      <c r="L25" s="1765"/>
      <c r="M25" s="1765"/>
      <c r="N25" s="1766"/>
      <c r="P25" s="399" t="str">
        <f t="shared" si="0"/>
        <v/>
      </c>
      <c r="R25" s="143" t="str">
        <f t="shared" ca="1" si="1"/>
        <v>WHT</v>
      </c>
      <c r="S25" s="143" t="str">
        <f t="shared" ca="1" si="2"/>
        <v>BRN</v>
      </c>
      <c r="T25" s="143" t="str">
        <f t="shared" ca="1" si="3"/>
        <v>ORG</v>
      </c>
      <c r="U25" s="143" t="str">
        <f t="shared" ca="1" si="4"/>
        <v>BLU</v>
      </c>
      <c r="V25" s="143" t="str">
        <f t="shared" ca="1" si="5"/>
        <v>GRN</v>
      </c>
      <c r="W25" s="143" t="str">
        <f t="shared" ca="1" si="6"/>
        <v>YLW</v>
      </c>
      <c r="X25" s="143" t="str">
        <f t="shared" ca="1" si="7"/>
        <v>PRP</v>
      </c>
      <c r="Y25" s="143" t="str">
        <f t="shared" ca="1" si="8"/>
        <v>RED</v>
      </c>
      <c r="Z25" s="143" t="str">
        <f ca="1">OFFSET($R25,0,R$12+(COUNTIF($R25:R25,$C25)))</f>
        <v>WHT</v>
      </c>
      <c r="AA25" s="143" t="str">
        <f ca="1">OFFSET($R25,0,S$12+(COUNTIF($R25:S25,$C25)))</f>
        <v>BRN</v>
      </c>
      <c r="AB25" s="143" t="str">
        <f ca="1">OFFSET($R25,0,T$12+(COUNTIF($R25:T25,$C25)))</f>
        <v>ORG</v>
      </c>
      <c r="AC25" s="143" t="str">
        <f ca="1">OFFSET($R25,0,U$12+(COUNTIF($R25:U25,$C25)))</f>
        <v>BLU</v>
      </c>
      <c r="AD25" s="143" t="str">
        <f ca="1">OFFSET($R25,0,V$12+(COUNTIF($R25:V25,$C25)))</f>
        <v>GRN</v>
      </c>
      <c r="AE25" s="143" t="str">
        <f ca="1">OFFSET($R25,0,W$12+(COUNTIF($R25:W25,$C25)))</f>
        <v>YLW</v>
      </c>
      <c r="AF25" s="143" t="str">
        <f ca="1">OFFSET($R25,0,X$12+(COUNTIF($R25:X25,$C25)))</f>
        <v>PRP</v>
      </c>
      <c r="AG25" s="154" t="b">
        <f t="shared" si="9"/>
        <v>1</v>
      </c>
      <c r="AH25" s="154" t="b">
        <f t="shared" si="10"/>
        <v>1</v>
      </c>
      <c r="AJ25" s="916" t="s">
        <v>96</v>
      </c>
      <c r="AK25" s="916" t="s">
        <v>98</v>
      </c>
      <c r="AL25" s="916"/>
    </row>
    <row r="26" spans="1:38" ht="16.350000000000001" customHeight="1" x14ac:dyDescent="0.2">
      <c r="A26" s="983"/>
      <c r="B26" s="985"/>
      <c r="C26" s="595"/>
      <c r="D26" s="986"/>
      <c r="E26" s="1763"/>
      <c r="F26" s="1764"/>
      <c r="G26" s="1765"/>
      <c r="H26" s="1765"/>
      <c r="I26" s="1765"/>
      <c r="J26" s="1765"/>
      <c r="K26" s="1765"/>
      <c r="L26" s="1765"/>
      <c r="M26" s="1765"/>
      <c r="N26" s="1766"/>
      <c r="P26" s="399" t="str">
        <f t="shared" si="0"/>
        <v/>
      </c>
      <c r="R26" s="143" t="str">
        <f t="shared" ca="1" si="1"/>
        <v>WHT</v>
      </c>
      <c r="S26" s="143" t="str">
        <f t="shared" ca="1" si="2"/>
        <v>BRN</v>
      </c>
      <c r="T26" s="143" t="str">
        <f t="shared" ca="1" si="3"/>
        <v>ORG</v>
      </c>
      <c r="U26" s="143" t="str">
        <f t="shared" ca="1" si="4"/>
        <v>BLU</v>
      </c>
      <c r="V26" s="143" t="str">
        <f t="shared" ca="1" si="5"/>
        <v>GRN</v>
      </c>
      <c r="W26" s="143" t="str">
        <f t="shared" ca="1" si="6"/>
        <v>YLW</v>
      </c>
      <c r="X26" s="143" t="str">
        <f t="shared" ca="1" si="7"/>
        <v>PRP</v>
      </c>
      <c r="Y26" s="143" t="str">
        <f t="shared" ca="1" si="8"/>
        <v>RED</v>
      </c>
      <c r="Z26" s="143" t="str">
        <f ca="1">OFFSET($R26,0,R$12+(COUNTIF($R26:R26,$C26)))</f>
        <v>WHT</v>
      </c>
      <c r="AA26" s="143" t="str">
        <f ca="1">OFFSET($R26,0,S$12+(COUNTIF($R26:S26,$C26)))</f>
        <v>BRN</v>
      </c>
      <c r="AB26" s="143" t="str">
        <f ca="1">OFFSET($R26,0,T$12+(COUNTIF($R26:T26,$C26)))</f>
        <v>ORG</v>
      </c>
      <c r="AC26" s="143" t="str">
        <f ca="1">OFFSET($R26,0,U$12+(COUNTIF($R26:U26,$C26)))</f>
        <v>BLU</v>
      </c>
      <c r="AD26" s="143" t="str">
        <f ca="1">OFFSET($R26,0,V$12+(COUNTIF($R26:V26,$C26)))</f>
        <v>GRN</v>
      </c>
      <c r="AE26" s="143" t="str">
        <f ca="1">OFFSET($R26,0,W$12+(COUNTIF($R26:W26,$C26)))</f>
        <v>YLW</v>
      </c>
      <c r="AF26" s="143" t="str">
        <f ca="1">OFFSET($R26,0,X$12+(COUNTIF($R26:X26,$C26)))</f>
        <v>PRP</v>
      </c>
      <c r="AG26" s="154" t="b">
        <f t="shared" ref="AG26:AG48" si="11">ISBLANK(B26)</f>
        <v>1</v>
      </c>
      <c r="AH26" s="154" t="b">
        <f t="shared" ref="AH26:AH48" si="12">ISBLANK(C26)</f>
        <v>1</v>
      </c>
      <c r="AJ26" s="916" t="s">
        <v>97</v>
      </c>
      <c r="AK26" s="916" t="s">
        <v>699</v>
      </c>
      <c r="AL26" s="916"/>
    </row>
    <row r="27" spans="1:38" ht="16.350000000000001" customHeight="1" x14ac:dyDescent="0.2">
      <c r="A27" s="983"/>
      <c r="B27" s="985"/>
      <c r="C27" s="595"/>
      <c r="D27" s="986"/>
      <c r="E27" s="1763"/>
      <c r="F27" s="1764"/>
      <c r="G27" s="1765"/>
      <c r="H27" s="1765"/>
      <c r="I27" s="1765"/>
      <c r="J27" s="1765"/>
      <c r="K27" s="1765"/>
      <c r="L27" s="1765"/>
      <c r="M27" s="1765"/>
      <c r="N27" s="1766"/>
      <c r="P27" s="399" t="str">
        <f t="shared" si="0"/>
        <v/>
      </c>
      <c r="R27" s="143" t="str">
        <f t="shared" ca="1" si="1"/>
        <v>WHT</v>
      </c>
      <c r="S27" s="143" t="str">
        <f t="shared" ca="1" si="2"/>
        <v>BRN</v>
      </c>
      <c r="T27" s="143" t="str">
        <f t="shared" ca="1" si="3"/>
        <v>ORG</v>
      </c>
      <c r="U27" s="143" t="str">
        <f t="shared" ca="1" si="4"/>
        <v>BLU</v>
      </c>
      <c r="V27" s="143" t="str">
        <f t="shared" ca="1" si="5"/>
        <v>GRN</v>
      </c>
      <c r="W27" s="143" t="str">
        <f t="shared" ca="1" si="6"/>
        <v>YLW</v>
      </c>
      <c r="X27" s="143" t="str">
        <f t="shared" ca="1" si="7"/>
        <v>PRP</v>
      </c>
      <c r="Y27" s="143" t="str">
        <f t="shared" ca="1" si="8"/>
        <v>RED</v>
      </c>
      <c r="Z27" s="143" t="str">
        <f ca="1">OFFSET($R27,0,R$12+(COUNTIF($R27:R27,$C27)))</f>
        <v>WHT</v>
      </c>
      <c r="AA27" s="143" t="str">
        <f ca="1">OFFSET($R27,0,S$12+(COUNTIF($R27:S27,$C27)))</f>
        <v>BRN</v>
      </c>
      <c r="AB27" s="143" t="str">
        <f ca="1">OFFSET($R27,0,T$12+(COUNTIF($R27:T27,$C27)))</f>
        <v>ORG</v>
      </c>
      <c r="AC27" s="143" t="str">
        <f ca="1">OFFSET($R27,0,U$12+(COUNTIF($R27:U27,$C27)))</f>
        <v>BLU</v>
      </c>
      <c r="AD27" s="143" t="str">
        <f ca="1">OFFSET($R27,0,V$12+(COUNTIF($R27:V27,$C27)))</f>
        <v>GRN</v>
      </c>
      <c r="AE27" s="143" t="str">
        <f ca="1">OFFSET($R27,0,W$12+(COUNTIF($R27:W27,$C27)))</f>
        <v>YLW</v>
      </c>
      <c r="AF27" s="143" t="str">
        <f ca="1">OFFSET($R27,0,X$12+(COUNTIF($R27:X27,$C27)))</f>
        <v>PRP</v>
      </c>
      <c r="AG27" s="154" t="b">
        <f t="shared" si="11"/>
        <v>1</v>
      </c>
      <c r="AH27" s="154" t="b">
        <f t="shared" si="12"/>
        <v>1</v>
      </c>
      <c r="AJ27" s="916" t="s">
        <v>94</v>
      </c>
      <c r="AK27" s="916" t="s">
        <v>101</v>
      </c>
      <c r="AL27" s="916"/>
    </row>
    <row r="28" spans="1:38" ht="16.350000000000001" customHeight="1" x14ac:dyDescent="0.2">
      <c r="A28" s="983"/>
      <c r="B28" s="985"/>
      <c r="C28" s="595"/>
      <c r="D28" s="986"/>
      <c r="E28" s="1784"/>
      <c r="F28" s="1785"/>
      <c r="G28" s="1785"/>
      <c r="H28" s="1785"/>
      <c r="I28" s="1785"/>
      <c r="J28" s="1785"/>
      <c r="K28" s="1785"/>
      <c r="L28" s="1785"/>
      <c r="M28" s="1785"/>
      <c r="N28" s="1786"/>
      <c r="P28" s="399" t="str">
        <f t="shared" si="0"/>
        <v/>
      </c>
      <c r="R28" s="143" t="str">
        <f t="shared" ca="1" si="1"/>
        <v>WHT</v>
      </c>
      <c r="S28" s="143" t="str">
        <f t="shared" ca="1" si="2"/>
        <v>BRN</v>
      </c>
      <c r="T28" s="143" t="str">
        <f t="shared" ca="1" si="3"/>
        <v>ORG</v>
      </c>
      <c r="U28" s="143" t="str">
        <f t="shared" ca="1" si="4"/>
        <v>BLU</v>
      </c>
      <c r="V28" s="143" t="str">
        <f t="shared" ca="1" si="5"/>
        <v>GRN</v>
      </c>
      <c r="W28" s="143" t="str">
        <f t="shared" ca="1" si="6"/>
        <v>YLW</v>
      </c>
      <c r="X28" s="143" t="str">
        <f t="shared" ca="1" si="7"/>
        <v>PRP</v>
      </c>
      <c r="Y28" s="143" t="str">
        <f t="shared" ca="1" si="8"/>
        <v>RED</v>
      </c>
      <c r="Z28" s="143" t="str">
        <f ca="1">OFFSET($R28,0,R$12+(COUNTIF($R28:R28,$C28)))</f>
        <v>WHT</v>
      </c>
      <c r="AA28" s="143" t="str">
        <f ca="1">OFFSET($R28,0,S$12+(COUNTIF($R28:S28,$C28)))</f>
        <v>BRN</v>
      </c>
      <c r="AB28" s="143" t="str">
        <f ca="1">OFFSET($R28,0,T$12+(COUNTIF($R28:T28,$C28)))</f>
        <v>ORG</v>
      </c>
      <c r="AC28" s="143" t="str">
        <f ca="1">OFFSET($R28,0,U$12+(COUNTIF($R28:U28,$C28)))</f>
        <v>BLU</v>
      </c>
      <c r="AD28" s="143" t="str">
        <f ca="1">OFFSET($R28,0,V$12+(COUNTIF($R28:V28,$C28)))</f>
        <v>GRN</v>
      </c>
      <c r="AE28" s="143" t="str">
        <f ca="1">OFFSET($R28,0,W$12+(COUNTIF($R28:W28,$C28)))</f>
        <v>YLW</v>
      </c>
      <c r="AF28" s="143" t="str">
        <f ca="1">OFFSET($R28,0,X$12+(COUNTIF($R28:X28,$C28)))</f>
        <v>PRP</v>
      </c>
      <c r="AG28" s="154" t="b">
        <f t="shared" si="11"/>
        <v>1</v>
      </c>
      <c r="AH28" s="154" t="b">
        <f t="shared" si="12"/>
        <v>1</v>
      </c>
      <c r="AJ28" s="916" t="s">
        <v>95</v>
      </c>
      <c r="AK28" s="916" t="s">
        <v>100</v>
      </c>
      <c r="AL28" s="916"/>
    </row>
    <row r="29" spans="1:38" ht="16.350000000000001" customHeight="1" x14ac:dyDescent="0.2">
      <c r="A29" s="983"/>
      <c r="B29" s="985"/>
      <c r="C29" s="595"/>
      <c r="D29" s="986"/>
      <c r="E29" s="1784"/>
      <c r="F29" s="1785"/>
      <c r="G29" s="1785"/>
      <c r="H29" s="1785"/>
      <c r="I29" s="1785"/>
      <c r="J29" s="1785"/>
      <c r="K29" s="1785"/>
      <c r="L29" s="1785"/>
      <c r="M29" s="1785"/>
      <c r="N29" s="1786"/>
      <c r="P29" s="399" t="str">
        <f t="shared" si="0"/>
        <v/>
      </c>
      <c r="R29" s="143" t="str">
        <f t="shared" ca="1" si="1"/>
        <v>WHT</v>
      </c>
      <c r="S29" s="143" t="str">
        <f t="shared" ca="1" si="2"/>
        <v>BRN</v>
      </c>
      <c r="T29" s="143" t="str">
        <f t="shared" ca="1" si="3"/>
        <v>ORG</v>
      </c>
      <c r="U29" s="143" t="str">
        <f t="shared" ca="1" si="4"/>
        <v>BLU</v>
      </c>
      <c r="V29" s="143" t="str">
        <f t="shared" ca="1" si="5"/>
        <v>GRN</v>
      </c>
      <c r="W29" s="143" t="str">
        <f t="shared" ca="1" si="6"/>
        <v>YLW</v>
      </c>
      <c r="X29" s="143" t="str">
        <f t="shared" ca="1" si="7"/>
        <v>PRP</v>
      </c>
      <c r="Y29" s="143" t="str">
        <f t="shared" ca="1" si="8"/>
        <v>RED</v>
      </c>
      <c r="Z29" s="143" t="str">
        <f ca="1">OFFSET($R29,0,R$12+(COUNTIF($R29:R29,$C29)))</f>
        <v>WHT</v>
      </c>
      <c r="AA29" s="143" t="str">
        <f ca="1">OFFSET($R29,0,S$12+(COUNTIF($R29:S29,$C29)))</f>
        <v>BRN</v>
      </c>
      <c r="AB29" s="143" t="str">
        <f ca="1">OFFSET($R29,0,T$12+(COUNTIF($R29:T29,$C29)))</f>
        <v>ORG</v>
      </c>
      <c r="AC29" s="143" t="str">
        <f ca="1">OFFSET($R29,0,U$12+(COUNTIF($R29:U29,$C29)))</f>
        <v>BLU</v>
      </c>
      <c r="AD29" s="143" t="str">
        <f ca="1">OFFSET($R29,0,V$12+(COUNTIF($R29:V29,$C29)))</f>
        <v>GRN</v>
      </c>
      <c r="AE29" s="143" t="str">
        <f ca="1">OFFSET($R29,0,W$12+(COUNTIF($R29:W29,$C29)))</f>
        <v>YLW</v>
      </c>
      <c r="AF29" s="143" t="str">
        <f ca="1">OFFSET($R29,0,X$12+(COUNTIF($R29:X29,$C29)))</f>
        <v>PRP</v>
      </c>
      <c r="AG29" s="154" t="b">
        <f t="shared" si="11"/>
        <v>1</v>
      </c>
      <c r="AH29" s="154" t="b">
        <f t="shared" si="12"/>
        <v>1</v>
      </c>
      <c r="AJ29" s="916" t="s">
        <v>96</v>
      </c>
      <c r="AK29" s="916" t="s">
        <v>99</v>
      </c>
      <c r="AL29" s="916"/>
    </row>
    <row r="30" spans="1:38" ht="16.350000000000001" customHeight="1" x14ac:dyDescent="0.2">
      <c r="A30" s="983"/>
      <c r="B30" s="985"/>
      <c r="C30" s="595"/>
      <c r="D30" s="986"/>
      <c r="E30" s="1784"/>
      <c r="F30" s="1785"/>
      <c r="G30" s="1785"/>
      <c r="H30" s="1785"/>
      <c r="I30" s="1785"/>
      <c r="J30" s="1785"/>
      <c r="K30" s="1785"/>
      <c r="L30" s="1785"/>
      <c r="M30" s="1785"/>
      <c r="N30" s="1786"/>
      <c r="P30" s="399" t="str">
        <f t="shared" si="0"/>
        <v/>
      </c>
      <c r="R30" s="143" t="str">
        <f t="shared" ca="1" si="1"/>
        <v>WHT</v>
      </c>
      <c r="S30" s="143" t="str">
        <f t="shared" ca="1" si="2"/>
        <v>BRN</v>
      </c>
      <c r="T30" s="143" t="str">
        <f t="shared" ca="1" si="3"/>
        <v>ORG</v>
      </c>
      <c r="U30" s="143" t="str">
        <f t="shared" ca="1" si="4"/>
        <v>BLU</v>
      </c>
      <c r="V30" s="143" t="str">
        <f t="shared" ca="1" si="5"/>
        <v>GRN</v>
      </c>
      <c r="W30" s="143" t="str">
        <f t="shared" ca="1" si="6"/>
        <v>YLW</v>
      </c>
      <c r="X30" s="143" t="str">
        <f t="shared" ca="1" si="7"/>
        <v>PRP</v>
      </c>
      <c r="Y30" s="143" t="str">
        <f t="shared" ca="1" si="8"/>
        <v>RED</v>
      </c>
      <c r="Z30" s="143" t="str">
        <f ca="1">OFFSET($R30,0,R$12+(COUNTIF($R30:R30,$C30)))</f>
        <v>WHT</v>
      </c>
      <c r="AA30" s="143" t="str">
        <f ca="1">OFFSET($R30,0,S$12+(COUNTIF($R30:S30,$C30)))</f>
        <v>BRN</v>
      </c>
      <c r="AB30" s="143" t="str">
        <f ca="1">OFFSET($R30,0,T$12+(COUNTIF($R30:T30,$C30)))</f>
        <v>ORG</v>
      </c>
      <c r="AC30" s="143" t="str">
        <f ca="1">OFFSET($R30,0,U$12+(COUNTIF($R30:U30,$C30)))</f>
        <v>BLU</v>
      </c>
      <c r="AD30" s="143" t="str">
        <f ca="1">OFFSET($R30,0,V$12+(COUNTIF($R30:V30,$C30)))</f>
        <v>GRN</v>
      </c>
      <c r="AE30" s="143" t="str">
        <f ca="1">OFFSET($R30,0,W$12+(COUNTIF($R30:W30,$C30)))</f>
        <v>YLW</v>
      </c>
      <c r="AF30" s="143" t="str">
        <f ca="1">OFFSET($R30,0,X$12+(COUNTIF($R30:X30,$C30)))</f>
        <v>PRP</v>
      </c>
      <c r="AG30" s="154" t="b">
        <f t="shared" si="11"/>
        <v>1</v>
      </c>
      <c r="AH30" s="154" t="b">
        <f t="shared" si="12"/>
        <v>1</v>
      </c>
      <c r="AJ30" s="916" t="s">
        <v>97</v>
      </c>
      <c r="AK30" s="916" t="s">
        <v>98</v>
      </c>
      <c r="AL30" s="916"/>
    </row>
    <row r="31" spans="1:38" ht="16.350000000000001" customHeight="1" x14ac:dyDescent="0.2">
      <c r="A31" s="983"/>
      <c r="B31" s="985"/>
      <c r="C31" s="595"/>
      <c r="D31" s="986"/>
      <c r="E31" s="1784"/>
      <c r="F31" s="1785"/>
      <c r="G31" s="1785"/>
      <c r="H31" s="1785"/>
      <c r="I31" s="1785"/>
      <c r="J31" s="1785"/>
      <c r="K31" s="1785"/>
      <c r="L31" s="1785"/>
      <c r="M31" s="1785"/>
      <c r="N31" s="1786"/>
      <c r="P31" s="399" t="str">
        <f t="shared" si="0"/>
        <v/>
      </c>
      <c r="R31" s="143" t="str">
        <f t="shared" ca="1" si="1"/>
        <v>WHT</v>
      </c>
      <c r="S31" s="143" t="str">
        <f t="shared" ca="1" si="2"/>
        <v>BRN</v>
      </c>
      <c r="T31" s="143" t="str">
        <f t="shared" ca="1" si="3"/>
        <v>ORG</v>
      </c>
      <c r="U31" s="143" t="str">
        <f t="shared" ca="1" si="4"/>
        <v>BLU</v>
      </c>
      <c r="V31" s="143" t="str">
        <f t="shared" ca="1" si="5"/>
        <v>GRN</v>
      </c>
      <c r="W31" s="143" t="str">
        <f t="shared" ca="1" si="6"/>
        <v>YLW</v>
      </c>
      <c r="X31" s="143" t="str">
        <f t="shared" ca="1" si="7"/>
        <v>PRP</v>
      </c>
      <c r="Y31" s="143" t="str">
        <f t="shared" ca="1" si="8"/>
        <v>RED</v>
      </c>
      <c r="Z31" s="143" t="str">
        <f ca="1">OFFSET($R31,0,R$12+(COUNTIF($R31:R31,$C31)))</f>
        <v>WHT</v>
      </c>
      <c r="AA31" s="143" t="str">
        <f ca="1">OFFSET($R31,0,S$12+(COUNTIF($R31:S31,$C31)))</f>
        <v>BRN</v>
      </c>
      <c r="AB31" s="143" t="str">
        <f ca="1">OFFSET($R31,0,T$12+(COUNTIF($R31:T31,$C31)))</f>
        <v>ORG</v>
      </c>
      <c r="AC31" s="143" t="str">
        <f ca="1">OFFSET($R31,0,U$12+(COUNTIF($R31:U31,$C31)))</f>
        <v>BLU</v>
      </c>
      <c r="AD31" s="143" t="str">
        <f ca="1">OFFSET($R31,0,V$12+(COUNTIF($R31:V31,$C31)))</f>
        <v>GRN</v>
      </c>
      <c r="AE31" s="143" t="str">
        <f ca="1">OFFSET($R31,0,W$12+(COUNTIF($R31:W31,$C31)))</f>
        <v>YLW</v>
      </c>
      <c r="AF31" s="143" t="str">
        <f ca="1">OFFSET($R31,0,X$12+(COUNTIF($R31:X31,$C31)))</f>
        <v>PRP</v>
      </c>
      <c r="AG31" s="154" t="b">
        <f t="shared" si="11"/>
        <v>1</v>
      </c>
      <c r="AH31" s="154" t="b">
        <f t="shared" si="12"/>
        <v>1</v>
      </c>
      <c r="AJ31" s="916" t="s">
        <v>93</v>
      </c>
      <c r="AK31" s="916" t="s">
        <v>94</v>
      </c>
      <c r="AL31" s="916"/>
    </row>
    <row r="32" spans="1:38" ht="16.350000000000001" customHeight="1" x14ac:dyDescent="0.2">
      <c r="A32" s="983"/>
      <c r="B32" s="985"/>
      <c r="C32" s="595"/>
      <c r="D32" s="986"/>
      <c r="E32" s="1784"/>
      <c r="F32" s="1785"/>
      <c r="G32" s="1785"/>
      <c r="H32" s="1785"/>
      <c r="I32" s="1785"/>
      <c r="J32" s="1785"/>
      <c r="K32" s="1785"/>
      <c r="L32" s="1785"/>
      <c r="M32" s="1785"/>
      <c r="N32" s="1786"/>
      <c r="P32" s="399" t="str">
        <f t="shared" si="0"/>
        <v/>
      </c>
      <c r="R32" s="143" t="str">
        <f t="shared" ca="1" si="1"/>
        <v>WHT</v>
      </c>
      <c r="S32" s="143" t="str">
        <f t="shared" ca="1" si="2"/>
        <v>BRN</v>
      </c>
      <c r="T32" s="143" t="str">
        <f t="shared" ca="1" si="3"/>
        <v>ORG</v>
      </c>
      <c r="U32" s="143" t="str">
        <f t="shared" ca="1" si="4"/>
        <v>BLU</v>
      </c>
      <c r="V32" s="143" t="str">
        <f t="shared" ca="1" si="5"/>
        <v>GRN</v>
      </c>
      <c r="W32" s="143" t="str">
        <f t="shared" ca="1" si="6"/>
        <v>YLW</v>
      </c>
      <c r="X32" s="143" t="str">
        <f t="shared" ca="1" si="7"/>
        <v>PRP</v>
      </c>
      <c r="Y32" s="143" t="str">
        <f t="shared" ca="1" si="8"/>
        <v>RED</v>
      </c>
      <c r="Z32" s="143" t="str">
        <f ca="1">OFFSET($R32,0,R$12+(COUNTIF($R32:R32,$C32)))</f>
        <v>WHT</v>
      </c>
      <c r="AA32" s="143" t="str">
        <f ca="1">OFFSET($R32,0,S$12+(COUNTIF($R32:S32,$C32)))</f>
        <v>BRN</v>
      </c>
      <c r="AB32" s="143" t="str">
        <f ca="1">OFFSET($R32,0,T$12+(COUNTIF($R32:T32,$C32)))</f>
        <v>ORG</v>
      </c>
      <c r="AC32" s="143" t="str">
        <f ca="1">OFFSET($R32,0,U$12+(COUNTIF($R32:U32,$C32)))</f>
        <v>BLU</v>
      </c>
      <c r="AD32" s="143" t="str">
        <f ca="1">OFFSET($R32,0,V$12+(COUNTIF($R32:V32,$C32)))</f>
        <v>GRN</v>
      </c>
      <c r="AE32" s="143" t="str">
        <f ca="1">OFFSET($R32,0,W$12+(COUNTIF($R32:W32,$C32)))</f>
        <v>YLW</v>
      </c>
      <c r="AF32" s="143" t="str">
        <f ca="1">OFFSET($R32,0,X$12+(COUNTIF($R32:X32,$C32)))</f>
        <v>PRP</v>
      </c>
      <c r="AG32" s="154" t="b">
        <f t="shared" si="11"/>
        <v>1</v>
      </c>
      <c r="AH32" s="154" t="b">
        <f t="shared" si="12"/>
        <v>1</v>
      </c>
      <c r="AJ32" s="916" t="s">
        <v>95</v>
      </c>
      <c r="AK32" s="916" t="s">
        <v>96</v>
      </c>
      <c r="AL32" s="916"/>
    </row>
    <row r="33" spans="1:38" ht="16.350000000000001" customHeight="1" x14ac:dyDescent="0.2">
      <c r="A33" s="983"/>
      <c r="B33" s="985"/>
      <c r="C33" s="595"/>
      <c r="D33" s="986"/>
      <c r="E33" s="1784"/>
      <c r="F33" s="1785"/>
      <c r="G33" s="1785"/>
      <c r="H33" s="1785"/>
      <c r="I33" s="1785"/>
      <c r="J33" s="1785"/>
      <c r="K33" s="1785"/>
      <c r="L33" s="1785"/>
      <c r="M33" s="1785"/>
      <c r="N33" s="1786"/>
      <c r="P33" s="399" t="str">
        <f t="shared" si="0"/>
        <v/>
      </c>
      <c r="R33" s="143" t="str">
        <f t="shared" ca="1" si="1"/>
        <v>WHT</v>
      </c>
      <c r="S33" s="143" t="str">
        <f t="shared" ca="1" si="2"/>
        <v>BRN</v>
      </c>
      <c r="T33" s="143" t="str">
        <f t="shared" ca="1" si="3"/>
        <v>ORG</v>
      </c>
      <c r="U33" s="143" t="str">
        <f t="shared" ca="1" si="4"/>
        <v>BLU</v>
      </c>
      <c r="V33" s="143" t="str">
        <f t="shared" ca="1" si="5"/>
        <v>GRN</v>
      </c>
      <c r="W33" s="143" t="str">
        <f t="shared" ca="1" si="6"/>
        <v>YLW</v>
      </c>
      <c r="X33" s="143" t="str">
        <f t="shared" ca="1" si="7"/>
        <v>PRP</v>
      </c>
      <c r="Y33" s="143" t="str">
        <f t="shared" ca="1" si="8"/>
        <v>RED</v>
      </c>
      <c r="Z33" s="143" t="str">
        <f ca="1">OFFSET($R33,0,R$12+(COUNTIF($R33:R33,$C33)))</f>
        <v>WHT</v>
      </c>
      <c r="AA33" s="143" t="str">
        <f ca="1">OFFSET($R33,0,S$12+(COUNTIF($R33:S33,$C33)))</f>
        <v>BRN</v>
      </c>
      <c r="AB33" s="143" t="str">
        <f ca="1">OFFSET($R33,0,T$12+(COUNTIF($R33:T33,$C33)))</f>
        <v>ORG</v>
      </c>
      <c r="AC33" s="143" t="str">
        <f ca="1">OFFSET($R33,0,U$12+(COUNTIF($R33:U33,$C33)))</f>
        <v>BLU</v>
      </c>
      <c r="AD33" s="143" t="str">
        <f ca="1">OFFSET($R33,0,V$12+(COUNTIF($R33:V33,$C33)))</f>
        <v>GRN</v>
      </c>
      <c r="AE33" s="143" t="str">
        <f ca="1">OFFSET($R33,0,W$12+(COUNTIF($R33:W33,$C33)))</f>
        <v>YLW</v>
      </c>
      <c r="AF33" s="143" t="str">
        <f ca="1">OFFSET($R33,0,X$12+(COUNTIF($R33:X33,$C33)))</f>
        <v>PRP</v>
      </c>
      <c r="AG33" s="154" t="b">
        <f t="shared" si="11"/>
        <v>1</v>
      </c>
      <c r="AH33" s="154" t="b">
        <f t="shared" si="12"/>
        <v>1</v>
      </c>
      <c r="AJ33" s="916" t="s">
        <v>98</v>
      </c>
      <c r="AK33" s="916" t="s">
        <v>99</v>
      </c>
      <c r="AL33" s="916"/>
    </row>
    <row r="34" spans="1:38" ht="16.350000000000001" customHeight="1" x14ac:dyDescent="0.2">
      <c r="A34" s="983"/>
      <c r="B34" s="985"/>
      <c r="C34" s="595"/>
      <c r="D34" s="986"/>
      <c r="E34" s="1784"/>
      <c r="F34" s="1785"/>
      <c r="G34" s="1785"/>
      <c r="H34" s="1785"/>
      <c r="I34" s="1785"/>
      <c r="J34" s="1785"/>
      <c r="K34" s="1785"/>
      <c r="L34" s="1785"/>
      <c r="M34" s="1785"/>
      <c r="N34" s="1786"/>
      <c r="P34" s="399" t="str">
        <f t="shared" si="0"/>
        <v/>
      </c>
      <c r="R34" s="143" t="str">
        <f t="shared" ca="1" si="1"/>
        <v>WHT</v>
      </c>
      <c r="S34" s="143" t="str">
        <f t="shared" ca="1" si="2"/>
        <v>BRN</v>
      </c>
      <c r="T34" s="143" t="str">
        <f t="shared" ca="1" si="3"/>
        <v>ORG</v>
      </c>
      <c r="U34" s="143" t="str">
        <f t="shared" ca="1" si="4"/>
        <v>BLU</v>
      </c>
      <c r="V34" s="143" t="str">
        <f t="shared" ca="1" si="5"/>
        <v>GRN</v>
      </c>
      <c r="W34" s="143" t="str">
        <f t="shared" ca="1" si="6"/>
        <v>YLW</v>
      </c>
      <c r="X34" s="143" t="str">
        <f t="shared" ca="1" si="7"/>
        <v>PRP</v>
      </c>
      <c r="Y34" s="143" t="str">
        <f t="shared" ca="1" si="8"/>
        <v>RED</v>
      </c>
      <c r="Z34" s="143" t="str">
        <f ca="1">OFFSET($R34,0,R$12+(COUNTIF($R34:R34,$C34)))</f>
        <v>WHT</v>
      </c>
      <c r="AA34" s="143" t="str">
        <f ca="1">OFFSET($R34,0,S$12+(COUNTIF($R34:S34,$C34)))</f>
        <v>BRN</v>
      </c>
      <c r="AB34" s="143" t="str">
        <f ca="1">OFFSET($R34,0,T$12+(COUNTIF($R34:T34,$C34)))</f>
        <v>ORG</v>
      </c>
      <c r="AC34" s="143" t="str">
        <f ca="1">OFFSET($R34,0,U$12+(COUNTIF($R34:U34,$C34)))</f>
        <v>BLU</v>
      </c>
      <c r="AD34" s="143" t="str">
        <f ca="1">OFFSET($R34,0,V$12+(COUNTIF($R34:V34,$C34)))</f>
        <v>GRN</v>
      </c>
      <c r="AE34" s="143" t="str">
        <f ca="1">OFFSET($R34,0,W$12+(COUNTIF($R34:W34,$C34)))</f>
        <v>YLW</v>
      </c>
      <c r="AF34" s="143" t="str">
        <f ca="1">OFFSET($R34,0,X$12+(COUNTIF($R34:X34,$C34)))</f>
        <v>PRP</v>
      </c>
      <c r="AG34" s="154" t="b">
        <f t="shared" si="11"/>
        <v>1</v>
      </c>
      <c r="AH34" s="154" t="b">
        <f t="shared" si="12"/>
        <v>1</v>
      </c>
      <c r="AJ34" s="916" t="s">
        <v>100</v>
      </c>
      <c r="AK34" s="916" t="s">
        <v>101</v>
      </c>
      <c r="AL34" s="916"/>
    </row>
    <row r="35" spans="1:38" ht="16.350000000000001" customHeight="1" x14ac:dyDescent="0.2">
      <c r="A35" s="983"/>
      <c r="B35" s="985"/>
      <c r="C35" s="595"/>
      <c r="D35" s="986"/>
      <c r="E35" s="1763"/>
      <c r="F35" s="1764"/>
      <c r="G35" s="1765"/>
      <c r="H35" s="1765"/>
      <c r="I35" s="1765"/>
      <c r="J35" s="1765"/>
      <c r="K35" s="1765"/>
      <c r="L35" s="1765"/>
      <c r="M35" s="1765"/>
      <c r="N35" s="1766"/>
      <c r="P35" s="399" t="str">
        <f t="shared" si="0"/>
        <v/>
      </c>
      <c r="R35" s="143" t="str">
        <f t="shared" ca="1" si="1"/>
        <v>WHT</v>
      </c>
      <c r="S35" s="143" t="str">
        <f t="shared" ca="1" si="2"/>
        <v>BRN</v>
      </c>
      <c r="T35" s="143" t="str">
        <f t="shared" ca="1" si="3"/>
        <v>ORG</v>
      </c>
      <c r="U35" s="143" t="str">
        <f t="shared" ca="1" si="4"/>
        <v>BLU</v>
      </c>
      <c r="V35" s="143" t="str">
        <f t="shared" ca="1" si="5"/>
        <v>GRN</v>
      </c>
      <c r="W35" s="143" t="str">
        <f t="shared" ca="1" si="6"/>
        <v>YLW</v>
      </c>
      <c r="X35" s="143" t="str">
        <f t="shared" ca="1" si="7"/>
        <v>PRP</v>
      </c>
      <c r="Y35" s="143" t="str">
        <f t="shared" ca="1" si="8"/>
        <v>RED</v>
      </c>
      <c r="Z35" s="143" t="str">
        <f ca="1">OFFSET($R35,0,R$12+(COUNTIF($R35:R35,$C35)))</f>
        <v>WHT</v>
      </c>
      <c r="AA35" s="143" t="str">
        <f ca="1">OFFSET($R35,0,S$12+(COUNTIF($R35:S35,$C35)))</f>
        <v>BRN</v>
      </c>
      <c r="AB35" s="143" t="str">
        <f ca="1">OFFSET($R35,0,T$12+(COUNTIF($R35:T35,$C35)))</f>
        <v>ORG</v>
      </c>
      <c r="AC35" s="143" t="str">
        <f ca="1">OFFSET($R35,0,U$12+(COUNTIF($R35:U35,$C35)))</f>
        <v>BLU</v>
      </c>
      <c r="AD35" s="143" t="str">
        <f ca="1">OFFSET($R35,0,V$12+(COUNTIF($R35:V35,$C35)))</f>
        <v>GRN</v>
      </c>
      <c r="AE35" s="143" t="str">
        <f ca="1">OFFSET($R35,0,W$12+(COUNTIF($R35:W35,$C35)))</f>
        <v>YLW</v>
      </c>
      <c r="AF35" s="143" t="str">
        <f ca="1">OFFSET($R35,0,X$12+(COUNTIF($R35:X35,$C35)))</f>
        <v>PRP</v>
      </c>
      <c r="AG35" s="154" t="b">
        <f t="shared" si="11"/>
        <v>1</v>
      </c>
      <c r="AH35" s="154" t="b">
        <f t="shared" si="12"/>
        <v>1</v>
      </c>
      <c r="AJ35" s="916" t="s">
        <v>94</v>
      </c>
      <c r="AK35" s="916" t="s">
        <v>97</v>
      </c>
      <c r="AL35" s="916"/>
    </row>
    <row r="36" spans="1:38" ht="16.350000000000001" customHeight="1" x14ac:dyDescent="0.2">
      <c r="A36" s="983"/>
      <c r="B36" s="985"/>
      <c r="C36" s="595"/>
      <c r="D36" s="986"/>
      <c r="E36" s="1763"/>
      <c r="F36" s="1764"/>
      <c r="G36" s="1765"/>
      <c r="H36" s="1765"/>
      <c r="I36" s="1765"/>
      <c r="J36" s="1765"/>
      <c r="K36" s="1765"/>
      <c r="L36" s="1765"/>
      <c r="M36" s="1765"/>
      <c r="N36" s="1766"/>
      <c r="P36" s="399" t="str">
        <f t="shared" si="0"/>
        <v/>
      </c>
      <c r="R36" s="143" t="str">
        <f t="shared" ca="1" si="1"/>
        <v>WHT</v>
      </c>
      <c r="S36" s="143" t="str">
        <f t="shared" ca="1" si="2"/>
        <v>BRN</v>
      </c>
      <c r="T36" s="143" t="str">
        <f t="shared" ca="1" si="3"/>
        <v>ORG</v>
      </c>
      <c r="U36" s="143" t="str">
        <f t="shared" ca="1" si="4"/>
        <v>BLU</v>
      </c>
      <c r="V36" s="143" t="str">
        <f t="shared" ca="1" si="5"/>
        <v>GRN</v>
      </c>
      <c r="W36" s="143" t="str">
        <f t="shared" ca="1" si="6"/>
        <v>YLW</v>
      </c>
      <c r="X36" s="143" t="str">
        <f t="shared" ca="1" si="7"/>
        <v>PRP</v>
      </c>
      <c r="Y36" s="143" t="str">
        <f t="shared" ca="1" si="8"/>
        <v>RED</v>
      </c>
      <c r="Z36" s="143" t="str">
        <f ca="1">OFFSET($R36,0,R$12+(COUNTIF($R36:R36,$C36)))</f>
        <v>WHT</v>
      </c>
      <c r="AA36" s="143" t="str">
        <f ca="1">OFFSET($R36,0,S$12+(COUNTIF($R36:S36,$C36)))</f>
        <v>BRN</v>
      </c>
      <c r="AB36" s="143" t="str">
        <f ca="1">OFFSET($R36,0,T$12+(COUNTIF($R36:T36,$C36)))</f>
        <v>ORG</v>
      </c>
      <c r="AC36" s="143" t="str">
        <f ca="1">OFFSET($R36,0,U$12+(COUNTIF($R36:U36,$C36)))</f>
        <v>BLU</v>
      </c>
      <c r="AD36" s="143" t="str">
        <f ca="1">OFFSET($R36,0,V$12+(COUNTIF($R36:V36,$C36)))</f>
        <v>GRN</v>
      </c>
      <c r="AE36" s="143" t="str">
        <f ca="1">OFFSET($R36,0,W$12+(COUNTIF($R36:W36,$C36)))</f>
        <v>YLW</v>
      </c>
      <c r="AF36" s="143" t="str">
        <f ca="1">OFFSET($R36,0,X$12+(COUNTIF($R36:X36,$C36)))</f>
        <v>PRP</v>
      </c>
      <c r="AG36" s="154" t="b">
        <f t="shared" si="11"/>
        <v>1</v>
      </c>
      <c r="AH36" s="154" t="b">
        <f t="shared" si="12"/>
        <v>1</v>
      </c>
      <c r="AJ36" s="916" t="s">
        <v>96</v>
      </c>
      <c r="AK36" s="916" t="s">
        <v>100</v>
      </c>
      <c r="AL36" s="916"/>
    </row>
    <row r="37" spans="1:38" ht="16.350000000000001" customHeight="1" x14ac:dyDescent="0.2">
      <c r="A37" s="983"/>
      <c r="B37" s="985"/>
      <c r="C37" s="595"/>
      <c r="D37" s="986"/>
      <c r="E37" s="1763"/>
      <c r="F37" s="1764"/>
      <c r="G37" s="1765"/>
      <c r="H37" s="1765"/>
      <c r="I37" s="1765"/>
      <c r="J37" s="1765"/>
      <c r="K37" s="1765"/>
      <c r="L37" s="1765"/>
      <c r="M37" s="1765"/>
      <c r="N37" s="1766"/>
      <c r="P37" s="399" t="str">
        <f t="shared" si="0"/>
        <v/>
      </c>
      <c r="R37" s="143" t="str">
        <f t="shared" ca="1" si="1"/>
        <v>WHT</v>
      </c>
      <c r="S37" s="143" t="str">
        <f t="shared" ca="1" si="2"/>
        <v>BRN</v>
      </c>
      <c r="T37" s="143" t="str">
        <f t="shared" ca="1" si="3"/>
        <v>ORG</v>
      </c>
      <c r="U37" s="143" t="str">
        <f t="shared" ca="1" si="4"/>
        <v>BLU</v>
      </c>
      <c r="V37" s="143" t="str">
        <f t="shared" ca="1" si="5"/>
        <v>GRN</v>
      </c>
      <c r="W37" s="143" t="str">
        <f t="shared" ca="1" si="6"/>
        <v>YLW</v>
      </c>
      <c r="X37" s="143" t="str">
        <f t="shared" ca="1" si="7"/>
        <v>PRP</v>
      </c>
      <c r="Y37" s="143" t="str">
        <f t="shared" ca="1" si="8"/>
        <v>RED</v>
      </c>
      <c r="Z37" s="143" t="str">
        <f ca="1">OFFSET($R37,0,R$12+(COUNTIF($R37:R37,$C37)))</f>
        <v>WHT</v>
      </c>
      <c r="AA37" s="143" t="str">
        <f ca="1">OFFSET($R37,0,S$12+(COUNTIF($R37:S37,$C37)))</f>
        <v>BRN</v>
      </c>
      <c r="AB37" s="143" t="str">
        <f ca="1">OFFSET($R37,0,T$12+(COUNTIF($R37:T37,$C37)))</f>
        <v>ORG</v>
      </c>
      <c r="AC37" s="143" t="str">
        <f ca="1">OFFSET($R37,0,U$12+(COUNTIF($R37:U37,$C37)))</f>
        <v>BLU</v>
      </c>
      <c r="AD37" s="143" t="str">
        <f ca="1">OFFSET($R37,0,V$12+(COUNTIF($R37:V37,$C37)))</f>
        <v>GRN</v>
      </c>
      <c r="AE37" s="143" t="str">
        <f ca="1">OFFSET($R37,0,W$12+(COUNTIF($R37:W37,$C37)))</f>
        <v>YLW</v>
      </c>
      <c r="AF37" s="143" t="str">
        <f ca="1">OFFSET($R37,0,X$12+(COUNTIF($R37:X37,$C37)))</f>
        <v>PRP</v>
      </c>
      <c r="AG37" s="154" t="b">
        <f t="shared" si="11"/>
        <v>1</v>
      </c>
      <c r="AH37" s="154" t="b">
        <f t="shared" si="12"/>
        <v>1</v>
      </c>
      <c r="AJ37" s="916" t="s">
        <v>97</v>
      </c>
      <c r="AK37" s="916" t="s">
        <v>99</v>
      </c>
      <c r="AL37" s="916"/>
    </row>
    <row r="38" spans="1:38" ht="16.350000000000001" customHeight="1" x14ac:dyDescent="0.2">
      <c r="A38" s="983"/>
      <c r="B38" s="985"/>
      <c r="C38" s="595"/>
      <c r="D38" s="986"/>
      <c r="E38" s="1763"/>
      <c r="F38" s="1764"/>
      <c r="G38" s="1765"/>
      <c r="H38" s="1765"/>
      <c r="I38" s="1765"/>
      <c r="J38" s="1765"/>
      <c r="K38" s="1765"/>
      <c r="L38" s="1765"/>
      <c r="M38" s="1765"/>
      <c r="N38" s="1766"/>
      <c r="P38" s="399" t="str">
        <f t="shared" si="0"/>
        <v/>
      </c>
      <c r="R38" s="143" t="str">
        <f t="shared" ca="1" si="1"/>
        <v>WHT</v>
      </c>
      <c r="S38" s="143" t="str">
        <f t="shared" ca="1" si="2"/>
        <v>BRN</v>
      </c>
      <c r="T38" s="143" t="str">
        <f t="shared" ca="1" si="3"/>
        <v>ORG</v>
      </c>
      <c r="U38" s="143" t="str">
        <f t="shared" ca="1" si="4"/>
        <v>BLU</v>
      </c>
      <c r="V38" s="143" t="str">
        <f t="shared" ca="1" si="5"/>
        <v>GRN</v>
      </c>
      <c r="W38" s="143" t="str">
        <f t="shared" ca="1" si="6"/>
        <v>YLW</v>
      </c>
      <c r="X38" s="143" t="str">
        <f t="shared" ca="1" si="7"/>
        <v>PRP</v>
      </c>
      <c r="Y38" s="143" t="str">
        <f t="shared" ca="1" si="8"/>
        <v>RED</v>
      </c>
      <c r="Z38" s="143" t="str">
        <f ca="1">OFFSET($R38,0,R$12+(COUNTIF($R38:R38,$C38)))</f>
        <v>WHT</v>
      </c>
      <c r="AA38" s="143" t="str">
        <f ca="1">OFFSET($R38,0,S$12+(COUNTIF($R38:S38,$C38)))</f>
        <v>BRN</v>
      </c>
      <c r="AB38" s="143" t="str">
        <f ca="1">OFFSET($R38,0,T$12+(COUNTIF($R38:T38,$C38)))</f>
        <v>ORG</v>
      </c>
      <c r="AC38" s="143" t="str">
        <f ca="1">OFFSET($R38,0,U$12+(COUNTIF($R38:U38,$C38)))</f>
        <v>BLU</v>
      </c>
      <c r="AD38" s="143" t="str">
        <f ca="1">OFFSET($R38,0,V$12+(COUNTIF($R38:V38,$C38)))</f>
        <v>GRN</v>
      </c>
      <c r="AE38" s="143" t="str">
        <f ca="1">OFFSET($R38,0,W$12+(COUNTIF($R38:W38,$C38)))</f>
        <v>YLW</v>
      </c>
      <c r="AF38" s="143" t="str">
        <f ca="1">OFFSET($R38,0,X$12+(COUNTIF($R38:X38,$C38)))</f>
        <v>PRP</v>
      </c>
      <c r="AG38" s="154" t="b">
        <f t="shared" si="11"/>
        <v>1</v>
      </c>
      <c r="AH38" s="154" t="b">
        <f t="shared" si="12"/>
        <v>1</v>
      </c>
      <c r="AJ38" s="916" t="s">
        <v>98</v>
      </c>
      <c r="AK38" s="916" t="s">
        <v>93</v>
      </c>
      <c r="AL38" s="916"/>
    </row>
    <row r="39" spans="1:38" ht="16.350000000000001" customHeight="1" x14ac:dyDescent="0.2">
      <c r="A39" s="983"/>
      <c r="B39" s="985"/>
      <c r="C39" s="595"/>
      <c r="D39" s="986"/>
      <c r="E39" s="1763"/>
      <c r="F39" s="1764"/>
      <c r="G39" s="1765"/>
      <c r="H39" s="1765"/>
      <c r="I39" s="1765"/>
      <c r="J39" s="1765"/>
      <c r="K39" s="1765"/>
      <c r="L39" s="1765"/>
      <c r="M39" s="1765"/>
      <c r="N39" s="1766"/>
      <c r="P39" s="399" t="str">
        <f t="shared" si="0"/>
        <v/>
      </c>
      <c r="R39" s="143" t="str">
        <f t="shared" ca="1" si="1"/>
        <v>WHT</v>
      </c>
      <c r="S39" s="143" t="str">
        <f t="shared" ca="1" si="2"/>
        <v>BRN</v>
      </c>
      <c r="T39" s="143" t="str">
        <f t="shared" ca="1" si="3"/>
        <v>ORG</v>
      </c>
      <c r="U39" s="143" t="str">
        <f t="shared" ca="1" si="4"/>
        <v>BLU</v>
      </c>
      <c r="V39" s="143" t="str">
        <f t="shared" ca="1" si="5"/>
        <v>GRN</v>
      </c>
      <c r="W39" s="143" t="str">
        <f t="shared" ca="1" si="6"/>
        <v>YLW</v>
      </c>
      <c r="X39" s="143" t="str">
        <f t="shared" ca="1" si="7"/>
        <v>PRP</v>
      </c>
      <c r="Y39" s="143" t="str">
        <f t="shared" ca="1" si="8"/>
        <v>RED</v>
      </c>
      <c r="Z39" s="143" t="str">
        <f ca="1">OFFSET($R39,0,R$12+(COUNTIF($R39:R39,$C39)))</f>
        <v>WHT</v>
      </c>
      <c r="AA39" s="143" t="str">
        <f ca="1">OFFSET($R39,0,S$12+(COUNTIF($R39:S39,$C39)))</f>
        <v>BRN</v>
      </c>
      <c r="AB39" s="143" t="str">
        <f ca="1">OFFSET($R39,0,T$12+(COUNTIF($R39:T39,$C39)))</f>
        <v>ORG</v>
      </c>
      <c r="AC39" s="143" t="str">
        <f ca="1">OFFSET($R39,0,U$12+(COUNTIF($R39:U39,$C39)))</f>
        <v>BLU</v>
      </c>
      <c r="AD39" s="143" t="str">
        <f ca="1">OFFSET($R39,0,V$12+(COUNTIF($R39:V39,$C39)))</f>
        <v>GRN</v>
      </c>
      <c r="AE39" s="143" t="str">
        <f ca="1">OFFSET($R39,0,W$12+(COUNTIF($R39:W39,$C39)))</f>
        <v>YLW</v>
      </c>
      <c r="AF39" s="143" t="str">
        <f ca="1">OFFSET($R39,0,X$12+(COUNTIF($R39:X39,$C39)))</f>
        <v>PRP</v>
      </c>
      <c r="AG39" s="154" t="b">
        <f t="shared" si="11"/>
        <v>1</v>
      </c>
      <c r="AH39" s="154" t="b">
        <f t="shared" si="12"/>
        <v>1</v>
      </c>
      <c r="AJ39" s="916" t="s">
        <v>99</v>
      </c>
      <c r="AK39" s="916" t="s">
        <v>94</v>
      </c>
      <c r="AL39" s="916"/>
    </row>
    <row r="40" spans="1:38" ht="16.350000000000001" customHeight="1" x14ac:dyDescent="0.2">
      <c r="A40" s="983"/>
      <c r="B40" s="985"/>
      <c r="C40" s="595"/>
      <c r="D40" s="986"/>
      <c r="E40" s="1763"/>
      <c r="F40" s="1764"/>
      <c r="G40" s="1765"/>
      <c r="H40" s="1765"/>
      <c r="I40" s="1765"/>
      <c r="J40" s="1765"/>
      <c r="K40" s="1765"/>
      <c r="L40" s="1765"/>
      <c r="M40" s="1765"/>
      <c r="N40" s="1766"/>
      <c r="P40" s="399" t="str">
        <f t="shared" si="0"/>
        <v/>
      </c>
      <c r="R40" s="143" t="str">
        <f t="shared" ca="1" si="1"/>
        <v>WHT</v>
      </c>
      <c r="S40" s="143" t="str">
        <f t="shared" ca="1" si="2"/>
        <v>BRN</v>
      </c>
      <c r="T40" s="143" t="str">
        <f t="shared" ca="1" si="3"/>
        <v>ORG</v>
      </c>
      <c r="U40" s="143" t="str">
        <f t="shared" ca="1" si="4"/>
        <v>BLU</v>
      </c>
      <c r="V40" s="143" t="str">
        <f t="shared" ca="1" si="5"/>
        <v>GRN</v>
      </c>
      <c r="W40" s="143" t="str">
        <f t="shared" ca="1" si="6"/>
        <v>YLW</v>
      </c>
      <c r="X40" s="143" t="str">
        <f t="shared" ca="1" si="7"/>
        <v>PRP</v>
      </c>
      <c r="Y40" s="143" t="str">
        <f t="shared" ca="1" si="8"/>
        <v>RED</v>
      </c>
      <c r="Z40" s="143" t="str">
        <f ca="1">OFFSET($R40,0,R$12+(COUNTIF($R40:R40,$C40)))</f>
        <v>WHT</v>
      </c>
      <c r="AA40" s="143" t="str">
        <f ca="1">OFFSET($R40,0,S$12+(COUNTIF($R40:S40,$C40)))</f>
        <v>BRN</v>
      </c>
      <c r="AB40" s="143" t="str">
        <f ca="1">OFFSET($R40,0,T$12+(COUNTIF($R40:T40,$C40)))</f>
        <v>ORG</v>
      </c>
      <c r="AC40" s="143" t="str">
        <f ca="1">OFFSET($R40,0,U$12+(COUNTIF($R40:U40,$C40)))</f>
        <v>BLU</v>
      </c>
      <c r="AD40" s="143" t="str">
        <f ca="1">OFFSET($R40,0,V$12+(COUNTIF($R40:V40,$C40)))</f>
        <v>GRN</v>
      </c>
      <c r="AE40" s="143" t="str">
        <f ca="1">OFFSET($R40,0,W$12+(COUNTIF($R40:W40,$C40)))</f>
        <v>YLW</v>
      </c>
      <c r="AF40" s="143" t="str">
        <f ca="1">OFFSET($R40,0,X$12+(COUNTIF($R40:X40,$C40)))</f>
        <v>PRP</v>
      </c>
      <c r="AG40" s="154" t="b">
        <f t="shared" si="11"/>
        <v>1</v>
      </c>
      <c r="AH40" s="154" t="b">
        <f t="shared" si="12"/>
        <v>1</v>
      </c>
      <c r="AJ40" s="916" t="s">
        <v>96</v>
      </c>
      <c r="AK40" s="916" t="s">
        <v>101</v>
      </c>
      <c r="AL40" s="916"/>
    </row>
    <row r="41" spans="1:38" ht="16.350000000000001" customHeight="1" x14ac:dyDescent="0.2">
      <c r="A41" s="983"/>
      <c r="B41" s="985"/>
      <c r="C41" s="595"/>
      <c r="D41" s="986"/>
      <c r="E41" s="1763"/>
      <c r="F41" s="1764"/>
      <c r="G41" s="1765"/>
      <c r="H41" s="1765"/>
      <c r="I41" s="1765"/>
      <c r="J41" s="1765"/>
      <c r="K41" s="1765"/>
      <c r="L41" s="1765"/>
      <c r="M41" s="1765"/>
      <c r="N41" s="1766"/>
      <c r="P41" s="399" t="str">
        <f t="shared" si="0"/>
        <v/>
      </c>
      <c r="R41" s="143" t="str">
        <f t="shared" ca="1" si="1"/>
        <v>WHT</v>
      </c>
      <c r="S41" s="143" t="str">
        <f t="shared" ca="1" si="2"/>
        <v>BRN</v>
      </c>
      <c r="T41" s="143" t="str">
        <f t="shared" ca="1" si="3"/>
        <v>ORG</v>
      </c>
      <c r="U41" s="143" t="str">
        <f t="shared" ca="1" si="4"/>
        <v>BLU</v>
      </c>
      <c r="V41" s="143" t="str">
        <f t="shared" ca="1" si="5"/>
        <v>GRN</v>
      </c>
      <c r="W41" s="143" t="str">
        <f t="shared" ca="1" si="6"/>
        <v>YLW</v>
      </c>
      <c r="X41" s="143" t="str">
        <f t="shared" ca="1" si="7"/>
        <v>PRP</v>
      </c>
      <c r="Y41" s="143" t="str">
        <f t="shared" ca="1" si="8"/>
        <v>RED</v>
      </c>
      <c r="Z41" s="143" t="str">
        <f ca="1">OFFSET($R41,0,R$12+(COUNTIF($R41:R41,$C41)))</f>
        <v>WHT</v>
      </c>
      <c r="AA41" s="143" t="str">
        <f ca="1">OFFSET($R41,0,S$12+(COUNTIF($R41:S41,$C41)))</f>
        <v>BRN</v>
      </c>
      <c r="AB41" s="143" t="str">
        <f ca="1">OFFSET($R41,0,T$12+(COUNTIF($R41:T41,$C41)))</f>
        <v>ORG</v>
      </c>
      <c r="AC41" s="143" t="str">
        <f ca="1">OFFSET($R41,0,U$12+(COUNTIF($R41:U41,$C41)))</f>
        <v>BLU</v>
      </c>
      <c r="AD41" s="143" t="str">
        <f ca="1">OFFSET($R41,0,V$12+(COUNTIF($R41:V41,$C41)))</f>
        <v>GRN</v>
      </c>
      <c r="AE41" s="143" t="str">
        <f ca="1">OFFSET($R41,0,W$12+(COUNTIF($R41:W41,$C41)))</f>
        <v>YLW</v>
      </c>
      <c r="AF41" s="143" t="str">
        <f ca="1">OFFSET($R41,0,X$12+(COUNTIF($R41:X41,$C41)))</f>
        <v>PRP</v>
      </c>
      <c r="AG41" s="154" t="b">
        <f t="shared" si="11"/>
        <v>1</v>
      </c>
      <c r="AH41" s="154" t="b">
        <f t="shared" si="12"/>
        <v>1</v>
      </c>
      <c r="AJ41" s="916" t="s">
        <v>98</v>
      </c>
      <c r="AK41" s="916" t="s">
        <v>94</v>
      </c>
      <c r="AL41" s="916"/>
    </row>
    <row r="42" spans="1:38" ht="16.350000000000001" customHeight="1" x14ac:dyDescent="0.2">
      <c r="A42" s="983"/>
      <c r="B42" s="985"/>
      <c r="C42" s="595"/>
      <c r="D42" s="986"/>
      <c r="E42" s="1763"/>
      <c r="F42" s="1764"/>
      <c r="G42" s="1765"/>
      <c r="H42" s="1765"/>
      <c r="I42" s="1765"/>
      <c r="J42" s="1765"/>
      <c r="K42" s="1765"/>
      <c r="L42" s="1765"/>
      <c r="M42" s="1765"/>
      <c r="N42" s="1766"/>
      <c r="P42" s="399" t="str">
        <f t="shared" si="0"/>
        <v/>
      </c>
      <c r="R42" s="143" t="str">
        <f t="shared" ca="1" si="1"/>
        <v>WHT</v>
      </c>
      <c r="S42" s="143" t="str">
        <f t="shared" ca="1" si="2"/>
        <v>BRN</v>
      </c>
      <c r="T42" s="143" t="str">
        <f t="shared" ca="1" si="3"/>
        <v>ORG</v>
      </c>
      <c r="U42" s="143" t="str">
        <f t="shared" ca="1" si="4"/>
        <v>BLU</v>
      </c>
      <c r="V42" s="143" t="str">
        <f t="shared" ca="1" si="5"/>
        <v>GRN</v>
      </c>
      <c r="W42" s="143" t="str">
        <f t="shared" ca="1" si="6"/>
        <v>YLW</v>
      </c>
      <c r="X42" s="143" t="str">
        <f t="shared" ca="1" si="7"/>
        <v>PRP</v>
      </c>
      <c r="Y42" s="143" t="str">
        <f t="shared" ca="1" si="8"/>
        <v>RED</v>
      </c>
      <c r="Z42" s="143" t="str">
        <f ca="1">OFFSET($R42,0,R$12+(COUNTIF($R42:R42,$C42)))</f>
        <v>WHT</v>
      </c>
      <c r="AA42" s="143" t="str">
        <f ca="1">OFFSET($R42,0,S$12+(COUNTIF($R42:S42,$C42)))</f>
        <v>BRN</v>
      </c>
      <c r="AB42" s="143" t="str">
        <f ca="1">OFFSET($R42,0,T$12+(COUNTIF($R42:T42,$C42)))</f>
        <v>ORG</v>
      </c>
      <c r="AC42" s="143" t="str">
        <f ca="1">OFFSET($R42,0,U$12+(COUNTIF($R42:U42,$C42)))</f>
        <v>BLU</v>
      </c>
      <c r="AD42" s="143" t="str">
        <f ca="1">OFFSET($R42,0,V$12+(COUNTIF($R42:V42,$C42)))</f>
        <v>GRN</v>
      </c>
      <c r="AE42" s="143" t="str">
        <f ca="1">OFFSET($R42,0,W$12+(COUNTIF($R42:W42,$C42)))</f>
        <v>YLW</v>
      </c>
      <c r="AF42" s="143" t="str">
        <f ca="1">OFFSET($R42,0,X$12+(COUNTIF($R42:X42,$C42)))</f>
        <v>PRP</v>
      </c>
      <c r="AG42" s="154" t="b">
        <f t="shared" si="11"/>
        <v>1</v>
      </c>
      <c r="AH42" s="154" t="b">
        <f t="shared" si="12"/>
        <v>1</v>
      </c>
      <c r="AJ42" s="916" t="s">
        <v>95</v>
      </c>
      <c r="AK42" s="916" t="s">
        <v>93</v>
      </c>
      <c r="AL42" s="916"/>
    </row>
    <row r="43" spans="1:38" ht="16.350000000000001" customHeight="1" x14ac:dyDescent="0.2">
      <c r="A43" s="983"/>
      <c r="B43" s="985"/>
      <c r="C43" s="595"/>
      <c r="D43" s="986"/>
      <c r="E43" s="1763"/>
      <c r="F43" s="1764"/>
      <c r="G43" s="1765"/>
      <c r="H43" s="1765"/>
      <c r="I43" s="1765"/>
      <c r="J43" s="1765"/>
      <c r="K43" s="1765"/>
      <c r="L43" s="1765"/>
      <c r="M43" s="1765"/>
      <c r="N43" s="1766"/>
      <c r="P43" s="399" t="str">
        <f t="shared" si="0"/>
        <v/>
      </c>
      <c r="R43" s="143" t="str">
        <f t="shared" ca="1" si="1"/>
        <v>WHT</v>
      </c>
      <c r="S43" s="143" t="str">
        <f t="shared" ca="1" si="2"/>
        <v>BRN</v>
      </c>
      <c r="T43" s="143" t="str">
        <f t="shared" ca="1" si="3"/>
        <v>ORG</v>
      </c>
      <c r="U43" s="143" t="str">
        <f t="shared" ca="1" si="4"/>
        <v>BLU</v>
      </c>
      <c r="V43" s="143" t="str">
        <f t="shared" ca="1" si="5"/>
        <v>GRN</v>
      </c>
      <c r="W43" s="143" t="str">
        <f t="shared" ca="1" si="6"/>
        <v>YLW</v>
      </c>
      <c r="X43" s="143" t="str">
        <f t="shared" ca="1" si="7"/>
        <v>PRP</v>
      </c>
      <c r="Y43" s="143" t="str">
        <f t="shared" ca="1" si="8"/>
        <v>RED</v>
      </c>
      <c r="Z43" s="143" t="str">
        <f ca="1">OFFSET($R43,0,R$12+(COUNTIF($R43:R43,$C43)))</f>
        <v>WHT</v>
      </c>
      <c r="AA43" s="143" t="str">
        <f ca="1">OFFSET($R43,0,S$12+(COUNTIF($R43:S43,$C43)))</f>
        <v>BRN</v>
      </c>
      <c r="AB43" s="143" t="str">
        <f ca="1">OFFSET($R43,0,T$12+(COUNTIF($R43:T43,$C43)))</f>
        <v>ORG</v>
      </c>
      <c r="AC43" s="143" t="str">
        <f ca="1">OFFSET($R43,0,U$12+(COUNTIF($R43:U43,$C43)))</f>
        <v>BLU</v>
      </c>
      <c r="AD43" s="143" t="str">
        <f ca="1">OFFSET($R43,0,V$12+(COUNTIF($R43:V43,$C43)))</f>
        <v>GRN</v>
      </c>
      <c r="AE43" s="143" t="str">
        <f ca="1">OFFSET($R43,0,W$12+(COUNTIF($R43:W43,$C43)))</f>
        <v>YLW</v>
      </c>
      <c r="AF43" s="143" t="str">
        <f ca="1">OFFSET($R43,0,X$12+(COUNTIF($R43:X43,$C43)))</f>
        <v>PRP</v>
      </c>
      <c r="AG43" s="154" t="b">
        <f t="shared" si="11"/>
        <v>1</v>
      </c>
      <c r="AH43" s="154" t="b">
        <f t="shared" si="12"/>
        <v>1</v>
      </c>
      <c r="AJ43" s="916" t="s">
        <v>97</v>
      </c>
      <c r="AK43" s="916" t="s">
        <v>101</v>
      </c>
      <c r="AL43" s="916"/>
    </row>
    <row r="44" spans="1:38" ht="16.350000000000001" customHeight="1" x14ac:dyDescent="0.2">
      <c r="A44" s="983"/>
      <c r="B44" s="985"/>
      <c r="C44" s="595"/>
      <c r="D44" s="986"/>
      <c r="E44" s="1763"/>
      <c r="F44" s="1764"/>
      <c r="G44" s="1765"/>
      <c r="H44" s="1765"/>
      <c r="I44" s="1765"/>
      <c r="J44" s="1765"/>
      <c r="K44" s="1765"/>
      <c r="L44" s="1765"/>
      <c r="M44" s="1765"/>
      <c r="N44" s="1766"/>
      <c r="P44" s="399" t="str">
        <f t="shared" si="0"/>
        <v/>
      </c>
      <c r="R44" s="143" t="str">
        <f t="shared" ca="1" si="1"/>
        <v>WHT</v>
      </c>
      <c r="S44" s="143" t="str">
        <f t="shared" ca="1" si="2"/>
        <v>BRN</v>
      </c>
      <c r="T44" s="143" t="str">
        <f t="shared" ca="1" si="3"/>
        <v>ORG</v>
      </c>
      <c r="U44" s="143" t="str">
        <f t="shared" ca="1" si="4"/>
        <v>BLU</v>
      </c>
      <c r="V44" s="143" t="str">
        <f t="shared" ca="1" si="5"/>
        <v>GRN</v>
      </c>
      <c r="W44" s="143" t="str">
        <f t="shared" ca="1" si="6"/>
        <v>YLW</v>
      </c>
      <c r="X44" s="143" t="str">
        <f t="shared" ca="1" si="7"/>
        <v>PRP</v>
      </c>
      <c r="Y44" s="143" t="str">
        <f t="shared" ca="1" si="8"/>
        <v>RED</v>
      </c>
      <c r="Z44" s="143" t="str">
        <f ca="1">OFFSET($R44,0,R$12+(COUNTIF($R44:R44,$C44)))</f>
        <v>WHT</v>
      </c>
      <c r="AA44" s="143" t="str">
        <f ca="1">OFFSET($R44,0,S$12+(COUNTIF($R44:S44,$C44)))</f>
        <v>BRN</v>
      </c>
      <c r="AB44" s="143" t="str">
        <f ca="1">OFFSET($R44,0,T$12+(COUNTIF($R44:T44,$C44)))</f>
        <v>ORG</v>
      </c>
      <c r="AC44" s="143" t="str">
        <f ca="1">OFFSET($R44,0,U$12+(COUNTIF($R44:U44,$C44)))</f>
        <v>BLU</v>
      </c>
      <c r="AD44" s="143" t="str">
        <f ca="1">OFFSET($R44,0,V$12+(COUNTIF($R44:V44,$C44)))</f>
        <v>GRN</v>
      </c>
      <c r="AE44" s="143" t="str">
        <f ca="1">OFFSET($R44,0,W$12+(COUNTIF($R44:W44,$C44)))</f>
        <v>YLW</v>
      </c>
      <c r="AF44" s="143" t="str">
        <f ca="1">OFFSET($R44,0,X$12+(COUNTIF($R44:X44,$C44)))</f>
        <v>PRP</v>
      </c>
      <c r="AG44" s="154" t="b">
        <f t="shared" si="11"/>
        <v>1</v>
      </c>
      <c r="AH44" s="154" t="b">
        <f t="shared" si="12"/>
        <v>1</v>
      </c>
      <c r="AJ44" s="916" t="s">
        <v>93</v>
      </c>
      <c r="AK44" s="916" t="s">
        <v>100</v>
      </c>
      <c r="AL44" s="916"/>
    </row>
    <row r="45" spans="1:38" ht="16.350000000000001" customHeight="1" x14ac:dyDescent="0.2">
      <c r="A45" s="983"/>
      <c r="B45" s="985"/>
      <c r="C45" s="595"/>
      <c r="D45" s="986"/>
      <c r="E45" s="1763"/>
      <c r="F45" s="1764"/>
      <c r="G45" s="1765"/>
      <c r="H45" s="1765"/>
      <c r="I45" s="1765"/>
      <c r="J45" s="1765"/>
      <c r="K45" s="1765"/>
      <c r="L45" s="1765"/>
      <c r="M45" s="1765"/>
      <c r="N45" s="1766"/>
      <c r="P45" s="399" t="str">
        <f t="shared" si="0"/>
        <v/>
      </c>
      <c r="R45" s="143" t="str">
        <f t="shared" ca="1" si="1"/>
        <v>WHT</v>
      </c>
      <c r="S45" s="143" t="str">
        <f t="shared" ca="1" si="2"/>
        <v>BRN</v>
      </c>
      <c r="T45" s="143" t="str">
        <f t="shared" ca="1" si="3"/>
        <v>ORG</v>
      </c>
      <c r="U45" s="143" t="str">
        <f t="shared" ca="1" si="4"/>
        <v>BLU</v>
      </c>
      <c r="V45" s="143" t="str">
        <f t="shared" ca="1" si="5"/>
        <v>GRN</v>
      </c>
      <c r="W45" s="143" t="str">
        <f t="shared" ca="1" si="6"/>
        <v>YLW</v>
      </c>
      <c r="X45" s="143" t="str">
        <f t="shared" ca="1" si="7"/>
        <v>PRP</v>
      </c>
      <c r="Y45" s="143" t="str">
        <f t="shared" ca="1" si="8"/>
        <v>RED</v>
      </c>
      <c r="Z45" s="143" t="str">
        <f ca="1">OFFSET($R45,0,R$12+(COUNTIF($R45:R45,$C45)))</f>
        <v>WHT</v>
      </c>
      <c r="AA45" s="143" t="str">
        <f ca="1">OFFSET($R45,0,S$12+(COUNTIF($R45:S45,$C45)))</f>
        <v>BRN</v>
      </c>
      <c r="AB45" s="143" t="str">
        <f ca="1">OFFSET($R45,0,T$12+(COUNTIF($R45:T45,$C45)))</f>
        <v>ORG</v>
      </c>
      <c r="AC45" s="143" t="str">
        <f ca="1">OFFSET($R45,0,U$12+(COUNTIF($R45:U45,$C45)))</f>
        <v>BLU</v>
      </c>
      <c r="AD45" s="143" t="str">
        <f ca="1">OFFSET($R45,0,V$12+(COUNTIF($R45:V45,$C45)))</f>
        <v>GRN</v>
      </c>
      <c r="AE45" s="143" t="str">
        <f ca="1">OFFSET($R45,0,W$12+(COUNTIF($R45:W45,$C45)))</f>
        <v>YLW</v>
      </c>
      <c r="AF45" s="143" t="str">
        <f ca="1">OFFSET($R45,0,X$12+(COUNTIF($R45:X45,$C45)))</f>
        <v>PRP</v>
      </c>
      <c r="AG45" s="154" t="b">
        <f t="shared" si="11"/>
        <v>1</v>
      </c>
      <c r="AH45" s="154" t="b">
        <f t="shared" si="12"/>
        <v>1</v>
      </c>
      <c r="AJ45" s="916" t="s">
        <v>96</v>
      </c>
      <c r="AK45" s="916" t="s">
        <v>94</v>
      </c>
      <c r="AL45" s="916"/>
    </row>
    <row r="46" spans="1:38" ht="16.350000000000001" customHeight="1" x14ac:dyDescent="0.2">
      <c r="A46" s="983"/>
      <c r="B46" s="985"/>
      <c r="C46" s="595"/>
      <c r="D46" s="986"/>
      <c r="E46" s="1763"/>
      <c r="F46" s="1764"/>
      <c r="G46" s="1765"/>
      <c r="H46" s="1765"/>
      <c r="I46" s="1765"/>
      <c r="J46" s="1765"/>
      <c r="K46" s="1765"/>
      <c r="L46" s="1765"/>
      <c r="M46" s="1765"/>
      <c r="N46" s="1766"/>
      <c r="P46" s="399" t="str">
        <f t="shared" si="0"/>
        <v/>
      </c>
      <c r="R46" s="143" t="str">
        <f t="shared" ca="1" si="1"/>
        <v>WHT</v>
      </c>
      <c r="S46" s="143" t="str">
        <f t="shared" ca="1" si="2"/>
        <v>BRN</v>
      </c>
      <c r="T46" s="143" t="str">
        <f t="shared" ca="1" si="3"/>
        <v>ORG</v>
      </c>
      <c r="U46" s="143" t="str">
        <f t="shared" ca="1" si="4"/>
        <v>BLU</v>
      </c>
      <c r="V46" s="143" t="str">
        <f t="shared" ca="1" si="5"/>
        <v>GRN</v>
      </c>
      <c r="W46" s="143" t="str">
        <f t="shared" ca="1" si="6"/>
        <v>YLW</v>
      </c>
      <c r="X46" s="143" t="str">
        <f t="shared" ca="1" si="7"/>
        <v>PRP</v>
      </c>
      <c r="Y46" s="143" t="str">
        <f t="shared" ca="1" si="8"/>
        <v>RED</v>
      </c>
      <c r="Z46" s="143" t="str">
        <f ca="1">OFFSET($R46,0,R$12+(COUNTIF($R46:R46,$C46)))</f>
        <v>WHT</v>
      </c>
      <c r="AA46" s="143" t="str">
        <f ca="1">OFFSET($R46,0,S$12+(COUNTIF($R46:S46,$C46)))</f>
        <v>BRN</v>
      </c>
      <c r="AB46" s="143" t="str">
        <f ca="1">OFFSET($R46,0,T$12+(COUNTIF($R46:T46,$C46)))</f>
        <v>ORG</v>
      </c>
      <c r="AC46" s="143" t="str">
        <f ca="1">OFFSET($R46,0,U$12+(COUNTIF($R46:U46,$C46)))</f>
        <v>BLU</v>
      </c>
      <c r="AD46" s="143" t="str">
        <f ca="1">OFFSET($R46,0,V$12+(COUNTIF($R46:V46,$C46)))</f>
        <v>GRN</v>
      </c>
      <c r="AE46" s="143" t="str">
        <f ca="1">OFFSET($R46,0,W$12+(COUNTIF($R46:W46,$C46)))</f>
        <v>YLW</v>
      </c>
      <c r="AF46" s="143" t="str">
        <f ca="1">OFFSET($R46,0,X$12+(COUNTIF($R46:X46,$C46)))</f>
        <v>PRP</v>
      </c>
      <c r="AG46" s="154" t="b">
        <f t="shared" si="11"/>
        <v>1</v>
      </c>
      <c r="AH46" s="154" t="b">
        <f t="shared" si="12"/>
        <v>1</v>
      </c>
      <c r="AJ46" s="916" t="s">
        <v>98</v>
      </c>
      <c r="AK46" s="916" t="s">
        <v>101</v>
      </c>
      <c r="AL46" s="916"/>
    </row>
    <row r="47" spans="1:38" ht="16.350000000000001" customHeight="1" x14ac:dyDescent="0.2">
      <c r="A47" s="983"/>
      <c r="B47" s="985"/>
      <c r="C47" s="595"/>
      <c r="D47" s="986"/>
      <c r="E47" s="1763"/>
      <c r="F47" s="1764"/>
      <c r="G47" s="1765"/>
      <c r="H47" s="1765"/>
      <c r="I47" s="1765"/>
      <c r="J47" s="1765"/>
      <c r="K47" s="1765"/>
      <c r="L47" s="1765"/>
      <c r="M47" s="1765"/>
      <c r="N47" s="1766"/>
      <c r="P47" s="399" t="str">
        <f t="shared" si="0"/>
        <v/>
      </c>
      <c r="R47" s="143" t="str">
        <f t="shared" ca="1" si="1"/>
        <v>WHT</v>
      </c>
      <c r="S47" s="143" t="str">
        <f t="shared" ca="1" si="2"/>
        <v>BRN</v>
      </c>
      <c r="T47" s="143" t="str">
        <f t="shared" ca="1" si="3"/>
        <v>ORG</v>
      </c>
      <c r="U47" s="143" t="str">
        <f t="shared" ca="1" si="4"/>
        <v>BLU</v>
      </c>
      <c r="V47" s="143" t="str">
        <f t="shared" ca="1" si="5"/>
        <v>GRN</v>
      </c>
      <c r="W47" s="143" t="str">
        <f t="shared" ca="1" si="6"/>
        <v>YLW</v>
      </c>
      <c r="X47" s="143" t="str">
        <f t="shared" ca="1" si="7"/>
        <v>PRP</v>
      </c>
      <c r="Y47" s="143" t="str">
        <f t="shared" ca="1" si="8"/>
        <v>RED</v>
      </c>
      <c r="Z47" s="143" t="str">
        <f ca="1">OFFSET($R47,0,R$12+(COUNTIF($R47:R47,$C47)))</f>
        <v>WHT</v>
      </c>
      <c r="AA47" s="143" t="str">
        <f ca="1">OFFSET($R47,0,S$12+(COUNTIF($R47:S47,$C47)))</f>
        <v>BRN</v>
      </c>
      <c r="AB47" s="143" t="str">
        <f ca="1">OFFSET($R47,0,T$12+(COUNTIF($R47:T47,$C47)))</f>
        <v>ORG</v>
      </c>
      <c r="AC47" s="143" t="str">
        <f ca="1">OFFSET($R47,0,U$12+(COUNTIF($R47:U47,$C47)))</f>
        <v>BLU</v>
      </c>
      <c r="AD47" s="143" t="str">
        <f ca="1">OFFSET($R47,0,V$12+(COUNTIF($R47:V47,$C47)))</f>
        <v>GRN</v>
      </c>
      <c r="AE47" s="143" t="str">
        <f ca="1">OFFSET($R47,0,W$12+(COUNTIF($R47:W47,$C47)))</f>
        <v>YLW</v>
      </c>
      <c r="AF47" s="143" t="str">
        <f ca="1">OFFSET($R47,0,X$12+(COUNTIF($R47:X47,$C47)))</f>
        <v>PRP</v>
      </c>
      <c r="AG47" s="154" t="b">
        <f t="shared" si="11"/>
        <v>1</v>
      </c>
      <c r="AH47" s="154" t="b">
        <f t="shared" si="12"/>
        <v>1</v>
      </c>
      <c r="AJ47" s="916" t="s">
        <v>97</v>
      </c>
      <c r="AK47" s="916" t="s">
        <v>95</v>
      </c>
      <c r="AL47" s="916"/>
    </row>
    <row r="48" spans="1:38" ht="16.350000000000001" customHeight="1" x14ac:dyDescent="0.2">
      <c r="A48" s="983"/>
      <c r="B48" s="985"/>
      <c r="C48" s="595"/>
      <c r="D48" s="986"/>
      <c r="E48" s="1763"/>
      <c r="F48" s="1764"/>
      <c r="G48" s="1765"/>
      <c r="H48" s="1765"/>
      <c r="I48" s="1765"/>
      <c r="J48" s="1765"/>
      <c r="K48" s="1765"/>
      <c r="L48" s="1765"/>
      <c r="M48" s="1765"/>
      <c r="N48" s="1766"/>
      <c r="P48" s="399" t="str">
        <f t="shared" si="0"/>
        <v/>
      </c>
      <c r="R48" s="143" t="str">
        <f t="shared" ca="1" si="1"/>
        <v>WHT</v>
      </c>
      <c r="S48" s="143" t="str">
        <f t="shared" ca="1" si="2"/>
        <v>BRN</v>
      </c>
      <c r="T48" s="143" t="str">
        <f t="shared" ca="1" si="3"/>
        <v>ORG</v>
      </c>
      <c r="U48" s="143" t="str">
        <f t="shared" ca="1" si="4"/>
        <v>BLU</v>
      </c>
      <c r="V48" s="143" t="str">
        <f t="shared" ca="1" si="5"/>
        <v>GRN</v>
      </c>
      <c r="W48" s="143" t="str">
        <f t="shared" ca="1" si="6"/>
        <v>YLW</v>
      </c>
      <c r="X48" s="143" t="str">
        <f t="shared" ca="1" si="7"/>
        <v>PRP</v>
      </c>
      <c r="Y48" s="143" t="str">
        <f t="shared" ca="1" si="8"/>
        <v>RED</v>
      </c>
      <c r="Z48" s="143" t="str">
        <f ca="1">OFFSET($R48,0,R$12+(COUNTIF($R48:R48,$C48)))</f>
        <v>WHT</v>
      </c>
      <c r="AA48" s="143" t="str">
        <f ca="1">OFFSET($R48,0,S$12+(COUNTIF($R48:S48,$C48)))</f>
        <v>BRN</v>
      </c>
      <c r="AB48" s="143" t="str">
        <f ca="1">OFFSET($R48,0,T$12+(COUNTIF($R48:T48,$C48)))</f>
        <v>ORG</v>
      </c>
      <c r="AC48" s="143" t="str">
        <f ca="1">OFFSET($R48,0,U$12+(COUNTIF($R48:U48,$C48)))</f>
        <v>BLU</v>
      </c>
      <c r="AD48" s="143" t="str">
        <f ca="1">OFFSET($R48,0,V$12+(COUNTIF($R48:V48,$C48)))</f>
        <v>GRN</v>
      </c>
      <c r="AE48" s="143" t="str">
        <f ca="1">OFFSET($R48,0,W$12+(COUNTIF($R48:W48,$C48)))</f>
        <v>YLW</v>
      </c>
      <c r="AF48" s="143" t="str">
        <f ca="1">OFFSET($R48,0,X$12+(COUNTIF($R48:X48,$C48)))</f>
        <v>PRP</v>
      </c>
      <c r="AG48" s="154" t="b">
        <f t="shared" si="11"/>
        <v>1</v>
      </c>
      <c r="AH48" s="154" t="b">
        <f t="shared" si="12"/>
        <v>1</v>
      </c>
      <c r="AJ48" s="916" t="s">
        <v>100</v>
      </c>
      <c r="AK48" s="916" t="s">
        <v>98</v>
      </c>
      <c r="AL48" s="916"/>
    </row>
    <row r="49" spans="1:38" ht="16.350000000000001" customHeight="1" x14ac:dyDescent="0.2">
      <c r="A49" s="984"/>
      <c r="B49" s="987"/>
      <c r="C49" s="969"/>
      <c r="D49" s="988"/>
      <c r="E49" s="1777"/>
      <c r="F49" s="1778"/>
      <c r="G49" s="1779"/>
      <c r="H49" s="1779"/>
      <c r="I49" s="1779"/>
      <c r="J49" s="1779"/>
      <c r="K49" s="1779"/>
      <c r="L49" s="1779"/>
      <c r="M49" s="1779"/>
      <c r="N49" s="1780"/>
      <c r="P49" s="399" t="str">
        <f>CONCATENATE(IF(ISBLANK(B49),"",VLOOKUP(B49,$R$1:$S$9,2,FALSE)),IF(ISBLANK(C49),"",CONCATENATE("/",VLOOKUP(C49,$R$1:$S$9,2,FALSE))),IF(ISBLANK(D49),"",CONCATENATE("/",VLOOKUP(D49,$R$1:$S$9,2,FALSE))))</f>
        <v/>
      </c>
      <c r="R49" s="143" t="str">
        <f ca="1">OFFSET($R$1,R$12+(COUNTIF($R$1:$R$1,B49)),0)</f>
        <v>WHT</v>
      </c>
      <c r="S49" s="143" t="str">
        <f ca="1">OFFSET($R$1,S$12+(COUNTIF($R$1:$R$2,B49)),0)</f>
        <v>BRN</v>
      </c>
      <c r="T49" s="143" t="str">
        <f ca="1">OFFSET($R$1,T$12+(COUNTIF($R$1:$R$3,B49)),0)</f>
        <v>ORG</v>
      </c>
      <c r="U49" s="143" t="str">
        <f ca="1">OFFSET($R$1,U$12+(COUNTIF($R$1:$R$4,B49)),0)</f>
        <v>BLU</v>
      </c>
      <c r="V49" s="143" t="str">
        <f ca="1">OFFSET($R$1,V$12+(COUNTIF($R$1:$R$5,B49)),0)</f>
        <v>GRN</v>
      </c>
      <c r="W49" s="143" t="str">
        <f ca="1">OFFSET($R$1,W$12+(COUNTIF($R$1:$R$6,B49)),0)</f>
        <v>YLW</v>
      </c>
      <c r="X49" s="143" t="str">
        <f ca="1">OFFSET($R$1,X$12+(COUNTIF($R$1:$R$7,B49)),0)</f>
        <v>PRP</v>
      </c>
      <c r="Y49" s="143" t="str">
        <f ca="1">OFFSET($R$1,Y$12+(COUNTIF($R$1:$R$8,B49)),0)</f>
        <v>RED</v>
      </c>
      <c r="Z49" s="143" t="str">
        <f ca="1">OFFSET($R49,0,R$12+(COUNTIF($R49:R49,$C49)))</f>
        <v>WHT</v>
      </c>
      <c r="AA49" s="143" t="str">
        <f ca="1">OFFSET($R49,0,S$12+(COUNTIF($R49:S49,$C49)))</f>
        <v>BRN</v>
      </c>
      <c r="AB49" s="143" t="str">
        <f ca="1">OFFSET($R49,0,T$12+(COUNTIF($R49:T49,$C49)))</f>
        <v>ORG</v>
      </c>
      <c r="AC49" s="143" t="str">
        <f ca="1">OFFSET($R49,0,U$12+(COUNTIF($R49:U49,$C49)))</f>
        <v>BLU</v>
      </c>
      <c r="AD49" s="143" t="str">
        <f ca="1">OFFSET($R49,0,V$12+(COUNTIF($R49:V49,$C49)))</f>
        <v>GRN</v>
      </c>
      <c r="AE49" s="143" t="str">
        <f ca="1">OFFSET($R49,0,W$12+(COUNTIF($R49:W49,$C49)))</f>
        <v>YLW</v>
      </c>
      <c r="AF49" s="143" t="str">
        <f ca="1">OFFSET($R49,0,X$12+(COUNTIF($R49:X49,$C49)))</f>
        <v>PRP</v>
      </c>
      <c r="AG49" s="154" t="b">
        <f>ISBLANK(B49)</f>
        <v>1</v>
      </c>
      <c r="AH49" s="154" t="b">
        <f>ISBLANK(C49)</f>
        <v>1</v>
      </c>
      <c r="AJ49" s="916" t="s">
        <v>101</v>
      </c>
      <c r="AK49" s="916" t="s">
        <v>99</v>
      </c>
      <c r="AL49" s="916"/>
    </row>
    <row r="50" spans="1:38" ht="15.95" customHeight="1" x14ac:dyDescent="0.2"/>
    <row r="51" spans="1:38" ht="15.95" customHeight="1" x14ac:dyDescent="0.2"/>
    <row r="52" spans="1:38" ht="15.95" customHeight="1" x14ac:dyDescent="0.2"/>
    <row r="53" spans="1:38" ht="15.95" customHeight="1" x14ac:dyDescent="0.2"/>
    <row r="54" spans="1:38" ht="12.6" customHeight="1" x14ac:dyDescent="0.2"/>
    <row r="55" spans="1:38" ht="12.6" customHeight="1" x14ac:dyDescent="0.2"/>
    <row r="56" spans="1:38" ht="12.6" customHeight="1" x14ac:dyDescent="0.2"/>
    <row r="57" spans="1:38" ht="12.6" customHeight="1" x14ac:dyDescent="0.2"/>
    <row r="58" spans="1:38" ht="12.6" customHeight="1" x14ac:dyDescent="0.2"/>
    <row r="59" spans="1:38" ht="12.6" customHeight="1" x14ac:dyDescent="0.2">
      <c r="A59" s="707" t="s">
        <v>614</v>
      </c>
    </row>
    <row r="60" spans="1:38" ht="12.6" hidden="1" customHeight="1" x14ac:dyDescent="0.2">
      <c r="A60" s="831" t="s">
        <v>64</v>
      </c>
    </row>
    <row r="61" spans="1:38" ht="12.6" hidden="1" customHeight="1" x14ac:dyDescent="0.2">
      <c r="A61" s="833" t="s">
        <v>701</v>
      </c>
    </row>
    <row r="62" spans="1:38" ht="12.6" hidden="1" customHeight="1" x14ac:dyDescent="0.2"/>
    <row r="63" spans="1:38" ht="12.6" hidden="1" customHeight="1" x14ac:dyDescent="0.2"/>
    <row r="64" spans="1:38" ht="12.6" hidden="1" customHeight="1" x14ac:dyDescent="0.2"/>
    <row r="65" spans="1:1" ht="12.6" customHeight="1" x14ac:dyDescent="0.2">
      <c r="A65" s="707" t="s">
        <v>615</v>
      </c>
    </row>
    <row r="66" spans="1:1" ht="12.6" customHeight="1" x14ac:dyDescent="0.2"/>
    <row r="67" spans="1:1" ht="12.6" customHeight="1" x14ac:dyDescent="0.2"/>
  </sheetData>
  <sheetProtection selectLockedCells="1"/>
  <dataConsolidate link="1"/>
  <mergeCells count="55">
    <mergeCell ref="AJ10:AL12"/>
    <mergeCell ref="E40:N40"/>
    <mergeCell ref="E41:N41"/>
    <mergeCell ref="E42:N42"/>
    <mergeCell ref="E43:N43"/>
    <mergeCell ref="E39:N39"/>
    <mergeCell ref="E28:N28"/>
    <mergeCell ref="E29:N29"/>
    <mergeCell ref="E30:N30"/>
    <mergeCell ref="E31:N31"/>
    <mergeCell ref="E32:N32"/>
    <mergeCell ref="E33:N33"/>
    <mergeCell ref="E34:N34"/>
    <mergeCell ref="E35:N35"/>
    <mergeCell ref="E36:N36"/>
    <mergeCell ref="E37:N37"/>
    <mergeCell ref="E44:N44"/>
    <mergeCell ref="E49:N49"/>
    <mergeCell ref="E45:N45"/>
    <mergeCell ref="E46:N46"/>
    <mergeCell ref="E47:N47"/>
    <mergeCell ref="E48:N48"/>
    <mergeCell ref="E38:N38"/>
    <mergeCell ref="E27:N27"/>
    <mergeCell ref="E16:N16"/>
    <mergeCell ref="E17:N17"/>
    <mergeCell ref="E18:N18"/>
    <mergeCell ref="E19:N19"/>
    <mergeCell ref="E20:N20"/>
    <mergeCell ref="E21:N21"/>
    <mergeCell ref="E22:N22"/>
    <mergeCell ref="E23:N23"/>
    <mergeCell ref="E24:N24"/>
    <mergeCell ref="E25:N25"/>
    <mergeCell ref="E26:N26"/>
    <mergeCell ref="H1:J1"/>
    <mergeCell ref="H2:J3"/>
    <mergeCell ref="H4:J4"/>
    <mergeCell ref="E13:N13"/>
    <mergeCell ref="E14:N14"/>
    <mergeCell ref="A5:J5"/>
    <mergeCell ref="K2:L2"/>
    <mergeCell ref="K3:L3"/>
    <mergeCell ref="K4:L4"/>
    <mergeCell ref="M1:N1"/>
    <mergeCell ref="M2:N2"/>
    <mergeCell ref="M3:N3"/>
    <mergeCell ref="M4:N4"/>
    <mergeCell ref="K1:L1"/>
    <mergeCell ref="E15:N15"/>
    <mergeCell ref="L6:M6"/>
    <mergeCell ref="E12:N12"/>
    <mergeCell ref="B12:D12"/>
    <mergeCell ref="B9:J9"/>
    <mergeCell ref="B10:J10"/>
  </mergeCells>
  <phoneticPr fontId="0" type="noConversion"/>
  <conditionalFormatting sqref="H2:J4">
    <cfRule type="cellIs" dxfId="628" priority="1" stopIfTrue="1" operator="equal">
      <formula>""</formula>
    </cfRule>
  </conditionalFormatting>
  <conditionalFormatting sqref="E13:N49">
    <cfRule type="expression" dxfId="627" priority="2" stopIfTrue="1">
      <formula>LEN(E13)&gt;20</formula>
    </cfRule>
  </conditionalFormatting>
  <dataValidations count="3">
    <dataValidation type="list" allowBlank="1" showErrorMessage="1" sqref="B13:B49" xr:uid="{00000000-0002-0000-0800-000000000000}">
      <formula1>$R$1:$R$9</formula1>
    </dataValidation>
    <dataValidation type="list" allowBlank="1" showInputMessage="1" showErrorMessage="1" sqref="C13:C49" xr:uid="{00000000-0002-0000-0800-000001000000}">
      <formula1>IF(AG13,$T$1,$R13:$Y13)</formula1>
    </dataValidation>
    <dataValidation type="list" allowBlank="1" showInputMessage="1" showErrorMessage="1" sqref="D13:D49" xr:uid="{00000000-0002-0000-0800-000002000000}">
      <formula1>IF(AH13,$T$1:$T$1,$Z13:$AF13)</formula1>
    </dataValidation>
  </dataValidations>
  <printOptions horizontalCentered="1"/>
  <pageMargins left="0.3" right="0.3" top="0.5" bottom="0.5" header="0" footer="0.25"/>
  <pageSetup orientation="portrait" r:id="rId1"/>
  <headerFooter alignWithMargins="0">
    <oddFooter>&amp;R&amp;7Printed: &amp;D &amp;T&amp;L&amp;7Version: 21.0428
File: &amp;F</oddFooter>
  </headerFooter>
  <drawing r:id="rId2"/>
  <legacyDrawing r:id="rId3"/>
  <controls>
    <mc:AlternateContent xmlns:mc="http://schemas.openxmlformats.org/markup-compatibility/2006">
      <mc:Choice Requires="x14">
        <control shapeId="1820687" r:id="rId4" name="btnColorTag">
          <controlPr defaultSize="0" autoLine="0" r:id="rId5">
            <anchor moveWithCells="1">
              <from>
                <xdr:col>14</xdr:col>
                <xdr:colOff>171450</xdr:colOff>
                <xdr:row>12</xdr:row>
                <xdr:rowOff>28575</xdr:rowOff>
              </from>
              <to>
                <xdr:col>39</xdr:col>
                <xdr:colOff>180975</xdr:colOff>
                <xdr:row>13</xdr:row>
                <xdr:rowOff>180975</xdr:rowOff>
              </to>
            </anchor>
          </controlPr>
        </control>
      </mc:Choice>
      <mc:Fallback>
        <control shapeId="1820687" r:id="rId4" name="btnColorTag"/>
      </mc:Fallback>
    </mc:AlternateContent>
  </control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6">
    <tabColor indexed="31"/>
  </sheetPr>
  <dimension ref="A1:AL65"/>
  <sheetViews>
    <sheetView showGridLines="0" zoomScaleNormal="100" zoomScaleSheetLayoutView="100" workbookViewId="0">
      <selection activeCell="B13" sqref="B13"/>
    </sheetView>
  </sheetViews>
  <sheetFormatPr defaultColWidth="9.140625" defaultRowHeight="12.75" x14ac:dyDescent="0.2"/>
  <cols>
    <col min="1" max="1" width="8.7109375" style="1" customWidth="1"/>
    <col min="2" max="10" width="6.42578125" style="1" customWidth="1"/>
    <col min="11" max="15" width="6.28515625" style="1" customWidth="1"/>
    <col min="16" max="16" width="3.7109375" style="1" customWidth="1"/>
    <col min="17" max="17" width="6.7109375" style="1" customWidth="1"/>
    <col min="18" max="31" width="6.7109375" style="1" hidden="1" customWidth="1"/>
    <col min="32" max="32" width="6.7109375" style="18" hidden="1" customWidth="1"/>
    <col min="33" max="34" width="6.7109375" style="1" hidden="1" customWidth="1"/>
    <col min="35" max="36" width="9.140625" style="1" hidden="1" customWidth="1"/>
    <col min="37" max="37" width="9.140625" style="950" hidden="1" customWidth="1"/>
    <col min="38" max="16384" width="9.140625" style="1"/>
  </cols>
  <sheetData>
    <row r="1" spans="1:38" s="303" customFormat="1" ht="14.45" customHeight="1" thickBot="1" x14ac:dyDescent="0.25">
      <c r="A1" s="298"/>
      <c r="B1" s="298"/>
      <c r="C1" s="298"/>
      <c r="D1" s="298"/>
      <c r="E1" s="298"/>
      <c r="F1" s="298"/>
      <c r="G1" s="298"/>
      <c r="H1" s="1705" t="e">
        <f>IF(ISBLANK(R1),"",VLOOKUP(R1,#REF!,4,FALSE))</f>
        <v>#REF!</v>
      </c>
      <c r="I1" s="1705"/>
      <c r="J1" s="1705"/>
      <c r="K1" s="1812" t="s">
        <v>77</v>
      </c>
      <c r="L1" s="1812"/>
      <c r="M1" s="1812"/>
      <c r="N1" s="1805" t="e">
        <f>#REF!</f>
        <v>#REF!</v>
      </c>
      <c r="O1" s="1805"/>
      <c r="P1" s="410"/>
      <c r="Q1" s="423" t="s">
        <v>375</v>
      </c>
      <c r="R1" s="696" t="s">
        <v>91</v>
      </c>
      <c r="S1" s="302" t="e">
        <f>IF(ISBLANK(R1),"",VLOOKUP(R1,#REF!,2,FALSE))</f>
        <v>#REF!</v>
      </c>
      <c r="AF1" s="302"/>
      <c r="AJ1" s="716" t="s">
        <v>704</v>
      </c>
      <c r="AK1" s="947"/>
      <c r="AL1" s="425" t="s">
        <v>376</v>
      </c>
    </row>
    <row r="2" spans="1:38" s="303" customFormat="1" ht="12.95" customHeight="1" thickTop="1" x14ac:dyDescent="0.2">
      <c r="A2" s="298"/>
      <c r="B2" s="298"/>
      <c r="C2" s="298"/>
      <c r="D2" s="298"/>
      <c r="E2" s="298"/>
      <c r="F2" s="298"/>
      <c r="G2" s="298"/>
      <c r="H2" s="1806" t="e">
        <f>IF(ISBLANK(R1),"",IF(VLOOKUP(R1,#REF!,2,FALSE),"Released for Fabrication",""))</f>
        <v>#REF!</v>
      </c>
      <c r="I2" s="1807"/>
      <c r="J2" s="1808"/>
      <c r="K2" s="1812" t="s">
        <v>78</v>
      </c>
      <c r="L2" s="1812"/>
      <c r="M2" s="1812"/>
      <c r="N2" s="1805" t="e">
        <f>#REF!</f>
        <v>#REF!</v>
      </c>
      <c r="O2" s="1805"/>
      <c r="P2" s="410"/>
      <c r="AF2" s="302"/>
      <c r="AK2" s="947"/>
    </row>
    <row r="3" spans="1:38" s="303" customFormat="1" ht="12.95" customHeight="1" x14ac:dyDescent="0.2">
      <c r="A3" s="298"/>
      <c r="B3" s="298"/>
      <c r="C3" s="298"/>
      <c r="D3" s="298"/>
      <c r="E3" s="298"/>
      <c r="F3" s="298"/>
      <c r="G3" s="298"/>
      <c r="H3" s="1752"/>
      <c r="I3" s="1753"/>
      <c r="J3" s="1754"/>
      <c r="K3" s="1812" t="s">
        <v>80</v>
      </c>
      <c r="L3" s="1812"/>
      <c r="M3" s="1812"/>
      <c r="N3" s="1805" t="e">
        <f>#REF!</f>
        <v>#REF!</v>
      </c>
      <c r="O3" s="1805"/>
      <c r="P3" s="410"/>
      <c r="AF3" s="302"/>
      <c r="AK3" s="947"/>
    </row>
    <row r="4" spans="1:38" s="303" customFormat="1" ht="12.95" customHeight="1" thickBot="1" x14ac:dyDescent="0.25">
      <c r="A4" s="298"/>
      <c r="B4" s="298"/>
      <c r="C4" s="298"/>
      <c r="D4" s="298"/>
      <c r="E4" s="298"/>
      <c r="F4" s="298"/>
      <c r="G4" s="298"/>
      <c r="H4" s="1809" t="e">
        <f>IF(ISBLANK(R1),"",IF(VLOOKUP(R1,#REF!,2,FALSE),VLOOKUP(R1,#REF!,3,FALSE),""))</f>
        <v>#REF!</v>
      </c>
      <c r="I4" s="1810"/>
      <c r="J4" s="1811"/>
      <c r="K4" s="1812" t="s">
        <v>79</v>
      </c>
      <c r="L4" s="1812"/>
      <c r="M4" s="1812"/>
      <c r="N4" s="1805" t="e">
        <f>#REF!</f>
        <v>#REF!</v>
      </c>
      <c r="O4" s="1805"/>
      <c r="P4" s="410"/>
      <c r="AF4" s="302"/>
      <c r="AK4" s="947"/>
    </row>
    <row r="5" spans="1:38" s="303" customFormat="1" ht="12.95" customHeight="1" thickTop="1" x14ac:dyDescent="0.2">
      <c r="A5" s="1720" t="e">
        <f>#REF!</f>
        <v>#REF!</v>
      </c>
      <c r="B5" s="1720"/>
      <c r="C5" s="1720"/>
      <c r="D5" s="1720"/>
      <c r="E5" s="1720"/>
      <c r="F5" s="1720"/>
      <c r="G5" s="1720"/>
      <c r="H5" s="1720"/>
      <c r="I5" s="1720"/>
      <c r="J5" s="1720"/>
      <c r="K5" s="17"/>
      <c r="L5" s="298"/>
      <c r="M5" s="298"/>
      <c r="N5" s="298"/>
      <c r="O5" s="298"/>
      <c r="P5" s="410"/>
      <c r="AF5" s="302"/>
      <c r="AK5" s="948"/>
    </row>
    <row r="6" spans="1:38" s="303" customFormat="1" ht="12.95" customHeight="1" x14ac:dyDescent="0.2">
      <c r="A6" s="298"/>
      <c r="B6" s="298"/>
      <c r="C6" s="298"/>
      <c r="D6" s="298"/>
      <c r="E6" s="298"/>
      <c r="F6" s="298"/>
      <c r="G6" s="298"/>
      <c r="H6" s="298"/>
      <c r="I6" s="298"/>
      <c r="J6" s="298"/>
      <c r="K6" s="393" t="s">
        <v>20</v>
      </c>
      <c r="L6" s="1702" t="e">
        <f>IF(ISBLANK(#REF!),"",#REF!)</f>
        <v>#REF!</v>
      </c>
      <c r="M6" s="1702"/>
      <c r="N6" s="298"/>
      <c r="O6" s="298"/>
      <c r="P6" s="410"/>
      <c r="R6" s="995" t="s">
        <v>705</v>
      </c>
      <c r="AF6" s="302"/>
      <c r="AK6" s="947"/>
    </row>
    <row r="7" spans="1:38" s="154" customFormat="1" ht="12.95" customHeight="1" x14ac:dyDescent="0.2">
      <c r="A7" s="321" t="s">
        <v>53</v>
      </c>
      <c r="B7" s="322"/>
      <c r="C7" s="322"/>
      <c r="D7" s="322"/>
      <c r="E7" s="322"/>
      <c r="F7" s="322"/>
      <c r="G7" s="298"/>
      <c r="H7" s="322"/>
      <c r="I7" s="322"/>
      <c r="J7" s="322"/>
      <c r="K7" s="394" t="s">
        <v>21</v>
      </c>
      <c r="L7" s="1108" t="e">
        <f>CONCATENATE(R7, " of ",IF(ISBLANK(#REF!),"",#REF!))</f>
        <v>#REF!</v>
      </c>
      <c r="M7" s="601"/>
      <c r="N7" s="322"/>
      <c r="O7" s="322"/>
      <c r="P7" s="411"/>
      <c r="R7" s="996"/>
      <c r="AF7" s="324"/>
      <c r="AK7" s="949"/>
    </row>
    <row r="8" spans="1:38" ht="3.95" customHeight="1" x14ac:dyDescent="0.2">
      <c r="A8" s="5"/>
      <c r="B8" s="5"/>
      <c r="C8" s="5"/>
      <c r="D8" s="5"/>
      <c r="E8" s="5"/>
      <c r="F8" s="5"/>
      <c r="G8" s="5"/>
      <c r="H8" s="5"/>
      <c r="I8" s="5"/>
      <c r="J8" s="5"/>
      <c r="K8" s="5"/>
      <c r="L8" s="5"/>
      <c r="M8" s="5"/>
      <c r="N8" s="5"/>
      <c r="O8" s="5"/>
      <c r="P8" s="7"/>
    </row>
    <row r="9" spans="1:38" ht="12.2" customHeight="1" x14ac:dyDescent="0.2">
      <c r="A9" s="994" t="s">
        <v>1</v>
      </c>
      <c r="B9" s="1699" t="e">
        <f>IF(ISBLANK(#REF!),"",#REF!)</f>
        <v>#REF!</v>
      </c>
      <c r="C9" s="1699"/>
      <c r="D9" s="1699"/>
      <c r="E9" s="1699"/>
      <c r="F9" s="1699"/>
      <c r="G9" s="1700"/>
      <c r="H9" s="1758" t="s">
        <v>2</v>
      </c>
      <c r="I9" s="1758"/>
      <c r="J9" s="1699" t="e">
        <f>IF(ISBLANK(#REF!),"",#REF!)</f>
        <v>#REF!</v>
      </c>
      <c r="K9" s="1699"/>
      <c r="L9" s="1699"/>
      <c r="M9" s="1699"/>
      <c r="N9" s="1699"/>
      <c r="O9" s="1700"/>
      <c r="P9" s="7"/>
    </row>
    <row r="10" spans="1:38" ht="12.2" customHeight="1" x14ac:dyDescent="0.2">
      <c r="A10" s="994" t="s">
        <v>3</v>
      </c>
      <c r="B10" s="1699" t="e">
        <f>IF(ISBLANK(#REF!),"",#REF!)</f>
        <v>#REF!</v>
      </c>
      <c r="C10" s="1699"/>
      <c r="D10" s="1699"/>
      <c r="E10" s="1699"/>
      <c r="F10" s="1699"/>
      <c r="G10" s="1700"/>
      <c r="H10" s="1758" t="s">
        <v>22</v>
      </c>
      <c r="I10" s="1758"/>
      <c r="J10" s="1699" t="e">
        <f>IF(ISBLANK(#REF!),"",#REF!)</f>
        <v>#REF!</v>
      </c>
      <c r="K10" s="1700"/>
      <c r="L10" s="1792" t="s">
        <v>23</v>
      </c>
      <c r="M10" s="1758"/>
      <c r="N10" s="1699" t="e">
        <f>IF(ISBLANK(#REF!),"",#REF!)</f>
        <v>#REF!</v>
      </c>
      <c r="O10" s="1700"/>
      <c r="P10" s="7"/>
    </row>
    <row r="11" spans="1:38" ht="3.95" customHeight="1" x14ac:dyDescent="0.2">
      <c r="A11" s="1000"/>
      <c r="B11" s="5"/>
      <c r="C11" s="5"/>
      <c r="D11" s="5"/>
      <c r="E11" s="5"/>
      <c r="F11" s="5"/>
      <c r="G11" s="5"/>
      <c r="H11" s="5"/>
      <c r="I11" s="5"/>
      <c r="J11" s="5"/>
      <c r="K11" s="5"/>
      <c r="L11" s="5"/>
      <c r="M11" s="5"/>
      <c r="N11" s="5"/>
      <c r="O11" s="5"/>
      <c r="P11" s="7"/>
      <c r="R11" s="1793" t="s">
        <v>153</v>
      </c>
      <c r="S11" s="1794"/>
      <c r="T11" s="1794"/>
      <c r="U11" s="1794"/>
      <c r="V11" s="1794"/>
      <c r="W11" s="1794"/>
      <c r="X11" s="1794"/>
      <c r="Y11" s="1794"/>
      <c r="Z11" s="1794"/>
      <c r="AA11" s="1794"/>
      <c r="AB11" s="1794"/>
      <c r="AC11" s="1794"/>
      <c r="AD11" s="1794"/>
      <c r="AE11" s="1795"/>
      <c r="AF11" s="1787" t="s">
        <v>157</v>
      </c>
      <c r="AG11" s="1787" t="s">
        <v>158</v>
      </c>
      <c r="AH11" s="1787" t="s">
        <v>689</v>
      </c>
    </row>
    <row r="12" spans="1:38" s="6" customFormat="1" ht="15.95" customHeight="1" x14ac:dyDescent="0.2">
      <c r="A12" s="1790" t="s">
        <v>40</v>
      </c>
      <c r="B12" s="1802" t="s">
        <v>56</v>
      </c>
      <c r="C12" s="1803"/>
      <c r="D12" s="1803"/>
      <c r="E12" s="1803"/>
      <c r="F12" s="1803"/>
      <c r="G12" s="1803"/>
      <c r="H12" s="1803"/>
      <c r="I12" s="1803"/>
      <c r="J12" s="1803"/>
      <c r="K12" s="1803"/>
      <c r="L12" s="1803"/>
      <c r="M12" s="1803"/>
      <c r="N12" s="1803"/>
      <c r="O12" s="1804"/>
      <c r="P12" s="7"/>
      <c r="R12" s="1796"/>
      <c r="S12" s="1797"/>
      <c r="T12" s="1797"/>
      <c r="U12" s="1797"/>
      <c r="V12" s="1797"/>
      <c r="W12" s="1797"/>
      <c r="X12" s="1797"/>
      <c r="Y12" s="1797"/>
      <c r="Z12" s="1797"/>
      <c r="AA12" s="1797"/>
      <c r="AB12" s="1797"/>
      <c r="AC12" s="1797"/>
      <c r="AD12" s="1797"/>
      <c r="AE12" s="1798"/>
      <c r="AF12" s="1788"/>
      <c r="AG12" s="1788"/>
      <c r="AH12" s="1788"/>
      <c r="AK12" s="951"/>
    </row>
    <row r="13" spans="1:38" ht="15.95" customHeight="1" x14ac:dyDescent="0.2">
      <c r="A13" s="1791"/>
      <c r="B13" s="1375"/>
      <c r="C13" s="1376"/>
      <c r="D13" s="1376"/>
      <c r="E13" s="1376"/>
      <c r="F13" s="1376"/>
      <c r="G13" s="1376"/>
      <c r="H13" s="1376"/>
      <c r="I13" s="1376"/>
      <c r="J13" s="1376"/>
      <c r="K13" s="1376"/>
      <c r="L13" s="1376"/>
      <c r="M13" s="1376"/>
      <c r="N13" s="1376"/>
      <c r="O13" s="1377"/>
      <c r="P13" s="599" t="s">
        <v>75</v>
      </c>
      <c r="R13" s="1799"/>
      <c r="S13" s="1800"/>
      <c r="T13" s="1800"/>
      <c r="U13" s="1800"/>
      <c r="V13" s="1800"/>
      <c r="W13" s="1800"/>
      <c r="X13" s="1800"/>
      <c r="Y13" s="1800"/>
      <c r="Z13" s="1800"/>
      <c r="AA13" s="1800"/>
      <c r="AB13" s="1800"/>
      <c r="AC13" s="1800"/>
      <c r="AD13" s="1800"/>
      <c r="AE13" s="1801"/>
      <c r="AF13" s="1789"/>
      <c r="AG13" s="1789"/>
      <c r="AH13" s="1789"/>
    </row>
    <row r="14" spans="1:38" ht="15.95" customHeight="1" x14ac:dyDescent="0.2">
      <c r="A14" s="1363"/>
      <c r="B14" s="1364"/>
      <c r="C14" s="1365"/>
      <c r="D14" s="1365"/>
      <c r="E14" s="1365"/>
      <c r="F14" s="1365"/>
      <c r="G14" s="1365"/>
      <c r="H14" s="1365"/>
      <c r="I14" s="1365"/>
      <c r="J14" s="1365"/>
      <c r="K14" s="1365"/>
      <c r="L14" s="1365"/>
      <c r="M14" s="1365"/>
      <c r="N14" s="1365"/>
      <c r="O14" s="1366"/>
      <c r="P14" s="600" t="str">
        <f t="shared" ref="P14:P49" si="0">IF(ISBLANK(A14),"",SUM(B14:O14))</f>
        <v/>
      </c>
      <c r="R14" s="19"/>
      <c r="S14" s="19"/>
      <c r="T14" s="19"/>
      <c r="U14" s="19"/>
      <c r="V14" s="19"/>
      <c r="W14" s="19"/>
      <c r="X14" s="19"/>
      <c r="Y14" s="19"/>
      <c r="Z14" s="19"/>
      <c r="AA14" s="19"/>
      <c r="AB14" s="19"/>
      <c r="AC14" s="19"/>
      <c r="AD14" s="19"/>
      <c r="AE14" s="19"/>
      <c r="AF14" s="22"/>
      <c r="AG14" s="21" t="b">
        <f>OR(IF(ISNUMBER(B14),B14&gt;R14),IF(ISNUMBER(C14),C14&gt;S14),IF(ISNUMBER(D14),D14&gt;T14),IF(ISNUMBER(E14),E14&gt;U14),IF(ISNUMBER(F14),F14&gt;V14),IF(ISNUMBER(G14),G14&gt;W14),IF(ISNUMBER(H14),H14&gt;X14),IF(ISNUMBER(I14),I14&gt;Y14),IF(ISNUMBER(J14),J14&gt;Z14),IF(ISNUMBER(K14),K14&gt;AA14),IF(ISNUMBER(L14),L14&gt;AB14),IF(ISNUMBER(M14),M14&gt;AC14),IF(ISNUMBER(N14),N14&gt;AD14),IF(ISNUMBER(O14),O14&gt;AE14))</f>
        <v>0</v>
      </c>
      <c r="AH14" s="952" t="b">
        <v>0</v>
      </c>
    </row>
    <row r="15" spans="1:38" ht="15.95" customHeight="1" x14ac:dyDescent="0.2">
      <c r="A15" s="1367"/>
      <c r="B15" s="1368"/>
      <c r="C15" s="1369"/>
      <c r="D15" s="1369"/>
      <c r="E15" s="1369"/>
      <c r="F15" s="1369"/>
      <c r="G15" s="1369"/>
      <c r="H15" s="1369"/>
      <c r="I15" s="1369"/>
      <c r="J15" s="1369"/>
      <c r="K15" s="1369"/>
      <c r="L15" s="1369"/>
      <c r="M15" s="1369"/>
      <c r="N15" s="1369"/>
      <c r="O15" s="1370"/>
      <c r="P15" s="600" t="str">
        <f t="shared" si="0"/>
        <v/>
      </c>
      <c r="R15" s="19"/>
      <c r="S15" s="19"/>
      <c r="T15" s="19"/>
      <c r="U15" s="19"/>
      <c r="V15" s="19"/>
      <c r="W15" s="19"/>
      <c r="X15" s="19"/>
      <c r="Y15" s="19"/>
      <c r="Z15" s="19"/>
      <c r="AA15" s="19"/>
      <c r="AB15" s="19"/>
      <c r="AC15" s="19"/>
      <c r="AD15" s="19"/>
      <c r="AE15" s="19"/>
      <c r="AF15" s="22"/>
      <c r="AG15" s="21" t="b">
        <f t="shared" ref="AG15:AG49" si="1">OR(IF(ISNUMBER(B15),B15&gt;R15),IF(ISNUMBER(C15),C15&gt;S15),IF(ISNUMBER(D15),D15&gt;T15),IF(ISNUMBER(E15),E15&gt;U15),IF(ISNUMBER(F15),F15&gt;V15),IF(ISNUMBER(G15),G15&gt;W15),IF(ISNUMBER(H15),H15&gt;X15),IF(ISNUMBER(I15),I15&gt;Y15),IF(ISNUMBER(J15),J15&gt;Z15),IF(ISNUMBER(K15),K15&gt;AA15),IF(ISNUMBER(L15),L15&gt;AB15),IF(ISNUMBER(M15),M15&gt;AC15),IF(ISNUMBER(N15),N15&gt;AD15),IF(ISNUMBER(O15),O15&gt;AE15))</f>
        <v>0</v>
      </c>
      <c r="AH15" s="952" t="b">
        <v>0</v>
      </c>
    </row>
    <row r="16" spans="1:38" ht="15.95" customHeight="1" x14ac:dyDescent="0.2">
      <c r="A16" s="1367"/>
      <c r="B16" s="1368"/>
      <c r="C16" s="1369"/>
      <c r="D16" s="1369"/>
      <c r="E16" s="1369"/>
      <c r="F16" s="1369"/>
      <c r="G16" s="1369"/>
      <c r="H16" s="1369"/>
      <c r="I16" s="1369"/>
      <c r="J16" s="1369"/>
      <c r="K16" s="1369"/>
      <c r="L16" s="1369"/>
      <c r="M16" s="1369"/>
      <c r="N16" s="1369"/>
      <c r="O16" s="1370"/>
      <c r="P16" s="600" t="str">
        <f t="shared" si="0"/>
        <v/>
      </c>
      <c r="R16" s="19"/>
      <c r="S16" s="19"/>
      <c r="T16" s="19"/>
      <c r="U16" s="19"/>
      <c r="V16" s="19"/>
      <c r="W16" s="19"/>
      <c r="X16" s="19"/>
      <c r="Y16" s="19"/>
      <c r="Z16" s="19"/>
      <c r="AA16" s="19"/>
      <c r="AB16" s="19"/>
      <c r="AC16" s="19"/>
      <c r="AD16" s="19"/>
      <c r="AE16" s="19"/>
      <c r="AF16" s="22"/>
      <c r="AG16" s="21" t="b">
        <f t="shared" si="1"/>
        <v>0</v>
      </c>
      <c r="AH16" s="952" t="b">
        <v>0</v>
      </c>
    </row>
    <row r="17" spans="1:34" ht="15.95" customHeight="1" x14ac:dyDescent="0.2">
      <c r="A17" s="1367"/>
      <c r="B17" s="1368"/>
      <c r="C17" s="1369"/>
      <c r="D17" s="1369"/>
      <c r="E17" s="1369"/>
      <c r="F17" s="1369"/>
      <c r="G17" s="1369"/>
      <c r="H17" s="1369"/>
      <c r="I17" s="1369"/>
      <c r="J17" s="1369"/>
      <c r="K17" s="1369"/>
      <c r="L17" s="1369"/>
      <c r="M17" s="1369"/>
      <c r="N17" s="1369"/>
      <c r="O17" s="1370"/>
      <c r="P17" s="600" t="str">
        <f t="shared" si="0"/>
        <v/>
      </c>
      <c r="R17" s="19"/>
      <c r="S17" s="19"/>
      <c r="T17" s="19"/>
      <c r="U17" s="19"/>
      <c r="V17" s="19"/>
      <c r="W17" s="19"/>
      <c r="X17" s="19"/>
      <c r="Y17" s="19"/>
      <c r="Z17" s="19"/>
      <c r="AA17" s="19"/>
      <c r="AB17" s="19"/>
      <c r="AC17" s="19"/>
      <c r="AD17" s="19"/>
      <c r="AE17" s="19"/>
      <c r="AF17" s="22"/>
      <c r="AG17" s="21" t="b">
        <f t="shared" si="1"/>
        <v>0</v>
      </c>
      <c r="AH17" s="952" t="b">
        <v>0</v>
      </c>
    </row>
    <row r="18" spans="1:34" ht="15.95" customHeight="1" x14ac:dyDescent="0.2">
      <c r="A18" s="1367"/>
      <c r="B18" s="1368"/>
      <c r="C18" s="1369"/>
      <c r="D18" s="1369"/>
      <c r="E18" s="1369"/>
      <c r="F18" s="1369"/>
      <c r="G18" s="1369"/>
      <c r="H18" s="1369"/>
      <c r="I18" s="1369"/>
      <c r="J18" s="1369"/>
      <c r="K18" s="1369"/>
      <c r="L18" s="1369"/>
      <c r="M18" s="1369"/>
      <c r="N18" s="1369"/>
      <c r="O18" s="1370"/>
      <c r="P18" s="600" t="str">
        <f t="shared" si="0"/>
        <v/>
      </c>
      <c r="R18" s="19"/>
      <c r="S18" s="19"/>
      <c r="T18" s="19"/>
      <c r="U18" s="19"/>
      <c r="V18" s="19"/>
      <c r="W18" s="19"/>
      <c r="X18" s="19"/>
      <c r="Y18" s="19"/>
      <c r="Z18" s="19"/>
      <c r="AA18" s="19"/>
      <c r="AB18" s="19"/>
      <c r="AC18" s="19"/>
      <c r="AD18" s="19"/>
      <c r="AE18" s="19"/>
      <c r="AF18" s="22"/>
      <c r="AG18" s="21" t="b">
        <f t="shared" si="1"/>
        <v>0</v>
      </c>
      <c r="AH18" s="952" t="b">
        <v>0</v>
      </c>
    </row>
    <row r="19" spans="1:34" ht="15.95" customHeight="1" x14ac:dyDescent="0.2">
      <c r="A19" s="1367"/>
      <c r="B19" s="1368"/>
      <c r="C19" s="1369"/>
      <c r="D19" s="1369"/>
      <c r="E19" s="1369"/>
      <c r="F19" s="1369"/>
      <c r="G19" s="1369"/>
      <c r="H19" s="1369"/>
      <c r="I19" s="1369"/>
      <c r="J19" s="1369"/>
      <c r="K19" s="1369"/>
      <c r="L19" s="1369"/>
      <c r="M19" s="1369"/>
      <c r="N19" s="1369"/>
      <c r="O19" s="1370"/>
      <c r="P19" s="600" t="str">
        <f t="shared" si="0"/>
        <v/>
      </c>
      <c r="R19" s="19"/>
      <c r="S19" s="19"/>
      <c r="T19" s="19"/>
      <c r="U19" s="19"/>
      <c r="V19" s="19"/>
      <c r="W19" s="19"/>
      <c r="X19" s="19"/>
      <c r="Y19" s="19"/>
      <c r="Z19" s="19"/>
      <c r="AA19" s="19"/>
      <c r="AB19" s="19"/>
      <c r="AC19" s="19"/>
      <c r="AD19" s="19"/>
      <c r="AE19" s="19"/>
      <c r="AF19" s="22"/>
      <c r="AG19" s="21" t="b">
        <f t="shared" si="1"/>
        <v>0</v>
      </c>
      <c r="AH19" s="952" t="b">
        <v>0</v>
      </c>
    </row>
    <row r="20" spans="1:34" ht="15.95" customHeight="1" x14ac:dyDescent="0.2">
      <c r="A20" s="1367"/>
      <c r="B20" s="1368"/>
      <c r="C20" s="1369"/>
      <c r="D20" s="1369"/>
      <c r="E20" s="1369"/>
      <c r="F20" s="1369"/>
      <c r="G20" s="1369"/>
      <c r="H20" s="1369"/>
      <c r="I20" s="1369"/>
      <c r="J20" s="1369"/>
      <c r="K20" s="1369"/>
      <c r="L20" s="1369"/>
      <c r="M20" s="1369"/>
      <c r="N20" s="1369"/>
      <c r="O20" s="1370"/>
      <c r="P20" s="600" t="str">
        <f t="shared" si="0"/>
        <v/>
      </c>
      <c r="R20" s="19"/>
      <c r="S20" s="19"/>
      <c r="T20" s="19"/>
      <c r="U20" s="19"/>
      <c r="V20" s="19"/>
      <c r="W20" s="19"/>
      <c r="X20" s="19"/>
      <c r="Y20" s="19"/>
      <c r="Z20" s="19"/>
      <c r="AA20" s="19"/>
      <c r="AB20" s="19"/>
      <c r="AC20" s="19"/>
      <c r="AD20" s="19"/>
      <c r="AE20" s="19"/>
      <c r="AF20" s="22"/>
      <c r="AG20" s="21" t="b">
        <f t="shared" si="1"/>
        <v>0</v>
      </c>
      <c r="AH20" s="952" t="b">
        <v>0</v>
      </c>
    </row>
    <row r="21" spans="1:34" ht="15.95" customHeight="1" x14ac:dyDescent="0.2">
      <c r="A21" s="1367"/>
      <c r="B21" s="1368"/>
      <c r="C21" s="1369"/>
      <c r="D21" s="1369"/>
      <c r="E21" s="1369"/>
      <c r="F21" s="1369"/>
      <c r="G21" s="1369"/>
      <c r="H21" s="1369"/>
      <c r="I21" s="1369"/>
      <c r="J21" s="1369"/>
      <c r="K21" s="1369"/>
      <c r="L21" s="1369"/>
      <c r="M21" s="1369"/>
      <c r="N21" s="1369"/>
      <c r="O21" s="1370"/>
      <c r="P21" s="600" t="str">
        <f t="shared" si="0"/>
        <v/>
      </c>
      <c r="R21" s="19"/>
      <c r="S21" s="19"/>
      <c r="T21" s="19"/>
      <c r="U21" s="19"/>
      <c r="V21" s="19"/>
      <c r="W21" s="19"/>
      <c r="X21" s="19"/>
      <c r="Y21" s="19"/>
      <c r="Z21" s="19"/>
      <c r="AA21" s="19"/>
      <c r="AB21" s="19"/>
      <c r="AC21" s="19"/>
      <c r="AD21" s="19"/>
      <c r="AE21" s="19"/>
      <c r="AF21" s="22"/>
      <c r="AG21" s="21" t="b">
        <f t="shared" si="1"/>
        <v>0</v>
      </c>
      <c r="AH21" s="952" t="b">
        <v>0</v>
      </c>
    </row>
    <row r="22" spans="1:34" ht="15.95" customHeight="1" x14ac:dyDescent="0.2">
      <c r="A22" s="1367"/>
      <c r="B22" s="1368"/>
      <c r="C22" s="1369"/>
      <c r="D22" s="1369"/>
      <c r="E22" s="1369"/>
      <c r="F22" s="1369"/>
      <c r="G22" s="1369"/>
      <c r="H22" s="1369"/>
      <c r="I22" s="1369"/>
      <c r="J22" s="1369"/>
      <c r="K22" s="1369"/>
      <c r="L22" s="1369"/>
      <c r="M22" s="1369"/>
      <c r="N22" s="1369"/>
      <c r="O22" s="1370"/>
      <c r="P22" s="600" t="str">
        <f t="shared" si="0"/>
        <v/>
      </c>
      <c r="R22" s="19"/>
      <c r="S22" s="19"/>
      <c r="T22" s="19"/>
      <c r="U22" s="19"/>
      <c r="V22" s="19"/>
      <c r="W22" s="19"/>
      <c r="X22" s="19"/>
      <c r="Y22" s="19"/>
      <c r="Z22" s="19"/>
      <c r="AA22" s="19"/>
      <c r="AB22" s="19"/>
      <c r="AC22" s="19"/>
      <c r="AD22" s="19"/>
      <c r="AE22" s="19"/>
      <c r="AF22" s="22"/>
      <c r="AG22" s="21" t="b">
        <f t="shared" si="1"/>
        <v>0</v>
      </c>
      <c r="AH22" s="952" t="b">
        <v>0</v>
      </c>
    </row>
    <row r="23" spans="1:34" ht="15.95" customHeight="1" x14ac:dyDescent="0.2">
      <c r="A23" s="1367"/>
      <c r="B23" s="1368"/>
      <c r="C23" s="1369"/>
      <c r="D23" s="1369"/>
      <c r="E23" s="1369"/>
      <c r="F23" s="1369"/>
      <c r="G23" s="1369"/>
      <c r="H23" s="1369"/>
      <c r="I23" s="1369"/>
      <c r="J23" s="1369"/>
      <c r="K23" s="1369"/>
      <c r="L23" s="1369"/>
      <c r="M23" s="1369"/>
      <c r="N23" s="1369"/>
      <c r="O23" s="1370"/>
      <c r="P23" s="600" t="str">
        <f t="shared" si="0"/>
        <v/>
      </c>
      <c r="R23" s="19"/>
      <c r="S23" s="19"/>
      <c r="T23" s="19"/>
      <c r="U23" s="19"/>
      <c r="V23" s="19"/>
      <c r="W23" s="19"/>
      <c r="X23" s="19"/>
      <c r="Y23" s="19"/>
      <c r="Z23" s="19"/>
      <c r="AA23" s="19"/>
      <c r="AB23" s="19"/>
      <c r="AC23" s="19"/>
      <c r="AD23" s="19"/>
      <c r="AE23" s="19"/>
      <c r="AF23" s="22"/>
      <c r="AG23" s="21" t="b">
        <f t="shared" si="1"/>
        <v>0</v>
      </c>
      <c r="AH23" s="952" t="b">
        <v>0</v>
      </c>
    </row>
    <row r="24" spans="1:34" ht="15.95" customHeight="1" x14ac:dyDescent="0.2">
      <c r="A24" s="1367"/>
      <c r="B24" s="1368"/>
      <c r="C24" s="1369"/>
      <c r="D24" s="1369"/>
      <c r="E24" s="1369"/>
      <c r="F24" s="1369"/>
      <c r="G24" s="1369"/>
      <c r="H24" s="1369"/>
      <c r="I24" s="1369"/>
      <c r="J24" s="1369"/>
      <c r="K24" s="1369"/>
      <c r="L24" s="1369"/>
      <c r="M24" s="1369"/>
      <c r="N24" s="1369"/>
      <c r="O24" s="1370"/>
      <c r="P24" s="600" t="str">
        <f t="shared" si="0"/>
        <v/>
      </c>
      <c r="R24" s="19"/>
      <c r="S24" s="19"/>
      <c r="T24" s="19"/>
      <c r="U24" s="19"/>
      <c r="V24" s="19"/>
      <c r="W24" s="19"/>
      <c r="X24" s="19"/>
      <c r="Y24" s="19"/>
      <c r="Z24" s="19"/>
      <c r="AA24" s="19"/>
      <c r="AB24" s="19"/>
      <c r="AC24" s="19"/>
      <c r="AD24" s="19"/>
      <c r="AE24" s="19"/>
      <c r="AF24" s="22"/>
      <c r="AG24" s="21" t="b">
        <f t="shared" si="1"/>
        <v>0</v>
      </c>
      <c r="AH24" s="952" t="b">
        <v>0</v>
      </c>
    </row>
    <row r="25" spans="1:34" ht="15.95" customHeight="1" x14ac:dyDescent="0.2">
      <c r="A25" s="1367"/>
      <c r="B25" s="1368"/>
      <c r="C25" s="1369"/>
      <c r="D25" s="1369"/>
      <c r="E25" s="1369"/>
      <c r="F25" s="1369"/>
      <c r="G25" s="1369"/>
      <c r="H25" s="1369"/>
      <c r="I25" s="1369"/>
      <c r="J25" s="1369"/>
      <c r="K25" s="1369"/>
      <c r="L25" s="1369"/>
      <c r="M25" s="1369"/>
      <c r="N25" s="1369"/>
      <c r="O25" s="1370"/>
      <c r="P25" s="600" t="str">
        <f t="shared" si="0"/>
        <v/>
      </c>
      <c r="R25" s="19"/>
      <c r="S25" s="19"/>
      <c r="T25" s="19"/>
      <c r="U25" s="19"/>
      <c r="V25" s="19"/>
      <c r="W25" s="19"/>
      <c r="X25" s="19"/>
      <c r="Y25" s="19"/>
      <c r="Z25" s="19"/>
      <c r="AA25" s="19"/>
      <c r="AB25" s="19"/>
      <c r="AC25" s="19"/>
      <c r="AD25" s="19"/>
      <c r="AE25" s="19"/>
      <c r="AF25" s="22"/>
      <c r="AG25" s="21" t="b">
        <f t="shared" si="1"/>
        <v>0</v>
      </c>
      <c r="AH25" s="952" t="b">
        <v>0</v>
      </c>
    </row>
    <row r="26" spans="1:34" ht="15.95" customHeight="1" x14ac:dyDescent="0.2">
      <c r="A26" s="1367"/>
      <c r="B26" s="1368"/>
      <c r="C26" s="1369"/>
      <c r="D26" s="1369"/>
      <c r="E26" s="1369"/>
      <c r="F26" s="1369"/>
      <c r="G26" s="1369"/>
      <c r="H26" s="1369"/>
      <c r="I26" s="1369"/>
      <c r="J26" s="1369"/>
      <c r="K26" s="1369"/>
      <c r="L26" s="1369"/>
      <c r="M26" s="1369"/>
      <c r="N26" s="1369"/>
      <c r="O26" s="1370"/>
      <c r="P26" s="600" t="str">
        <f t="shared" si="0"/>
        <v/>
      </c>
      <c r="R26" s="19"/>
      <c r="S26" s="19"/>
      <c r="T26" s="19"/>
      <c r="U26" s="19"/>
      <c r="V26" s="19"/>
      <c r="W26" s="19"/>
      <c r="X26" s="19"/>
      <c r="Y26" s="19"/>
      <c r="Z26" s="19"/>
      <c r="AA26" s="19"/>
      <c r="AB26" s="19"/>
      <c r="AC26" s="19"/>
      <c r="AD26" s="19"/>
      <c r="AE26" s="19"/>
      <c r="AF26" s="22"/>
      <c r="AG26" s="21" t="b">
        <f t="shared" si="1"/>
        <v>0</v>
      </c>
      <c r="AH26" s="952" t="b">
        <v>0</v>
      </c>
    </row>
    <row r="27" spans="1:34" ht="15.95" customHeight="1" x14ac:dyDescent="0.2">
      <c r="A27" s="1367"/>
      <c r="B27" s="1368"/>
      <c r="C27" s="1369"/>
      <c r="D27" s="1369"/>
      <c r="E27" s="1369"/>
      <c r="F27" s="1369"/>
      <c r="G27" s="1369"/>
      <c r="H27" s="1369"/>
      <c r="I27" s="1369"/>
      <c r="J27" s="1369"/>
      <c r="K27" s="1369"/>
      <c r="L27" s="1369"/>
      <c r="M27" s="1369"/>
      <c r="N27" s="1369"/>
      <c r="O27" s="1370"/>
      <c r="P27" s="600" t="str">
        <f t="shared" si="0"/>
        <v/>
      </c>
      <c r="R27" s="19"/>
      <c r="S27" s="19"/>
      <c r="T27" s="19"/>
      <c r="U27" s="19"/>
      <c r="V27" s="19"/>
      <c r="W27" s="19"/>
      <c r="X27" s="19"/>
      <c r="Y27" s="19"/>
      <c r="Z27" s="19"/>
      <c r="AA27" s="19"/>
      <c r="AB27" s="19"/>
      <c r="AC27" s="19"/>
      <c r="AD27" s="19"/>
      <c r="AE27" s="19"/>
      <c r="AF27" s="22"/>
      <c r="AG27" s="21" t="b">
        <f t="shared" si="1"/>
        <v>0</v>
      </c>
      <c r="AH27" s="952" t="b">
        <v>0</v>
      </c>
    </row>
    <row r="28" spans="1:34" ht="15.95" customHeight="1" x14ac:dyDescent="0.2">
      <c r="A28" s="1367"/>
      <c r="B28" s="1368"/>
      <c r="C28" s="1369"/>
      <c r="D28" s="1369"/>
      <c r="E28" s="1369"/>
      <c r="F28" s="1369"/>
      <c r="G28" s="1369"/>
      <c r="H28" s="1369"/>
      <c r="I28" s="1369"/>
      <c r="J28" s="1369"/>
      <c r="K28" s="1369"/>
      <c r="L28" s="1369"/>
      <c r="M28" s="1369"/>
      <c r="N28" s="1369"/>
      <c r="O28" s="1370"/>
      <c r="P28" s="600" t="str">
        <f t="shared" si="0"/>
        <v/>
      </c>
      <c r="R28" s="19"/>
      <c r="S28" s="19"/>
      <c r="T28" s="19"/>
      <c r="U28" s="19"/>
      <c r="V28" s="19"/>
      <c r="W28" s="19"/>
      <c r="X28" s="19"/>
      <c r="Y28" s="19"/>
      <c r="Z28" s="19"/>
      <c r="AA28" s="19"/>
      <c r="AB28" s="19"/>
      <c r="AC28" s="19"/>
      <c r="AD28" s="19"/>
      <c r="AE28" s="19"/>
      <c r="AF28" s="22"/>
      <c r="AG28" s="21" t="b">
        <f t="shared" si="1"/>
        <v>0</v>
      </c>
      <c r="AH28" s="952" t="b">
        <v>0</v>
      </c>
    </row>
    <row r="29" spans="1:34" ht="15.95" customHeight="1" x14ac:dyDescent="0.2">
      <c r="A29" s="1367"/>
      <c r="B29" s="1368"/>
      <c r="C29" s="1369"/>
      <c r="D29" s="1369"/>
      <c r="E29" s="1369"/>
      <c r="F29" s="1369"/>
      <c r="G29" s="1369"/>
      <c r="H29" s="1369"/>
      <c r="I29" s="1369"/>
      <c r="J29" s="1369"/>
      <c r="K29" s="1369"/>
      <c r="L29" s="1369"/>
      <c r="M29" s="1369"/>
      <c r="N29" s="1369"/>
      <c r="O29" s="1370"/>
      <c r="P29" s="600" t="str">
        <f t="shared" si="0"/>
        <v/>
      </c>
      <c r="R29" s="19"/>
      <c r="S29" s="19"/>
      <c r="T29" s="19"/>
      <c r="U29" s="19"/>
      <c r="V29" s="19"/>
      <c r="W29" s="19"/>
      <c r="X29" s="19"/>
      <c r="Y29" s="19"/>
      <c r="Z29" s="19"/>
      <c r="AA29" s="19"/>
      <c r="AB29" s="19"/>
      <c r="AC29" s="19"/>
      <c r="AD29" s="19"/>
      <c r="AE29" s="19"/>
      <c r="AF29" s="22"/>
      <c r="AG29" s="21" t="b">
        <f t="shared" si="1"/>
        <v>0</v>
      </c>
      <c r="AH29" s="952" t="b">
        <v>0</v>
      </c>
    </row>
    <row r="30" spans="1:34" ht="15.95" customHeight="1" x14ac:dyDescent="0.2">
      <c r="A30" s="1367"/>
      <c r="B30" s="1368"/>
      <c r="C30" s="1369"/>
      <c r="D30" s="1369"/>
      <c r="E30" s="1369"/>
      <c r="F30" s="1369"/>
      <c r="G30" s="1369"/>
      <c r="H30" s="1369"/>
      <c r="I30" s="1369"/>
      <c r="J30" s="1369"/>
      <c r="K30" s="1369"/>
      <c r="L30" s="1369"/>
      <c r="M30" s="1369"/>
      <c r="N30" s="1369"/>
      <c r="O30" s="1370"/>
      <c r="P30" s="600" t="str">
        <f t="shared" si="0"/>
        <v/>
      </c>
      <c r="R30" s="19"/>
      <c r="S30" s="19"/>
      <c r="T30" s="19"/>
      <c r="U30" s="19"/>
      <c r="V30" s="19"/>
      <c r="W30" s="19"/>
      <c r="X30" s="19"/>
      <c r="Y30" s="19"/>
      <c r="Z30" s="19"/>
      <c r="AA30" s="19"/>
      <c r="AB30" s="19"/>
      <c r="AC30" s="19"/>
      <c r="AD30" s="19"/>
      <c r="AE30" s="19"/>
      <c r="AF30" s="22"/>
      <c r="AG30" s="21" t="b">
        <f t="shared" si="1"/>
        <v>0</v>
      </c>
      <c r="AH30" s="952" t="b">
        <v>0</v>
      </c>
    </row>
    <row r="31" spans="1:34" ht="15.95" customHeight="1" x14ac:dyDescent="0.2">
      <c r="A31" s="1367"/>
      <c r="B31" s="1368"/>
      <c r="C31" s="1369"/>
      <c r="D31" s="1369"/>
      <c r="E31" s="1369"/>
      <c r="F31" s="1369"/>
      <c r="G31" s="1369"/>
      <c r="H31" s="1369"/>
      <c r="I31" s="1369"/>
      <c r="J31" s="1369"/>
      <c r="K31" s="1369"/>
      <c r="L31" s="1369"/>
      <c r="M31" s="1369"/>
      <c r="N31" s="1369"/>
      <c r="O31" s="1370"/>
      <c r="P31" s="600" t="str">
        <f t="shared" si="0"/>
        <v/>
      </c>
      <c r="R31" s="19"/>
      <c r="S31" s="19"/>
      <c r="T31" s="19"/>
      <c r="U31" s="19"/>
      <c r="V31" s="19"/>
      <c r="W31" s="19"/>
      <c r="X31" s="19"/>
      <c r="Y31" s="19"/>
      <c r="Z31" s="19"/>
      <c r="AA31" s="19"/>
      <c r="AB31" s="19"/>
      <c r="AC31" s="19"/>
      <c r="AD31" s="19"/>
      <c r="AE31" s="19"/>
      <c r="AF31" s="22"/>
      <c r="AG31" s="21" t="b">
        <f t="shared" si="1"/>
        <v>0</v>
      </c>
      <c r="AH31" s="952" t="b">
        <v>0</v>
      </c>
    </row>
    <row r="32" spans="1:34" ht="15.95" customHeight="1" x14ac:dyDescent="0.2">
      <c r="A32" s="1367"/>
      <c r="B32" s="1368"/>
      <c r="C32" s="1369"/>
      <c r="D32" s="1369"/>
      <c r="E32" s="1369"/>
      <c r="F32" s="1369"/>
      <c r="G32" s="1369"/>
      <c r="H32" s="1369"/>
      <c r="I32" s="1369"/>
      <c r="J32" s="1369"/>
      <c r="K32" s="1369"/>
      <c r="L32" s="1369"/>
      <c r="M32" s="1369"/>
      <c r="N32" s="1369"/>
      <c r="O32" s="1370"/>
      <c r="P32" s="600" t="str">
        <f t="shared" si="0"/>
        <v/>
      </c>
      <c r="R32" s="19"/>
      <c r="S32" s="19"/>
      <c r="T32" s="19"/>
      <c r="U32" s="19"/>
      <c r="V32" s="19"/>
      <c r="W32" s="19"/>
      <c r="X32" s="19"/>
      <c r="Y32" s="19"/>
      <c r="Z32" s="19"/>
      <c r="AA32" s="19"/>
      <c r="AB32" s="19"/>
      <c r="AC32" s="19"/>
      <c r="AD32" s="19"/>
      <c r="AE32" s="19"/>
      <c r="AF32" s="22"/>
      <c r="AG32" s="21" t="b">
        <f t="shared" si="1"/>
        <v>0</v>
      </c>
      <c r="AH32" s="952" t="b">
        <v>0</v>
      </c>
    </row>
    <row r="33" spans="1:34" ht="15.95" customHeight="1" x14ac:dyDescent="0.2">
      <c r="A33" s="1367"/>
      <c r="B33" s="1368"/>
      <c r="C33" s="1369"/>
      <c r="D33" s="1369"/>
      <c r="E33" s="1369"/>
      <c r="F33" s="1369"/>
      <c r="G33" s="1369"/>
      <c r="H33" s="1369"/>
      <c r="I33" s="1369"/>
      <c r="J33" s="1369"/>
      <c r="K33" s="1369"/>
      <c r="L33" s="1369"/>
      <c r="M33" s="1369"/>
      <c r="N33" s="1369"/>
      <c r="O33" s="1370"/>
      <c r="P33" s="600" t="str">
        <f t="shared" si="0"/>
        <v/>
      </c>
      <c r="R33" s="19"/>
      <c r="S33" s="19"/>
      <c r="T33" s="19"/>
      <c r="U33" s="19"/>
      <c r="V33" s="19"/>
      <c r="W33" s="19"/>
      <c r="X33" s="19"/>
      <c r="Y33" s="19"/>
      <c r="Z33" s="19"/>
      <c r="AA33" s="19"/>
      <c r="AB33" s="19"/>
      <c r="AC33" s="19"/>
      <c r="AD33" s="19"/>
      <c r="AE33" s="19"/>
      <c r="AF33" s="22"/>
      <c r="AG33" s="21" t="b">
        <f t="shared" si="1"/>
        <v>0</v>
      </c>
      <c r="AH33" s="952" t="b">
        <v>0</v>
      </c>
    </row>
    <row r="34" spans="1:34" ht="15.95" customHeight="1" x14ac:dyDescent="0.2">
      <c r="A34" s="1367"/>
      <c r="B34" s="1368"/>
      <c r="C34" s="1369"/>
      <c r="D34" s="1369"/>
      <c r="E34" s="1369"/>
      <c r="F34" s="1369"/>
      <c r="G34" s="1369"/>
      <c r="H34" s="1369"/>
      <c r="I34" s="1369"/>
      <c r="J34" s="1369"/>
      <c r="K34" s="1369"/>
      <c r="L34" s="1369"/>
      <c r="M34" s="1369"/>
      <c r="N34" s="1369"/>
      <c r="O34" s="1370"/>
      <c r="P34" s="600" t="str">
        <f t="shared" si="0"/>
        <v/>
      </c>
      <c r="R34" s="19"/>
      <c r="S34" s="19"/>
      <c r="T34" s="19"/>
      <c r="U34" s="19"/>
      <c r="V34" s="19"/>
      <c r="W34" s="19"/>
      <c r="X34" s="19"/>
      <c r="Y34" s="19"/>
      <c r="Z34" s="19"/>
      <c r="AA34" s="19"/>
      <c r="AB34" s="19"/>
      <c r="AC34" s="19"/>
      <c r="AD34" s="19"/>
      <c r="AE34" s="19"/>
      <c r="AF34" s="22"/>
      <c r="AG34" s="21" t="b">
        <f t="shared" si="1"/>
        <v>0</v>
      </c>
      <c r="AH34" s="952" t="b">
        <v>0</v>
      </c>
    </row>
    <row r="35" spans="1:34" ht="15.95" customHeight="1" x14ac:dyDescent="0.2">
      <c r="A35" s="1367"/>
      <c r="B35" s="1368"/>
      <c r="C35" s="1369"/>
      <c r="D35" s="1369"/>
      <c r="E35" s="1369"/>
      <c r="F35" s="1369"/>
      <c r="G35" s="1369"/>
      <c r="H35" s="1369"/>
      <c r="I35" s="1369"/>
      <c r="J35" s="1369"/>
      <c r="K35" s="1369"/>
      <c r="L35" s="1369"/>
      <c r="M35" s="1369"/>
      <c r="N35" s="1369"/>
      <c r="O35" s="1370"/>
      <c r="P35" s="600" t="str">
        <f t="shared" si="0"/>
        <v/>
      </c>
      <c r="R35" s="19"/>
      <c r="S35" s="19"/>
      <c r="T35" s="19"/>
      <c r="U35" s="19"/>
      <c r="V35" s="19"/>
      <c r="W35" s="19"/>
      <c r="X35" s="19"/>
      <c r="Y35" s="19"/>
      <c r="Z35" s="19"/>
      <c r="AA35" s="19"/>
      <c r="AB35" s="19"/>
      <c r="AC35" s="19"/>
      <c r="AD35" s="19"/>
      <c r="AE35" s="19"/>
      <c r="AF35" s="22"/>
      <c r="AG35" s="21" t="b">
        <f t="shared" si="1"/>
        <v>0</v>
      </c>
      <c r="AH35" s="952" t="b">
        <v>0</v>
      </c>
    </row>
    <row r="36" spans="1:34" ht="15.95" customHeight="1" x14ac:dyDescent="0.2">
      <c r="A36" s="1367"/>
      <c r="B36" s="1368"/>
      <c r="C36" s="1369"/>
      <c r="D36" s="1369"/>
      <c r="E36" s="1369"/>
      <c r="F36" s="1369"/>
      <c r="G36" s="1369"/>
      <c r="H36" s="1369"/>
      <c r="I36" s="1369"/>
      <c r="J36" s="1369"/>
      <c r="K36" s="1369"/>
      <c r="L36" s="1369"/>
      <c r="M36" s="1369"/>
      <c r="N36" s="1369"/>
      <c r="O36" s="1370"/>
      <c r="P36" s="600" t="str">
        <f t="shared" si="0"/>
        <v/>
      </c>
      <c r="R36" s="19"/>
      <c r="S36" s="19"/>
      <c r="T36" s="19"/>
      <c r="U36" s="19"/>
      <c r="V36" s="19"/>
      <c r="W36" s="19"/>
      <c r="X36" s="19"/>
      <c r="Y36" s="19"/>
      <c r="Z36" s="19"/>
      <c r="AA36" s="19"/>
      <c r="AB36" s="19"/>
      <c r="AC36" s="19"/>
      <c r="AD36" s="19"/>
      <c r="AE36" s="19"/>
      <c r="AF36" s="22"/>
      <c r="AG36" s="21" t="b">
        <f t="shared" si="1"/>
        <v>0</v>
      </c>
      <c r="AH36" s="952" t="b">
        <v>0</v>
      </c>
    </row>
    <row r="37" spans="1:34" ht="15.95" customHeight="1" x14ac:dyDescent="0.2">
      <c r="A37" s="1367"/>
      <c r="B37" s="1368"/>
      <c r="C37" s="1369"/>
      <c r="D37" s="1369"/>
      <c r="E37" s="1369"/>
      <c r="F37" s="1369"/>
      <c r="G37" s="1369"/>
      <c r="H37" s="1369"/>
      <c r="I37" s="1369"/>
      <c r="J37" s="1369"/>
      <c r="K37" s="1369"/>
      <c r="L37" s="1369"/>
      <c r="M37" s="1369"/>
      <c r="N37" s="1369"/>
      <c r="O37" s="1370"/>
      <c r="P37" s="600" t="str">
        <f t="shared" si="0"/>
        <v/>
      </c>
      <c r="R37" s="19"/>
      <c r="S37" s="19"/>
      <c r="T37" s="19"/>
      <c r="U37" s="19"/>
      <c r="V37" s="19"/>
      <c r="W37" s="19"/>
      <c r="X37" s="19"/>
      <c r="Y37" s="19"/>
      <c r="Z37" s="19"/>
      <c r="AA37" s="19"/>
      <c r="AB37" s="19"/>
      <c r="AC37" s="19"/>
      <c r="AD37" s="19"/>
      <c r="AE37" s="19"/>
      <c r="AF37" s="22"/>
      <c r="AG37" s="21" t="b">
        <f t="shared" si="1"/>
        <v>0</v>
      </c>
      <c r="AH37" s="952" t="b">
        <v>0</v>
      </c>
    </row>
    <row r="38" spans="1:34" ht="15.95" customHeight="1" x14ac:dyDescent="0.2">
      <c r="A38" s="1367"/>
      <c r="B38" s="1368"/>
      <c r="C38" s="1369"/>
      <c r="D38" s="1369"/>
      <c r="E38" s="1369"/>
      <c r="F38" s="1369"/>
      <c r="G38" s="1369"/>
      <c r="H38" s="1369"/>
      <c r="I38" s="1369"/>
      <c r="J38" s="1369"/>
      <c r="K38" s="1369"/>
      <c r="L38" s="1369"/>
      <c r="M38" s="1369"/>
      <c r="N38" s="1369"/>
      <c r="O38" s="1370"/>
      <c r="P38" s="600" t="str">
        <f t="shared" si="0"/>
        <v/>
      </c>
      <c r="R38" s="19"/>
      <c r="S38" s="19"/>
      <c r="T38" s="19"/>
      <c r="U38" s="19"/>
      <c r="V38" s="19"/>
      <c r="W38" s="19"/>
      <c r="X38" s="19"/>
      <c r="Y38" s="19"/>
      <c r="Z38" s="19"/>
      <c r="AA38" s="19"/>
      <c r="AB38" s="19"/>
      <c r="AC38" s="19"/>
      <c r="AD38" s="19"/>
      <c r="AE38" s="19"/>
      <c r="AF38" s="22"/>
      <c r="AG38" s="21" t="b">
        <f t="shared" si="1"/>
        <v>0</v>
      </c>
      <c r="AH38" s="952" t="b">
        <v>0</v>
      </c>
    </row>
    <row r="39" spans="1:34" ht="15.95" customHeight="1" x14ac:dyDescent="0.2">
      <c r="A39" s="1367"/>
      <c r="B39" s="1368"/>
      <c r="C39" s="1369"/>
      <c r="D39" s="1369"/>
      <c r="E39" s="1369"/>
      <c r="F39" s="1369"/>
      <c r="G39" s="1369"/>
      <c r="H39" s="1369"/>
      <c r="I39" s="1369"/>
      <c r="J39" s="1369"/>
      <c r="K39" s="1369"/>
      <c r="L39" s="1369"/>
      <c r="M39" s="1369"/>
      <c r="N39" s="1369"/>
      <c r="O39" s="1370"/>
      <c r="P39" s="600" t="str">
        <f t="shared" si="0"/>
        <v/>
      </c>
      <c r="R39" s="19"/>
      <c r="S39" s="19"/>
      <c r="T39" s="19"/>
      <c r="U39" s="19"/>
      <c r="V39" s="19"/>
      <c r="W39" s="19"/>
      <c r="X39" s="19"/>
      <c r="Y39" s="19"/>
      <c r="Z39" s="19"/>
      <c r="AA39" s="19"/>
      <c r="AB39" s="19"/>
      <c r="AC39" s="19"/>
      <c r="AD39" s="19"/>
      <c r="AE39" s="19"/>
      <c r="AF39" s="22"/>
      <c r="AG39" s="21" t="b">
        <f t="shared" si="1"/>
        <v>0</v>
      </c>
      <c r="AH39" s="952" t="b">
        <v>0</v>
      </c>
    </row>
    <row r="40" spans="1:34" ht="15.95" customHeight="1" x14ac:dyDescent="0.2">
      <c r="A40" s="1367"/>
      <c r="B40" s="1368"/>
      <c r="C40" s="1369"/>
      <c r="D40" s="1369"/>
      <c r="E40" s="1369"/>
      <c r="F40" s="1369"/>
      <c r="G40" s="1369"/>
      <c r="H40" s="1369"/>
      <c r="I40" s="1369"/>
      <c r="J40" s="1369"/>
      <c r="K40" s="1369"/>
      <c r="L40" s="1369"/>
      <c r="M40" s="1369"/>
      <c r="N40" s="1369"/>
      <c r="O40" s="1370"/>
      <c r="P40" s="600" t="str">
        <f t="shared" si="0"/>
        <v/>
      </c>
      <c r="R40" s="19"/>
      <c r="S40" s="19"/>
      <c r="T40" s="19"/>
      <c r="U40" s="19"/>
      <c r="V40" s="19"/>
      <c r="W40" s="19"/>
      <c r="X40" s="19"/>
      <c r="Y40" s="19"/>
      <c r="Z40" s="19"/>
      <c r="AA40" s="19"/>
      <c r="AB40" s="19"/>
      <c r="AC40" s="19"/>
      <c r="AD40" s="19"/>
      <c r="AE40" s="19"/>
      <c r="AF40" s="22"/>
      <c r="AG40" s="21" t="b">
        <f t="shared" si="1"/>
        <v>0</v>
      </c>
      <c r="AH40" s="952" t="b">
        <v>0</v>
      </c>
    </row>
    <row r="41" spans="1:34" ht="15.95" customHeight="1" x14ac:dyDescent="0.2">
      <c r="A41" s="1367"/>
      <c r="B41" s="1368"/>
      <c r="C41" s="1369"/>
      <c r="D41" s="1369"/>
      <c r="E41" s="1369"/>
      <c r="F41" s="1369"/>
      <c r="G41" s="1369"/>
      <c r="H41" s="1369"/>
      <c r="I41" s="1369"/>
      <c r="J41" s="1369"/>
      <c r="K41" s="1369"/>
      <c r="L41" s="1369"/>
      <c r="M41" s="1369"/>
      <c r="N41" s="1369"/>
      <c r="O41" s="1370"/>
      <c r="P41" s="600" t="str">
        <f t="shared" si="0"/>
        <v/>
      </c>
      <c r="R41" s="19"/>
      <c r="S41" s="19"/>
      <c r="T41" s="19"/>
      <c r="U41" s="19"/>
      <c r="V41" s="19"/>
      <c r="W41" s="19"/>
      <c r="X41" s="19"/>
      <c r="Y41" s="19"/>
      <c r="Z41" s="19"/>
      <c r="AA41" s="19"/>
      <c r="AB41" s="19"/>
      <c r="AC41" s="19"/>
      <c r="AD41" s="19"/>
      <c r="AE41" s="19"/>
      <c r="AF41" s="22"/>
      <c r="AG41" s="21" t="b">
        <f t="shared" si="1"/>
        <v>0</v>
      </c>
      <c r="AH41" s="952" t="b">
        <v>0</v>
      </c>
    </row>
    <row r="42" spans="1:34" ht="15.95" customHeight="1" x14ac:dyDescent="0.2">
      <c r="A42" s="1367"/>
      <c r="B42" s="1368"/>
      <c r="C42" s="1369"/>
      <c r="D42" s="1369"/>
      <c r="E42" s="1369"/>
      <c r="F42" s="1369"/>
      <c r="G42" s="1369"/>
      <c r="H42" s="1369"/>
      <c r="I42" s="1369"/>
      <c r="J42" s="1369"/>
      <c r="K42" s="1369"/>
      <c r="L42" s="1369"/>
      <c r="M42" s="1369"/>
      <c r="N42" s="1369"/>
      <c r="O42" s="1370"/>
      <c r="P42" s="600" t="str">
        <f t="shared" si="0"/>
        <v/>
      </c>
      <c r="R42" s="19"/>
      <c r="S42" s="19"/>
      <c r="T42" s="19"/>
      <c r="U42" s="19"/>
      <c r="V42" s="19"/>
      <c r="W42" s="19"/>
      <c r="X42" s="19"/>
      <c r="Y42" s="19"/>
      <c r="Z42" s="19"/>
      <c r="AA42" s="19"/>
      <c r="AB42" s="19"/>
      <c r="AC42" s="19"/>
      <c r="AD42" s="19"/>
      <c r="AE42" s="19"/>
      <c r="AF42" s="22"/>
      <c r="AG42" s="21" t="b">
        <f t="shared" si="1"/>
        <v>0</v>
      </c>
      <c r="AH42" s="952" t="b">
        <v>0</v>
      </c>
    </row>
    <row r="43" spans="1:34" ht="15.95" customHeight="1" x14ac:dyDescent="0.2">
      <c r="A43" s="1367"/>
      <c r="B43" s="1368"/>
      <c r="C43" s="1369"/>
      <c r="D43" s="1369"/>
      <c r="E43" s="1369"/>
      <c r="F43" s="1369"/>
      <c r="G43" s="1369"/>
      <c r="H43" s="1369"/>
      <c r="I43" s="1369"/>
      <c r="J43" s="1369"/>
      <c r="K43" s="1369"/>
      <c r="L43" s="1369"/>
      <c r="M43" s="1369"/>
      <c r="N43" s="1369"/>
      <c r="O43" s="1370"/>
      <c r="P43" s="600" t="str">
        <f t="shared" si="0"/>
        <v/>
      </c>
      <c r="R43" s="19"/>
      <c r="S43" s="19"/>
      <c r="T43" s="19"/>
      <c r="U43" s="19"/>
      <c r="V43" s="19"/>
      <c r="W43" s="19"/>
      <c r="X43" s="19"/>
      <c r="Y43" s="19"/>
      <c r="Z43" s="19"/>
      <c r="AA43" s="19"/>
      <c r="AB43" s="19"/>
      <c r="AC43" s="19"/>
      <c r="AD43" s="19"/>
      <c r="AE43" s="19"/>
      <c r="AF43" s="22"/>
      <c r="AG43" s="21" t="b">
        <f t="shared" si="1"/>
        <v>0</v>
      </c>
      <c r="AH43" s="952" t="b">
        <v>0</v>
      </c>
    </row>
    <row r="44" spans="1:34" ht="15.95" customHeight="1" x14ac:dyDescent="0.2">
      <c r="A44" s="1367"/>
      <c r="B44" s="1368"/>
      <c r="C44" s="1369"/>
      <c r="D44" s="1369"/>
      <c r="E44" s="1369"/>
      <c r="F44" s="1369"/>
      <c r="G44" s="1369"/>
      <c r="H44" s="1369"/>
      <c r="I44" s="1369"/>
      <c r="J44" s="1369"/>
      <c r="K44" s="1369"/>
      <c r="L44" s="1369"/>
      <c r="M44" s="1369"/>
      <c r="N44" s="1369"/>
      <c r="O44" s="1370"/>
      <c r="P44" s="600" t="str">
        <f t="shared" si="0"/>
        <v/>
      </c>
      <c r="R44" s="19"/>
      <c r="S44" s="19"/>
      <c r="T44" s="19"/>
      <c r="U44" s="19"/>
      <c r="V44" s="19"/>
      <c r="W44" s="19"/>
      <c r="X44" s="19"/>
      <c r="Y44" s="19"/>
      <c r="Z44" s="19"/>
      <c r="AA44" s="19"/>
      <c r="AB44" s="19"/>
      <c r="AC44" s="19"/>
      <c r="AD44" s="19"/>
      <c r="AE44" s="19"/>
      <c r="AF44" s="22"/>
      <c r="AG44" s="21" t="b">
        <f t="shared" si="1"/>
        <v>0</v>
      </c>
      <c r="AH44" s="952" t="b">
        <v>0</v>
      </c>
    </row>
    <row r="45" spans="1:34" ht="15.95" customHeight="1" x14ac:dyDescent="0.2">
      <c r="A45" s="1367"/>
      <c r="B45" s="1368"/>
      <c r="C45" s="1369"/>
      <c r="D45" s="1369"/>
      <c r="E45" s="1369"/>
      <c r="F45" s="1369"/>
      <c r="G45" s="1369"/>
      <c r="H45" s="1369"/>
      <c r="I45" s="1369"/>
      <c r="J45" s="1369"/>
      <c r="K45" s="1369"/>
      <c r="L45" s="1369"/>
      <c r="M45" s="1369"/>
      <c r="N45" s="1369"/>
      <c r="O45" s="1370"/>
      <c r="P45" s="600" t="str">
        <f t="shared" si="0"/>
        <v/>
      </c>
      <c r="R45" s="19"/>
      <c r="S45" s="19"/>
      <c r="T45" s="19"/>
      <c r="U45" s="19"/>
      <c r="V45" s="19"/>
      <c r="W45" s="19"/>
      <c r="X45" s="19"/>
      <c r="Y45" s="19"/>
      <c r="Z45" s="19"/>
      <c r="AA45" s="19"/>
      <c r="AB45" s="19"/>
      <c r="AC45" s="19"/>
      <c r="AD45" s="19"/>
      <c r="AE45" s="19"/>
      <c r="AF45" s="22"/>
      <c r="AG45" s="21" t="b">
        <f t="shared" si="1"/>
        <v>0</v>
      </c>
      <c r="AH45" s="952" t="b">
        <v>0</v>
      </c>
    </row>
    <row r="46" spans="1:34" ht="15.95" customHeight="1" x14ac:dyDescent="0.2">
      <c r="A46" s="1367"/>
      <c r="B46" s="1368"/>
      <c r="C46" s="1369"/>
      <c r="D46" s="1369"/>
      <c r="E46" s="1369"/>
      <c r="F46" s="1369"/>
      <c r="G46" s="1369"/>
      <c r="H46" s="1369"/>
      <c r="I46" s="1369"/>
      <c r="J46" s="1369"/>
      <c r="K46" s="1369"/>
      <c r="L46" s="1369"/>
      <c r="M46" s="1369"/>
      <c r="N46" s="1369"/>
      <c r="O46" s="1370"/>
      <c r="P46" s="600" t="str">
        <f t="shared" si="0"/>
        <v/>
      </c>
      <c r="R46" s="19"/>
      <c r="S46" s="19"/>
      <c r="T46" s="19"/>
      <c r="U46" s="19"/>
      <c r="V46" s="19"/>
      <c r="W46" s="19"/>
      <c r="X46" s="19"/>
      <c r="Y46" s="19"/>
      <c r="Z46" s="19"/>
      <c r="AA46" s="19"/>
      <c r="AB46" s="19"/>
      <c r="AC46" s="19"/>
      <c r="AD46" s="19"/>
      <c r="AE46" s="19"/>
      <c r="AF46" s="22"/>
      <c r="AG46" s="21" t="b">
        <f t="shared" si="1"/>
        <v>0</v>
      </c>
      <c r="AH46" s="952" t="b">
        <v>0</v>
      </c>
    </row>
    <row r="47" spans="1:34" ht="15.95" customHeight="1" x14ac:dyDescent="0.2">
      <c r="A47" s="1367"/>
      <c r="B47" s="1368"/>
      <c r="C47" s="1369"/>
      <c r="D47" s="1369"/>
      <c r="E47" s="1369"/>
      <c r="F47" s="1369"/>
      <c r="G47" s="1369"/>
      <c r="H47" s="1369"/>
      <c r="I47" s="1369"/>
      <c r="J47" s="1369"/>
      <c r="K47" s="1369"/>
      <c r="L47" s="1369"/>
      <c r="M47" s="1369"/>
      <c r="N47" s="1369"/>
      <c r="O47" s="1370"/>
      <c r="P47" s="600" t="str">
        <f t="shared" si="0"/>
        <v/>
      </c>
      <c r="R47" s="19"/>
      <c r="S47" s="19"/>
      <c r="T47" s="19"/>
      <c r="U47" s="19"/>
      <c r="V47" s="19"/>
      <c r="W47" s="19"/>
      <c r="X47" s="19"/>
      <c r="Y47" s="19"/>
      <c r="Z47" s="19"/>
      <c r="AA47" s="19"/>
      <c r="AB47" s="19"/>
      <c r="AC47" s="19"/>
      <c r="AD47" s="19"/>
      <c r="AE47" s="19"/>
      <c r="AF47" s="22"/>
      <c r="AG47" s="21" t="b">
        <f t="shared" si="1"/>
        <v>0</v>
      </c>
      <c r="AH47" s="952" t="b">
        <v>0</v>
      </c>
    </row>
    <row r="48" spans="1:34" ht="15.95" customHeight="1" x14ac:dyDescent="0.2">
      <c r="A48" s="1367"/>
      <c r="B48" s="1368"/>
      <c r="C48" s="1369"/>
      <c r="D48" s="1369"/>
      <c r="E48" s="1369"/>
      <c r="F48" s="1369"/>
      <c r="G48" s="1369"/>
      <c r="H48" s="1369"/>
      <c r="I48" s="1369"/>
      <c r="J48" s="1369"/>
      <c r="K48" s="1369"/>
      <c r="L48" s="1369"/>
      <c r="M48" s="1369"/>
      <c r="N48" s="1369"/>
      <c r="O48" s="1370"/>
      <c r="P48" s="600" t="str">
        <f t="shared" si="0"/>
        <v/>
      </c>
      <c r="R48" s="19"/>
      <c r="S48" s="19"/>
      <c r="T48" s="19"/>
      <c r="U48" s="19"/>
      <c r="V48" s="19"/>
      <c r="W48" s="19"/>
      <c r="X48" s="19"/>
      <c r="Y48" s="19"/>
      <c r="Z48" s="19"/>
      <c r="AA48" s="19"/>
      <c r="AB48" s="19"/>
      <c r="AC48" s="19"/>
      <c r="AD48" s="19"/>
      <c r="AE48" s="19"/>
      <c r="AF48" s="22"/>
      <c r="AG48" s="21" t="b">
        <f t="shared" si="1"/>
        <v>0</v>
      </c>
      <c r="AH48" s="952" t="b">
        <v>0</v>
      </c>
    </row>
    <row r="49" spans="1:34" ht="15.95" customHeight="1" x14ac:dyDescent="0.2">
      <c r="A49" s="1371"/>
      <c r="B49" s="1372"/>
      <c r="C49" s="1373"/>
      <c r="D49" s="1373"/>
      <c r="E49" s="1373"/>
      <c r="F49" s="1373"/>
      <c r="G49" s="1373"/>
      <c r="H49" s="1373"/>
      <c r="I49" s="1373"/>
      <c r="J49" s="1373"/>
      <c r="K49" s="1373"/>
      <c r="L49" s="1373"/>
      <c r="M49" s="1373"/>
      <c r="N49" s="1373"/>
      <c r="O49" s="1374"/>
      <c r="P49" s="600" t="str">
        <f t="shared" si="0"/>
        <v/>
      </c>
      <c r="R49" s="19"/>
      <c r="S49" s="19"/>
      <c r="T49" s="19"/>
      <c r="U49" s="19"/>
      <c r="V49" s="19"/>
      <c r="W49" s="19"/>
      <c r="X49" s="19"/>
      <c r="Y49" s="19"/>
      <c r="Z49" s="19"/>
      <c r="AA49" s="19"/>
      <c r="AB49" s="19"/>
      <c r="AC49" s="19"/>
      <c r="AD49" s="19"/>
      <c r="AE49" s="19"/>
      <c r="AF49" s="22"/>
      <c r="AG49" s="21" t="b">
        <f t="shared" si="1"/>
        <v>0</v>
      </c>
      <c r="AH49" s="952" t="b">
        <v>0</v>
      </c>
    </row>
    <row r="50" spans="1:34" ht="15" customHeight="1" x14ac:dyDescent="0.2">
      <c r="A50" s="596" t="s">
        <v>75</v>
      </c>
      <c r="B50" s="597" t="str">
        <f t="shared" ref="B50:O50" si="2">IF(ISBLANK(B13),"",SUM(B14:B49))</f>
        <v/>
      </c>
      <c r="C50" s="597" t="str">
        <f t="shared" si="2"/>
        <v/>
      </c>
      <c r="D50" s="597" t="str">
        <f t="shared" si="2"/>
        <v/>
      </c>
      <c r="E50" s="597" t="str">
        <f t="shared" si="2"/>
        <v/>
      </c>
      <c r="F50" s="597" t="str">
        <f t="shared" si="2"/>
        <v/>
      </c>
      <c r="G50" s="597" t="str">
        <f t="shared" si="2"/>
        <v/>
      </c>
      <c r="H50" s="597" t="str">
        <f t="shared" si="2"/>
        <v/>
      </c>
      <c r="I50" s="597" t="str">
        <f t="shared" si="2"/>
        <v/>
      </c>
      <c r="J50" s="597" t="str">
        <f t="shared" si="2"/>
        <v/>
      </c>
      <c r="K50" s="597" t="str">
        <f t="shared" si="2"/>
        <v/>
      </c>
      <c r="L50" s="597" t="str">
        <f t="shared" si="2"/>
        <v/>
      </c>
      <c r="M50" s="597" t="str">
        <f t="shared" si="2"/>
        <v/>
      </c>
      <c r="N50" s="597" t="str">
        <f t="shared" si="2"/>
        <v/>
      </c>
      <c r="O50" s="597" t="str">
        <f t="shared" si="2"/>
        <v/>
      </c>
      <c r="P50" s="598"/>
      <c r="AG50" s="1" t="b">
        <f>IF(R1&lt;&gt;"M",OR(AG14:AG49))</f>
        <v>0</v>
      </c>
    </row>
    <row r="59" spans="1:34" x14ac:dyDescent="0.2">
      <c r="A59" s="707" t="s">
        <v>614</v>
      </c>
    </row>
    <row r="60" spans="1:34" hidden="1" x14ac:dyDescent="0.2">
      <c r="A60" s="831" t="s">
        <v>126</v>
      </c>
    </row>
    <row r="61" spans="1:34" hidden="1" x14ac:dyDescent="0.2">
      <c r="A61" s="833"/>
    </row>
    <row r="62" spans="1:34" hidden="1" x14ac:dyDescent="0.2"/>
    <row r="63" spans="1:34" hidden="1" x14ac:dyDescent="0.2">
      <c r="A63" s="952" t="b">
        <v>1</v>
      </c>
      <c r="B63" s="952" t="b">
        <v>0</v>
      </c>
      <c r="C63" s="952" t="b">
        <v>0</v>
      </c>
      <c r="D63" s="952" t="b">
        <v>0</v>
      </c>
      <c r="E63" s="952" t="b">
        <v>0</v>
      </c>
      <c r="F63" s="952" t="b">
        <v>0</v>
      </c>
      <c r="G63" s="952" t="b">
        <v>0</v>
      </c>
      <c r="H63" s="952" t="b">
        <v>0</v>
      </c>
      <c r="I63" s="952" t="b">
        <v>0</v>
      </c>
      <c r="J63" s="952" t="b">
        <v>0</v>
      </c>
      <c r="K63" s="952" t="b">
        <v>0</v>
      </c>
      <c r="L63" s="952" t="b">
        <v>0</v>
      </c>
      <c r="M63" s="952" t="b">
        <v>0</v>
      </c>
      <c r="N63" s="952" t="b">
        <v>0</v>
      </c>
      <c r="O63" s="952" t="b">
        <v>0</v>
      </c>
    </row>
    <row r="64" spans="1:34" hidden="1" x14ac:dyDescent="0.2"/>
    <row r="65" spans="1:1" x14ac:dyDescent="0.2">
      <c r="A65" s="707" t="s">
        <v>615</v>
      </c>
    </row>
  </sheetData>
  <sheetProtection selectLockedCells="1"/>
  <mergeCells count="27">
    <mergeCell ref="N1:O1"/>
    <mergeCell ref="N2:O2"/>
    <mergeCell ref="H1:J1"/>
    <mergeCell ref="H2:J3"/>
    <mergeCell ref="H4:J4"/>
    <mergeCell ref="K3:M3"/>
    <mergeCell ref="K4:M4"/>
    <mergeCell ref="K1:M1"/>
    <mergeCell ref="K2:M2"/>
    <mergeCell ref="A5:J5"/>
    <mergeCell ref="L6:M6"/>
    <mergeCell ref="H9:I9"/>
    <mergeCell ref="B9:G9"/>
    <mergeCell ref="N3:O3"/>
    <mergeCell ref="N4:O4"/>
    <mergeCell ref="J9:O9"/>
    <mergeCell ref="AH11:AH13"/>
    <mergeCell ref="AF11:AF13"/>
    <mergeCell ref="AG11:AG13"/>
    <mergeCell ref="A12:A13"/>
    <mergeCell ref="L10:M10"/>
    <mergeCell ref="H10:I10"/>
    <mergeCell ref="R11:AE13"/>
    <mergeCell ref="B10:G10"/>
    <mergeCell ref="B12:O12"/>
    <mergeCell ref="J10:K10"/>
    <mergeCell ref="N10:O10"/>
  </mergeCells>
  <phoneticPr fontId="0" type="noConversion"/>
  <conditionalFormatting sqref="A14:A49">
    <cfRule type="expression" dxfId="626" priority="2">
      <formula>OR(A14="Girder",A14="Girders",A14="Joist",A14="Joists",A14="Bridging")</formula>
    </cfRule>
    <cfRule type="expression" dxfId="625" priority="3">
      <formula>AND(P14&gt;0,ISBLANK(AF14),OR($R$1="",$R$1="M"))</formula>
    </cfRule>
    <cfRule type="expression" dxfId="624" priority="11">
      <formula>$AH14</formula>
    </cfRule>
  </conditionalFormatting>
  <conditionalFormatting sqref="H2:J4">
    <cfRule type="cellIs" dxfId="623" priority="9" stopIfTrue="1" operator="equal">
      <formula>""</formula>
    </cfRule>
  </conditionalFormatting>
  <conditionalFormatting sqref="B14:O49">
    <cfRule type="expression" dxfId="622" priority="4">
      <formula>IF($R$1="M",AND(B14&gt;R14,R14&gt;0),B14&lt;R14)</formula>
    </cfRule>
    <cfRule type="expression" dxfId="621" priority="7">
      <formula>OR(AND($R$1="M",NOT($S$1),B14=R14),B14="-")</formula>
    </cfRule>
    <cfRule type="expression" dxfId="620" priority="8">
      <formula>IF(NOT(ISBLANK($R$1)),IF($R$1="M",IF(ISTEXT(B14),0,B14)&lt;R14,IF(ISTEXT(B14),0,B14)&gt;R14))</formula>
    </cfRule>
    <cfRule type="expression" dxfId="619" priority="10">
      <formula>OR($AH14,B$63)</formula>
    </cfRule>
  </conditionalFormatting>
  <conditionalFormatting sqref="B13:O13">
    <cfRule type="expression" dxfId="618" priority="1">
      <formula>AND(NOT(ISBLANK(B$13)),ISERROR(MATCH(B$13,$AK:$AK,0)))</formula>
    </cfRule>
    <cfRule type="expression" dxfId="617" priority="12">
      <formula>B$63</formula>
    </cfRule>
  </conditionalFormatting>
  <dataValidations count="2">
    <dataValidation type="custom" allowBlank="1" showInputMessage="1" showErrorMessage="1" errorTitle="Input Error" error="Value can only be a positive integer OR a dash." sqref="B14:O49" xr:uid="{00000000-0002-0000-0900-000000000000}">
      <formula1>IF(ISNUMBER(B14),B14=ABS(TRUNC(B14,0)),B14="-")</formula1>
    </dataValidation>
    <dataValidation type="custom" allowBlank="1" showInputMessage="1" showErrorMessage="1" errorTitle="Error" error="Values containing only spaces are not allowed._x000a_Values that start or end with spaces are also not allowed." sqref="B13:O13" xr:uid="{00000000-0002-0000-0900-000001000000}">
      <formula1>B13=TRIM(B13)</formula1>
    </dataValidation>
  </dataValidations>
  <printOptions horizontalCentered="1"/>
  <pageMargins left="0.3" right="0.3" top="0.5" bottom="0.5" header="0" footer="0.25"/>
  <pageSetup orientation="portrait" r:id="rId1"/>
  <headerFooter alignWithMargins="0">
    <oddFooter>&amp;R&amp;7Printed: &amp;D &amp;T&amp;L&amp;7Version: 21.0428
File: &amp;F</oddFooter>
  </headerFooter>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7">
    <tabColor indexed="42"/>
  </sheetPr>
  <dimension ref="A1:JP92"/>
  <sheetViews>
    <sheetView showGridLines="0" topLeftCell="CB1" zoomScaleNormal="100" zoomScaleSheetLayoutView="50" workbookViewId="0">
      <selection activeCell="CB28" sqref="CB28"/>
    </sheetView>
  </sheetViews>
  <sheetFormatPr defaultColWidth="0" defaultRowHeight="12.75" x14ac:dyDescent="0.2"/>
  <cols>
    <col min="1" max="1" width="5.7109375" style="46" customWidth="1"/>
    <col min="2" max="2" width="4.28515625" style="46" customWidth="1"/>
    <col min="3" max="3" width="15.28515625" style="46" customWidth="1"/>
    <col min="4" max="4" width="3.7109375" style="46" customWidth="1"/>
    <col min="5" max="5" width="4.42578125" style="46" customWidth="1"/>
    <col min="6" max="6" width="4.7109375" style="46" customWidth="1"/>
    <col min="7" max="7" width="3" style="46" customWidth="1"/>
    <col min="8" max="8" width="4.42578125" style="46" customWidth="1"/>
    <col min="9" max="10" width="3" style="46" customWidth="1"/>
    <col min="11" max="11" width="4.42578125" style="46" customWidth="1"/>
    <col min="12" max="12" width="3" style="46" customWidth="1"/>
    <col min="13" max="14" width="4.28515625" style="46" customWidth="1"/>
    <col min="15" max="15" width="3.28515625" style="46" customWidth="1"/>
    <col min="16" max="16" width="5" style="46" customWidth="1"/>
    <col min="17" max="17" width="3.28515625" style="46" customWidth="1"/>
    <col min="18" max="18" width="5" style="46" customWidth="1"/>
    <col min="19" max="19" width="2.85546875" style="46" customWidth="1"/>
    <col min="20" max="20" width="4.42578125" style="46" customWidth="1"/>
    <col min="21" max="21" width="2.85546875" style="46" customWidth="1"/>
    <col min="22" max="22" width="4.42578125" style="46" customWidth="1"/>
    <col min="23" max="23" width="4.28515625" style="46" customWidth="1"/>
    <col min="24" max="25" width="4.7109375" style="46" customWidth="1"/>
    <col min="26" max="26" width="18.5703125" style="46" customWidth="1"/>
    <col min="27" max="27" width="4" style="46" customWidth="1"/>
    <col min="28" max="28" width="5.7109375" style="46" customWidth="1"/>
    <col min="29" max="29" width="3.28515625" style="46" customWidth="1"/>
    <col min="30" max="30" width="3" style="46" customWidth="1"/>
    <col min="31" max="31" width="4.42578125" style="46" customWidth="1"/>
    <col min="32" max="32" width="3.42578125" style="46" customWidth="1"/>
    <col min="33" max="33" width="3" style="46" customWidth="1"/>
    <col min="34" max="34" width="4.42578125" style="46" customWidth="1"/>
    <col min="35" max="35" width="3" style="46" customWidth="1"/>
    <col min="36" max="37" width="4.42578125" style="46" customWidth="1"/>
    <col min="38" max="38" width="5" style="46" customWidth="1"/>
    <col min="39" max="39" width="4.42578125" style="46" customWidth="1"/>
    <col min="40" max="40" width="5.28515625" style="46" customWidth="1"/>
    <col min="41" max="43" width="4.42578125" style="46" customWidth="1"/>
    <col min="44" max="44" width="3.7109375" style="46" customWidth="1"/>
    <col min="45" max="47" width="4.42578125" style="46" customWidth="1"/>
    <col min="48" max="48" width="3.7109375" style="46" customWidth="1"/>
    <col min="49" max="51" width="4.42578125" style="46" customWidth="1"/>
    <col min="52" max="52" width="3.7109375" style="46" customWidth="1"/>
    <col min="53" max="55" width="4.42578125" style="46" customWidth="1"/>
    <col min="56" max="56" width="3.7109375" style="46" customWidth="1"/>
    <col min="57" max="59" width="4.42578125" style="46" customWidth="1"/>
    <col min="60" max="60" width="4.7109375" style="176" customWidth="1"/>
    <col min="61" max="61" width="5.7109375" style="46" hidden="1" customWidth="1"/>
    <col min="62" max="63" width="6.7109375" style="46" hidden="1" customWidth="1"/>
    <col min="64" max="64" width="10.5703125" style="46" hidden="1" customWidth="1"/>
    <col min="65" max="65" width="12.140625" style="46" hidden="1" customWidth="1"/>
    <col min="66" max="67" width="7.140625" style="46" hidden="1" customWidth="1"/>
    <col min="68" max="68" width="10.5703125" style="46" hidden="1" customWidth="1"/>
    <col min="69" max="69" width="8.42578125" style="46" hidden="1" customWidth="1"/>
    <col min="70" max="70" width="15.7109375" style="46" hidden="1" customWidth="1"/>
    <col min="71" max="71" width="3.7109375" style="46" hidden="1" customWidth="1"/>
    <col min="72" max="72" width="6.7109375" style="46" hidden="1" customWidth="1"/>
    <col min="73" max="73" width="3.7109375" style="46" hidden="1" customWidth="1"/>
    <col min="74" max="78" width="6.7109375" style="46" hidden="1" customWidth="1"/>
    <col min="79" max="79" width="5.7109375" style="46" customWidth="1"/>
    <col min="80" max="80" width="6.7109375" style="46" customWidth="1"/>
    <col min="81" max="81" width="4.7109375" style="46" customWidth="1"/>
    <col min="82" max="82" width="15.7109375" style="46" customWidth="1"/>
    <col min="83" max="83" width="4.7109375" style="46" customWidth="1"/>
    <col min="84" max="84" width="5.7109375" style="46" customWidth="1"/>
    <col min="85" max="85" width="3.7109375" style="46" customWidth="1"/>
    <col min="86" max="89" width="5.28515625" style="46" customWidth="1"/>
    <col min="90" max="90" width="4.7109375" style="46" customWidth="1"/>
    <col min="91" max="91" width="5.7109375" style="46" customWidth="1"/>
    <col min="92" max="93" width="6" style="46" customWidth="1"/>
    <col min="94" max="94" width="4.7109375" style="46" customWidth="1"/>
    <col min="95" max="95" width="3.7109375" style="46" customWidth="1"/>
    <col min="96" max="99" width="5.28515625" style="46" customWidth="1"/>
    <col min="100" max="100" width="4.7109375" style="46" customWidth="1"/>
    <col min="101" max="101" width="5.7109375" style="46" customWidth="1"/>
    <col min="102" max="103" width="6" style="46" customWidth="1"/>
    <col min="104" max="104" width="4.7109375" style="46" customWidth="1"/>
    <col min="105" max="105" width="5.7109375" style="46" customWidth="1"/>
    <col min="106" max="106" width="15.7109375" style="46" customWidth="1"/>
    <col min="107" max="107" width="22.28515625" style="46" customWidth="1"/>
    <col min="108" max="109" width="4.7109375" style="46" customWidth="1"/>
    <col min="110" max="111" width="1.7109375" style="46" customWidth="1"/>
    <col min="112" max="112" width="5.7109375" style="46" customWidth="1"/>
    <col min="113" max="113" width="4.7109375" style="46" customWidth="1"/>
    <col min="114" max="114" width="3.7109375" style="46" customWidth="1"/>
    <col min="115" max="115" width="5.7109375" style="46" customWidth="1"/>
    <col min="116" max="116" width="2.7109375" style="46" customWidth="1"/>
    <col min="117" max="117" width="3.7109375" style="46" customWidth="1"/>
    <col min="118" max="118" width="5.7109375" style="46" customWidth="1"/>
    <col min="119" max="119" width="3.7109375" style="46" customWidth="1"/>
    <col min="120" max="120" width="4.7109375" style="46" customWidth="1"/>
    <col min="121" max="121" width="5.28515625" style="46" customWidth="1"/>
    <col min="122" max="125" width="4.28515625" style="46" customWidth="1"/>
    <col min="126" max="126" width="4.7109375" style="46" customWidth="1"/>
    <col min="127" max="127" width="5.7109375" style="46" customWidth="1"/>
    <col min="128" max="128" width="3.7109375" style="46" customWidth="1"/>
    <col min="129" max="129" width="3" style="46" customWidth="1"/>
    <col min="130" max="130" width="4.7109375" style="46" customWidth="1"/>
    <col min="131" max="131" width="5.7109375" style="46" customWidth="1"/>
    <col min="132" max="132" width="3.7109375" style="46" customWidth="1"/>
    <col min="133" max="133" width="3" style="46" customWidth="1"/>
    <col min="134" max="134" width="4.7109375" style="46" customWidth="1"/>
    <col min="135" max="135" width="5.7109375" style="46" customWidth="1"/>
    <col min="136" max="136" width="3.7109375" style="46" customWidth="1"/>
    <col min="137" max="137" width="3" style="46" customWidth="1"/>
    <col min="138" max="138" width="4.7109375" style="46" customWidth="1"/>
    <col min="139" max="139" width="5.7109375" style="46" customWidth="1"/>
    <col min="140" max="140" width="3.7109375" style="46" customWidth="1"/>
    <col min="141" max="141" width="3" style="46" customWidth="1"/>
    <col min="142" max="142" width="2.28515625" style="46" customWidth="1"/>
    <col min="143" max="143" width="6.7109375" style="46" customWidth="1"/>
    <col min="144" max="144" width="8.7109375" style="57" customWidth="1"/>
    <col min="145" max="145" width="8.7109375" style="46" customWidth="1"/>
    <col min="146" max="146" width="10.7109375" style="46" customWidth="1"/>
    <col min="147" max="147" width="6.7109375" style="46" customWidth="1"/>
    <col min="148" max="149" width="5.42578125" style="46" customWidth="1"/>
    <col min="150" max="151" width="4.28515625" style="46" customWidth="1"/>
    <col min="152" max="152" width="6.7109375" style="46" customWidth="1"/>
    <col min="153" max="177" width="8.7109375" style="46" hidden="1" customWidth="1"/>
    <col min="178" max="178" width="6.7109375" style="46" hidden="1" customWidth="1"/>
    <col min="179" max="181" width="8.7109375" style="46" hidden="1" customWidth="1"/>
    <col min="182" max="182" width="4.7109375" style="46" customWidth="1"/>
    <col min="183" max="183" width="5.28515625" style="46" customWidth="1"/>
    <col min="184" max="184" width="6.28515625" style="46" customWidth="1"/>
    <col min="185" max="187" width="8.7109375" style="46" customWidth="1"/>
    <col min="188" max="188" width="5.7109375" style="46" customWidth="1"/>
    <col min="189" max="189" width="5.28515625" style="46" customWidth="1"/>
    <col min="190" max="190" width="6.28515625" style="46" customWidth="1"/>
    <col min="191" max="191" width="5.28515625" style="46" hidden="1" customWidth="1"/>
    <col min="192" max="192" width="6.28515625" style="46" hidden="1" customWidth="1"/>
    <col min="193" max="195" width="8.7109375" style="46" hidden="1" customWidth="1"/>
    <col min="196" max="196" width="4.7109375" style="46" customWidth="1"/>
    <col min="197" max="198" width="8.7109375" style="46" hidden="1" customWidth="1"/>
    <col min="199" max="199" width="6.7109375" style="46" hidden="1" customWidth="1"/>
    <col min="200" max="206" width="8.7109375" style="46" hidden="1" customWidth="1"/>
    <col min="207" max="207" width="8.7109375" style="46" customWidth="1"/>
    <col min="208" max="208" width="8.7109375" style="46" hidden="1" customWidth="1"/>
    <col min="209" max="210" width="8.7109375" style="57" hidden="1" customWidth="1"/>
    <col min="211" max="211" width="12.7109375" style="57" hidden="1" customWidth="1"/>
    <col min="212" max="212" width="8.7109375" style="47" hidden="1" customWidth="1"/>
    <col min="213" max="213" width="8.7109375" style="48" hidden="1" customWidth="1"/>
    <col min="214" max="237" width="8.7109375" style="57" hidden="1" customWidth="1"/>
    <col min="238" max="260" width="8.7109375" style="46" hidden="1" customWidth="1"/>
    <col min="261" max="273" width="6.7109375" style="46" hidden="1" customWidth="1"/>
    <col min="274" max="274" width="8.7109375" style="46" hidden="1" customWidth="1"/>
    <col min="275" max="275" width="6.7109375" style="46" hidden="1" customWidth="1"/>
    <col min="276" max="706" width="6.7109375" style="46" customWidth="1"/>
    <col min="707" max="707" width="0" style="46" hidden="1" customWidth="1"/>
    <col min="708" max="16384" width="0" style="46" hidden="1"/>
  </cols>
  <sheetData>
    <row r="1" spans="1:276" s="148" customFormat="1" ht="14.45" customHeight="1" thickBot="1" x14ac:dyDescent="0.25">
      <c r="A1" s="308"/>
      <c r="B1" s="308"/>
      <c r="C1" s="308"/>
      <c r="D1" s="308"/>
      <c r="E1" s="308"/>
      <c r="F1" s="308"/>
      <c r="G1" s="308"/>
      <c r="H1" s="308"/>
      <c r="I1" s="308"/>
      <c r="J1" s="308"/>
      <c r="K1" s="308"/>
      <c r="L1" s="308"/>
      <c r="M1" s="308"/>
      <c r="N1" s="308"/>
      <c r="O1" s="308"/>
      <c r="P1" s="308"/>
      <c r="Q1" s="1705" t="e">
        <f>IF(BJ1="","",VLOOKUP(BJ1,#REF!,4,FALSE))</f>
        <v>#REF!</v>
      </c>
      <c r="R1" s="1705"/>
      <c r="S1" s="1705"/>
      <c r="T1" s="1705"/>
      <c r="U1" s="308"/>
      <c r="V1" s="299"/>
      <c r="W1" s="2032" t="s">
        <v>77</v>
      </c>
      <c r="X1" s="2032"/>
      <c r="Y1" s="2032"/>
      <c r="Z1" s="1014" t="s">
        <v>76</v>
      </c>
      <c r="AA1" s="298"/>
      <c r="AB1" s="308"/>
      <c r="AC1" s="308"/>
      <c r="AD1" s="308"/>
      <c r="AE1" s="308"/>
      <c r="AF1" s="308"/>
      <c r="AG1" s="308"/>
      <c r="AH1" s="308"/>
      <c r="AI1" s="308"/>
      <c r="AJ1" s="308"/>
      <c r="AK1" s="308"/>
      <c r="AL1" s="308"/>
      <c r="AM1" s="308"/>
      <c r="AN1" s="308"/>
      <c r="AO1" s="308"/>
      <c r="AP1" s="308"/>
      <c r="AQ1" s="298"/>
      <c r="AR1" s="308"/>
      <c r="AS1" s="308"/>
      <c r="AT1" s="308"/>
      <c r="AU1" s="2028" t="e">
        <f>Q1</f>
        <v>#REF!</v>
      </c>
      <c r="AV1" s="2028"/>
      <c r="AW1" s="2028"/>
      <c r="AX1" s="2028"/>
      <c r="AY1" s="308"/>
      <c r="AZ1" s="308"/>
      <c r="BA1" s="2032" t="s">
        <v>77</v>
      </c>
      <c r="BB1" s="2032"/>
      <c r="BC1" s="2032"/>
      <c r="BD1" s="1709" t="e">
        <f>#REF!</f>
        <v>#REF!</v>
      </c>
      <c r="BE1" s="1709"/>
      <c r="BF1" s="1709"/>
      <c r="BG1" s="401"/>
      <c r="BH1" s="426" t="s">
        <v>375</v>
      </c>
      <c r="BJ1" s="150" t="e">
        <f>#REF!</f>
        <v>#REF!</v>
      </c>
      <c r="BK1" s="150" t="e">
        <f>#REF!</f>
        <v>#REF!</v>
      </c>
      <c r="BL1" s="709" t="s">
        <v>559</v>
      </c>
      <c r="CA1" s="427" t="s">
        <v>376</v>
      </c>
      <c r="CB1" s="151"/>
      <c r="CC1" s="151"/>
      <c r="CD1" s="151"/>
      <c r="CE1" s="151"/>
      <c r="CF1" s="151"/>
      <c r="CG1" s="151"/>
      <c r="CH1" s="151"/>
      <c r="CI1" s="151"/>
      <c r="CJ1" s="151"/>
      <c r="CK1" s="151"/>
      <c r="CL1" s="151"/>
      <c r="CM1" s="151"/>
      <c r="CN1" s="151"/>
      <c r="CO1" s="152"/>
      <c r="CP1" s="152"/>
      <c r="CQ1" s="152"/>
      <c r="CR1" s="152"/>
      <c r="CS1" s="152"/>
      <c r="CT1" s="152"/>
      <c r="CU1" s="152"/>
      <c r="CV1" s="152"/>
      <c r="CW1" s="152"/>
      <c r="CX1" s="146"/>
      <c r="CY1" s="152"/>
      <c r="CZ1" s="152"/>
      <c r="DA1" s="151"/>
      <c r="DB1" s="151"/>
      <c r="DC1" s="151"/>
      <c r="DD1" s="151"/>
      <c r="DE1" s="151"/>
      <c r="DF1" s="151"/>
      <c r="DG1" s="151"/>
      <c r="DH1" s="151"/>
      <c r="DI1" s="151"/>
      <c r="DJ1" s="153"/>
      <c r="DK1" s="153"/>
      <c r="DL1" s="153"/>
      <c r="DM1" s="153"/>
      <c r="DN1" s="153"/>
      <c r="DO1" s="153"/>
      <c r="DP1" s="153"/>
      <c r="DQ1" s="146"/>
      <c r="DR1" s="146"/>
      <c r="DS1" s="146"/>
      <c r="DT1" s="146"/>
      <c r="DU1" s="146"/>
      <c r="DV1" s="146"/>
      <c r="DW1" s="146"/>
      <c r="DX1" s="146"/>
      <c r="DY1" s="146"/>
      <c r="DZ1" s="146"/>
      <c r="EA1" s="146"/>
      <c r="EB1" s="146"/>
      <c r="EC1" s="151"/>
      <c r="ED1" s="151"/>
      <c r="EE1" s="151"/>
      <c r="EF1" s="151"/>
      <c r="EG1" s="151"/>
      <c r="EH1" s="151"/>
      <c r="EI1" s="151"/>
      <c r="EJ1" s="151"/>
      <c r="EK1" s="151"/>
      <c r="EL1" s="146"/>
      <c r="EM1" s="146"/>
      <c r="EN1" s="146"/>
      <c r="EO1" s="853"/>
      <c r="EP1" s="854"/>
      <c r="EQ1" s="146"/>
      <c r="ER1" s="146"/>
      <c r="ES1" s="146"/>
      <c r="ET1" s="146"/>
      <c r="EU1" s="146"/>
      <c r="EV1" s="426" t="s">
        <v>375</v>
      </c>
      <c r="EW1" s="214"/>
      <c r="EY1" s="213"/>
      <c r="EZ1" s="215" t="s">
        <v>164</v>
      </c>
      <c r="FA1" s="216" t="e">
        <f>#REF!</f>
        <v>#REF!</v>
      </c>
      <c r="FB1" s="217" t="e">
        <f>IF(FA1=1,"Girder BL @ CL of Steel Support (if possible), minimize BL",IF(FA1=2,"Minimize Joist Base Length",IF(FA1=3,"Minimize TCX (Maximize Joist BL)",IF(FA1=4,"Girder BL @ CL of Steel Support (if possible), minimize TCX"))))</f>
        <v>#REF!</v>
      </c>
      <c r="FC1" s="217"/>
      <c r="FD1" s="214"/>
      <c r="FE1" s="214"/>
      <c r="FF1" s="155" t="s">
        <v>549</v>
      </c>
      <c r="FG1" s="303" t="e">
        <f>#REF!</f>
        <v>#REF!</v>
      </c>
      <c r="FH1" s="155"/>
      <c r="FI1" s="155"/>
      <c r="FJ1" s="155"/>
      <c r="FL1" s="155"/>
      <c r="FP1" s="155"/>
      <c r="FR1" s="155"/>
      <c r="FS1" s="155"/>
      <c r="FT1" s="155"/>
      <c r="FV1" s="493"/>
      <c r="FW1" s="41"/>
      <c r="FX1" s="41"/>
      <c r="FZ1" s="427" t="s">
        <v>376</v>
      </c>
      <c r="GA1" s="147"/>
      <c r="GB1" s="147"/>
      <c r="GC1" s="147"/>
      <c r="GD1" s="147"/>
      <c r="GE1" s="147"/>
      <c r="GF1" s="147"/>
      <c r="GG1" s="147"/>
      <c r="GH1" s="147"/>
      <c r="GI1" s="147"/>
      <c r="GJ1" s="147"/>
      <c r="GL1" s="157"/>
      <c r="GM1" s="157"/>
      <c r="GN1" s="157"/>
      <c r="GO1" s="157"/>
      <c r="GY1" s="488" t="s">
        <v>371</v>
      </c>
      <c r="GZ1" s="726" t="s">
        <v>731</v>
      </c>
      <c r="HA1" s="148" t="e">
        <f>#REF!</f>
        <v>#REF!</v>
      </c>
      <c r="HB1" s="157"/>
      <c r="HC1" s="157"/>
      <c r="HD1" s="157"/>
      <c r="HE1" s="157"/>
      <c r="HF1" s="157"/>
      <c r="HG1" s="157"/>
      <c r="HH1" s="157"/>
      <c r="HI1" s="157"/>
      <c r="HJ1" s="157"/>
      <c r="HK1" s="150"/>
      <c r="HL1" s="150"/>
      <c r="HM1" s="150"/>
      <c r="HN1" s="149"/>
      <c r="HO1" s="158"/>
      <c r="HP1" s="150"/>
      <c r="HQ1" s="150"/>
      <c r="HR1" s="150"/>
      <c r="HS1" s="150"/>
      <c r="HT1" s="150"/>
      <c r="HU1" s="150"/>
      <c r="HV1" s="150"/>
      <c r="HW1" s="150"/>
      <c r="HX1" s="150"/>
      <c r="HY1" s="150"/>
      <c r="HZ1" s="150"/>
      <c r="IA1" s="150"/>
      <c r="IB1" s="150"/>
      <c r="IC1" s="150"/>
      <c r="ID1" s="150"/>
      <c r="IE1" s="150"/>
      <c r="IF1" s="150"/>
      <c r="IG1" s="150"/>
      <c r="IH1" s="150"/>
      <c r="II1" s="150"/>
      <c r="IJ1" s="150"/>
      <c r="IK1" s="150"/>
      <c r="IL1" s="150"/>
      <c r="IM1" s="150"/>
      <c r="IN1" s="157"/>
      <c r="IO1" s="157"/>
      <c r="IP1" s="157"/>
      <c r="IQ1" s="157"/>
      <c r="JP1" s="427" t="s">
        <v>716</v>
      </c>
    </row>
    <row r="2" spans="1:276" s="148" customFormat="1" ht="12.95" customHeight="1" thickTop="1" thickBot="1" x14ac:dyDescent="0.3">
      <c r="A2" s="308"/>
      <c r="B2" s="308"/>
      <c r="C2" s="308"/>
      <c r="D2" s="308"/>
      <c r="E2" s="308"/>
      <c r="F2" s="308"/>
      <c r="G2" s="308"/>
      <c r="H2" s="308"/>
      <c r="I2" s="308"/>
      <c r="J2" s="308"/>
      <c r="K2" s="308"/>
      <c r="L2" s="308"/>
      <c r="M2" s="308"/>
      <c r="N2" s="308"/>
      <c r="O2" s="308"/>
      <c r="P2" s="308"/>
      <c r="Q2" s="1711" t="e">
        <f>IF(BJ1="","",IF(VLOOKUP(BJ1,#REF!,2,FALSE),"Released for Fabrication",""))</f>
        <v>#REF!</v>
      </c>
      <c r="R2" s="1750"/>
      <c r="S2" s="1750"/>
      <c r="T2" s="1751"/>
      <c r="U2" s="308"/>
      <c r="V2" s="299"/>
      <c r="W2" s="2032" t="s">
        <v>78</v>
      </c>
      <c r="X2" s="2032"/>
      <c r="Y2" s="2032"/>
      <c r="Z2" s="1014" t="e">
        <f>#REF!</f>
        <v>#REF!</v>
      </c>
      <c r="AA2" s="298"/>
      <c r="AB2" s="308"/>
      <c r="AC2" s="308"/>
      <c r="AD2" s="308"/>
      <c r="AE2" s="308"/>
      <c r="AF2" s="308"/>
      <c r="AG2" s="308"/>
      <c r="AH2" s="308"/>
      <c r="AI2" s="308"/>
      <c r="AJ2" s="308"/>
      <c r="AK2" s="308"/>
      <c r="AL2" s="308"/>
      <c r="AM2" s="308"/>
      <c r="AN2" s="308"/>
      <c r="AO2" s="308"/>
      <c r="AP2" s="308"/>
      <c r="AQ2" s="298"/>
      <c r="AR2" s="308"/>
      <c r="AS2" s="308"/>
      <c r="AT2" s="308"/>
      <c r="AU2" s="1711" t="e">
        <f>Q2</f>
        <v>#REF!</v>
      </c>
      <c r="AV2" s="1750"/>
      <c r="AW2" s="1750"/>
      <c r="AX2" s="1751"/>
      <c r="AY2" s="308"/>
      <c r="AZ2" s="308"/>
      <c r="BA2" s="2032" t="s">
        <v>78</v>
      </c>
      <c r="BB2" s="2032"/>
      <c r="BC2" s="2032"/>
      <c r="BD2" s="1709" t="e">
        <f>#REF!</f>
        <v>#REF!</v>
      </c>
      <c r="BE2" s="1709"/>
      <c r="BF2" s="1709"/>
      <c r="BG2" s="401"/>
      <c r="BH2" s="179"/>
      <c r="BK2" s="150"/>
      <c r="CA2" s="426" t="s">
        <v>383</v>
      </c>
      <c r="CB2" s="151"/>
      <c r="CC2" s="151"/>
      <c r="CD2" s="151"/>
      <c r="CE2" s="151"/>
      <c r="CF2" s="151"/>
      <c r="CG2" s="151"/>
      <c r="CH2" s="151"/>
      <c r="CI2" s="151"/>
      <c r="CJ2" s="151"/>
      <c r="CK2" s="151"/>
      <c r="CL2" s="151"/>
      <c r="CM2" s="151"/>
      <c r="CN2" s="151"/>
      <c r="CO2" s="152"/>
      <c r="CP2" s="152"/>
      <c r="CQ2" s="106"/>
      <c r="CR2" s="106"/>
      <c r="CS2" s="107"/>
      <c r="CT2" s="106"/>
      <c r="CU2" s="106"/>
      <c r="CV2" s="106"/>
      <c r="CW2" s="110"/>
      <c r="CX2" s="146"/>
      <c r="CY2" s="159"/>
      <c r="CZ2" s="110"/>
      <c r="DA2" s="151"/>
      <c r="DB2" s="151"/>
      <c r="DC2" s="151"/>
      <c r="DD2" s="151"/>
      <c r="DE2" s="151"/>
      <c r="DF2" s="151"/>
      <c r="DG2" s="151"/>
      <c r="DH2" s="151"/>
      <c r="DI2" s="151"/>
      <c r="DJ2" s="153"/>
      <c r="DK2" s="153"/>
      <c r="DL2" s="153"/>
      <c r="DM2" s="153"/>
      <c r="DN2" s="153"/>
      <c r="DO2" s="153"/>
      <c r="DP2" s="153"/>
      <c r="DQ2" s="146"/>
      <c r="DR2" s="146"/>
      <c r="DS2" s="146"/>
      <c r="DT2" s="146"/>
      <c r="DU2" s="146"/>
      <c r="DV2" s="146"/>
      <c r="DW2" s="146"/>
      <c r="DX2" s="146"/>
      <c r="DY2" s="146"/>
      <c r="DZ2" s="146"/>
      <c r="EA2" s="146"/>
      <c r="EB2" s="146"/>
      <c r="EC2" s="151"/>
      <c r="ED2" s="151"/>
      <c r="EE2" s="151"/>
      <c r="EF2" s="151"/>
      <c r="EG2" s="151"/>
      <c r="EH2" s="151"/>
      <c r="EI2" s="151"/>
      <c r="EJ2" s="151"/>
      <c r="EK2" s="151"/>
      <c r="EL2" s="146"/>
      <c r="EM2" s="146"/>
      <c r="EN2" s="855"/>
      <c r="EO2" s="853"/>
      <c r="EP2" s="146"/>
      <c r="EQ2" s="146"/>
      <c r="ER2" s="146"/>
      <c r="ES2" s="146"/>
      <c r="ET2" s="146"/>
      <c r="EU2" s="146"/>
      <c r="EV2" s="433" t="s">
        <v>384</v>
      </c>
      <c r="EW2" s="214"/>
      <c r="EY2" s="213"/>
      <c r="EZ2" s="215" t="s">
        <v>165</v>
      </c>
      <c r="FA2" s="216" t="e">
        <f>#REF!</f>
        <v>#REF!</v>
      </c>
      <c r="FB2" s="215" t="s">
        <v>322</v>
      </c>
      <c r="FC2" s="218" t="e">
        <f>#REF!</f>
        <v>#REF!</v>
      </c>
      <c r="FD2" s="215" t="s">
        <v>323</v>
      </c>
      <c r="FE2" s="218" t="e">
        <f>#REF!</f>
        <v>#REF!</v>
      </c>
      <c r="FF2" s="214" t="s">
        <v>220</v>
      </c>
      <c r="FG2" s="489" t="e">
        <f>#REF!</f>
        <v>#REF!</v>
      </c>
      <c r="FH2" s="155"/>
      <c r="FI2" s="155"/>
      <c r="FJ2" s="155"/>
      <c r="FL2" s="155"/>
      <c r="FM2" s="155"/>
      <c r="FN2" s="155"/>
      <c r="FO2" s="155"/>
      <c r="FP2" s="155"/>
      <c r="FQ2" s="155"/>
      <c r="FR2" s="155"/>
      <c r="FS2" s="155"/>
      <c r="FT2" s="155"/>
      <c r="FU2" s="41"/>
      <c r="FW2" s="41"/>
      <c r="FX2" s="41"/>
      <c r="FY2" s="41"/>
      <c r="GA2" s="147"/>
      <c r="GB2" s="147"/>
      <c r="GC2" s="147"/>
      <c r="GD2" s="147"/>
      <c r="GE2" s="147"/>
      <c r="GF2" s="147"/>
      <c r="GG2" s="147"/>
      <c r="GH2" s="147"/>
      <c r="GI2" s="147"/>
      <c r="GJ2" s="147"/>
      <c r="GL2" s="157"/>
      <c r="GM2" s="157"/>
      <c r="GN2" s="157"/>
      <c r="GO2" s="157"/>
      <c r="GZ2" s="157"/>
      <c r="HA2" s="1848" t="s">
        <v>40</v>
      </c>
      <c r="HB2" s="1849" t="s">
        <v>102</v>
      </c>
      <c r="HC2" s="1849" t="s">
        <v>31</v>
      </c>
      <c r="HD2" s="1849" t="s">
        <v>25</v>
      </c>
      <c r="HE2" s="1850"/>
      <c r="HF2" s="1851" t="s">
        <v>74</v>
      </c>
      <c r="HG2" s="1824" t="s">
        <v>9</v>
      </c>
      <c r="HH2" s="1822"/>
      <c r="HI2" s="1822"/>
      <c r="HJ2" s="1822" t="s">
        <v>10</v>
      </c>
      <c r="HK2" s="1822"/>
      <c r="HL2" s="1825"/>
      <c r="HM2" s="1852" t="s">
        <v>11</v>
      </c>
      <c r="HN2" s="1853"/>
      <c r="HO2" s="1854" t="s">
        <v>12</v>
      </c>
      <c r="HP2" s="1819"/>
      <c r="HQ2" s="1819" t="s">
        <v>13</v>
      </c>
      <c r="HR2" s="1820"/>
      <c r="HS2" s="1821" t="s">
        <v>14</v>
      </c>
      <c r="HT2" s="1822"/>
      <c r="HU2" s="1822"/>
      <c r="HV2" s="1822"/>
      <c r="HW2" s="1823"/>
      <c r="HX2" s="1824" t="s">
        <v>85</v>
      </c>
      <c r="HY2" s="1825"/>
      <c r="HZ2" s="1036" t="s">
        <v>15</v>
      </c>
      <c r="IA2" s="1826" t="s">
        <v>548</v>
      </c>
      <c r="IB2" s="150"/>
      <c r="IC2" s="150"/>
      <c r="ID2" s="150"/>
      <c r="IE2" s="150"/>
      <c r="IF2" s="2005" t="s">
        <v>62</v>
      </c>
      <c r="IG2" s="2035" t="s">
        <v>32</v>
      </c>
      <c r="IH2" s="2036"/>
      <c r="II2" s="1825" t="s">
        <v>34</v>
      </c>
      <c r="IJ2" s="2023"/>
      <c r="IK2" s="1824"/>
      <c r="IL2" s="2035" t="s">
        <v>35</v>
      </c>
      <c r="IM2" s="2036"/>
      <c r="IN2" s="2051" t="s">
        <v>63</v>
      </c>
      <c r="IO2" s="2019" t="s">
        <v>388</v>
      </c>
      <c r="IP2" s="2020"/>
      <c r="IQ2" s="2020"/>
      <c r="IR2" s="2020"/>
      <c r="IS2" s="2020"/>
      <c r="IT2" s="2021"/>
      <c r="IU2" s="2023" t="s">
        <v>73</v>
      </c>
      <c r="IV2" s="2023"/>
      <c r="IW2" s="2023"/>
      <c r="IX2" s="2023"/>
      <c r="IY2" s="2023"/>
      <c r="IZ2" s="2023"/>
      <c r="JA2" s="2023"/>
      <c r="JB2" s="2023"/>
      <c r="JC2" s="2023"/>
      <c r="JD2" s="2023"/>
      <c r="JE2" s="2023"/>
      <c r="JF2" s="2023"/>
      <c r="JG2" s="2023"/>
      <c r="JH2" s="2023"/>
      <c r="JI2" s="2023"/>
      <c r="JJ2" s="2048"/>
      <c r="JK2" s="2118" t="s">
        <v>733</v>
      </c>
    </row>
    <row r="3" spans="1:276" s="148" customFormat="1" ht="12.95" customHeight="1" thickBot="1" x14ac:dyDescent="0.3">
      <c r="A3" s="308"/>
      <c r="B3" s="308"/>
      <c r="C3" s="308"/>
      <c r="D3" s="308"/>
      <c r="E3" s="308"/>
      <c r="F3" s="308"/>
      <c r="G3" s="308"/>
      <c r="H3" s="308"/>
      <c r="I3" s="308"/>
      <c r="J3" s="308"/>
      <c r="K3" s="308"/>
      <c r="L3" s="308"/>
      <c r="M3" s="308"/>
      <c r="N3" s="308"/>
      <c r="O3" s="308"/>
      <c r="P3" s="308"/>
      <c r="Q3" s="1752"/>
      <c r="R3" s="1753"/>
      <c r="S3" s="1753"/>
      <c r="T3" s="1754"/>
      <c r="U3" s="308"/>
      <c r="V3" s="299"/>
      <c r="W3" s="2032" t="s">
        <v>80</v>
      </c>
      <c r="X3" s="2032"/>
      <c r="Y3" s="2032"/>
      <c r="Z3" s="1014" t="e">
        <f>#REF!</f>
        <v>#REF!</v>
      </c>
      <c r="AA3" s="298"/>
      <c r="AB3" s="308"/>
      <c r="AC3" s="308"/>
      <c r="AD3" s="308"/>
      <c r="AE3" s="308"/>
      <c r="AF3" s="308"/>
      <c r="AG3" s="308"/>
      <c r="AH3" s="308"/>
      <c r="AI3" s="308"/>
      <c r="AJ3" s="308"/>
      <c r="AK3" s="308"/>
      <c r="AL3" s="308"/>
      <c r="AM3" s="308"/>
      <c r="AN3" s="308"/>
      <c r="AO3" s="308"/>
      <c r="AP3" s="308"/>
      <c r="AQ3" s="298"/>
      <c r="AR3" s="308"/>
      <c r="AS3" s="308"/>
      <c r="AT3" s="308"/>
      <c r="AU3" s="1752"/>
      <c r="AV3" s="1753"/>
      <c r="AW3" s="1753"/>
      <c r="AX3" s="1754"/>
      <c r="AY3" s="308"/>
      <c r="AZ3" s="308"/>
      <c r="BA3" s="2032" t="s">
        <v>80</v>
      </c>
      <c r="BB3" s="2032"/>
      <c r="BC3" s="2032"/>
      <c r="BD3" s="1709" t="e">
        <f>#REF!</f>
        <v>#REF!</v>
      </c>
      <c r="BE3" s="1709"/>
      <c r="BF3" s="1709"/>
      <c r="BG3" s="298"/>
      <c r="BH3" s="179"/>
      <c r="CA3" s="161"/>
      <c r="CB3" s="151"/>
      <c r="CC3" s="151"/>
      <c r="CD3" s="151"/>
      <c r="CE3" s="151"/>
      <c r="CF3" s="151"/>
      <c r="CG3" s="151"/>
      <c r="CH3" s="151"/>
      <c r="CI3" s="151"/>
      <c r="CJ3" s="151"/>
      <c r="CK3" s="151"/>
      <c r="CL3" s="151"/>
      <c r="CM3" s="151"/>
      <c r="CN3" s="151"/>
      <c r="CO3" s="152"/>
      <c r="CP3" s="106"/>
      <c r="CQ3" s="108"/>
      <c r="CR3" s="109"/>
      <c r="CS3" s="110"/>
      <c r="CT3" s="110"/>
      <c r="CU3" s="111"/>
      <c r="CV3" s="108"/>
      <c r="CW3" s="108"/>
      <c r="CX3" s="146"/>
      <c r="CY3" s="159"/>
      <c r="CZ3" s="110"/>
      <c r="DA3" s="151"/>
      <c r="DB3" s="151"/>
      <c r="DC3" s="151"/>
      <c r="DD3" s="151"/>
      <c r="DE3" s="151"/>
      <c r="DF3" s="151"/>
      <c r="DG3" s="151"/>
      <c r="DH3" s="151"/>
      <c r="DI3" s="151"/>
      <c r="DJ3" s="153"/>
      <c r="DK3" s="153"/>
      <c r="DL3" s="153"/>
      <c r="DM3" s="153"/>
      <c r="DN3" s="153"/>
      <c r="DO3" s="153"/>
      <c r="DP3" s="153"/>
      <c r="DQ3" s="146"/>
      <c r="DR3" s="146"/>
      <c r="DS3" s="146"/>
      <c r="DT3" s="146"/>
      <c r="DU3" s="146"/>
      <c r="DV3" s="146"/>
      <c r="DW3" s="146"/>
      <c r="DX3" s="146"/>
      <c r="DY3" s="146"/>
      <c r="DZ3" s="146"/>
      <c r="EA3" s="146"/>
      <c r="EB3" s="146"/>
      <c r="EC3" s="151"/>
      <c r="ED3" s="151"/>
      <c r="EE3" s="151"/>
      <c r="EF3" s="151"/>
      <c r="EG3" s="151"/>
      <c r="EH3" s="151"/>
      <c r="EI3" s="151"/>
      <c r="EJ3" s="151"/>
      <c r="EK3" s="151"/>
      <c r="EL3" s="153"/>
      <c r="EM3" s="146"/>
      <c r="EN3" s="855"/>
      <c r="EO3" s="853"/>
      <c r="EP3" s="852"/>
      <c r="EQ3" s="146"/>
      <c r="ER3" s="146"/>
      <c r="ES3" s="146"/>
      <c r="ET3" s="146"/>
      <c r="EU3" s="906"/>
      <c r="EW3" s="214"/>
      <c r="EX3" s="220" t="s">
        <v>550</v>
      </c>
      <c r="EY3" s="220" t="s">
        <v>690</v>
      </c>
      <c r="EZ3" s="221" t="s">
        <v>139</v>
      </c>
      <c r="FA3" s="222" t="s">
        <v>159</v>
      </c>
      <c r="FB3" s="223" t="s">
        <v>160</v>
      </c>
      <c r="FC3" s="222" t="s">
        <v>161</v>
      </c>
      <c r="FD3" s="222" t="s">
        <v>162</v>
      </c>
      <c r="FE3" s="222" t="s">
        <v>163</v>
      </c>
      <c r="FF3" s="222" t="s">
        <v>350</v>
      </c>
      <c r="FG3" s="2083" t="s">
        <v>695</v>
      </c>
      <c r="FH3" s="2084"/>
      <c r="FI3" s="2085"/>
      <c r="FJ3" s="155"/>
      <c r="FK3" s="46"/>
      <c r="FL3" s="155"/>
      <c r="FM3" s="155"/>
      <c r="FN3" s="155"/>
      <c r="FO3" s="155"/>
      <c r="FP3" s="155"/>
      <c r="FQ3" s="155"/>
      <c r="FR3" s="155"/>
      <c r="FS3" s="155"/>
      <c r="FT3" s="155"/>
      <c r="FU3" s="41"/>
      <c r="FV3" s="41"/>
      <c r="FW3" s="41"/>
      <c r="FX3" s="41"/>
      <c r="FY3" s="41"/>
      <c r="FZ3" s="488" t="s">
        <v>369</v>
      </c>
      <c r="GA3" s="147"/>
      <c r="GB3" s="147"/>
      <c r="GC3" s="147"/>
      <c r="GD3" s="147"/>
      <c r="GE3" s="147"/>
      <c r="GF3" s="147"/>
      <c r="GG3" s="147"/>
      <c r="GH3" s="147"/>
      <c r="GI3" s="147"/>
      <c r="GJ3" s="147"/>
      <c r="GL3" s="157"/>
      <c r="GM3" s="157"/>
      <c r="GN3" s="431" t="s">
        <v>370</v>
      </c>
      <c r="GO3" s="157"/>
      <c r="GZ3" s="157"/>
      <c r="HA3" s="1848"/>
      <c r="HB3" s="1849"/>
      <c r="HC3" s="1849"/>
      <c r="HD3" s="1849"/>
      <c r="HE3" s="1850"/>
      <c r="HF3" s="1851"/>
      <c r="HG3" s="1828" t="s">
        <v>16</v>
      </c>
      <c r="HH3" s="1829"/>
      <c r="HI3" s="1089" t="s">
        <v>385</v>
      </c>
      <c r="HJ3" s="1829" t="s">
        <v>16</v>
      </c>
      <c r="HK3" s="1829"/>
      <c r="HL3" s="1092" t="s">
        <v>385</v>
      </c>
      <c r="HM3" s="1090" t="s">
        <v>18</v>
      </c>
      <c r="HN3" s="395" t="s">
        <v>19</v>
      </c>
      <c r="HO3" s="1854"/>
      <c r="HP3" s="1819"/>
      <c r="HQ3" s="1819"/>
      <c r="HR3" s="1820"/>
      <c r="HS3" s="1830" t="s">
        <v>71</v>
      </c>
      <c r="HT3" s="1829"/>
      <c r="HU3" s="1829" t="s">
        <v>72</v>
      </c>
      <c r="HV3" s="1829"/>
      <c r="HW3" s="395" t="s">
        <v>27</v>
      </c>
      <c r="HX3" s="1091" t="s">
        <v>86</v>
      </c>
      <c r="HY3" s="1092" t="s">
        <v>87</v>
      </c>
      <c r="HZ3" s="1037" t="s">
        <v>57</v>
      </c>
      <c r="IA3" s="1827"/>
      <c r="IB3" s="150"/>
      <c r="IC3" s="150"/>
      <c r="ID3" s="150"/>
      <c r="IE3" s="150"/>
      <c r="IF3" s="2006"/>
      <c r="IG3" s="2037"/>
      <c r="IH3" s="2038"/>
      <c r="II3" s="1093" t="s">
        <v>33</v>
      </c>
      <c r="IJ3" s="2024" t="s">
        <v>16</v>
      </c>
      <c r="IK3" s="1828"/>
      <c r="IL3" s="2037"/>
      <c r="IM3" s="2038"/>
      <c r="IN3" s="2052"/>
      <c r="IO3" s="1038" t="s">
        <v>389</v>
      </c>
      <c r="IP3" s="1094" t="s">
        <v>386</v>
      </c>
      <c r="IQ3" s="1094" t="s">
        <v>387</v>
      </c>
      <c r="IR3" s="1096" t="s">
        <v>60</v>
      </c>
      <c r="IS3" s="1095" t="s">
        <v>390</v>
      </c>
      <c r="IT3" s="1039" t="s">
        <v>391</v>
      </c>
      <c r="IU3" s="2047" t="s">
        <v>58</v>
      </c>
      <c r="IV3" s="1828"/>
      <c r="IW3" s="1040" t="s">
        <v>63</v>
      </c>
      <c r="IX3" s="1041" t="s">
        <v>59</v>
      </c>
      <c r="IY3" s="2046" t="s">
        <v>58</v>
      </c>
      <c r="IZ3" s="1830"/>
      <c r="JA3" s="1040" t="s">
        <v>63</v>
      </c>
      <c r="JB3" s="1041" t="s">
        <v>59</v>
      </c>
      <c r="JC3" s="2046" t="s">
        <v>58</v>
      </c>
      <c r="JD3" s="1830"/>
      <c r="JE3" s="1040" t="s">
        <v>63</v>
      </c>
      <c r="JF3" s="1041" t="s">
        <v>59</v>
      </c>
      <c r="JG3" s="2046" t="s">
        <v>58</v>
      </c>
      <c r="JH3" s="1830"/>
      <c r="JI3" s="1040" t="s">
        <v>63</v>
      </c>
      <c r="JJ3" s="1041" t="s">
        <v>59</v>
      </c>
      <c r="JK3" s="2119"/>
    </row>
    <row r="4" spans="1:276" s="148" customFormat="1" ht="12.95" customHeight="1" thickTop="1" thickBot="1" x14ac:dyDescent="0.25">
      <c r="A4" s="308"/>
      <c r="B4" s="308"/>
      <c r="C4" s="308"/>
      <c r="D4" s="308"/>
      <c r="E4" s="308"/>
      <c r="F4" s="308"/>
      <c r="G4" s="308"/>
      <c r="H4" s="308"/>
      <c r="I4" s="308"/>
      <c r="J4" s="308"/>
      <c r="K4" s="308"/>
      <c r="L4" s="308"/>
      <c r="M4" s="1001"/>
      <c r="N4" s="298"/>
      <c r="O4" s="298"/>
      <c r="P4" s="298"/>
      <c r="Q4" s="1717" t="e">
        <f>IF(BJ1="","",IF(VLOOKUP(BJ1,#REF!,2,FALSE),VLOOKUP(BJ1,#REF!,3,FALSE),""))</f>
        <v>#REF!</v>
      </c>
      <c r="R4" s="1755"/>
      <c r="S4" s="1755"/>
      <c r="T4" s="1756"/>
      <c r="U4" s="298"/>
      <c r="V4" s="299"/>
      <c r="W4" s="2032" t="s">
        <v>79</v>
      </c>
      <c r="X4" s="2032"/>
      <c r="Y4" s="2032"/>
      <c r="Z4" s="1014" t="e">
        <f>#REF!</f>
        <v>#REF!</v>
      </c>
      <c r="AA4" s="298"/>
      <c r="AB4" s="298"/>
      <c r="AC4" s="298"/>
      <c r="AD4" s="298"/>
      <c r="AE4" s="298"/>
      <c r="AF4" s="298"/>
      <c r="AG4" s="298"/>
      <c r="AH4" s="298"/>
      <c r="AI4" s="298"/>
      <c r="AJ4" s="298"/>
      <c r="AK4" s="298"/>
      <c r="AL4" s="298"/>
      <c r="AM4" s="298"/>
      <c r="AN4" s="298"/>
      <c r="AO4" s="298"/>
      <c r="AP4" s="298"/>
      <c r="AQ4" s="298"/>
      <c r="AR4" s="1001"/>
      <c r="AS4" s="1001"/>
      <c r="AT4" s="298"/>
      <c r="AU4" s="2029" t="e">
        <f>Q4</f>
        <v>#REF!</v>
      </c>
      <c r="AV4" s="2030"/>
      <c r="AW4" s="2030"/>
      <c r="AX4" s="2031"/>
      <c r="AY4" s="308"/>
      <c r="AZ4" s="308"/>
      <c r="BA4" s="2032" t="s">
        <v>79</v>
      </c>
      <c r="BB4" s="2032"/>
      <c r="BC4" s="2032"/>
      <c r="BD4" s="1709" t="e">
        <f>#REF!</f>
        <v>#REF!</v>
      </c>
      <c r="BE4" s="1709"/>
      <c r="BF4" s="1709"/>
      <c r="BG4" s="298"/>
      <c r="BH4" s="179"/>
      <c r="CA4" s="161"/>
      <c r="CB4" s="151"/>
      <c r="CC4" s="151"/>
      <c r="CD4" s="151"/>
      <c r="CE4" s="151"/>
      <c r="CF4" s="151"/>
      <c r="CG4" s="151"/>
      <c r="CH4" s="151"/>
      <c r="CI4" s="151"/>
      <c r="CJ4" s="151"/>
      <c r="CK4" s="151"/>
      <c r="CL4" s="164"/>
      <c r="CM4" s="151"/>
      <c r="CN4" s="151"/>
      <c r="CO4" s="152"/>
      <c r="CP4" s="152"/>
      <c r="CQ4" s="152"/>
      <c r="CR4" s="152"/>
      <c r="CS4" s="152"/>
      <c r="CT4" s="152"/>
      <c r="CU4" s="152"/>
      <c r="CV4" s="152"/>
      <c r="CW4" s="152"/>
      <c r="CX4" s="146"/>
      <c r="CY4" s="152"/>
      <c r="CZ4" s="152"/>
      <c r="DA4" s="151"/>
      <c r="DB4" s="151"/>
      <c r="DC4" s="151"/>
      <c r="DD4" s="151"/>
      <c r="DE4" s="151"/>
      <c r="DF4" s="151"/>
      <c r="DG4" s="151"/>
      <c r="DH4" s="151"/>
      <c r="DI4" s="151"/>
      <c r="DJ4" s="153"/>
      <c r="DK4" s="153"/>
      <c r="DL4" s="153"/>
      <c r="DM4" s="153"/>
      <c r="DN4" s="153"/>
      <c r="DO4" s="153"/>
      <c r="DP4" s="153"/>
      <c r="DQ4" s="146"/>
      <c r="DR4" s="146"/>
      <c r="DS4" s="146"/>
      <c r="DT4" s="146"/>
      <c r="DU4" s="146"/>
      <c r="DV4" s="146"/>
      <c r="DW4" s="146"/>
      <c r="DX4" s="146"/>
      <c r="DY4" s="146"/>
      <c r="DZ4" s="146"/>
      <c r="EA4" s="146"/>
      <c r="EB4" s="146"/>
      <c r="EC4" s="151"/>
      <c r="ED4" s="151"/>
      <c r="EE4" s="151"/>
      <c r="EF4" s="151"/>
      <c r="EG4" s="151"/>
      <c r="EH4" s="151"/>
      <c r="EI4" s="151"/>
      <c r="EJ4" s="151"/>
      <c r="EK4" s="151"/>
      <c r="EL4" s="153"/>
      <c r="EM4" s="146"/>
      <c r="EN4" s="855"/>
      <c r="EO4" s="853"/>
      <c r="EP4" s="853"/>
      <c r="EQ4" s="146"/>
      <c r="ER4" s="146"/>
      <c r="ES4" s="146"/>
      <c r="ET4" s="146"/>
      <c r="EU4" s="853"/>
      <c r="EW4" s="225" t="s">
        <v>154</v>
      </c>
      <c r="EX4" s="226">
        <v>1.125</v>
      </c>
      <c r="EY4" s="226" t="e">
        <f>#REF!/2</f>
        <v>#REF!</v>
      </c>
      <c r="EZ4" s="227" t="e">
        <f>#REF!</f>
        <v>#REF!</v>
      </c>
      <c r="FA4" s="228" t="e">
        <f>#REF!</f>
        <v>#REF!</v>
      </c>
      <c r="FB4" s="228" t="e">
        <f>#REF!</f>
        <v>#REF!</v>
      </c>
      <c r="FC4" s="228" t="e">
        <f>#REF!</f>
        <v>#REF!</v>
      </c>
      <c r="FD4" s="229" t="e">
        <f>#REF!</f>
        <v>#REF!</v>
      </c>
      <c r="FE4" s="228" t="e">
        <f>#REF!</f>
        <v>#REF!</v>
      </c>
      <c r="FF4" s="228" t="e">
        <f>#REF!</f>
        <v>#REF!</v>
      </c>
      <c r="FG4" s="717">
        <v>0</v>
      </c>
      <c r="FH4" s="717">
        <v>7.125</v>
      </c>
      <c r="FI4" s="718">
        <v>17.125</v>
      </c>
      <c r="FJ4" s="155"/>
      <c r="FK4" s="155"/>
      <c r="FL4" s="155"/>
      <c r="FM4" s="155"/>
      <c r="FN4" s="155"/>
      <c r="FO4" s="155"/>
      <c r="FP4" s="155"/>
      <c r="FQ4" s="155"/>
      <c r="FR4" s="155"/>
      <c r="FS4" s="155"/>
      <c r="FT4" s="155"/>
      <c r="FU4" s="154"/>
      <c r="FV4" s="154"/>
      <c r="FW4" s="41"/>
      <c r="FX4" s="41"/>
      <c r="FY4" s="41"/>
      <c r="FZ4" s="154"/>
      <c r="GA4" s="147"/>
      <c r="GB4" s="147"/>
      <c r="GC4" s="147"/>
      <c r="GD4" s="147"/>
      <c r="GE4" s="147"/>
      <c r="GF4" s="147"/>
      <c r="GG4" s="147"/>
      <c r="GH4" s="147"/>
      <c r="GI4" s="147"/>
      <c r="GJ4" s="147"/>
      <c r="GK4" s="154"/>
      <c r="GL4" s="157"/>
      <c r="GM4" s="157"/>
      <c r="GN4" s="157"/>
      <c r="GO4" s="157"/>
      <c r="GZ4" s="157"/>
      <c r="HA4" s="2007" t="s">
        <v>273</v>
      </c>
      <c r="HB4" s="2026" t="s">
        <v>102</v>
      </c>
      <c r="HC4" s="1923" t="s">
        <v>175</v>
      </c>
      <c r="HD4" s="1925" t="s">
        <v>176</v>
      </c>
      <c r="HE4" s="1926"/>
      <c r="HF4" s="1842" t="s">
        <v>287</v>
      </c>
      <c r="HG4" s="1836" t="s">
        <v>271</v>
      </c>
      <c r="HH4" s="1837"/>
      <c r="HI4" s="1836" t="s">
        <v>272</v>
      </c>
      <c r="HJ4" s="1837"/>
      <c r="HK4" s="1840" t="s">
        <v>185</v>
      </c>
      <c r="HL4" s="1846" t="s">
        <v>288</v>
      </c>
      <c r="HM4" s="1842" t="s">
        <v>287</v>
      </c>
      <c r="HN4" s="1836" t="s">
        <v>271</v>
      </c>
      <c r="HO4" s="1837"/>
      <c r="HP4" s="1836" t="s">
        <v>272</v>
      </c>
      <c r="HQ4" s="1837"/>
      <c r="HR4" s="1840" t="s">
        <v>185</v>
      </c>
      <c r="HS4" s="1846" t="s">
        <v>288</v>
      </c>
      <c r="HT4" s="1844" t="s">
        <v>249</v>
      </c>
      <c r="HU4" s="2009" t="s">
        <v>177</v>
      </c>
      <c r="HV4" s="2010"/>
      <c r="HW4" s="2011" t="s">
        <v>728</v>
      </c>
      <c r="HX4" s="2011" t="s">
        <v>178</v>
      </c>
      <c r="HY4" s="1831" t="s">
        <v>310</v>
      </c>
      <c r="HZ4" s="1833" t="s">
        <v>311</v>
      </c>
      <c r="IA4" s="1835" t="s">
        <v>415</v>
      </c>
      <c r="IB4" s="1835"/>
      <c r="IC4" s="2025" t="s">
        <v>616</v>
      </c>
      <c r="ID4" s="2025"/>
      <c r="IE4" s="150"/>
      <c r="IF4" s="2122" t="s">
        <v>657</v>
      </c>
      <c r="IG4" s="2099" t="s">
        <v>32</v>
      </c>
      <c r="IH4" s="2100"/>
      <c r="II4" s="2081" t="s">
        <v>34</v>
      </c>
      <c r="IJ4" s="2080" t="s">
        <v>186</v>
      </c>
      <c r="IK4" s="2092"/>
      <c r="IL4" s="2120" t="s">
        <v>276</v>
      </c>
      <c r="IM4" s="2120" t="s">
        <v>277</v>
      </c>
      <c r="IN4" s="2092" t="s">
        <v>278</v>
      </c>
      <c r="IO4" s="2092" t="s">
        <v>279</v>
      </c>
      <c r="IP4" s="2092" t="s">
        <v>280</v>
      </c>
      <c r="IQ4" s="2116" t="s">
        <v>281</v>
      </c>
      <c r="IR4" s="2117"/>
      <c r="IS4" s="1940" t="s">
        <v>274</v>
      </c>
      <c r="IT4" s="1941"/>
      <c r="IU4" s="2081" t="s">
        <v>285</v>
      </c>
      <c r="IV4" s="2079" t="s">
        <v>275</v>
      </c>
      <c r="IW4" s="1940" t="s">
        <v>274</v>
      </c>
      <c r="IX4" s="1941"/>
      <c r="IY4" s="2081" t="s">
        <v>285</v>
      </c>
      <c r="IZ4" s="2079" t="s">
        <v>275</v>
      </c>
      <c r="JA4" s="1940" t="s">
        <v>274</v>
      </c>
      <c r="JB4" s="1941"/>
      <c r="JC4" s="2081" t="s">
        <v>285</v>
      </c>
      <c r="JD4" s="2079" t="s">
        <v>275</v>
      </c>
      <c r="JE4" s="1940" t="s">
        <v>274</v>
      </c>
      <c r="JF4" s="1941"/>
      <c r="JG4" s="2081" t="s">
        <v>285</v>
      </c>
      <c r="JH4" s="2118" t="s">
        <v>275</v>
      </c>
      <c r="JK4" s="2118" t="s">
        <v>733</v>
      </c>
    </row>
    <row r="5" spans="1:276" s="148" customFormat="1" ht="12.95" customHeight="1" thickTop="1" thickBot="1" x14ac:dyDescent="0.25">
      <c r="A5" s="2041" t="e">
        <f>#REF!</f>
        <v>#REF!</v>
      </c>
      <c r="B5" s="2042"/>
      <c r="C5" s="2042"/>
      <c r="D5" s="2042"/>
      <c r="E5" s="2042"/>
      <c r="F5" s="2042"/>
      <c r="G5" s="2042"/>
      <c r="H5" s="2042"/>
      <c r="I5" s="2042"/>
      <c r="J5" s="2042"/>
      <c r="K5" s="2042"/>
      <c r="L5" s="2042"/>
      <c r="M5" s="298"/>
      <c r="N5" s="298"/>
      <c r="O5" s="298"/>
      <c r="P5" s="298"/>
      <c r="Q5" s="298"/>
      <c r="R5" s="298"/>
      <c r="S5" s="298"/>
      <c r="T5" s="298"/>
      <c r="U5" s="298"/>
      <c r="V5" s="298"/>
      <c r="W5" s="298"/>
      <c r="X5" s="298"/>
      <c r="Y5" s="1002"/>
      <c r="Z5" s="1002"/>
      <c r="AA5" s="298"/>
      <c r="AB5" s="2033" t="e">
        <f>#REF!</f>
        <v>#REF!</v>
      </c>
      <c r="AC5" s="2033"/>
      <c r="AD5" s="2033"/>
      <c r="AE5" s="2033"/>
      <c r="AF5" s="2033"/>
      <c r="AG5" s="2033"/>
      <c r="AH5" s="2033"/>
      <c r="AI5" s="2033"/>
      <c r="AJ5" s="2033"/>
      <c r="AK5" s="2033"/>
      <c r="AL5" s="2033"/>
      <c r="AM5" s="2033"/>
      <c r="AN5" s="2033"/>
      <c r="AO5" s="2033"/>
      <c r="AP5" s="2033"/>
      <c r="AQ5" s="2033"/>
      <c r="AR5" s="298"/>
      <c r="AS5" s="298"/>
      <c r="AT5" s="298"/>
      <c r="AU5" s="298"/>
      <c r="AV5" s="298"/>
      <c r="AW5" s="298"/>
      <c r="AX5" s="298"/>
      <c r="AY5" s="298"/>
      <c r="AZ5" s="298"/>
      <c r="BA5" s="298"/>
      <c r="BB5" s="298"/>
      <c r="BC5" s="298"/>
      <c r="BD5" s="298"/>
      <c r="BE5" s="298"/>
      <c r="BF5" s="298"/>
      <c r="BG5" s="298"/>
      <c r="BH5" s="179"/>
      <c r="CA5" s="161"/>
      <c r="CB5" s="151"/>
      <c r="CC5" s="151"/>
      <c r="CD5" s="151"/>
      <c r="CE5" s="151"/>
      <c r="CF5" s="151"/>
      <c r="CG5" s="151"/>
      <c r="CH5" s="151"/>
      <c r="CI5" s="151"/>
      <c r="CJ5" s="151"/>
      <c r="CK5" s="151"/>
      <c r="CL5" s="165"/>
      <c r="CM5" s="151"/>
      <c r="CN5" s="151"/>
      <c r="CO5" s="152"/>
      <c r="CP5" s="152"/>
      <c r="CQ5" s="152"/>
      <c r="CR5" s="152"/>
      <c r="CS5" s="152"/>
      <c r="CT5" s="152"/>
      <c r="CU5" s="152"/>
      <c r="CV5" s="152"/>
      <c r="CW5" s="152"/>
      <c r="CX5" s="146"/>
      <c r="CY5" s="152"/>
      <c r="CZ5" s="152"/>
      <c r="DA5" s="151"/>
      <c r="DB5" s="151"/>
      <c r="DC5" s="151"/>
      <c r="DD5" s="151"/>
      <c r="DE5" s="151"/>
      <c r="DF5" s="151"/>
      <c r="DG5" s="151"/>
      <c r="DH5" s="1502">
        <v>5</v>
      </c>
      <c r="DI5" s="1502">
        <v>4</v>
      </c>
      <c r="DJ5" s="1502">
        <v>3</v>
      </c>
      <c r="DK5" s="1502">
        <v>5</v>
      </c>
      <c r="DL5" s="1502">
        <v>2</v>
      </c>
      <c r="DM5" s="1502">
        <v>3</v>
      </c>
      <c r="DN5" s="1502">
        <v>5</v>
      </c>
      <c r="DO5" s="1502">
        <v>3</v>
      </c>
      <c r="DP5" s="1502">
        <v>4</v>
      </c>
      <c r="DQ5" s="1503">
        <v>4.57</v>
      </c>
      <c r="DR5" s="1503">
        <v>3.57</v>
      </c>
      <c r="DS5" s="1503">
        <v>3.57</v>
      </c>
      <c r="DT5" s="1503">
        <v>3.57</v>
      </c>
      <c r="DU5" s="1503">
        <v>3.57</v>
      </c>
      <c r="DV5" s="1502">
        <v>4</v>
      </c>
      <c r="DW5" s="1502">
        <v>5</v>
      </c>
      <c r="DX5" s="1502">
        <v>3</v>
      </c>
      <c r="DY5" s="1502">
        <v>2.29</v>
      </c>
      <c r="DZ5" s="1502">
        <v>4</v>
      </c>
      <c r="EA5" s="1502">
        <v>5</v>
      </c>
      <c r="EB5" s="1502">
        <v>3</v>
      </c>
      <c r="EC5" s="1502">
        <v>2.29</v>
      </c>
      <c r="ED5" s="1502">
        <v>4</v>
      </c>
      <c r="EE5" s="1502">
        <v>5</v>
      </c>
      <c r="EF5" s="1502">
        <v>3</v>
      </c>
      <c r="EG5" s="1502">
        <v>2.29</v>
      </c>
      <c r="EH5" s="1502">
        <v>4</v>
      </c>
      <c r="EI5" s="1502">
        <v>5</v>
      </c>
      <c r="EJ5" s="1502">
        <v>3</v>
      </c>
      <c r="EK5" s="1502">
        <v>2.29</v>
      </c>
      <c r="EL5" s="1502">
        <v>8</v>
      </c>
      <c r="EM5" s="1502">
        <v>8</v>
      </c>
      <c r="EN5" s="1502">
        <v>10</v>
      </c>
      <c r="EO5" s="1502">
        <v>6</v>
      </c>
      <c r="EP5" s="1502">
        <v>4.71</v>
      </c>
      <c r="EQ5" s="1502">
        <v>4.71</v>
      </c>
      <c r="ER5" s="1502">
        <v>3.57</v>
      </c>
      <c r="ES5" s="1502">
        <v>3.57</v>
      </c>
      <c r="ET5" s="1502">
        <v>3.57</v>
      </c>
      <c r="EU5" s="1502">
        <v>3.57</v>
      </c>
      <c r="EW5" s="933" t="s">
        <v>702</v>
      </c>
      <c r="EX5" s="934" t="e">
        <f ca="1">OFFSET(#REF!,#REF!,1)</f>
        <v>#REF!</v>
      </c>
      <c r="EY5" s="231"/>
      <c r="EZ5" s="231"/>
      <c r="FA5" s="214"/>
      <c r="FB5" s="213"/>
      <c r="FC5" s="213"/>
      <c r="FD5" s="214"/>
      <c r="FE5" s="214"/>
      <c r="FF5" s="214"/>
      <c r="FG5" s="719">
        <v>4.5</v>
      </c>
      <c r="FH5" s="719">
        <v>5</v>
      </c>
      <c r="FI5" s="720">
        <v>6</v>
      </c>
      <c r="FJ5" s="155"/>
      <c r="FK5" s="155"/>
      <c r="FL5" s="157"/>
      <c r="FM5" s="167"/>
      <c r="FN5" s="167"/>
      <c r="FO5" s="167"/>
      <c r="FP5" s="168"/>
      <c r="FQ5" s="169"/>
      <c r="FR5" s="167"/>
      <c r="FS5" s="167"/>
      <c r="FT5" s="167"/>
      <c r="FU5" s="154"/>
      <c r="FV5" s="154"/>
      <c r="FW5" s="41"/>
      <c r="FX5" s="41"/>
      <c r="FY5" s="41"/>
      <c r="FZ5" s="154"/>
      <c r="GA5" s="147"/>
      <c r="GB5" s="147"/>
      <c r="GC5" s="147"/>
      <c r="GD5" s="147"/>
      <c r="GE5" s="147"/>
      <c r="GF5" s="147"/>
      <c r="GG5" s="147"/>
      <c r="GH5" s="147"/>
      <c r="GI5" s="147"/>
      <c r="GJ5" s="147"/>
      <c r="GK5" s="154"/>
      <c r="GL5" s="157"/>
      <c r="GM5" s="157"/>
      <c r="GN5" s="157"/>
      <c r="GO5" s="157"/>
      <c r="GZ5" s="157"/>
      <c r="HA5" s="2008"/>
      <c r="HB5" s="2027"/>
      <c r="HC5" s="1924"/>
      <c r="HD5" s="1927"/>
      <c r="HE5" s="1845"/>
      <c r="HF5" s="1843"/>
      <c r="HG5" s="1838"/>
      <c r="HH5" s="1839"/>
      <c r="HI5" s="1838"/>
      <c r="HJ5" s="1839"/>
      <c r="HK5" s="1841"/>
      <c r="HL5" s="1847"/>
      <c r="HM5" s="1843"/>
      <c r="HN5" s="1838"/>
      <c r="HO5" s="1839"/>
      <c r="HP5" s="1838"/>
      <c r="HQ5" s="1839"/>
      <c r="HR5" s="1841"/>
      <c r="HS5" s="1847"/>
      <c r="HT5" s="1845"/>
      <c r="HU5" s="44" t="s">
        <v>151</v>
      </c>
      <c r="HV5" s="45" t="s">
        <v>250</v>
      </c>
      <c r="HW5" s="2012"/>
      <c r="HX5" s="2012"/>
      <c r="HY5" s="1832"/>
      <c r="HZ5" s="1834"/>
      <c r="IA5" s="751" t="s">
        <v>282</v>
      </c>
      <c r="IB5" s="752" t="s">
        <v>283</v>
      </c>
      <c r="IC5" s="439" t="s">
        <v>282</v>
      </c>
      <c r="ID5" s="440" t="s">
        <v>283</v>
      </c>
      <c r="IE5" s="150"/>
      <c r="IF5" s="2123"/>
      <c r="IG5" s="2101"/>
      <c r="IH5" s="2102"/>
      <c r="II5" s="2082"/>
      <c r="IJ5" s="2093"/>
      <c r="IK5" s="2094"/>
      <c r="IL5" s="2121"/>
      <c r="IM5" s="2121"/>
      <c r="IN5" s="2094"/>
      <c r="IO5" s="2094"/>
      <c r="IP5" s="2094"/>
      <c r="IQ5" s="463" t="s">
        <v>282</v>
      </c>
      <c r="IR5" s="464" t="s">
        <v>283</v>
      </c>
      <c r="IS5" s="491" t="s">
        <v>309</v>
      </c>
      <c r="IT5" s="492" t="s">
        <v>284</v>
      </c>
      <c r="IU5" s="2082"/>
      <c r="IV5" s="2080"/>
      <c r="IW5" s="491" t="s">
        <v>309</v>
      </c>
      <c r="IX5" s="492" t="s">
        <v>284</v>
      </c>
      <c r="IY5" s="2082"/>
      <c r="IZ5" s="2080"/>
      <c r="JA5" s="491" t="s">
        <v>309</v>
      </c>
      <c r="JB5" s="492" t="s">
        <v>284</v>
      </c>
      <c r="JC5" s="2082"/>
      <c r="JD5" s="2080"/>
      <c r="JE5" s="491" t="s">
        <v>309</v>
      </c>
      <c r="JF5" s="492" t="s">
        <v>284</v>
      </c>
      <c r="JG5" s="2082"/>
      <c r="JH5" s="2119"/>
      <c r="JK5" s="2119"/>
    </row>
    <row r="6" spans="1:276" s="148" customFormat="1" ht="12.95" customHeight="1" thickTop="1" thickBot="1" x14ac:dyDescent="0.25">
      <c r="A6" s="298"/>
      <c r="B6" s="298"/>
      <c r="C6" s="298"/>
      <c r="D6" s="298"/>
      <c r="E6" s="298"/>
      <c r="F6" s="298"/>
      <c r="G6" s="298"/>
      <c r="H6" s="298"/>
      <c r="I6" s="298"/>
      <c r="J6" s="298"/>
      <c r="K6" s="298"/>
      <c r="L6" s="298"/>
      <c r="M6" s="2044" t="str">
        <f>IF(NOT(ISERROR(FIND("galv",LOWER($M$7)))),"**USE STEEL TAGS**  **NO A490 BOLTS**","")</f>
        <v/>
      </c>
      <c r="N6" s="1885"/>
      <c r="O6" s="1885"/>
      <c r="P6" s="1885"/>
      <c r="Q6" s="1885"/>
      <c r="R6" s="1885"/>
      <c r="S6" s="1885"/>
      <c r="T6" s="1885"/>
      <c r="U6" s="1019"/>
      <c r="V6" s="2040" t="s">
        <v>20</v>
      </c>
      <c r="W6" s="2040"/>
      <c r="X6" s="1702" t="e">
        <f>IF(ISBLANK(#REF!),"",#REF!)</f>
        <v>#REF!</v>
      </c>
      <c r="Y6" s="1702"/>
      <c r="Z6" s="1002"/>
      <c r="AA6" s="298"/>
      <c r="AB6" s="298"/>
      <c r="AC6" s="298"/>
      <c r="AD6" s="298"/>
      <c r="AE6" s="298"/>
      <c r="AF6" s="298"/>
      <c r="AG6" s="298"/>
      <c r="AH6" s="298"/>
      <c r="AI6" s="298"/>
      <c r="AJ6" s="298"/>
      <c r="AK6" s="298"/>
      <c r="AL6" s="298"/>
      <c r="AM6" s="298"/>
      <c r="AN6" s="298"/>
      <c r="AO6" s="298"/>
      <c r="AP6" s="298"/>
      <c r="AQ6" s="298"/>
      <c r="AR6" s="298"/>
      <c r="AS6" s="298"/>
      <c r="AT6" s="298"/>
      <c r="AU6" s="298"/>
      <c r="AV6" s="298"/>
      <c r="AW6" s="298"/>
      <c r="AX6" s="298"/>
      <c r="AY6" s="298"/>
      <c r="AZ6" s="2045" t="s">
        <v>20</v>
      </c>
      <c r="BA6" s="2045"/>
      <c r="BB6" s="1702" t="e">
        <f>X6</f>
        <v>#REF!</v>
      </c>
      <c r="BC6" s="1702"/>
      <c r="BD6" s="1702"/>
      <c r="BE6" s="1003"/>
      <c r="BF6" s="298"/>
      <c r="BG6" s="298"/>
      <c r="BH6" s="179"/>
      <c r="BI6" s="995" t="s">
        <v>705</v>
      </c>
      <c r="CA6" s="161"/>
      <c r="CB6" s="151"/>
      <c r="CC6" s="151"/>
      <c r="CD6" s="151"/>
      <c r="CE6" s="151"/>
      <c r="CF6" s="151"/>
      <c r="CG6" s="151"/>
      <c r="CH6" s="151"/>
      <c r="CI6" s="151"/>
      <c r="CJ6" s="151"/>
      <c r="CK6" s="151"/>
      <c r="CL6" s="151"/>
      <c r="CM6" s="151"/>
      <c r="CN6" s="151"/>
      <c r="CO6" s="151"/>
      <c r="CP6" s="151"/>
      <c r="CQ6" s="151"/>
      <c r="CR6" s="151"/>
      <c r="CS6" s="151"/>
      <c r="CT6" s="151"/>
      <c r="CU6" s="151"/>
      <c r="CV6" s="151"/>
      <c r="CW6" s="151"/>
      <c r="CX6" s="146"/>
      <c r="CY6" s="151"/>
      <c r="CZ6" s="151"/>
      <c r="DA6" s="151"/>
      <c r="DB6" s="151"/>
      <c r="DC6" s="151"/>
      <c r="DD6" s="151"/>
      <c r="DE6" s="151"/>
      <c r="DF6" s="151"/>
      <c r="DG6" s="151"/>
      <c r="DH6" s="2071" t="s">
        <v>313</v>
      </c>
      <c r="DI6" s="2108"/>
      <c r="DJ6" s="2108"/>
      <c r="DK6" s="2108"/>
      <c r="DL6" s="2108"/>
      <c r="DM6" s="2108"/>
      <c r="DN6" s="2108"/>
      <c r="DO6" s="2108"/>
      <c r="DP6" s="2108"/>
      <c r="DQ6" s="2108"/>
      <c r="DR6" s="2108"/>
      <c r="DS6" s="2108"/>
      <c r="DT6" s="2108"/>
      <c r="DU6" s="2108"/>
      <c r="DV6" s="2108"/>
      <c r="DW6" s="2108"/>
      <c r="DX6" s="2108"/>
      <c r="DY6" s="2108"/>
      <c r="DZ6" s="2108"/>
      <c r="EA6" s="2108"/>
      <c r="EB6" s="2108"/>
      <c r="EC6" s="2108"/>
      <c r="ED6" s="2108"/>
      <c r="EE6" s="2108"/>
      <c r="EF6" s="2108"/>
      <c r="EG6" s="2108"/>
      <c r="EH6" s="2108"/>
      <c r="EI6" s="2108"/>
      <c r="EJ6" s="2108"/>
      <c r="EK6" s="2109"/>
      <c r="EL6" s="153"/>
      <c r="EM6" s="153"/>
      <c r="EN6" s="153"/>
      <c r="EO6" s="856"/>
      <c r="EP6" s="856"/>
      <c r="EQ6" s="856"/>
      <c r="ER6" s="856"/>
      <c r="ES6" s="856"/>
      <c r="ET6" s="857"/>
      <c r="EU6" s="853"/>
      <c r="EV6" s="213"/>
      <c r="EW6" s="1214" t="s">
        <v>751</v>
      </c>
      <c r="EX6" s="1213">
        <v>0.5</v>
      </c>
      <c r="EY6" s="214"/>
      <c r="EZ6" s="214"/>
      <c r="FA6" s="214"/>
      <c r="FB6" s="214"/>
      <c r="FC6" s="214"/>
      <c r="FD6" s="232"/>
      <c r="FE6" s="155"/>
      <c r="FF6" s="155"/>
      <c r="FG6" s="155"/>
      <c r="FH6" s="155"/>
      <c r="FI6" s="155"/>
      <c r="FJ6" s="155"/>
      <c r="FK6" s="155"/>
      <c r="FL6" s="170"/>
      <c r="FM6" s="167"/>
      <c r="FN6" s="167"/>
      <c r="FO6" s="167"/>
      <c r="FP6" s="168"/>
      <c r="FQ6" s="169"/>
      <c r="FR6" s="167"/>
      <c r="FS6" s="167"/>
      <c r="FT6" s="167"/>
      <c r="FU6" s="154"/>
      <c r="FV6" s="154"/>
      <c r="FW6" s="41"/>
      <c r="FX6" s="41"/>
      <c r="FY6" s="41"/>
      <c r="FZ6" s="154"/>
      <c r="GA6" s="147"/>
      <c r="GB6" s="147"/>
      <c r="GC6" s="147"/>
      <c r="GD6" s="147"/>
      <c r="GE6" s="147"/>
      <c r="GF6" s="147"/>
      <c r="GG6" s="147"/>
      <c r="GH6" s="147"/>
      <c r="GI6" s="147"/>
      <c r="GJ6" s="147"/>
      <c r="GK6" s="154"/>
      <c r="GL6" s="157"/>
      <c r="GM6" s="157"/>
      <c r="GN6" s="157"/>
      <c r="GO6" s="157"/>
      <c r="GZ6" s="157"/>
      <c r="ID6" s="850" t="s">
        <v>730</v>
      </c>
      <c r="IE6" s="174">
        <v>112</v>
      </c>
      <c r="IF6" s="174">
        <v>113</v>
      </c>
      <c r="IG6" s="174">
        <f t="shared" ref="IG6:JH6" si="0">IF6+1</f>
        <v>114</v>
      </c>
      <c r="IH6" s="174">
        <f t="shared" si="0"/>
        <v>115</v>
      </c>
      <c r="II6" s="174">
        <f t="shared" si="0"/>
        <v>116</v>
      </c>
      <c r="IJ6" s="174">
        <f t="shared" si="0"/>
        <v>117</v>
      </c>
      <c r="IK6" s="174">
        <f t="shared" si="0"/>
        <v>118</v>
      </c>
      <c r="IL6" s="174">
        <f t="shared" si="0"/>
        <v>119</v>
      </c>
      <c r="IM6" s="174">
        <f t="shared" si="0"/>
        <v>120</v>
      </c>
      <c r="IN6" s="174">
        <f t="shared" si="0"/>
        <v>121</v>
      </c>
      <c r="IO6" s="174">
        <f t="shared" si="0"/>
        <v>122</v>
      </c>
      <c r="IP6" s="174">
        <f t="shared" si="0"/>
        <v>123</v>
      </c>
      <c r="IQ6" s="174">
        <f t="shared" si="0"/>
        <v>124</v>
      </c>
      <c r="IR6" s="174">
        <f t="shared" si="0"/>
        <v>125</v>
      </c>
      <c r="IS6" s="174">
        <f t="shared" si="0"/>
        <v>126</v>
      </c>
      <c r="IT6" s="174">
        <f t="shared" si="0"/>
        <v>127</v>
      </c>
      <c r="IU6" s="174">
        <f t="shared" si="0"/>
        <v>128</v>
      </c>
      <c r="IV6" s="174">
        <f t="shared" si="0"/>
        <v>129</v>
      </c>
      <c r="IW6" s="174">
        <f t="shared" si="0"/>
        <v>130</v>
      </c>
      <c r="IX6" s="174">
        <f t="shared" si="0"/>
        <v>131</v>
      </c>
      <c r="IY6" s="174">
        <f t="shared" si="0"/>
        <v>132</v>
      </c>
      <c r="IZ6" s="174">
        <f t="shared" si="0"/>
        <v>133</v>
      </c>
      <c r="JA6" s="174">
        <f t="shared" si="0"/>
        <v>134</v>
      </c>
      <c r="JB6" s="174">
        <f t="shared" si="0"/>
        <v>135</v>
      </c>
      <c r="JC6" s="174">
        <f t="shared" si="0"/>
        <v>136</v>
      </c>
      <c r="JD6" s="174">
        <f t="shared" si="0"/>
        <v>137</v>
      </c>
      <c r="JE6" s="174">
        <f t="shared" si="0"/>
        <v>138</v>
      </c>
      <c r="JF6" s="174">
        <f t="shared" si="0"/>
        <v>139</v>
      </c>
      <c r="JG6" s="174">
        <f t="shared" si="0"/>
        <v>140</v>
      </c>
      <c r="JH6" s="174">
        <f t="shared" si="0"/>
        <v>141</v>
      </c>
      <c r="JI6" s="174"/>
      <c r="JJ6" s="174"/>
      <c r="JK6" s="174"/>
    </row>
    <row r="7" spans="1:276" s="41" customFormat="1" ht="12.95" customHeight="1" x14ac:dyDescent="0.2">
      <c r="A7" s="1004" t="s">
        <v>37</v>
      </c>
      <c r="B7" s="322"/>
      <c r="C7" s="322"/>
      <c r="D7" s="298"/>
      <c r="E7" s="298"/>
      <c r="F7" s="322"/>
      <c r="G7" s="322"/>
      <c r="H7" s="322"/>
      <c r="I7" s="322"/>
      <c r="J7" s="322"/>
      <c r="K7" s="2045" t="s">
        <v>26</v>
      </c>
      <c r="L7" s="2050"/>
      <c r="M7" s="2043" t="str">
        <f>IF(ISBLANK(DA20),"",DA20)</f>
        <v/>
      </c>
      <c r="N7" s="1885"/>
      <c r="O7" s="1885"/>
      <c r="P7" s="1885"/>
      <c r="Q7" s="1885"/>
      <c r="R7" s="1885"/>
      <c r="S7" s="1885"/>
      <c r="T7" s="1019"/>
      <c r="U7" s="1019"/>
      <c r="V7" s="2040" t="s">
        <v>21</v>
      </c>
      <c r="W7" s="2040"/>
      <c r="X7" s="1107" t="e">
        <f>CONCATENATE(BI7, " of ",IF(ISBLANK(#REF!),"",#REF!))</f>
        <v>#REF!</v>
      </c>
      <c r="Y7" s="601"/>
      <c r="Z7" s="1002"/>
      <c r="AA7" s="298"/>
      <c r="AB7" s="1004" t="s">
        <v>38</v>
      </c>
      <c r="AC7" s="298"/>
      <c r="AD7" s="298"/>
      <c r="AE7" s="322"/>
      <c r="AF7" s="322"/>
      <c r="AG7" s="322"/>
      <c r="AH7" s="322"/>
      <c r="AI7" s="322"/>
      <c r="AJ7" s="322"/>
      <c r="AK7" s="322"/>
      <c r="AL7" s="322"/>
      <c r="AM7" s="298"/>
      <c r="AN7" s="298"/>
      <c r="AO7" s="298"/>
      <c r="AP7" s="322"/>
      <c r="AQ7" s="322"/>
      <c r="AR7" s="298"/>
      <c r="AS7" s="298"/>
      <c r="AT7" s="298"/>
      <c r="AU7" s="298"/>
      <c r="AV7" s="298"/>
      <c r="AW7" s="298"/>
      <c r="AX7" s="298"/>
      <c r="AY7" s="298"/>
      <c r="AZ7" s="2040" t="s">
        <v>21</v>
      </c>
      <c r="BA7" s="2040"/>
      <c r="BB7" s="1018" t="e">
        <f>CONCATENATE(IF(ISBLANK(BI7),"",BI7+1), " of ",IF(ISBLANK(#REF!),"",#REF!))</f>
        <v>#REF!</v>
      </c>
      <c r="BC7" s="601"/>
      <c r="BD7" s="601"/>
      <c r="BE7" s="298"/>
      <c r="BF7" s="298"/>
      <c r="BG7" s="298"/>
      <c r="BH7" s="180"/>
      <c r="BI7" s="996"/>
      <c r="CA7" s="161"/>
      <c r="CB7" s="151"/>
      <c r="CC7" s="151"/>
      <c r="CD7" s="151"/>
      <c r="CE7" s="151"/>
      <c r="CF7" s="151"/>
      <c r="CG7" s="151"/>
      <c r="CH7" s="151"/>
      <c r="CI7" s="151"/>
      <c r="CJ7" s="151"/>
      <c r="CK7" s="151"/>
      <c r="CL7" s="151"/>
      <c r="CM7" s="151"/>
      <c r="CN7" s="151"/>
      <c r="CO7" s="151"/>
      <c r="CP7" s="151"/>
      <c r="CQ7" s="151"/>
      <c r="CR7" s="151"/>
      <c r="CS7" s="151"/>
      <c r="CT7" s="151"/>
      <c r="CU7" s="151"/>
      <c r="CV7" s="151"/>
      <c r="CW7" s="151"/>
      <c r="CX7" s="147"/>
      <c r="CY7" s="151"/>
      <c r="CZ7" s="151"/>
      <c r="DA7" s="151"/>
      <c r="DB7" s="151"/>
      <c r="DC7" s="151"/>
      <c r="DD7" s="151"/>
      <c r="DE7" s="151"/>
      <c r="DF7" s="151"/>
      <c r="DG7" s="151"/>
      <c r="DH7" s="2110"/>
      <c r="DI7" s="2111"/>
      <c r="DJ7" s="2111"/>
      <c r="DK7" s="2111"/>
      <c r="DL7" s="2111"/>
      <c r="DM7" s="2111"/>
      <c r="DN7" s="2111"/>
      <c r="DO7" s="2111"/>
      <c r="DP7" s="2111"/>
      <c r="DQ7" s="2111"/>
      <c r="DR7" s="2111"/>
      <c r="DS7" s="2111"/>
      <c r="DT7" s="2111"/>
      <c r="DU7" s="2111"/>
      <c r="DV7" s="2111"/>
      <c r="DW7" s="2111"/>
      <c r="DX7" s="2111"/>
      <c r="DY7" s="2111"/>
      <c r="DZ7" s="2111"/>
      <c r="EA7" s="2111"/>
      <c r="EB7" s="2111"/>
      <c r="EC7" s="2111"/>
      <c r="ED7" s="2111"/>
      <c r="EE7" s="2111"/>
      <c r="EF7" s="2111"/>
      <c r="EG7" s="2111"/>
      <c r="EH7" s="2111"/>
      <c r="EI7" s="2111"/>
      <c r="EJ7" s="2111"/>
      <c r="EK7" s="2112"/>
      <c r="EL7" s="151"/>
      <c r="EM7" s="151"/>
      <c r="EN7" s="153"/>
      <c r="EO7" s="857"/>
      <c r="EP7" s="856"/>
      <c r="EQ7" s="856"/>
      <c r="ER7" s="856"/>
      <c r="ES7" s="857"/>
      <c r="ET7" s="857"/>
      <c r="EU7" s="857"/>
      <c r="EV7" s="214"/>
      <c r="EW7" s="214"/>
      <c r="EX7" s="214"/>
      <c r="EY7" s="214"/>
      <c r="EZ7" s="214"/>
      <c r="FA7" s="214"/>
      <c r="FB7" s="214"/>
      <c r="FC7" s="214"/>
      <c r="FD7" s="232"/>
      <c r="FE7" s="155"/>
      <c r="FF7" s="155"/>
      <c r="FG7" s="155"/>
      <c r="FH7" s="155"/>
      <c r="FI7" s="155"/>
      <c r="FJ7" s="155"/>
      <c r="FK7" s="155"/>
      <c r="FL7" s="170"/>
      <c r="FM7" s="167"/>
      <c r="FN7" s="167"/>
      <c r="FO7" s="167"/>
      <c r="FP7" s="168"/>
      <c r="FQ7" s="169"/>
      <c r="FR7" s="167"/>
      <c r="FS7" s="167"/>
      <c r="FT7" s="167"/>
      <c r="FU7" s="154"/>
      <c r="FV7" s="154"/>
      <c r="FZ7" s="154"/>
      <c r="GA7" s="147"/>
      <c r="GB7" s="147"/>
      <c r="GC7" s="147"/>
      <c r="GD7" s="147"/>
      <c r="GE7" s="147"/>
      <c r="GF7" s="147"/>
      <c r="GG7" s="147"/>
      <c r="GH7" s="147"/>
      <c r="GI7" s="147"/>
      <c r="GJ7" s="147"/>
      <c r="GK7" s="154"/>
      <c r="GL7" s="157"/>
      <c r="GM7" s="157"/>
      <c r="GN7" s="157"/>
      <c r="GO7" s="157"/>
      <c r="GZ7" s="157"/>
      <c r="ID7" s="850" t="s">
        <v>706</v>
      </c>
      <c r="IE7" s="1101">
        <v>28</v>
      </c>
      <c r="IF7" s="174">
        <v>29</v>
      </c>
      <c r="IG7" s="174">
        <f t="shared" ref="IG7:JH7" si="1">IF7+1</f>
        <v>30</v>
      </c>
      <c r="IH7" s="174">
        <f t="shared" si="1"/>
        <v>31</v>
      </c>
      <c r="II7" s="174">
        <f t="shared" si="1"/>
        <v>32</v>
      </c>
      <c r="IJ7" s="174">
        <f t="shared" si="1"/>
        <v>33</v>
      </c>
      <c r="IK7" s="174">
        <f t="shared" si="1"/>
        <v>34</v>
      </c>
      <c r="IL7" s="174">
        <f t="shared" si="1"/>
        <v>35</v>
      </c>
      <c r="IM7" s="174">
        <f t="shared" si="1"/>
        <v>36</v>
      </c>
      <c r="IN7" s="174">
        <f t="shared" si="1"/>
        <v>37</v>
      </c>
      <c r="IO7" s="174">
        <f t="shared" si="1"/>
        <v>38</v>
      </c>
      <c r="IP7" s="174">
        <f t="shared" si="1"/>
        <v>39</v>
      </c>
      <c r="IQ7" s="174">
        <f t="shared" si="1"/>
        <v>40</v>
      </c>
      <c r="IR7" s="174">
        <f t="shared" si="1"/>
        <v>41</v>
      </c>
      <c r="IS7" s="174">
        <f t="shared" si="1"/>
        <v>42</v>
      </c>
      <c r="IT7" s="174">
        <f t="shared" si="1"/>
        <v>43</v>
      </c>
      <c r="IU7" s="174">
        <f t="shared" si="1"/>
        <v>44</v>
      </c>
      <c r="IV7" s="174">
        <f t="shared" si="1"/>
        <v>45</v>
      </c>
      <c r="IW7" s="174">
        <f t="shared" si="1"/>
        <v>46</v>
      </c>
      <c r="IX7" s="174">
        <f t="shared" si="1"/>
        <v>47</v>
      </c>
      <c r="IY7" s="174">
        <f t="shared" si="1"/>
        <v>48</v>
      </c>
      <c r="IZ7" s="174">
        <f t="shared" si="1"/>
        <v>49</v>
      </c>
      <c r="JA7" s="174">
        <f t="shared" si="1"/>
        <v>50</v>
      </c>
      <c r="JB7" s="174">
        <f t="shared" si="1"/>
        <v>51</v>
      </c>
      <c r="JC7" s="174">
        <f t="shared" si="1"/>
        <v>52</v>
      </c>
      <c r="JD7" s="174">
        <f t="shared" si="1"/>
        <v>53</v>
      </c>
      <c r="JE7" s="174">
        <f t="shared" si="1"/>
        <v>54</v>
      </c>
      <c r="JF7" s="174">
        <f t="shared" si="1"/>
        <v>55</v>
      </c>
      <c r="JG7" s="174">
        <f t="shared" si="1"/>
        <v>56</v>
      </c>
      <c r="JH7" s="174">
        <f t="shared" si="1"/>
        <v>57</v>
      </c>
      <c r="JI7" s="174">
        <f>JH7+1</f>
        <v>58</v>
      </c>
      <c r="JJ7" s="174">
        <f>JI7+1</f>
        <v>59</v>
      </c>
      <c r="JK7" s="174"/>
      <c r="JL7" s="148"/>
      <c r="JM7" s="148"/>
    </row>
    <row r="8" spans="1:276" s="41" customFormat="1" ht="2.85" customHeight="1" thickBot="1" x14ac:dyDescent="0.25">
      <c r="A8" s="2039"/>
      <c r="B8" s="2039"/>
      <c r="C8" s="2039"/>
      <c r="D8" s="2039"/>
      <c r="E8" s="2039"/>
      <c r="F8" s="2039"/>
      <c r="G8" s="2039"/>
      <c r="H8" s="2039"/>
      <c r="I8" s="2039"/>
      <c r="J8" s="2039"/>
      <c r="K8" s="2039"/>
      <c r="L8" s="2039"/>
      <c r="M8" s="2039"/>
      <c r="N8" s="2039"/>
      <c r="O8" s="2039"/>
      <c r="P8" s="2039"/>
      <c r="Q8" s="2039"/>
      <c r="R8" s="2039"/>
      <c r="S8" s="2039"/>
      <c r="T8" s="2039"/>
      <c r="U8" s="2039"/>
      <c r="V8" s="2039"/>
      <c r="W8" s="2039"/>
      <c r="X8" s="2039"/>
      <c r="Y8" s="2039"/>
      <c r="Z8" s="2039"/>
      <c r="AA8" s="2039"/>
      <c r="AB8" s="2039"/>
      <c r="AC8" s="2039"/>
      <c r="AD8" s="2039"/>
      <c r="AE8" s="2039"/>
      <c r="AF8" s="2039"/>
      <c r="AG8" s="2039"/>
      <c r="AH8" s="2039"/>
      <c r="AI8" s="2039"/>
      <c r="AJ8" s="2039"/>
      <c r="AK8" s="2039"/>
      <c r="AL8" s="2039"/>
      <c r="AM8" s="2039"/>
      <c r="AN8" s="2039"/>
      <c r="AO8" s="2039"/>
      <c r="AP8" s="2039"/>
      <c r="AQ8" s="2039"/>
      <c r="AR8" s="2039"/>
      <c r="AS8" s="2039"/>
      <c r="AT8" s="2039"/>
      <c r="AU8" s="2039"/>
      <c r="AV8" s="2039"/>
      <c r="AW8" s="2039"/>
      <c r="AX8" s="2039"/>
      <c r="AY8" s="2039"/>
      <c r="AZ8" s="2039"/>
      <c r="BA8" s="2039"/>
      <c r="BB8" s="2039"/>
      <c r="BC8" s="2039"/>
      <c r="BD8" s="2039"/>
      <c r="BE8" s="2039"/>
      <c r="BF8" s="2039"/>
      <c r="BG8" s="2039"/>
      <c r="BH8" s="180"/>
      <c r="CA8" s="161"/>
      <c r="CB8" s="151"/>
      <c r="CC8" s="151"/>
      <c r="CD8" s="151"/>
      <c r="CE8" s="151"/>
      <c r="CF8" s="151"/>
      <c r="CG8" s="151"/>
      <c r="CH8" s="151"/>
      <c r="CI8" s="151"/>
      <c r="CJ8" s="151"/>
      <c r="CK8" s="151"/>
      <c r="CL8" s="151"/>
      <c r="CM8" s="151"/>
      <c r="CN8" s="151"/>
      <c r="CO8" s="151"/>
      <c r="CP8" s="151"/>
      <c r="CQ8" s="151"/>
      <c r="CR8" s="151"/>
      <c r="CS8" s="151"/>
      <c r="CT8" s="151"/>
      <c r="CU8" s="151"/>
      <c r="CV8" s="151"/>
      <c r="CW8" s="151"/>
      <c r="CX8" s="147"/>
      <c r="CY8" s="151"/>
      <c r="CZ8" s="151"/>
      <c r="DA8" s="151"/>
      <c r="DB8" s="151"/>
      <c r="DC8" s="151"/>
      <c r="DD8" s="151"/>
      <c r="DE8" s="151"/>
      <c r="DF8" s="151"/>
      <c r="DG8" s="151"/>
      <c r="DH8" s="2113"/>
      <c r="DI8" s="2114"/>
      <c r="DJ8" s="2114"/>
      <c r="DK8" s="2114"/>
      <c r="DL8" s="2114"/>
      <c r="DM8" s="2114"/>
      <c r="DN8" s="2114"/>
      <c r="DO8" s="2114"/>
      <c r="DP8" s="2114"/>
      <c r="DQ8" s="2114"/>
      <c r="DR8" s="2114"/>
      <c r="DS8" s="2114"/>
      <c r="DT8" s="2114"/>
      <c r="DU8" s="2114"/>
      <c r="DV8" s="2114"/>
      <c r="DW8" s="2114"/>
      <c r="DX8" s="2114"/>
      <c r="DY8" s="2114"/>
      <c r="DZ8" s="2114"/>
      <c r="EA8" s="2114"/>
      <c r="EB8" s="2114"/>
      <c r="EC8" s="2114"/>
      <c r="ED8" s="2114"/>
      <c r="EE8" s="2114"/>
      <c r="EF8" s="2114"/>
      <c r="EG8" s="2114"/>
      <c r="EH8" s="2114"/>
      <c r="EI8" s="2114"/>
      <c r="EJ8" s="2114"/>
      <c r="EK8" s="2115"/>
      <c r="EL8" s="152"/>
      <c r="EM8" s="151"/>
      <c r="EN8" s="153"/>
      <c r="EO8" s="151"/>
      <c r="EP8" s="153"/>
      <c r="EQ8" s="153"/>
      <c r="ER8" s="153"/>
      <c r="ES8" s="151"/>
      <c r="ET8" s="151"/>
      <c r="EU8" s="151"/>
      <c r="EV8" s="155"/>
      <c r="EW8" s="155"/>
      <c r="EX8" s="155"/>
      <c r="EY8" s="155"/>
      <c r="EZ8" s="155"/>
      <c r="FA8" s="155"/>
      <c r="FB8" s="155"/>
      <c r="FC8" s="155"/>
      <c r="FD8" s="155"/>
      <c r="FE8" s="155"/>
      <c r="FF8" s="155"/>
      <c r="FG8" s="155"/>
      <c r="FH8" s="155"/>
      <c r="FI8" s="155"/>
      <c r="FJ8" s="155"/>
      <c r="FK8" s="155"/>
      <c r="FL8" s="157"/>
      <c r="FM8" s="167"/>
      <c r="FN8" s="167"/>
      <c r="FO8" s="171"/>
      <c r="FP8" s="168"/>
      <c r="FQ8" s="169"/>
      <c r="FR8" s="167"/>
      <c r="FS8" s="167"/>
      <c r="FT8" s="167"/>
      <c r="FU8" s="154"/>
      <c r="FV8" s="154"/>
      <c r="FZ8" s="154"/>
      <c r="GA8" s="147"/>
      <c r="GB8" s="147"/>
      <c r="GC8" s="147"/>
      <c r="GD8" s="147"/>
      <c r="GE8" s="147"/>
      <c r="GF8" s="147"/>
      <c r="GG8" s="147"/>
      <c r="GH8" s="147"/>
      <c r="GI8" s="147"/>
      <c r="GJ8" s="147"/>
      <c r="GK8" s="154"/>
      <c r="GL8" s="157"/>
      <c r="GM8" s="157"/>
      <c r="GN8" s="157"/>
      <c r="GO8" s="157"/>
      <c r="GZ8" s="157"/>
      <c r="JL8" s="148"/>
      <c r="JM8" s="148"/>
    </row>
    <row r="9" spans="1:276" s="41" customFormat="1" ht="12.2" customHeight="1" thickTop="1" x14ac:dyDescent="0.2">
      <c r="A9" s="1792" t="s">
        <v>1</v>
      </c>
      <c r="B9" s="1758"/>
      <c r="C9" s="1699" t="e">
        <f>IF(ISBLANK(#REF!),"",#REF!)</f>
        <v>#REF!</v>
      </c>
      <c r="D9" s="1699"/>
      <c r="E9" s="1699"/>
      <c r="F9" s="1699"/>
      <c r="G9" s="1699"/>
      <c r="H9" s="1699"/>
      <c r="I9" s="1699"/>
      <c r="J9" s="1699"/>
      <c r="K9" s="1699"/>
      <c r="L9" s="1699"/>
      <c r="M9" s="1699"/>
      <c r="N9" s="1699"/>
      <c r="O9" s="1699"/>
      <c r="P9" s="1700"/>
      <c r="Q9" s="1792" t="s">
        <v>2</v>
      </c>
      <c r="R9" s="1758"/>
      <c r="S9" s="1758"/>
      <c r="T9" s="1700" t="e">
        <f>IF(ISBLANK(#REF!),"",#REF!)</f>
        <v>#REF!</v>
      </c>
      <c r="U9" s="2034"/>
      <c r="V9" s="2034"/>
      <c r="W9" s="2034"/>
      <c r="X9" s="2034"/>
      <c r="Y9" s="2034"/>
      <c r="Z9" s="2034"/>
      <c r="AA9" s="2034"/>
      <c r="AB9" s="2049" t="s">
        <v>1</v>
      </c>
      <c r="AC9" s="2049"/>
      <c r="AD9" s="1792"/>
      <c r="AE9" s="1699" t="e">
        <f>C9</f>
        <v>#REF!</v>
      </c>
      <c r="AF9" s="1699"/>
      <c r="AG9" s="1699"/>
      <c r="AH9" s="1699"/>
      <c r="AI9" s="1699"/>
      <c r="AJ9" s="1699"/>
      <c r="AK9" s="1699"/>
      <c r="AL9" s="1699"/>
      <c r="AM9" s="1699"/>
      <c r="AN9" s="1699"/>
      <c r="AO9" s="1699"/>
      <c r="AP9" s="1699"/>
      <c r="AQ9" s="1699"/>
      <c r="AR9" s="1699"/>
      <c r="AS9" s="1699"/>
      <c r="AT9" s="1700"/>
      <c r="AU9" s="1792" t="s">
        <v>2</v>
      </c>
      <c r="AV9" s="1758"/>
      <c r="AW9" s="1758"/>
      <c r="AX9" s="1699" t="e">
        <f>T9</f>
        <v>#REF!</v>
      </c>
      <c r="AY9" s="1699"/>
      <c r="AZ9" s="1699"/>
      <c r="BA9" s="1699"/>
      <c r="BB9" s="1699"/>
      <c r="BC9" s="1699"/>
      <c r="BD9" s="1699"/>
      <c r="BE9" s="1699"/>
      <c r="BF9" s="1699"/>
      <c r="BG9" s="1700"/>
      <c r="BH9" s="180"/>
      <c r="CA9" s="161"/>
      <c r="CB9" s="151"/>
      <c r="CC9" s="151"/>
      <c r="CD9" s="151"/>
      <c r="CE9" s="151"/>
      <c r="CF9" s="151"/>
      <c r="CG9" s="151"/>
      <c r="CH9" s="151"/>
      <c r="CI9" s="151"/>
      <c r="CJ9" s="151"/>
      <c r="CK9" s="151"/>
      <c r="CL9" s="151"/>
      <c r="CM9" s="151"/>
      <c r="CN9" s="151"/>
      <c r="CO9" s="151"/>
      <c r="CP9" s="151"/>
      <c r="CQ9" s="151"/>
      <c r="CR9" s="151"/>
      <c r="CS9" s="151"/>
      <c r="CT9" s="151"/>
      <c r="CU9" s="151"/>
      <c r="CV9" s="151"/>
      <c r="CW9" s="151"/>
      <c r="CX9" s="147"/>
      <c r="CY9" s="151"/>
      <c r="CZ9" s="151"/>
      <c r="DA9" s="151"/>
      <c r="DB9" s="151"/>
      <c r="DC9" s="151"/>
      <c r="DD9" s="151"/>
      <c r="DE9" s="151"/>
      <c r="DF9" s="151"/>
      <c r="DG9" s="151"/>
      <c r="DH9" s="2089" t="s">
        <v>289</v>
      </c>
      <c r="DI9" s="2124" t="s">
        <v>314</v>
      </c>
      <c r="DJ9" s="2073"/>
      <c r="DK9" s="2073"/>
      <c r="DL9" s="2073"/>
      <c r="DM9" s="2073"/>
      <c r="DN9" s="2159"/>
      <c r="DO9" s="2086" t="s">
        <v>813</v>
      </c>
      <c r="DP9" s="2124" t="s">
        <v>315</v>
      </c>
      <c r="DQ9" s="1931"/>
      <c r="DR9" s="1931"/>
      <c r="DS9" s="1931"/>
      <c r="DT9" s="1931"/>
      <c r="DU9" s="1932"/>
      <c r="DV9" s="1930" t="s">
        <v>286</v>
      </c>
      <c r="DW9" s="1931"/>
      <c r="DX9" s="1931"/>
      <c r="DY9" s="1931"/>
      <c r="DZ9" s="1931"/>
      <c r="EA9" s="1931"/>
      <c r="EB9" s="1931"/>
      <c r="EC9" s="1931"/>
      <c r="ED9" s="1931"/>
      <c r="EE9" s="1931"/>
      <c r="EF9" s="1931"/>
      <c r="EG9" s="1931"/>
      <c r="EH9" s="1931"/>
      <c r="EI9" s="1931"/>
      <c r="EJ9" s="1931"/>
      <c r="EK9" s="1932"/>
      <c r="EL9" s="152"/>
      <c r="EM9" s="151"/>
      <c r="EN9" s="153"/>
      <c r="EO9" s="151"/>
      <c r="EP9" s="153"/>
      <c r="EQ9" s="147"/>
      <c r="ER9" s="147"/>
      <c r="ES9" s="147"/>
      <c r="ET9" s="147"/>
      <c r="EU9" s="151"/>
      <c r="EV9" s="155"/>
      <c r="EW9" s="155"/>
      <c r="EX9" s="155"/>
      <c r="EY9" s="155"/>
      <c r="EZ9" s="155"/>
      <c r="FA9" s="155"/>
      <c r="FB9" s="155"/>
      <c r="FC9" s="155"/>
      <c r="FD9" s="155"/>
      <c r="FE9" s="155"/>
      <c r="FG9" s="155"/>
      <c r="FH9" s="155"/>
      <c r="FI9" s="155"/>
      <c r="FJ9" s="155"/>
      <c r="FK9" s="155"/>
      <c r="FL9" s="170"/>
      <c r="FM9" s="163"/>
      <c r="FN9" s="163"/>
      <c r="FO9" s="163"/>
      <c r="FP9" s="172"/>
      <c r="FQ9" s="173"/>
      <c r="FR9" s="163"/>
      <c r="FS9" s="163"/>
      <c r="FT9" s="163"/>
      <c r="FU9" s="154"/>
      <c r="FV9" s="154"/>
      <c r="FZ9" s="154"/>
      <c r="GA9" s="147"/>
      <c r="GB9" s="147"/>
      <c r="GC9" s="147"/>
      <c r="GD9" s="147"/>
      <c r="GE9" s="147"/>
      <c r="GF9" s="147"/>
      <c r="GG9" s="147"/>
      <c r="GH9" s="147"/>
      <c r="GI9" s="147"/>
      <c r="GJ9" s="147"/>
      <c r="GK9" s="154"/>
      <c r="GL9" s="157"/>
      <c r="GM9" s="157"/>
      <c r="GN9" s="157"/>
      <c r="GO9" s="157"/>
      <c r="GZ9" s="157"/>
      <c r="ID9" s="850" t="s">
        <v>729</v>
      </c>
      <c r="IE9" s="174">
        <v>1</v>
      </c>
      <c r="IF9" s="174">
        <f>1+ID21</f>
        <v>31</v>
      </c>
      <c r="IG9" s="174">
        <f t="shared" ref="IG9:JH9" si="2">IF9+1</f>
        <v>32</v>
      </c>
      <c r="IH9" s="174">
        <f t="shared" si="2"/>
        <v>33</v>
      </c>
      <c r="II9" s="174">
        <f t="shared" si="2"/>
        <v>34</v>
      </c>
      <c r="IJ9" s="174">
        <f t="shared" si="2"/>
        <v>35</v>
      </c>
      <c r="IK9" s="174">
        <f t="shared" si="2"/>
        <v>36</v>
      </c>
      <c r="IL9" s="174">
        <f t="shared" si="2"/>
        <v>37</v>
      </c>
      <c r="IM9" s="174">
        <f t="shared" si="2"/>
        <v>38</v>
      </c>
      <c r="IN9" s="174">
        <f t="shared" si="2"/>
        <v>39</v>
      </c>
      <c r="IO9" s="174">
        <f t="shared" si="2"/>
        <v>40</v>
      </c>
      <c r="IP9" s="174">
        <f t="shared" si="2"/>
        <v>41</v>
      </c>
      <c r="IQ9" s="174">
        <f t="shared" si="2"/>
        <v>42</v>
      </c>
      <c r="IR9" s="174">
        <f t="shared" si="2"/>
        <v>43</v>
      </c>
      <c r="IS9" s="174">
        <f t="shared" si="2"/>
        <v>44</v>
      </c>
      <c r="IT9" s="174">
        <f t="shared" si="2"/>
        <v>45</v>
      </c>
      <c r="IU9" s="174">
        <f t="shared" si="2"/>
        <v>46</v>
      </c>
      <c r="IV9" s="174">
        <f t="shared" si="2"/>
        <v>47</v>
      </c>
      <c r="IW9" s="174">
        <f t="shared" si="2"/>
        <v>48</v>
      </c>
      <c r="IX9" s="174">
        <f t="shared" si="2"/>
        <v>49</v>
      </c>
      <c r="IY9" s="174">
        <f t="shared" si="2"/>
        <v>50</v>
      </c>
      <c r="IZ9" s="174">
        <f t="shared" si="2"/>
        <v>51</v>
      </c>
      <c r="JA9" s="174">
        <f t="shared" si="2"/>
        <v>52</v>
      </c>
      <c r="JB9" s="174">
        <f t="shared" si="2"/>
        <v>53</v>
      </c>
      <c r="JC9" s="174">
        <f t="shared" si="2"/>
        <v>54</v>
      </c>
      <c r="JD9" s="174">
        <f t="shared" si="2"/>
        <v>55</v>
      </c>
      <c r="JE9" s="174">
        <f t="shared" si="2"/>
        <v>56</v>
      </c>
      <c r="JF9" s="174">
        <f t="shared" si="2"/>
        <v>57</v>
      </c>
      <c r="JG9" s="174">
        <f t="shared" si="2"/>
        <v>58</v>
      </c>
      <c r="JH9" s="174">
        <f t="shared" si="2"/>
        <v>59</v>
      </c>
      <c r="JI9" s="174"/>
      <c r="JJ9" s="174"/>
      <c r="JK9" s="174">
        <v>62</v>
      </c>
      <c r="JL9" s="148"/>
      <c r="JM9" s="148"/>
    </row>
    <row r="10" spans="1:276" s="41" customFormat="1" ht="12.2" customHeight="1" x14ac:dyDescent="0.2">
      <c r="A10" s="1792" t="s">
        <v>3</v>
      </c>
      <c r="B10" s="1758"/>
      <c r="C10" s="1699" t="e">
        <f>IF(ISBLANK(#REF!),"",#REF!)</f>
        <v>#REF!</v>
      </c>
      <c r="D10" s="1699"/>
      <c r="E10" s="1699"/>
      <c r="F10" s="1699"/>
      <c r="G10" s="1699"/>
      <c r="H10" s="1699"/>
      <c r="I10" s="1699"/>
      <c r="J10" s="1699"/>
      <c r="K10" s="1699"/>
      <c r="L10" s="1699"/>
      <c r="M10" s="1699"/>
      <c r="N10" s="1699"/>
      <c r="O10" s="1699"/>
      <c r="P10" s="1700"/>
      <c r="Q10" s="1792" t="s">
        <v>22</v>
      </c>
      <c r="R10" s="1758"/>
      <c r="S10" s="1758"/>
      <c r="T10" s="1699" t="e">
        <f>IF(ISBLANK(#REF!),"",#REF!)</f>
        <v>#REF!</v>
      </c>
      <c r="U10" s="1699"/>
      <c r="V10" s="1699"/>
      <c r="W10" s="1700"/>
      <c r="X10" s="1792" t="s">
        <v>23</v>
      </c>
      <c r="Y10" s="1758"/>
      <c r="Z10" s="1700" t="e">
        <f>IF(ISBLANK(#REF!),"",#REF!)</f>
        <v>#REF!</v>
      </c>
      <c r="AA10" s="2034"/>
      <c r="AB10" s="2049" t="s">
        <v>3</v>
      </c>
      <c r="AC10" s="2049"/>
      <c r="AD10" s="1792"/>
      <c r="AE10" s="1699" t="e">
        <f>C10</f>
        <v>#REF!</v>
      </c>
      <c r="AF10" s="1699"/>
      <c r="AG10" s="1699"/>
      <c r="AH10" s="1699"/>
      <c r="AI10" s="1699"/>
      <c r="AJ10" s="1699"/>
      <c r="AK10" s="1699"/>
      <c r="AL10" s="1699"/>
      <c r="AM10" s="1699"/>
      <c r="AN10" s="1699"/>
      <c r="AO10" s="1699"/>
      <c r="AP10" s="1699"/>
      <c r="AQ10" s="1699"/>
      <c r="AR10" s="1699"/>
      <c r="AS10" s="1699"/>
      <c r="AT10" s="1700"/>
      <c r="AU10" s="1792" t="s">
        <v>22</v>
      </c>
      <c r="AV10" s="1758"/>
      <c r="AW10" s="1758"/>
      <c r="AX10" s="1699" t="e">
        <f>T10</f>
        <v>#REF!</v>
      </c>
      <c r="AY10" s="1699"/>
      <c r="AZ10" s="1699"/>
      <c r="BA10" s="1700"/>
      <c r="BB10" s="1792" t="s">
        <v>23</v>
      </c>
      <c r="BC10" s="1758"/>
      <c r="BD10" s="1758"/>
      <c r="BE10" s="1699" t="e">
        <f>Z10</f>
        <v>#REF!</v>
      </c>
      <c r="BF10" s="1699"/>
      <c r="BG10" s="1700"/>
      <c r="BH10" s="180"/>
      <c r="CA10" s="161"/>
      <c r="CB10" s="151"/>
      <c r="CC10" s="151"/>
      <c r="CD10" s="151"/>
      <c r="CE10" s="151"/>
      <c r="CF10" s="151"/>
      <c r="CG10" s="151"/>
      <c r="CH10" s="151"/>
      <c r="CI10" s="151"/>
      <c r="CJ10" s="151"/>
      <c r="CK10" s="151"/>
      <c r="CL10" s="151"/>
      <c r="CM10" s="151"/>
      <c r="CN10" s="151"/>
      <c r="CO10" s="151"/>
      <c r="CP10" s="151"/>
      <c r="CQ10" s="151"/>
      <c r="CR10" s="151"/>
      <c r="CS10" s="151"/>
      <c r="CT10" s="151"/>
      <c r="CU10" s="151"/>
      <c r="CV10" s="151"/>
      <c r="CW10" s="151"/>
      <c r="CX10" s="147"/>
      <c r="CY10" s="151"/>
      <c r="CZ10" s="147"/>
      <c r="DA10" s="147"/>
      <c r="DB10" s="147"/>
      <c r="DC10" s="147"/>
      <c r="DD10" s="147"/>
      <c r="DE10" s="147"/>
      <c r="DF10" s="147"/>
      <c r="DG10" s="147"/>
      <c r="DH10" s="2090"/>
      <c r="DI10" s="2160"/>
      <c r="DJ10" s="2077"/>
      <c r="DK10" s="2077"/>
      <c r="DL10" s="2077"/>
      <c r="DM10" s="2077"/>
      <c r="DN10" s="2161"/>
      <c r="DO10" s="2087"/>
      <c r="DP10" s="2125"/>
      <c r="DQ10" s="1782"/>
      <c r="DR10" s="1782"/>
      <c r="DS10" s="1782"/>
      <c r="DT10" s="1782"/>
      <c r="DU10" s="1935"/>
      <c r="DV10" s="1933"/>
      <c r="DW10" s="1934"/>
      <c r="DX10" s="1934"/>
      <c r="DY10" s="1934"/>
      <c r="DZ10" s="1934"/>
      <c r="EA10" s="1934"/>
      <c r="EB10" s="1934"/>
      <c r="EC10" s="1934"/>
      <c r="ED10" s="1934"/>
      <c r="EE10" s="1934"/>
      <c r="EF10" s="1934"/>
      <c r="EG10" s="1934"/>
      <c r="EH10" s="1934"/>
      <c r="EI10" s="1934"/>
      <c r="EJ10" s="1934"/>
      <c r="EK10" s="1935"/>
      <c r="EL10" s="146"/>
      <c r="EM10" s="146"/>
      <c r="EN10" s="855"/>
      <c r="EO10" s="147"/>
      <c r="EP10" s="147"/>
      <c r="EQ10" s="147"/>
      <c r="ER10" s="147"/>
      <c r="ES10" s="147"/>
      <c r="ET10" s="147"/>
      <c r="EU10" s="147"/>
      <c r="FV10" s="154"/>
      <c r="FZ10" s="154"/>
      <c r="GA10" s="147"/>
      <c r="GB10" s="147"/>
      <c r="GC10" s="147"/>
      <c r="GD10" s="147"/>
      <c r="GE10" s="147"/>
      <c r="GF10" s="147"/>
      <c r="GG10" s="147"/>
      <c r="GH10" s="147"/>
      <c r="GI10" s="147"/>
      <c r="GJ10" s="147"/>
      <c r="GK10" s="154"/>
      <c r="GL10" s="157"/>
      <c r="GM10" s="157"/>
      <c r="GN10" s="157"/>
      <c r="GO10" s="157"/>
      <c r="GZ10" s="157"/>
      <c r="ID10" s="850" t="s">
        <v>706</v>
      </c>
      <c r="IE10" s="174">
        <v>1</v>
      </c>
      <c r="IF10" s="174">
        <v>31</v>
      </c>
      <c r="IG10" s="174">
        <f t="shared" ref="IG10:JK10" si="3">IF10+1</f>
        <v>32</v>
      </c>
      <c r="IH10" s="174">
        <f t="shared" si="3"/>
        <v>33</v>
      </c>
      <c r="II10" s="174">
        <f t="shared" si="3"/>
        <v>34</v>
      </c>
      <c r="IJ10" s="174">
        <f t="shared" si="3"/>
        <v>35</v>
      </c>
      <c r="IK10" s="174">
        <f t="shared" si="3"/>
        <v>36</v>
      </c>
      <c r="IL10" s="174">
        <f t="shared" si="3"/>
        <v>37</v>
      </c>
      <c r="IM10" s="174">
        <f t="shared" si="3"/>
        <v>38</v>
      </c>
      <c r="IN10" s="174">
        <f t="shared" si="3"/>
        <v>39</v>
      </c>
      <c r="IO10" s="174">
        <f t="shared" si="3"/>
        <v>40</v>
      </c>
      <c r="IP10" s="174">
        <f t="shared" si="3"/>
        <v>41</v>
      </c>
      <c r="IQ10" s="174">
        <f t="shared" si="3"/>
        <v>42</v>
      </c>
      <c r="IR10" s="174">
        <f t="shared" si="3"/>
        <v>43</v>
      </c>
      <c r="IS10" s="174">
        <f t="shared" si="3"/>
        <v>44</v>
      </c>
      <c r="IT10" s="174">
        <f t="shared" si="3"/>
        <v>45</v>
      </c>
      <c r="IU10" s="174">
        <f t="shared" si="3"/>
        <v>46</v>
      </c>
      <c r="IV10" s="174">
        <f t="shared" si="3"/>
        <v>47</v>
      </c>
      <c r="IW10" s="174">
        <f t="shared" si="3"/>
        <v>48</v>
      </c>
      <c r="IX10" s="174">
        <f t="shared" si="3"/>
        <v>49</v>
      </c>
      <c r="IY10" s="174">
        <f t="shared" si="3"/>
        <v>50</v>
      </c>
      <c r="IZ10" s="174">
        <f t="shared" si="3"/>
        <v>51</v>
      </c>
      <c r="JA10" s="174">
        <f t="shared" si="3"/>
        <v>52</v>
      </c>
      <c r="JB10" s="174">
        <f t="shared" si="3"/>
        <v>53</v>
      </c>
      <c r="JC10" s="174">
        <f t="shared" si="3"/>
        <v>54</v>
      </c>
      <c r="JD10" s="174">
        <f t="shared" si="3"/>
        <v>55</v>
      </c>
      <c r="JE10" s="174">
        <f t="shared" si="3"/>
        <v>56</v>
      </c>
      <c r="JF10" s="174">
        <f t="shared" si="3"/>
        <v>57</v>
      </c>
      <c r="JG10" s="174">
        <f t="shared" si="3"/>
        <v>58</v>
      </c>
      <c r="JH10" s="174">
        <f t="shared" si="3"/>
        <v>59</v>
      </c>
      <c r="JI10" s="174">
        <f t="shared" si="3"/>
        <v>60</v>
      </c>
      <c r="JJ10" s="174">
        <f t="shared" si="3"/>
        <v>61</v>
      </c>
      <c r="JK10" s="174">
        <f t="shared" si="3"/>
        <v>62</v>
      </c>
      <c r="JL10" s="148"/>
      <c r="JM10" s="148"/>
    </row>
    <row r="11" spans="1:276" ht="3.95" customHeight="1" thickBot="1" x14ac:dyDescent="0.25">
      <c r="A11" s="2022"/>
      <c r="B11" s="2022"/>
      <c r="C11" s="2022"/>
      <c r="D11" s="2022"/>
      <c r="E11" s="2022"/>
      <c r="F11" s="2022"/>
      <c r="G11" s="2022"/>
      <c r="H11" s="2022"/>
      <c r="I11" s="2022"/>
      <c r="J11" s="2022"/>
      <c r="K11" s="2022"/>
      <c r="L11" s="2022"/>
      <c r="M11" s="2022"/>
      <c r="N11" s="2022"/>
      <c r="O11" s="2022"/>
      <c r="P11" s="2022"/>
      <c r="Q11" s="2022"/>
      <c r="R11" s="2022"/>
      <c r="S11" s="2022"/>
      <c r="T11" s="2022"/>
      <c r="U11" s="2022"/>
      <c r="V11" s="2022"/>
      <c r="W11" s="2022"/>
      <c r="X11" s="2022"/>
      <c r="Y11" s="2022"/>
      <c r="Z11" s="2022"/>
      <c r="AA11" s="2022"/>
      <c r="AB11" s="1035"/>
      <c r="AC11" s="1035"/>
      <c r="AD11" s="1035"/>
      <c r="AE11" s="1035"/>
      <c r="AF11" s="1035"/>
      <c r="AG11" s="1035"/>
      <c r="AH11" s="1035"/>
      <c r="AI11" s="1035"/>
      <c r="AJ11" s="1035"/>
      <c r="AK11" s="1035"/>
      <c r="AL11" s="1035"/>
      <c r="AM11" s="1035"/>
      <c r="AN11" s="1035"/>
      <c r="AO11" s="1035"/>
      <c r="AP11" s="1035"/>
      <c r="AQ11" s="1035"/>
      <c r="AR11" s="1035"/>
      <c r="AS11" s="1035"/>
      <c r="AT11" s="1035"/>
      <c r="AU11" s="1035"/>
      <c r="AV11" s="1035"/>
      <c r="AW11" s="1035"/>
      <c r="AX11" s="1035"/>
      <c r="AY11" s="1035"/>
      <c r="AZ11" s="1035"/>
      <c r="BA11" s="1035"/>
      <c r="BB11" s="1035"/>
      <c r="BC11" s="1035"/>
      <c r="BD11" s="1035"/>
      <c r="BE11" s="1035"/>
      <c r="BF11" s="1035"/>
      <c r="BG11" s="1035"/>
      <c r="BH11" s="180"/>
      <c r="BJ11" s="41"/>
      <c r="BK11" s="41"/>
      <c r="BL11" s="41"/>
      <c r="BM11" s="41"/>
      <c r="BN11" s="41"/>
      <c r="BO11" s="41"/>
      <c r="CA11" s="40"/>
      <c r="CB11" s="104"/>
      <c r="CC11" s="104"/>
      <c r="CD11" s="104"/>
      <c r="CE11" s="104"/>
      <c r="CF11" s="104"/>
      <c r="CG11" s="104"/>
      <c r="CH11" s="104"/>
      <c r="CI11" s="104"/>
      <c r="CJ11" s="104"/>
      <c r="CK11" s="104"/>
      <c r="CL11" s="104"/>
      <c r="CM11" s="104"/>
      <c r="CN11" s="104"/>
      <c r="CO11" s="104"/>
      <c r="CP11" s="104"/>
      <c r="CQ11" s="104"/>
      <c r="CR11" s="104"/>
      <c r="CS11" s="104"/>
      <c r="CT11" s="104"/>
      <c r="CU11" s="104"/>
      <c r="CV11" s="104"/>
      <c r="CW11" s="104"/>
      <c r="CX11" s="58"/>
      <c r="CY11" s="104"/>
      <c r="CZ11" s="58"/>
      <c r="DA11" s="58"/>
      <c r="DB11" s="58"/>
      <c r="DC11" s="58"/>
      <c r="DD11" s="58"/>
      <c r="DE11" s="58"/>
      <c r="DF11" s="58"/>
      <c r="DG11" s="58"/>
      <c r="DH11" s="2090"/>
      <c r="DI11" s="2160"/>
      <c r="DJ11" s="2077"/>
      <c r="DK11" s="2077"/>
      <c r="DL11" s="2077"/>
      <c r="DM11" s="2077"/>
      <c r="DN11" s="2161"/>
      <c r="DO11" s="2087"/>
      <c r="DP11" s="2126" t="s">
        <v>277</v>
      </c>
      <c r="DQ11" s="1434"/>
      <c r="DR11" s="2128" t="s">
        <v>279</v>
      </c>
      <c r="DS11" s="1434"/>
      <c r="DT11" s="1434"/>
      <c r="DU11" s="1434"/>
      <c r="DV11" s="1933"/>
      <c r="DW11" s="1934"/>
      <c r="DX11" s="1934"/>
      <c r="DY11" s="1934"/>
      <c r="DZ11" s="1934"/>
      <c r="EA11" s="1934"/>
      <c r="EB11" s="1934"/>
      <c r="EC11" s="1934"/>
      <c r="ED11" s="1934"/>
      <c r="EE11" s="1934"/>
      <c r="EF11" s="1934"/>
      <c r="EG11" s="1934"/>
      <c r="EH11" s="1934"/>
      <c r="EI11" s="1934"/>
      <c r="EJ11" s="1934"/>
      <c r="EK11" s="1935"/>
      <c r="EL11" s="479"/>
      <c r="EM11" s="479"/>
      <c r="EN11" s="858"/>
      <c r="EO11" s="58"/>
      <c r="EP11" s="58"/>
      <c r="EQ11" s="58"/>
      <c r="ER11" s="58"/>
      <c r="ES11" s="58"/>
      <c r="ET11" s="58"/>
      <c r="EU11" s="58"/>
      <c r="FV11" s="1"/>
      <c r="FW11" s="41"/>
      <c r="FX11" s="41"/>
      <c r="FY11" s="41"/>
      <c r="FZ11" s="1"/>
      <c r="GA11" s="58"/>
      <c r="GB11" s="58"/>
      <c r="GC11" s="58"/>
      <c r="GD11" s="58"/>
      <c r="GE11" s="58"/>
      <c r="GF11" s="58"/>
      <c r="GG11" s="58"/>
      <c r="GH11" s="58"/>
      <c r="GI11" s="58"/>
      <c r="GJ11" s="58"/>
      <c r="GK11" s="1"/>
      <c r="GL11" s="56"/>
      <c r="GM11" s="56"/>
      <c r="GN11" s="56"/>
      <c r="GO11" s="56"/>
      <c r="GZ11" s="56"/>
      <c r="HA11" s="46"/>
      <c r="HB11" s="46"/>
      <c r="HC11" s="46"/>
      <c r="HD11" s="46"/>
      <c r="HE11" s="46"/>
      <c r="HF11" s="46"/>
      <c r="HG11" s="46"/>
      <c r="HH11" s="46"/>
      <c r="HI11" s="46"/>
      <c r="HM11" s="47"/>
      <c r="HN11" s="48"/>
      <c r="ID11" s="57"/>
      <c r="IE11" s="57"/>
      <c r="IF11" s="57"/>
      <c r="IG11" s="57"/>
      <c r="IH11" s="57"/>
      <c r="II11" s="57"/>
      <c r="IJ11" s="57"/>
      <c r="IK11" s="57"/>
      <c r="IL11" s="57"/>
      <c r="JL11" s="148"/>
      <c r="JM11" s="148"/>
    </row>
    <row r="12" spans="1:276" ht="12" customHeight="1" thickBot="1" x14ac:dyDescent="0.25">
      <c r="A12" s="1006"/>
      <c r="B12" s="1006"/>
      <c r="C12" s="1006"/>
      <c r="D12" s="1006"/>
      <c r="E12" s="1006"/>
      <c r="F12" s="1006"/>
      <c r="G12" s="1006"/>
      <c r="H12" s="1006"/>
      <c r="I12" s="1006"/>
      <c r="J12" s="1006"/>
      <c r="K12" s="1006"/>
      <c r="L12" s="1006"/>
      <c r="M12" s="1006"/>
      <c r="N12" s="1006"/>
      <c r="O12" s="1006"/>
      <c r="P12" s="1006"/>
      <c r="Q12" s="1006"/>
      <c r="R12" s="1006"/>
      <c r="S12" s="1006"/>
      <c r="T12" s="1006"/>
      <c r="U12" s="1006"/>
      <c r="V12" s="1006"/>
      <c r="W12" s="1006"/>
      <c r="X12" s="1006"/>
      <c r="Y12" s="1006"/>
      <c r="Z12" s="1006"/>
      <c r="AA12" s="1006"/>
      <c r="AB12" s="1848" t="s">
        <v>40</v>
      </c>
      <c r="AC12" s="2005" t="s">
        <v>62</v>
      </c>
      <c r="AD12" s="2035" t="s">
        <v>32</v>
      </c>
      <c r="AE12" s="2036"/>
      <c r="AF12" s="1825" t="s">
        <v>34</v>
      </c>
      <c r="AG12" s="2023"/>
      <c r="AH12" s="1824"/>
      <c r="AI12" s="2035" t="s">
        <v>35</v>
      </c>
      <c r="AJ12" s="2036"/>
      <c r="AK12" s="2051" t="s">
        <v>63</v>
      </c>
      <c r="AL12" s="2019" t="s">
        <v>388</v>
      </c>
      <c r="AM12" s="2020"/>
      <c r="AN12" s="2020"/>
      <c r="AO12" s="2020"/>
      <c r="AP12" s="2020"/>
      <c r="AQ12" s="2021"/>
      <c r="AR12" s="2023" t="s">
        <v>73</v>
      </c>
      <c r="AS12" s="2023"/>
      <c r="AT12" s="2023"/>
      <c r="AU12" s="2023"/>
      <c r="AV12" s="2023"/>
      <c r="AW12" s="2023"/>
      <c r="AX12" s="2023"/>
      <c r="AY12" s="2023"/>
      <c r="AZ12" s="2023"/>
      <c r="BA12" s="2023"/>
      <c r="BB12" s="2023"/>
      <c r="BC12" s="2023"/>
      <c r="BD12" s="2023"/>
      <c r="BE12" s="2023"/>
      <c r="BF12" s="2023"/>
      <c r="BG12" s="2048"/>
      <c r="BH12" s="180"/>
      <c r="BJ12" s="41"/>
      <c r="BK12" s="41"/>
      <c r="BL12" s="41"/>
      <c r="BM12" s="41"/>
      <c r="BN12" s="41"/>
      <c r="BO12" s="41"/>
      <c r="BW12" s="2053" t="s">
        <v>306</v>
      </c>
      <c r="BX12" s="2054"/>
      <c r="BY12" s="2054"/>
      <c r="BZ12" s="2055"/>
      <c r="CA12" s="40"/>
      <c r="CB12" s="104"/>
      <c r="CC12" s="104"/>
      <c r="CD12" s="104"/>
      <c r="CE12" s="104"/>
      <c r="CF12" s="104"/>
      <c r="CG12" s="104"/>
      <c r="CH12" s="104"/>
      <c r="CI12" s="104"/>
      <c r="CJ12" s="104"/>
      <c r="CK12" s="104"/>
      <c r="CL12" s="104"/>
      <c r="CM12" s="104"/>
      <c r="CN12" s="104"/>
      <c r="CO12" s="104"/>
      <c r="CP12" s="104"/>
      <c r="CQ12" s="104"/>
      <c r="CR12" s="104"/>
      <c r="CS12" s="104"/>
      <c r="CT12" s="104"/>
      <c r="CU12" s="104"/>
      <c r="CV12" s="104"/>
      <c r="CW12" s="104"/>
      <c r="CX12" s="58"/>
      <c r="CY12" s="104"/>
      <c r="CZ12" s="58"/>
      <c r="DA12" s="58"/>
      <c r="DB12" s="58"/>
      <c r="DC12" s="58"/>
      <c r="DD12" s="58"/>
      <c r="DE12" s="58"/>
      <c r="DF12" s="58"/>
      <c r="DG12" s="58"/>
      <c r="DH12" s="2090"/>
      <c r="DI12" s="2097" t="s">
        <v>815</v>
      </c>
      <c r="DJ12" s="2099" t="s">
        <v>32</v>
      </c>
      <c r="DK12" s="2100"/>
      <c r="DL12" s="2081" t="s">
        <v>34</v>
      </c>
      <c r="DM12" s="2080" t="s">
        <v>186</v>
      </c>
      <c r="DN12" s="2092"/>
      <c r="DO12" s="2087"/>
      <c r="DP12" s="2126"/>
      <c r="DQ12" s="2103" t="s">
        <v>278</v>
      </c>
      <c r="DR12" s="2129"/>
      <c r="DS12" s="2103" t="s">
        <v>280</v>
      </c>
      <c r="DT12" s="2105" t="s">
        <v>281</v>
      </c>
      <c r="DU12" s="2106"/>
      <c r="DV12" s="1940" t="s">
        <v>274</v>
      </c>
      <c r="DW12" s="1941"/>
      <c r="DX12" s="1936" t="s">
        <v>813</v>
      </c>
      <c r="DY12" s="2095" t="s">
        <v>814</v>
      </c>
      <c r="DZ12" s="1940" t="s">
        <v>274</v>
      </c>
      <c r="EA12" s="1941"/>
      <c r="EB12" s="1936" t="s">
        <v>813</v>
      </c>
      <c r="EC12" s="2095" t="s">
        <v>814</v>
      </c>
      <c r="ED12" s="1940" t="s">
        <v>274</v>
      </c>
      <c r="EE12" s="1941"/>
      <c r="EF12" s="1936" t="s">
        <v>813</v>
      </c>
      <c r="EG12" s="2095" t="s">
        <v>814</v>
      </c>
      <c r="EH12" s="1940" t="s">
        <v>274</v>
      </c>
      <c r="EI12" s="1941"/>
      <c r="EJ12" s="1936" t="s">
        <v>813</v>
      </c>
      <c r="EK12" s="1938" t="s">
        <v>814</v>
      </c>
      <c r="EL12" s="479"/>
      <c r="EM12" s="2107"/>
      <c r="EN12" s="858"/>
      <c r="EO12" s="58"/>
      <c r="EP12" s="58"/>
      <c r="EQ12" s="58"/>
      <c r="ER12" s="58"/>
      <c r="ES12" s="58"/>
      <c r="ET12" s="58"/>
      <c r="EU12" s="58"/>
      <c r="FV12" s="1"/>
      <c r="FW12" s="41"/>
      <c r="FX12" s="41"/>
      <c r="FY12" s="41"/>
      <c r="FZ12" s="1"/>
      <c r="GA12" s="58"/>
      <c r="GB12" s="58"/>
      <c r="GC12" s="58"/>
      <c r="GD12" s="58"/>
      <c r="GE12" s="58"/>
      <c r="GF12" s="58"/>
      <c r="GG12" s="58"/>
      <c r="GH12" s="58"/>
      <c r="GI12" s="58"/>
      <c r="GJ12" s="58"/>
      <c r="GK12" s="1"/>
      <c r="GL12" s="56"/>
      <c r="GM12" s="56"/>
      <c r="GN12" s="56"/>
      <c r="GO12" s="56"/>
      <c r="GZ12" s="56"/>
      <c r="HA12" s="46"/>
      <c r="HB12" s="46"/>
      <c r="HC12" s="46"/>
      <c r="HD12" s="46"/>
      <c r="HE12" s="46"/>
      <c r="HF12" s="46"/>
      <c r="HG12" s="46"/>
      <c r="HH12" s="46"/>
      <c r="HI12" s="46"/>
      <c r="HM12" s="47"/>
      <c r="HN12" s="48"/>
      <c r="ID12" s="57"/>
      <c r="IE12" s="1945" t="s">
        <v>308</v>
      </c>
      <c r="IF12" s="1813" t="s">
        <v>734</v>
      </c>
      <c r="IG12" s="1813" t="s">
        <v>735</v>
      </c>
      <c r="IH12" s="1813" t="s">
        <v>736</v>
      </c>
      <c r="II12" s="1813" t="s">
        <v>737</v>
      </c>
      <c r="IJ12" s="1813" t="s">
        <v>739</v>
      </c>
      <c r="IK12" s="1813" t="s">
        <v>738</v>
      </c>
      <c r="IL12" s="1813" t="e">
        <f>IF($HA$1,"Load (Kip)","Panel ""B"" Feet")</f>
        <v>#REF!</v>
      </c>
      <c r="IM12" s="1813" t="e">
        <f>IF($HA$1,"OSHA N/F/B","Panel ""B"" Inch")</f>
        <v>#REF!</v>
      </c>
      <c r="IN12" s="1813" t="e">
        <f>IF($HA$1,"Girder TC Ga","Load (Kip)")</f>
        <v>#REF!</v>
      </c>
      <c r="IO12" s="1813" t="e">
        <f>IF($HA$1,"Jst Hole (x/16)","OSHA N/F/B")</f>
        <v>#REF!</v>
      </c>
      <c r="IP12" s="1813" t="e">
        <f>IF($HA$1,"Joist Gage","Girder TC Gage")</f>
        <v>#REF!</v>
      </c>
      <c r="IQ12" s="1813" t="e">
        <f>IF($HA$1,"TC Hole L","Girder TC Hole (x/16)")</f>
        <v>#REF!</v>
      </c>
      <c r="IR12" s="1813" t="e">
        <f>IF($HA$1,"TC Hole R","Joist Gage")</f>
        <v>#REF!</v>
      </c>
      <c r="IS12" s="1813" t="e">
        <f>IF($HA$1,"Add Jst#1 Feet","TCHoleL")</f>
        <v>#REF!</v>
      </c>
      <c r="IT12" s="1813" t="e">
        <f>IF($HA$1,"Add Jst#1 Inch","TC Hole R")</f>
        <v>#REF!</v>
      </c>
      <c r="IU12" s="1813" t="e">
        <f>IF($HA$1,"Add Jst#1 Load","Add Jst#1 Feet")</f>
        <v>#REF!</v>
      </c>
      <c r="IV12" s="1813" t="e">
        <f>IF($HA$1,"Add Jst#1 Bolt N/F/B","Add Jst#1 inch")</f>
        <v>#REF!</v>
      </c>
      <c r="IW12" s="1813" t="e">
        <f>IF($HA$1,"Add Jst#2 Feet","Add Jst#1 Load")</f>
        <v>#REF!</v>
      </c>
      <c r="IX12" s="1813" t="e">
        <f>IF($HA$1,"Add Jst#2 Inch","Add Jst#1 Bolt N/F/B")</f>
        <v>#REF!</v>
      </c>
      <c r="IY12" s="1813" t="e">
        <f>IF($HA$1,"Add Jst#2 Load","Add Jst#2 Feet")</f>
        <v>#REF!</v>
      </c>
      <c r="IZ12" s="1813" t="e">
        <f>IF($HA$1,"Add Jst#2 Bolt N/F/B","Add Jst#2 inch")</f>
        <v>#REF!</v>
      </c>
      <c r="JA12" s="1813" t="e">
        <f>IF($HA$1,"Add Jst#3 Feet","Add Jst#2 Load")</f>
        <v>#REF!</v>
      </c>
      <c r="JB12" s="1813" t="e">
        <f>IF($HA$1,"Add Jst#3 Inch","Add Jst#2 Bolt N/F/B")</f>
        <v>#REF!</v>
      </c>
      <c r="JC12" s="1813" t="e">
        <f>IF($HA$1,"Add Jst#3 Load","Add Jst#3 Feet")</f>
        <v>#REF!</v>
      </c>
      <c r="JD12" s="1813" t="e">
        <f>IF($HA$1,"Add Jst#3 Bolt N/F/B","Add Jst#3 inch")</f>
        <v>#REF!</v>
      </c>
      <c r="JE12" s="1813" t="e">
        <f>IF($HA$1,"Add Jst#4 Feet","Add Jst#3 Load")</f>
        <v>#REF!</v>
      </c>
      <c r="JF12" s="1813" t="e">
        <f>IF($HA$1,"Add Jst#4 Inch","Add Jst#3 Bolt N/F/B")</f>
        <v>#REF!</v>
      </c>
      <c r="JG12" s="1813" t="e">
        <f>IF($HA$1,"Add Jst#4 Load","Add Jst#4 Feet")</f>
        <v>#REF!</v>
      </c>
      <c r="JH12" s="1813" t="e">
        <f>IF($HA$1,"Add Jst#4 Bolt N/F/B","Add Jst#4 inch")</f>
        <v>#REF!</v>
      </c>
      <c r="JI12" s="1813" t="e">
        <f>IF($HA$1,"-","Add Jst#4 Load")</f>
        <v>#REF!</v>
      </c>
      <c r="JJ12" s="1813" t="e">
        <f>IF($HA$1,"-","Add Jst#4 Bolt N/F/B")</f>
        <v>#REF!</v>
      </c>
      <c r="JK12" s="1815" t="e">
        <f>IF($HA$1,"# Rows Req'd","# Rows Req'd")</f>
        <v>#REF!</v>
      </c>
      <c r="JL12" s="1817" t="s">
        <v>741</v>
      </c>
      <c r="JM12" s="148"/>
    </row>
    <row r="13" spans="1:276" ht="21" customHeight="1" thickTop="1" thickBot="1" x14ac:dyDescent="0.3">
      <c r="A13" s="1006"/>
      <c r="B13" s="1006"/>
      <c r="C13" s="1006"/>
      <c r="D13" s="1006"/>
      <c r="E13" s="1006"/>
      <c r="F13" s="1006"/>
      <c r="G13" s="1006"/>
      <c r="H13" s="1006"/>
      <c r="I13" s="1006"/>
      <c r="J13" s="1006"/>
      <c r="K13" s="1006"/>
      <c r="L13" s="1006"/>
      <c r="M13" s="1006"/>
      <c r="N13" s="1006"/>
      <c r="O13" s="1006"/>
      <c r="P13" s="1006"/>
      <c r="Q13" s="1006"/>
      <c r="R13" s="1006"/>
      <c r="S13" s="1006"/>
      <c r="T13" s="1006"/>
      <c r="U13" s="1006"/>
      <c r="V13" s="1006"/>
      <c r="W13" s="1006"/>
      <c r="X13" s="1006"/>
      <c r="Y13" s="1006"/>
      <c r="Z13" s="1006"/>
      <c r="AA13" s="1006"/>
      <c r="AB13" s="1848"/>
      <c r="AC13" s="2006"/>
      <c r="AD13" s="2037"/>
      <c r="AE13" s="2038"/>
      <c r="AF13" s="1022" t="s">
        <v>33</v>
      </c>
      <c r="AG13" s="2024" t="s">
        <v>16</v>
      </c>
      <c r="AH13" s="1828"/>
      <c r="AI13" s="2037"/>
      <c r="AJ13" s="2038"/>
      <c r="AK13" s="2052"/>
      <c r="AL13" s="1038" t="s">
        <v>389</v>
      </c>
      <c r="AM13" s="1023" t="s">
        <v>386</v>
      </c>
      <c r="AN13" s="1023" t="s">
        <v>387</v>
      </c>
      <c r="AO13" s="1027" t="s">
        <v>60</v>
      </c>
      <c r="AP13" s="1025" t="s">
        <v>390</v>
      </c>
      <c r="AQ13" s="1039" t="s">
        <v>391</v>
      </c>
      <c r="AR13" s="2047" t="s">
        <v>58</v>
      </c>
      <c r="AS13" s="1828"/>
      <c r="AT13" s="1040" t="s">
        <v>63</v>
      </c>
      <c r="AU13" s="1041" t="s">
        <v>59</v>
      </c>
      <c r="AV13" s="2046" t="s">
        <v>58</v>
      </c>
      <c r="AW13" s="1830"/>
      <c r="AX13" s="1040" t="s">
        <v>63</v>
      </c>
      <c r="AY13" s="1041" t="s">
        <v>59</v>
      </c>
      <c r="AZ13" s="2046" t="s">
        <v>58</v>
      </c>
      <c r="BA13" s="1830"/>
      <c r="BB13" s="1040" t="s">
        <v>63</v>
      </c>
      <c r="BC13" s="1041" t="s">
        <v>59</v>
      </c>
      <c r="BD13" s="2046" t="s">
        <v>58</v>
      </c>
      <c r="BE13" s="1830"/>
      <c r="BF13" s="1040" t="s">
        <v>63</v>
      </c>
      <c r="BG13" s="1041" t="s">
        <v>59</v>
      </c>
      <c r="BH13" s="180"/>
      <c r="BJ13" s="41"/>
      <c r="BK13" s="41"/>
      <c r="BL13" s="41"/>
      <c r="BM13" s="41"/>
      <c r="BN13" s="41"/>
      <c r="BW13" s="295" t="s">
        <v>307</v>
      </c>
      <c r="BX13" s="296" t="s">
        <v>308</v>
      </c>
      <c r="BY13" s="296" t="s">
        <v>138</v>
      </c>
      <c r="BZ13" s="295" t="s">
        <v>402</v>
      </c>
      <c r="CB13" s="104"/>
      <c r="CC13" s="104"/>
      <c r="CD13" s="104"/>
      <c r="CE13" s="104"/>
      <c r="CF13" s="104"/>
      <c r="CG13" s="104"/>
      <c r="CH13" s="104"/>
      <c r="CI13" s="104"/>
      <c r="CJ13" s="104"/>
      <c r="CK13" s="104"/>
      <c r="CL13" s="104"/>
      <c r="CM13" s="104"/>
      <c r="CN13" s="104"/>
      <c r="CO13" s="104"/>
      <c r="CP13" s="104"/>
      <c r="CQ13" s="104"/>
      <c r="CR13" s="104"/>
      <c r="CS13" s="104"/>
      <c r="CT13" s="104"/>
      <c r="CU13" s="104"/>
      <c r="CV13" s="104"/>
      <c r="CW13" s="104"/>
      <c r="CX13" s="58"/>
      <c r="CY13" s="104"/>
      <c r="CZ13" s="58"/>
      <c r="DA13" s="58"/>
      <c r="DB13" s="58"/>
      <c r="DC13" s="58"/>
      <c r="DD13" s="58"/>
      <c r="DE13" s="58"/>
      <c r="DF13" s="58"/>
      <c r="DG13" s="58"/>
      <c r="DH13" s="2091"/>
      <c r="DI13" s="2098"/>
      <c r="DJ13" s="2101"/>
      <c r="DK13" s="2102"/>
      <c r="DL13" s="2082"/>
      <c r="DM13" s="2093"/>
      <c r="DN13" s="2094"/>
      <c r="DO13" s="2088"/>
      <c r="DP13" s="2127"/>
      <c r="DQ13" s="2104"/>
      <c r="DR13" s="2130"/>
      <c r="DS13" s="2104"/>
      <c r="DT13" s="1482" t="s">
        <v>282</v>
      </c>
      <c r="DU13" s="1483" t="s">
        <v>283</v>
      </c>
      <c r="DV13" s="1459" t="s">
        <v>309</v>
      </c>
      <c r="DW13" s="1460" t="s">
        <v>284</v>
      </c>
      <c r="DX13" s="1937"/>
      <c r="DY13" s="2096"/>
      <c r="DZ13" s="1459" t="s">
        <v>309</v>
      </c>
      <c r="EA13" s="1460" t="s">
        <v>284</v>
      </c>
      <c r="EB13" s="1937"/>
      <c r="EC13" s="2096"/>
      <c r="ED13" s="1459" t="s">
        <v>309</v>
      </c>
      <c r="EE13" s="1460" t="s">
        <v>284</v>
      </c>
      <c r="EF13" s="1937"/>
      <c r="EG13" s="2096"/>
      <c r="EH13" s="1459" t="s">
        <v>309</v>
      </c>
      <c r="EI13" s="1460" t="s">
        <v>284</v>
      </c>
      <c r="EJ13" s="1937"/>
      <c r="EK13" s="1939"/>
      <c r="EL13" s="479"/>
      <c r="EM13" s="2107"/>
      <c r="EN13" s="58"/>
      <c r="EO13" s="58"/>
      <c r="EP13" s="862"/>
      <c r="EQ13" s="58"/>
      <c r="ER13" s="58"/>
      <c r="ES13" s="58"/>
      <c r="ET13" s="58"/>
      <c r="EU13" s="58"/>
      <c r="EX13" s="296" t="s">
        <v>308</v>
      </c>
      <c r="EY13" s="871" t="s">
        <v>656</v>
      </c>
      <c r="EZ13" s="873" t="s">
        <v>658</v>
      </c>
      <c r="FA13" s="50" t="s">
        <v>687</v>
      </c>
      <c r="FB13" s="889" t="s">
        <v>143</v>
      </c>
      <c r="FC13" s="889" t="s">
        <v>32</v>
      </c>
      <c r="FD13" s="889" t="s">
        <v>34</v>
      </c>
      <c r="FE13" s="889" t="s">
        <v>35</v>
      </c>
      <c r="FF13" s="890" t="s">
        <v>688</v>
      </c>
      <c r="FN13" s="1200" t="s">
        <v>689</v>
      </c>
      <c r="FO13" s="1201" t="s">
        <v>749</v>
      </c>
      <c r="FP13" s="871" t="s">
        <v>689</v>
      </c>
      <c r="FQ13" s="1201" t="s">
        <v>750</v>
      </c>
      <c r="FX13" s="103"/>
      <c r="FZ13" s="1"/>
      <c r="GA13" s="58"/>
      <c r="GB13" s="58"/>
      <c r="GC13" s="58"/>
      <c r="GD13" s="58"/>
      <c r="GE13" s="58"/>
      <c r="GF13" s="58"/>
      <c r="GG13" s="58"/>
      <c r="GH13" s="58"/>
      <c r="GI13" s="58"/>
      <c r="GJ13" s="58"/>
      <c r="GK13" s="1"/>
      <c r="GO13" s="56"/>
      <c r="GZ13" s="56"/>
      <c r="HA13" s="46"/>
      <c r="HB13" s="46"/>
      <c r="HC13" s="46"/>
      <c r="HD13" s="46"/>
      <c r="HE13" s="46"/>
      <c r="HF13" s="46"/>
      <c r="HG13" s="46"/>
      <c r="HH13" s="46"/>
      <c r="HI13" s="46"/>
      <c r="HM13" s="47"/>
      <c r="HN13" s="48"/>
      <c r="ID13" s="57"/>
      <c r="IE13" s="1946"/>
      <c r="IF13" s="1814"/>
      <c r="IG13" s="1814"/>
      <c r="IH13" s="1814"/>
      <c r="II13" s="1814"/>
      <c r="IJ13" s="1814"/>
      <c r="IK13" s="1814"/>
      <c r="IL13" s="1814"/>
      <c r="IM13" s="1814"/>
      <c r="IN13" s="1814"/>
      <c r="IO13" s="1814"/>
      <c r="IP13" s="1814"/>
      <c r="IQ13" s="1814"/>
      <c r="IR13" s="1814"/>
      <c r="IS13" s="1814"/>
      <c r="IT13" s="1814"/>
      <c r="IU13" s="1814"/>
      <c r="IV13" s="1814"/>
      <c r="IW13" s="1814"/>
      <c r="IX13" s="1814"/>
      <c r="IY13" s="1814"/>
      <c r="IZ13" s="1814"/>
      <c r="JA13" s="1814"/>
      <c r="JB13" s="1814"/>
      <c r="JC13" s="1814"/>
      <c r="JD13" s="1814"/>
      <c r="JE13" s="1814"/>
      <c r="JF13" s="1814"/>
      <c r="JG13" s="1814"/>
      <c r="JH13" s="1814"/>
      <c r="JI13" s="1814"/>
      <c r="JJ13" s="1814"/>
      <c r="JK13" s="1816"/>
      <c r="JL13" s="1818"/>
      <c r="JM13" s="148"/>
    </row>
    <row r="14" spans="1:276" ht="12.6" customHeight="1" thickTop="1" thickBot="1" x14ac:dyDescent="0.25">
      <c r="A14" s="1006"/>
      <c r="B14" s="1006"/>
      <c r="C14" s="1006"/>
      <c r="D14" s="1006"/>
      <c r="E14" s="1006"/>
      <c r="F14" s="1006"/>
      <c r="G14" s="1006"/>
      <c r="H14" s="1006"/>
      <c r="I14" s="1006"/>
      <c r="J14" s="1006"/>
      <c r="K14" s="1006"/>
      <c r="L14" s="1006"/>
      <c r="M14" s="1006"/>
      <c r="N14" s="1006"/>
      <c r="O14" s="1006"/>
      <c r="P14" s="1006"/>
      <c r="Q14" s="1006"/>
      <c r="R14" s="1006"/>
      <c r="S14" s="1006"/>
      <c r="T14" s="1006"/>
      <c r="U14" s="1006"/>
      <c r="V14" s="1006"/>
      <c r="W14" s="1006"/>
      <c r="X14" s="1006"/>
      <c r="Y14" s="1006"/>
      <c r="Z14" s="1006"/>
      <c r="AA14" s="1006"/>
      <c r="AB14" s="1605" t="str">
        <f>IF(ISBLANK(DH14),"",DH14)</f>
        <v/>
      </c>
      <c r="AC14" s="1606" t="str">
        <f>IF(ISBLANK(DI14),"",DI14)</f>
        <v/>
      </c>
      <c r="AD14" s="1607" t="str">
        <f>IF(ISERROR(FV54),"",IF(FV54="","",TRUNC(FV54/12)))</f>
        <v/>
      </c>
      <c r="AE14" s="1608" t="str">
        <f>IF(ISERROR(FV54),"",IF(FV54="","",FV54-(AD14*12)))</f>
        <v/>
      </c>
      <c r="AF14" s="1606" t="str">
        <f>IF(ISERROR(FO54),"",IF(FO54="","",FO54))</f>
        <v/>
      </c>
      <c r="AG14" s="1607" t="str">
        <f>IF(ISERROR(FX54),"",IF(FX54="","",TRUNC(FX54/12)))</f>
        <v/>
      </c>
      <c r="AH14" s="1608" t="str">
        <f>IF(ISERROR(FX54),"",IF(FX54="","",FX54-(AG14*12)))</f>
        <v/>
      </c>
      <c r="AI14" s="1607" t="str">
        <f>IF(ISERROR(FZ54),"",IF(FZ54="","",TRUNC(FZ54/12)))</f>
        <v/>
      </c>
      <c r="AJ14" s="1608" t="str">
        <f>IF(ISERROR(FZ54),"",IF(FZ54="","",FZ54-(AI14*12)))</f>
        <v/>
      </c>
      <c r="AK14" s="1609" t="str">
        <f>IF(ISBLANK(DO14),"",DO14)</f>
        <v/>
      </c>
      <c r="AL14" s="1610" t="str">
        <f>IF(ISBLANK(DP14),"",DP14)</f>
        <v/>
      </c>
      <c r="AM14" s="1611" t="str">
        <f>IF(ISBLANK(DQ14),"",DQ14)</f>
        <v/>
      </c>
      <c r="AN14" s="1606" t="str">
        <f>IF(ISBLANK(DR14),"",DR14)</f>
        <v/>
      </c>
      <c r="AO14" s="1612" t="str">
        <f>IF(ISBLANK(DS14),"",DS14)</f>
        <v/>
      </c>
      <c r="AP14" s="1613" t="str">
        <f t="shared" ref="AP14:AP45" si="4">IF(ISERROR(GD54),"ERR",IF(OR(GD54="",GD54=0),"",GD54))</f>
        <v/>
      </c>
      <c r="AQ14" s="1614" t="str">
        <f t="shared" ref="AQ14:AQ45" si="5">IF(ISERROR(GE54),"ERR",IF(OR(GE54="",GE54=0),"",GE54))</f>
        <v/>
      </c>
      <c r="AR14" s="1615" t="str">
        <f>IF(ISERROR(GF54),"ERR",IF(GF54="","",IF(ISTEXT(GF54),"P",TRUNC(GF54/12))))</f>
        <v/>
      </c>
      <c r="AS14" s="1608" t="str">
        <f>IF(ISERROR(GF54),"",IF(GF54="","",IF(AR14="P",GF54,GF54-(AR14*12))))</f>
        <v/>
      </c>
      <c r="AT14" s="1616" t="str">
        <f>IF(ISBLANK(DX14),"",DX14)</f>
        <v/>
      </c>
      <c r="AU14" s="1617" t="str">
        <f>IF(ISBLANK(DY14),"",DY14)</f>
        <v/>
      </c>
      <c r="AV14" s="1581" t="str">
        <f>IF(ISERROR(GG54),"ERR",IF(GG54="","",IF(ISTEXT(GG54),"P",TRUNC(GG54/12))))</f>
        <v/>
      </c>
      <c r="AW14" s="1608" t="str">
        <f>IF(ISERROR(GG54),"",IF(GG54="","",IF(AV14="P",GG54,GG54-(AV14*12))))</f>
        <v/>
      </c>
      <c r="AX14" s="1616" t="str">
        <f>IF(ISBLANK(EB14),"",EB14)</f>
        <v/>
      </c>
      <c r="AY14" s="1617" t="str">
        <f>IF(ISBLANK(EC14),"",EC14)</f>
        <v/>
      </c>
      <c r="AZ14" s="1581" t="str">
        <f>IF(ISERROR(GH54),"ERR",IF(GH54="","",IF(ISTEXT(GH54),"P",TRUNC(GH54/12))))</f>
        <v/>
      </c>
      <c r="BA14" s="1608" t="str">
        <f>IF(ISERROR(GH54),"",IF(GH54="","",IF(AZ14="P",GH54,GH54-(AZ14*12))))</f>
        <v/>
      </c>
      <c r="BB14" s="1616" t="str">
        <f>IF(ISBLANK(EF14),"",EF14)</f>
        <v/>
      </c>
      <c r="BC14" s="1617" t="str">
        <f>IF(ISBLANK(EG14),"",EG14)</f>
        <v/>
      </c>
      <c r="BD14" s="1581" t="str">
        <f>IF(ISERROR(GI54),"ERR",IF(GI54="","",IF(ISTEXT(GI54),"P",TRUNC(GI54/12))))</f>
        <v/>
      </c>
      <c r="BE14" s="1608" t="str">
        <f>IF(ISERROR(GI54),"",IF(GI54="","",IF(BD14="P",GI54,GI54-(BD14*12))))</f>
        <v/>
      </c>
      <c r="BF14" s="1616" t="str">
        <f>IF(ISBLANK(EJ14),"",EJ14)</f>
        <v/>
      </c>
      <c r="BG14" s="1618" t="str">
        <f>IF(ISBLANK(EK14),"",EK14)</f>
        <v/>
      </c>
      <c r="BH14" s="180"/>
      <c r="BJ14" s="63"/>
      <c r="BK14" s="56"/>
      <c r="BW14" s="910">
        <f>IF(AB14="",0,1)+IF(AC14="",0,1)+IF(AD14="",0,1)+IF(AE14="",0,1)+IF(AF14="",0,1)+IF(AG14="",0,1)+IF(AH14="",0,1)+IF(AI14="",0,1)+IF(AJ14="",0,1)+IF(AK14="",0,1)+IF(AL14="",0,1)+IF(AM14="",0,1)+IF(AN14="",0,1)+IF(AO14="",0,1)+IF(AP14="",0,1)+IF(AQ14="",0,1)+IF(AR14="",0,1)+IF(AS14="",0,1)+IF(AT14="",0,1)+IF(AU14="",0,1)+IF(AV14="",0,1)+IF(AW14="",0,1)+IF(AX14="",0,1)+IF(AY14="",0,1)+IF(AZ14="",0,1)+IF(BA14="",0,1)+IF(BB14="",0,1)+IF(BC14="",0,1)+IF(BD14="",0,1)+IF(BE14="",0,1)+IF(BF14="",0,1)+IF(BG14="",0,1)</f>
        <v>0</v>
      </c>
      <c r="BX14" s="914" t="str">
        <f>AB14</f>
        <v/>
      </c>
      <c r="BY14" s="911" t="b">
        <f>IF(ISERROR(VLOOKUP(BX14,$BJ$14:$BL$45,3,FALSE)),FALSE,VLOOKUP(BX14,$BJ$14:$BL$45,3,FALSE))</f>
        <v>0</v>
      </c>
      <c r="BZ14" s="1217" t="e">
        <f>IF($BK$1,IF(BX14="",FALSE,IF(ISERROR(VLOOKUP(BX14,$A$28:$B$45,2,FALSE)),FALSE,IF(VLOOKUP(BX14,$A$28:$B$45,2,FALSE)=0,TRUE,FALSE))))</f>
        <v>#REF!</v>
      </c>
      <c r="CB14" s="104"/>
      <c r="CC14" s="104"/>
      <c r="CD14" s="104"/>
      <c r="CE14" s="104"/>
      <c r="CF14" s="104"/>
      <c r="CG14" s="58"/>
      <c r="CH14" s="58"/>
      <c r="CI14" s="58"/>
      <c r="CJ14" s="58"/>
      <c r="CK14" s="58"/>
      <c r="CL14" s="58"/>
      <c r="CM14" s="104"/>
      <c r="CN14" s="104"/>
      <c r="CO14" s="104"/>
      <c r="CP14" s="104"/>
      <c r="CQ14" s="104"/>
      <c r="CR14" s="104"/>
      <c r="CS14" s="104"/>
      <c r="CT14" s="104"/>
      <c r="CU14" s="104"/>
      <c r="CV14" s="104"/>
      <c r="CW14" s="104"/>
      <c r="CX14" s="58"/>
      <c r="CY14" s="104"/>
      <c r="CZ14" s="58"/>
      <c r="DA14" s="58"/>
      <c r="DB14" s="58"/>
      <c r="DC14" s="58"/>
      <c r="DD14" s="58"/>
      <c r="DE14" s="58"/>
      <c r="DF14" s="58"/>
      <c r="DG14" s="58"/>
      <c r="DH14" s="616"/>
      <c r="DI14" s="608"/>
      <c r="DJ14" s="636"/>
      <c r="DK14" s="1244"/>
      <c r="DL14" s="609"/>
      <c r="DM14" s="637"/>
      <c r="DN14" s="1247"/>
      <c r="DO14" s="610"/>
      <c r="DP14" s="611"/>
      <c r="DQ14" s="1293"/>
      <c r="DR14" s="612"/>
      <c r="DS14" s="1490"/>
      <c r="DT14" s="1484"/>
      <c r="DU14" s="1485"/>
      <c r="DV14" s="622"/>
      <c r="DW14" s="1250"/>
      <c r="DX14" s="613"/>
      <c r="DY14" s="614"/>
      <c r="DZ14" s="622"/>
      <c r="EA14" s="1252"/>
      <c r="EB14" s="613"/>
      <c r="EC14" s="614"/>
      <c r="ED14" s="622"/>
      <c r="EE14" s="1252"/>
      <c r="EF14" s="613"/>
      <c r="EG14" s="614"/>
      <c r="EH14" s="622"/>
      <c r="EI14" s="1252"/>
      <c r="EJ14" s="613"/>
      <c r="EK14" s="615"/>
      <c r="EL14" s="859"/>
      <c r="EM14" s="924"/>
      <c r="EN14" s="58"/>
      <c r="EO14" s="58"/>
      <c r="EP14" s="862"/>
      <c r="EQ14" s="58"/>
      <c r="ER14" s="58"/>
      <c r="ES14" s="58"/>
      <c r="ET14" s="58"/>
      <c r="EU14" s="58"/>
      <c r="EX14" s="870" t="str">
        <f>CONCATENATE(BX14,AC14)</f>
        <v/>
      </c>
      <c r="EY14" s="872" t="str">
        <f t="shared" ref="EY14:EY45" si="6">IF(OR(ISBLANK(AB14),AB14=""),"",VLOOKUP(LEFT(EX14,LEN(EX14)-1),$BJ$28:$BO$45,6,FALSE)=SUMIF($EX$14:$EX$45,EX14,$AF$14:$AF$45)+2)</f>
        <v/>
      </c>
      <c r="EZ14" s="872" t="str">
        <f>IF(AB14="","",IF(VLOOKUP(BX14,$A$28:$F$45,6,FALSE)="",0,HLOOKUP(VLOOKUP(BX14,$A$28:$F$45,6,FALSE),$FG$4:$FI$5,2,TRUE)))</f>
        <v/>
      </c>
      <c r="FA14" s="891" t="str">
        <f ca="1">IF(FB15="","",FB14=FF14)</f>
        <v/>
      </c>
      <c r="FB14" s="892" t="str">
        <f>IF(BX14="","",VLOOKUP(BX14,$A$28:$K$45,4,FALSE)*12+VLOOKUP(BX14,$A$28:$K$45,5,FALSE)-(IF(ISNUMBER(VLOOKUP(BX14,$A$28:$K$45,7,FALSE)),VLOOKUP(BX14,$A$28:$K$45,7,FALSE),0)*12+IF(ISNUMBER(VLOOKUP(BX14,$A$28:$K$45,8,FALSE)),VLOOKUP(BX14,$A$28:$K$45,8,FALSE),0))-(IF(ISNUMBER(VLOOKUP(BX14,$A$28:$K$45,10,FALSE)),VLOOKUP(BX14,$A$28:$K$45,10,FALSE),0)*12+IF(ISNUMBER(VLOOKUP(BX14,$A$28:$K$45,11,FALSE)),VLOOKUP(BX14,$A$28:$K$45,11,FALSE),0)))</f>
        <v/>
      </c>
      <c r="FC14" s="892">
        <f t="shared" ref="FC14:FC45" si="7">IF(ISNUMBER(AD14),AD14,0)*12+IF(ISNUMBER(AE14),AE14,0)</f>
        <v>0</v>
      </c>
      <c r="FD14" s="892">
        <f t="shared" ref="FD14:FD45" si="8">IF(ISNUMBER(AF14),AF14,0)*(IF(ISNUMBER(AG14),AG14,0)*12+IF(ISNUMBER(AH14),AH14,0))</f>
        <v>0</v>
      </c>
      <c r="FE14" s="892">
        <f t="shared" ref="FE14:FE45" si="9">IF(ISNUMBER(AI14),AI14,0)*12+IF(ISNUMBER(AJ14),AJ14,0)</f>
        <v>0</v>
      </c>
      <c r="FF14" s="892">
        <f ca="1">SUM(FC14:FE14)+IF(FE14=0,FF15,0)</f>
        <v>0</v>
      </c>
      <c r="FN14" s="703"/>
      <c r="FO14" s="703"/>
      <c r="FP14" s="703" t="b">
        <v>0</v>
      </c>
      <c r="FQ14" s="703" t="b">
        <f>NOT(ISERROR(VLOOKUP(AB14,$A$28:$A$45,1,FALSE)))</f>
        <v>1</v>
      </c>
      <c r="FX14" s="103"/>
      <c r="FZ14" s="1"/>
      <c r="GA14" s="58"/>
      <c r="GB14" s="58"/>
      <c r="GC14" s="58"/>
      <c r="GD14" s="58"/>
      <c r="GE14" s="58"/>
      <c r="GF14" s="58"/>
      <c r="GG14" s="58"/>
      <c r="GH14" s="58"/>
      <c r="GI14" s="58"/>
      <c r="GJ14" s="58"/>
      <c r="GK14" s="1"/>
      <c r="GO14" s="56"/>
      <c r="GZ14" s="56"/>
      <c r="HA14" s="46"/>
      <c r="HB14" s="46"/>
      <c r="HC14" s="46"/>
      <c r="HD14" s="46"/>
      <c r="HE14" s="46"/>
      <c r="HF14" s="46"/>
      <c r="HG14" s="46"/>
      <c r="HH14" s="46"/>
      <c r="HI14" s="46"/>
      <c r="HM14" s="47"/>
      <c r="HN14" s="48"/>
      <c r="ID14" s="722"/>
      <c r="IE14" s="1174"/>
      <c r="IF14" s="1175"/>
      <c r="IG14" s="1176"/>
      <c r="IH14" s="1177"/>
      <c r="II14" s="1175"/>
      <c r="IJ14" s="1176"/>
      <c r="IK14" s="1177"/>
      <c r="IL14" s="1175"/>
      <c r="IM14" s="1175"/>
      <c r="IN14" s="1175"/>
      <c r="IO14" s="1175"/>
      <c r="IP14" s="1175"/>
      <c r="IQ14" s="1175"/>
      <c r="IR14" s="1175"/>
      <c r="IS14" s="1176"/>
      <c r="IT14" s="1177"/>
      <c r="IU14" s="1175"/>
      <c r="IV14" s="1175"/>
      <c r="IW14" s="1176"/>
      <c r="IX14" s="1177"/>
      <c r="IY14" s="1175"/>
      <c r="IZ14" s="1175"/>
      <c r="JA14" s="1176"/>
      <c r="JB14" s="1177"/>
      <c r="JC14" s="1175"/>
      <c r="JD14" s="1175"/>
      <c r="JE14" s="1176"/>
      <c r="JF14" s="1177"/>
      <c r="JG14" s="1175"/>
      <c r="JH14" s="1175"/>
      <c r="JI14" s="1175"/>
      <c r="JJ14" s="1178"/>
      <c r="JK14" s="1175"/>
      <c r="JL14" s="1102">
        <f>IF(JK14="",0,1)</f>
        <v>0</v>
      </c>
      <c r="JM14" s="148"/>
    </row>
    <row r="15" spans="1:276" ht="12.6" customHeight="1" thickTop="1" x14ac:dyDescent="0.2">
      <c r="A15" s="1006"/>
      <c r="B15" s="1006"/>
      <c r="C15" s="1006"/>
      <c r="D15" s="1006"/>
      <c r="E15" s="1006"/>
      <c r="F15" s="1006"/>
      <c r="G15" s="1006"/>
      <c r="H15" s="1006"/>
      <c r="I15" s="1006"/>
      <c r="J15" s="1006"/>
      <c r="K15" s="1006"/>
      <c r="L15" s="1006"/>
      <c r="M15" s="1006"/>
      <c r="N15" s="1006"/>
      <c r="O15" s="1006"/>
      <c r="P15" s="1006"/>
      <c r="Q15" s="1006"/>
      <c r="R15" s="1006"/>
      <c r="S15" s="1006"/>
      <c r="T15" s="1006"/>
      <c r="U15" s="1006"/>
      <c r="V15" s="1006"/>
      <c r="W15" s="1006"/>
      <c r="X15" s="1006"/>
      <c r="Y15" s="1006"/>
      <c r="Z15" s="1006"/>
      <c r="AA15" s="1006"/>
      <c r="AB15" s="1132" t="str">
        <f t="shared" ref="AB15:AB23" si="10">IF(ISBLANK(DH15),"",DH15)</f>
        <v/>
      </c>
      <c r="AC15" s="1139" t="str">
        <f t="shared" ref="AC15:AC20" si="11">IF(ISBLANK(DI15),"",DI15)</f>
        <v/>
      </c>
      <c r="AD15" s="1134" t="str">
        <f ca="1">IF(ISERROR(FV55),"",IF(FV55="","",TRUNC(FV55/12)))</f>
        <v/>
      </c>
      <c r="AE15" s="1138" t="str">
        <f ca="1">IF(ISERROR(FV55),"",IF(FV55="","",FV55-(AD15*12)))</f>
        <v/>
      </c>
      <c r="AF15" s="1139" t="str">
        <f ca="1">IF(ISERROR(FO55),"",IF(FO55="","",FO55))</f>
        <v/>
      </c>
      <c r="AG15" s="1134" t="str">
        <f ca="1">IF(ISERROR(FX55),"",IF(FX55="","",TRUNC(FX55/12)))</f>
        <v/>
      </c>
      <c r="AH15" s="1138" t="str">
        <f ca="1">IF(ISERROR(FX55),"",IF(FX55="","",FX55-(AG15*12)))</f>
        <v/>
      </c>
      <c r="AI15" s="1134" t="str">
        <f ca="1">IF(ISERROR(FZ55),"",IF(FZ55="","",TRUNC(FZ55/12)))</f>
        <v/>
      </c>
      <c r="AJ15" s="1138" t="str">
        <f ca="1">IF(ISERROR(FZ55),"",IF(FZ55="","",FZ55-(AI15*12)))</f>
        <v/>
      </c>
      <c r="AK15" s="1619" t="str">
        <f t="shared" ref="AK15:AK20" si="12">IF(ISBLANK(DO15),"",DO15)</f>
        <v/>
      </c>
      <c r="AL15" s="1620" t="str">
        <f t="shared" ref="AL15:AL20" si="13">IF(ISBLANK(DP15),"",DP15)</f>
        <v/>
      </c>
      <c r="AM15" s="1621" t="str">
        <f t="shared" ref="AM15:AM20" si="14">IF(ISBLANK(DQ15),"",DQ15)</f>
        <v/>
      </c>
      <c r="AN15" s="1139" t="str">
        <f t="shared" ref="AN15:AN20" si="15">IF(ISBLANK(DR15),"",DR15)</f>
        <v/>
      </c>
      <c r="AO15" s="1622" t="str">
        <f t="shared" ref="AO15:AO20" si="16">IF(ISBLANK(DS15),"",DS15)</f>
        <v/>
      </c>
      <c r="AP15" s="1141" t="str">
        <f t="shared" si="4"/>
        <v/>
      </c>
      <c r="AQ15" s="1623" t="str">
        <f t="shared" si="5"/>
        <v/>
      </c>
      <c r="AR15" s="1137" t="str">
        <f t="shared" ref="AR15:AR45" si="17">IF(ISERROR(GF55),"ERR",IF(GF55="","",IF(ISTEXT(GF55),"P",TRUNC(GF55/12))))</f>
        <v/>
      </c>
      <c r="AS15" s="1138" t="str">
        <f t="shared" ref="AS15:AS45" si="18">IF(ISERROR(GF55),"",IF(GF55="","",IF(AR15="P",GF55,GF55-(AR15*12))))</f>
        <v/>
      </c>
      <c r="AT15" s="1624" t="str">
        <f t="shared" ref="AT15:AT45" si="19">IF(ISBLANK(DX15),"",DX15)</f>
        <v/>
      </c>
      <c r="AU15" s="1625" t="str">
        <f t="shared" ref="AU15:AU45" si="20">IF(ISBLANK(DY15),"",DY15)</f>
        <v/>
      </c>
      <c r="AV15" s="1143" t="str">
        <f t="shared" ref="AV15:AV45" si="21">IF(ISERROR(GG55),"ERR",IF(GG55="","",IF(ISTEXT(GG55),"P",TRUNC(GG55/12))))</f>
        <v/>
      </c>
      <c r="AW15" s="1138" t="str">
        <f t="shared" ref="AW15:AW45" si="22">IF(ISERROR(GG55),"",IF(GG55="","",IF(AV15="P",GG55,GG55-(AV15*12))))</f>
        <v/>
      </c>
      <c r="AX15" s="1624" t="str">
        <f t="shared" ref="AX15:AX45" si="23">IF(ISBLANK(EB15),"",EB15)</f>
        <v/>
      </c>
      <c r="AY15" s="1625" t="str">
        <f t="shared" ref="AY15:AY45" si="24">IF(ISBLANK(EC15),"",EC15)</f>
        <v/>
      </c>
      <c r="AZ15" s="1143" t="str">
        <f t="shared" ref="AZ15:AZ45" si="25">IF(ISERROR(GH55),"ERR",IF(GH55="","",IF(ISTEXT(GH55),"P",TRUNC(GH55/12))))</f>
        <v/>
      </c>
      <c r="BA15" s="1138" t="str">
        <f t="shared" ref="BA15:BA45" si="26">IF(ISERROR(GH55),"",IF(GH55="","",IF(AZ15="P",GH55,GH55-(AZ15*12))))</f>
        <v/>
      </c>
      <c r="BB15" s="1624" t="str">
        <f t="shared" ref="BB15:BB45" si="27">IF(ISBLANK(EF15),"",EF15)</f>
        <v/>
      </c>
      <c r="BC15" s="1625" t="str">
        <f t="shared" ref="BC15:BC45" si="28">IF(ISBLANK(EG15),"",EG15)</f>
        <v/>
      </c>
      <c r="BD15" s="1143" t="str">
        <f t="shared" ref="BD15:BD45" si="29">IF(ISERROR(GI55),"ERR",IF(GI55="","",IF(ISTEXT(GI55),"P",TRUNC(GI55/12))))</f>
        <v/>
      </c>
      <c r="BE15" s="1138" t="str">
        <f t="shared" ref="BE15:BE45" si="30">IF(ISERROR(GI55),"",IF(GI55="","",IF(BD15="P",GI55,GI55-(BD15*12))))</f>
        <v/>
      </c>
      <c r="BF15" s="1624" t="str">
        <f t="shared" ref="BF15:BF20" si="31">IF(ISBLANK(EJ15),"",EJ15)</f>
        <v/>
      </c>
      <c r="BG15" s="1625" t="str">
        <f t="shared" ref="BG15:BG20" si="32">IF(ISBLANK(EK15),"",EK15)</f>
        <v/>
      </c>
      <c r="BH15" s="180"/>
      <c r="BJ15" s="63"/>
      <c r="BK15" s="56"/>
      <c r="BW15" s="910">
        <f t="shared" ref="BW15:BW45" ca="1" si="33">IF(AB15="",0,1)+IF(AC15="",0,1)+IF(AD15="",0,1)+IF(AE15="",0,1)+IF(AF15="",0,1)+IF(AG15="",0,1)+IF(AH15="",0,1)+IF(AI15="",0,1)+IF(AJ15="",0,1)+IF(AK15="",0,1)+IF(AL15="",0,1)+IF(AM15="",0,1)+IF(AN15="",0,1)+IF(AO15="",0,1)+IF(AP15="",0,1)+IF(AQ15="",0,1)+IF(AR15="",0,1)+IF(AS15="",0,1)+IF(AT15="",0,1)+IF(AU15="",0,1)+IF(AV15="",0,1)+IF(AW15="",0,1)+IF(AX15="",0,1)+IF(AY15="",0,1)+IF(AZ15="",0,1)+IF(BA15="",0,1)+IF(BB15="",0,1)+IF(BC15="",0,1)+IF(BD15="",0,1)+IF(BE15="",0,1)+IF(BF15="",0,1)+IF(BG15="",0,1)</f>
        <v>0</v>
      </c>
      <c r="BX15" s="911" t="str">
        <f ca="1">IF(AND(AB15="",BW15&gt;0),BX14,IF(ISBLANK(AB15),"",AB15))</f>
        <v/>
      </c>
      <c r="BY15" s="911" t="b">
        <f t="shared" ref="BY15:BY45" ca="1" si="34">IF(ISERROR(VLOOKUP(BX15,$BJ$14:$BL$45,3,FALSE)),FALSE,VLOOKUP(BX15,$BJ$14:$BL$45,3,FALSE))</f>
        <v>0</v>
      </c>
      <c r="BZ15" s="1217" t="e">
        <f>IF($BK$1,IF(BX15="",FALSE,IF(ISERROR(VLOOKUP(BX15,$A$28:$B$45,2,FALSE)),FALSE,IF(VLOOKUP(BX15,$A$28:$B$45,2,FALSE)=0,TRUE,FALSE))))</f>
        <v>#REF!</v>
      </c>
      <c r="CB15" s="104"/>
      <c r="CC15" s="104"/>
      <c r="CD15" s="104"/>
      <c r="CE15" s="104"/>
      <c r="CF15" s="104"/>
      <c r="CG15" s="58"/>
      <c r="CH15" s="58"/>
      <c r="CI15" s="58"/>
      <c r="CJ15" s="58"/>
      <c r="CK15" s="58"/>
      <c r="CL15" s="58"/>
      <c r="CM15" s="104"/>
      <c r="CN15" s="104"/>
      <c r="CO15" s="104"/>
      <c r="CP15" s="104"/>
      <c r="CQ15" s="104"/>
      <c r="CR15" s="104"/>
      <c r="CS15" s="104"/>
      <c r="CT15" s="104"/>
      <c r="CU15" s="104"/>
      <c r="CV15" s="104"/>
      <c r="CW15" s="104"/>
      <c r="CX15" s="58"/>
      <c r="CY15" s="104"/>
      <c r="CZ15" s="58"/>
      <c r="DA15" s="58"/>
      <c r="DB15" s="58"/>
      <c r="DC15" s="58"/>
      <c r="DD15" s="58"/>
      <c r="DE15" s="58"/>
      <c r="DF15" s="58"/>
      <c r="DG15" s="58"/>
      <c r="DH15" s="616"/>
      <c r="DI15" s="617"/>
      <c r="DJ15" s="638"/>
      <c r="DK15" s="1245"/>
      <c r="DL15" s="618"/>
      <c r="DM15" s="639"/>
      <c r="DN15" s="1248"/>
      <c r="DO15" s="619"/>
      <c r="DP15" s="620"/>
      <c r="DQ15" s="1294"/>
      <c r="DR15" s="621"/>
      <c r="DS15" s="1491"/>
      <c r="DT15" s="1486"/>
      <c r="DU15" s="1487"/>
      <c r="DV15" s="622"/>
      <c r="DW15" s="1250"/>
      <c r="DX15" s="623"/>
      <c r="DY15" s="624"/>
      <c r="DZ15" s="622"/>
      <c r="EA15" s="1250"/>
      <c r="EB15" s="623"/>
      <c r="EC15" s="624"/>
      <c r="ED15" s="622"/>
      <c r="EE15" s="1250"/>
      <c r="EF15" s="623"/>
      <c r="EG15" s="624"/>
      <c r="EH15" s="622"/>
      <c r="EI15" s="1250"/>
      <c r="EJ15" s="623"/>
      <c r="EK15" s="625"/>
      <c r="EL15" s="859"/>
      <c r="EM15" s="924"/>
      <c r="EN15" s="860"/>
      <c r="EO15" s="861"/>
      <c r="EP15" s="58"/>
      <c r="EQ15" s="58"/>
      <c r="ER15" s="58"/>
      <c r="ES15" s="58"/>
      <c r="ET15" s="58"/>
      <c r="EU15" s="58"/>
      <c r="EX15" s="870" t="str">
        <f t="shared" ref="EX15:EX45" ca="1" si="35">IF(AND(AC15="",BX15=BX14),EX14,CONCATENATE(BX15,AC15))</f>
        <v/>
      </c>
      <c r="EY15" s="872" t="str">
        <f t="shared" si="6"/>
        <v/>
      </c>
      <c r="EZ15" s="872" t="str">
        <f t="shared" ref="EZ15:EZ45" si="36">IF(AB15="","",IF(VLOOKUP(BX15,$A$28:$F$45,6,FALSE)="",0,HLOOKUP(VLOOKUP(BX15,$A$28:$F$45,6,FALSE),$FG$4:$FI$5,2,TRUE)))</f>
        <v/>
      </c>
      <c r="FA15" s="891" t="str">
        <f ca="1">IF(FB15="","",IF(FC15=0,FA14,FB15=FF15))</f>
        <v/>
      </c>
      <c r="FB15" s="892" t="str">
        <f t="shared" ref="FB15:FB45" ca="1" si="37">IF(BX15="","",VLOOKUP(BX15,$A$28:$K$45,4,FALSE)*12+VLOOKUP(BX15,$A$28:$K$45,5,FALSE)-(IF(ISNUMBER(VLOOKUP(BX15,$A$28:$K$45,7,FALSE)),VLOOKUP(BX15,$A$28:$K$45,7,FALSE),0)*12+IF(ISNUMBER(VLOOKUP(BX15,$A$28:$K$45,8,FALSE)),VLOOKUP(BX15,$A$28:$K$45,8,FALSE),0))-(IF(ISNUMBER(VLOOKUP(BX15,$A$28:$K$45,10,FALSE)),VLOOKUP(BX15,$A$28:$K$45,10,FALSE),0)*12+IF(ISNUMBER(VLOOKUP(BX15,$A$28:$K$45,11,FALSE)),VLOOKUP(BX15,$A$28:$K$45,11,FALSE),0)))</f>
        <v/>
      </c>
      <c r="FC15" s="892">
        <f t="shared" ca="1" si="7"/>
        <v>0</v>
      </c>
      <c r="FD15" s="892">
        <f t="shared" ca="1" si="8"/>
        <v>0</v>
      </c>
      <c r="FE15" s="892">
        <f t="shared" ca="1" si="9"/>
        <v>0</v>
      </c>
      <c r="FF15" s="892">
        <f t="shared" ref="FF15:FF45" ca="1" si="38">SUM(FC15:FE15)+IF(FE15=0,FF16,0)</f>
        <v>0</v>
      </c>
      <c r="FN15" s="703"/>
      <c r="FO15" s="703"/>
      <c r="FP15" s="703" t="b">
        <v>0</v>
      </c>
      <c r="FQ15" s="703" t="b">
        <f t="shared" ref="FQ15:FQ45" si="39">NOT(ISERROR(VLOOKUP(AB15,$A$28:$A$45,1,FALSE)))</f>
        <v>1</v>
      </c>
      <c r="FX15" s="103"/>
      <c r="FZ15" s="1"/>
      <c r="GA15" s="58"/>
      <c r="GB15" s="58"/>
      <c r="GC15" s="58"/>
      <c r="GD15" s="58"/>
      <c r="GE15" s="58"/>
      <c r="GF15" s="58"/>
      <c r="GG15" s="58"/>
      <c r="GH15" s="58"/>
      <c r="GI15" s="58"/>
      <c r="GJ15" s="58"/>
      <c r="GK15" s="1"/>
      <c r="GO15" s="56"/>
      <c r="GZ15" s="56"/>
      <c r="HA15" s="1949" t="s">
        <v>298</v>
      </c>
      <c r="HB15" s="1931"/>
      <c r="HC15" s="1931"/>
      <c r="HD15" s="1931"/>
      <c r="HE15" s="1931"/>
      <c r="HF15" s="1931"/>
      <c r="HG15" s="1931"/>
      <c r="HH15" s="1931"/>
      <c r="HI15" s="1931"/>
      <c r="HJ15" s="1931"/>
      <c r="HK15" s="1931"/>
      <c r="HL15" s="1931"/>
      <c r="HM15" s="1931"/>
      <c r="HN15" s="1931"/>
      <c r="HO15" s="1931"/>
      <c r="HP15" s="1931"/>
      <c r="HQ15" s="1931"/>
      <c r="HR15" s="1931"/>
      <c r="HS15" s="1931"/>
      <c r="HT15" s="1931"/>
      <c r="HU15" s="1931"/>
      <c r="HV15" s="1931"/>
      <c r="HW15" s="1931"/>
      <c r="HX15" s="1932"/>
      <c r="ID15" s="723"/>
      <c r="IE15" s="1159"/>
      <c r="IF15" s="1160"/>
      <c r="IG15" s="1161"/>
      <c r="IH15" s="1162"/>
      <c r="II15" s="1160"/>
      <c r="IJ15" s="1161"/>
      <c r="IK15" s="1162"/>
      <c r="IL15" s="1160"/>
      <c r="IM15" s="1160"/>
      <c r="IN15" s="1160"/>
      <c r="IO15" s="1160"/>
      <c r="IP15" s="1160"/>
      <c r="IQ15" s="1160"/>
      <c r="IR15" s="1160"/>
      <c r="IS15" s="1161"/>
      <c r="IT15" s="1162"/>
      <c r="IU15" s="1160"/>
      <c r="IV15" s="1160"/>
      <c r="IW15" s="1161"/>
      <c r="IX15" s="1162"/>
      <c r="IY15" s="1160"/>
      <c r="IZ15" s="1160"/>
      <c r="JA15" s="1161"/>
      <c r="JB15" s="1162"/>
      <c r="JC15" s="1160"/>
      <c r="JD15" s="1160"/>
      <c r="JE15" s="1161"/>
      <c r="JF15" s="1162"/>
      <c r="JG15" s="1160"/>
      <c r="JH15" s="1160"/>
      <c r="JI15" s="1160"/>
      <c r="JJ15" s="1163"/>
      <c r="JK15" s="1160"/>
      <c r="JL15" s="1103">
        <f ca="1">IF(ISBLANK(JK15),IF(JL14=0,0,IF(VALUE(OFFSET(JK15,JL14*-1,0))&lt;JL14+1,0,JL14+1)),1)</f>
        <v>0</v>
      </c>
      <c r="JM15" s="148"/>
    </row>
    <row r="16" spans="1:276" ht="12.6" customHeight="1" x14ac:dyDescent="0.2">
      <c r="A16" s="1006"/>
      <c r="B16" s="1006"/>
      <c r="C16" s="1006"/>
      <c r="D16" s="1006"/>
      <c r="E16" s="1006"/>
      <c r="F16" s="1006"/>
      <c r="G16" s="1006"/>
      <c r="H16" s="1006"/>
      <c r="I16" s="1006"/>
      <c r="J16" s="1006"/>
      <c r="K16" s="1006"/>
      <c r="L16" s="1006"/>
      <c r="M16" s="1006"/>
      <c r="N16" s="1006"/>
      <c r="O16" s="1006"/>
      <c r="P16" s="1006"/>
      <c r="Q16" s="1006"/>
      <c r="R16" s="1006"/>
      <c r="S16" s="1006"/>
      <c r="T16" s="1006"/>
      <c r="U16" s="1006"/>
      <c r="V16" s="1006"/>
      <c r="W16" s="1006"/>
      <c r="X16" s="1006"/>
      <c r="Y16" s="1006"/>
      <c r="Z16" s="1006"/>
      <c r="AA16" s="1006"/>
      <c r="AB16" s="1132" t="str">
        <f t="shared" si="10"/>
        <v/>
      </c>
      <c r="AC16" s="1139" t="str">
        <f t="shared" si="11"/>
        <v/>
      </c>
      <c r="AD16" s="1134" t="str">
        <f ca="1">IF(ISERROR(FV56),"",IF(FV56="","",TRUNC(FV56/12)))</f>
        <v/>
      </c>
      <c r="AE16" s="1138" t="str">
        <f ca="1">IF(ISERROR(FV56),"",IF(FV56="","",FV56-(AD16*12)))</f>
        <v/>
      </c>
      <c r="AF16" s="1139" t="str">
        <f ca="1">IF(ISERROR(FO56),"",IF(FO56="","",FO56))</f>
        <v/>
      </c>
      <c r="AG16" s="1134" t="str">
        <f ca="1">IF(ISERROR(FX56),"",IF(FX56="","",TRUNC(FX56/12)))</f>
        <v/>
      </c>
      <c r="AH16" s="1138" t="str">
        <f ca="1">IF(ISERROR(FX56),"",IF(FX56="","",FX56-(AG16*12)))</f>
        <v/>
      </c>
      <c r="AI16" s="1134" t="str">
        <f ca="1">IF(ISERROR(FZ56),"",IF(FZ56="","",TRUNC(FZ56/12)))</f>
        <v/>
      </c>
      <c r="AJ16" s="1138" t="str">
        <f ca="1">IF(ISERROR(FZ56),"",IF(FZ56="","",FZ56-(AI16*12)))</f>
        <v/>
      </c>
      <c r="AK16" s="1619" t="str">
        <f t="shared" si="12"/>
        <v/>
      </c>
      <c r="AL16" s="1620" t="str">
        <f t="shared" si="13"/>
        <v/>
      </c>
      <c r="AM16" s="1621" t="str">
        <f t="shared" si="14"/>
        <v/>
      </c>
      <c r="AN16" s="1139" t="str">
        <f t="shared" si="15"/>
        <v/>
      </c>
      <c r="AO16" s="1622" t="str">
        <f t="shared" si="16"/>
        <v/>
      </c>
      <c r="AP16" s="1141" t="str">
        <f t="shared" si="4"/>
        <v/>
      </c>
      <c r="AQ16" s="1623" t="str">
        <f t="shared" si="5"/>
        <v/>
      </c>
      <c r="AR16" s="1137" t="str">
        <f t="shared" si="17"/>
        <v/>
      </c>
      <c r="AS16" s="1138" t="str">
        <f t="shared" si="18"/>
        <v/>
      </c>
      <c r="AT16" s="1624" t="str">
        <f t="shared" si="19"/>
        <v/>
      </c>
      <c r="AU16" s="1625" t="str">
        <f t="shared" si="20"/>
        <v/>
      </c>
      <c r="AV16" s="1143" t="str">
        <f t="shared" si="21"/>
        <v/>
      </c>
      <c r="AW16" s="1138" t="str">
        <f t="shared" si="22"/>
        <v/>
      </c>
      <c r="AX16" s="1624" t="str">
        <f t="shared" si="23"/>
        <v/>
      </c>
      <c r="AY16" s="1625" t="str">
        <f t="shared" si="24"/>
        <v/>
      </c>
      <c r="AZ16" s="1143" t="str">
        <f t="shared" si="25"/>
        <v/>
      </c>
      <c r="BA16" s="1138" t="str">
        <f t="shared" si="26"/>
        <v/>
      </c>
      <c r="BB16" s="1624" t="str">
        <f t="shared" si="27"/>
        <v/>
      </c>
      <c r="BC16" s="1625" t="str">
        <f t="shared" si="28"/>
        <v/>
      </c>
      <c r="BD16" s="1143" t="str">
        <f t="shared" si="29"/>
        <v/>
      </c>
      <c r="BE16" s="1138" t="str">
        <f t="shared" si="30"/>
        <v/>
      </c>
      <c r="BF16" s="1624" t="str">
        <f t="shared" si="31"/>
        <v/>
      </c>
      <c r="BG16" s="1625" t="str">
        <f t="shared" si="32"/>
        <v/>
      </c>
      <c r="BH16" s="180"/>
      <c r="BJ16" s="63"/>
      <c r="BK16" s="56"/>
      <c r="BW16" s="910">
        <f t="shared" ca="1" si="33"/>
        <v>0</v>
      </c>
      <c r="BX16" s="911" t="str">
        <f t="shared" ref="BX16:BX45" ca="1" si="40">IF(AND(AB16="",BW16&gt;0),BX15,IF(ISBLANK(AB16),"",AB16))</f>
        <v/>
      </c>
      <c r="BY16" s="911" t="b">
        <f t="shared" ca="1" si="34"/>
        <v>0</v>
      </c>
      <c r="BZ16" s="1217" t="e">
        <f t="shared" ref="BZ16:BZ45" si="41">IF($BK$1,IF(BX16="",FALSE,IF(ISERROR(VLOOKUP(BX16,$A$28:$B$45,2,FALSE)),FALSE,IF(VLOOKUP(BX16,$A$28:$B$45,2,FALSE)=0,TRUE,FALSE))))</f>
        <v>#REF!</v>
      </c>
      <c r="CB16" s="104"/>
      <c r="CC16" s="104"/>
      <c r="CD16" s="104"/>
      <c r="CE16" s="104"/>
      <c r="CF16" s="104"/>
      <c r="CG16" s="104"/>
      <c r="CH16" s="105"/>
      <c r="CI16" s="105"/>
      <c r="CJ16" s="105"/>
      <c r="CK16" s="105"/>
      <c r="CL16" s="105"/>
      <c r="CM16" s="105"/>
      <c r="CN16" s="105"/>
      <c r="CO16" s="104"/>
      <c r="CP16" s="104"/>
      <c r="CQ16" s="104"/>
      <c r="CR16" s="105"/>
      <c r="CS16" s="105"/>
      <c r="CT16" s="105"/>
      <c r="CU16" s="105"/>
      <c r="CV16" s="105"/>
      <c r="CW16" s="105"/>
      <c r="CX16" s="58"/>
      <c r="CY16" s="104"/>
      <c r="CZ16" s="58"/>
      <c r="DA16" s="58"/>
      <c r="DB16" s="58"/>
      <c r="DC16" s="58"/>
      <c r="DD16" s="58"/>
      <c r="DE16" s="58"/>
      <c r="DF16" s="58"/>
      <c r="DG16" s="58"/>
      <c r="DH16" s="616"/>
      <c r="DI16" s="617"/>
      <c r="DJ16" s="638"/>
      <c r="DK16" s="1245"/>
      <c r="DL16" s="618"/>
      <c r="DM16" s="639"/>
      <c r="DN16" s="1248"/>
      <c r="DO16" s="619"/>
      <c r="DP16" s="620"/>
      <c r="DQ16" s="1294"/>
      <c r="DR16" s="621"/>
      <c r="DS16" s="1491"/>
      <c r="DT16" s="1486"/>
      <c r="DU16" s="1487"/>
      <c r="DV16" s="622"/>
      <c r="DW16" s="1250"/>
      <c r="DX16" s="623"/>
      <c r="DY16" s="624"/>
      <c r="DZ16" s="622"/>
      <c r="EA16" s="1250"/>
      <c r="EB16" s="623"/>
      <c r="EC16" s="624"/>
      <c r="ED16" s="622"/>
      <c r="EE16" s="1250"/>
      <c r="EF16" s="623"/>
      <c r="EG16" s="624"/>
      <c r="EH16" s="622"/>
      <c r="EI16" s="1250"/>
      <c r="EJ16" s="623"/>
      <c r="EK16" s="625"/>
      <c r="EL16" s="859"/>
      <c r="EM16" s="924"/>
      <c r="EN16" s="860"/>
      <c r="EO16" s="861"/>
      <c r="EP16" s="58"/>
      <c r="EQ16" s="58"/>
      <c r="ER16" s="58"/>
      <c r="ES16" s="58"/>
      <c r="ET16" s="58"/>
      <c r="EU16" s="58"/>
      <c r="EX16" s="870" t="str">
        <f t="shared" ca="1" si="35"/>
        <v/>
      </c>
      <c r="EY16" s="872" t="str">
        <f t="shared" si="6"/>
        <v/>
      </c>
      <c r="EZ16" s="872" t="str">
        <f t="shared" si="36"/>
        <v/>
      </c>
      <c r="FA16" s="891" t="str">
        <f t="shared" ref="FA16:FA45" ca="1" si="42">IF(FB16="","",IF(FC16=0,FA15,FB16=FF16))</f>
        <v/>
      </c>
      <c r="FB16" s="892" t="str">
        <f t="shared" ca="1" si="37"/>
        <v/>
      </c>
      <c r="FC16" s="892">
        <f t="shared" ca="1" si="7"/>
        <v>0</v>
      </c>
      <c r="FD16" s="892">
        <f t="shared" ca="1" si="8"/>
        <v>0</v>
      </c>
      <c r="FE16" s="892">
        <f t="shared" ca="1" si="9"/>
        <v>0</v>
      </c>
      <c r="FF16" s="892">
        <f t="shared" ca="1" si="38"/>
        <v>0</v>
      </c>
      <c r="FN16" s="703"/>
      <c r="FO16" s="703"/>
      <c r="FP16" s="703" t="b">
        <v>0</v>
      </c>
      <c r="FQ16" s="703" t="b">
        <f t="shared" si="39"/>
        <v>1</v>
      </c>
      <c r="FX16" s="103"/>
      <c r="FZ16" s="1"/>
      <c r="GA16" s="58"/>
      <c r="GB16" s="58"/>
      <c r="GC16" s="58"/>
      <c r="GD16" s="58"/>
      <c r="GE16" s="58"/>
      <c r="GF16" s="58"/>
      <c r="GG16" s="58"/>
      <c r="GH16" s="58"/>
      <c r="GI16" s="58"/>
      <c r="GJ16" s="58"/>
      <c r="GK16" s="1"/>
      <c r="GN16" s="56"/>
      <c r="GO16" s="57"/>
      <c r="GZ16" s="57"/>
      <c r="HA16" s="1933"/>
      <c r="HB16" s="1934"/>
      <c r="HC16" s="1934"/>
      <c r="HD16" s="1934"/>
      <c r="HE16" s="1934"/>
      <c r="HF16" s="1934"/>
      <c r="HG16" s="1934"/>
      <c r="HH16" s="1934"/>
      <c r="HI16" s="1934"/>
      <c r="HJ16" s="1934"/>
      <c r="HK16" s="1934"/>
      <c r="HL16" s="1934"/>
      <c r="HM16" s="1934"/>
      <c r="HN16" s="1934"/>
      <c r="HO16" s="1934"/>
      <c r="HP16" s="1934"/>
      <c r="HQ16" s="1934"/>
      <c r="HR16" s="1934"/>
      <c r="HS16" s="1934"/>
      <c r="HT16" s="1934"/>
      <c r="HU16" s="1934"/>
      <c r="HV16" s="1934"/>
      <c r="HW16" s="1934"/>
      <c r="HX16" s="1935"/>
      <c r="ID16" s="723"/>
      <c r="IE16" s="1159"/>
      <c r="IF16" s="1160"/>
      <c r="IG16" s="1161"/>
      <c r="IH16" s="1162"/>
      <c r="II16" s="1160"/>
      <c r="IJ16" s="1161"/>
      <c r="IK16" s="1162"/>
      <c r="IL16" s="1160"/>
      <c r="IM16" s="1160"/>
      <c r="IN16" s="1160"/>
      <c r="IO16" s="1160"/>
      <c r="IP16" s="1160"/>
      <c r="IQ16" s="1160"/>
      <c r="IR16" s="1160"/>
      <c r="IS16" s="1161"/>
      <c r="IT16" s="1162"/>
      <c r="IU16" s="1160"/>
      <c r="IV16" s="1160"/>
      <c r="IW16" s="1161"/>
      <c r="IX16" s="1162"/>
      <c r="IY16" s="1160"/>
      <c r="IZ16" s="1160"/>
      <c r="JA16" s="1161"/>
      <c r="JB16" s="1162"/>
      <c r="JC16" s="1160"/>
      <c r="JD16" s="1160"/>
      <c r="JE16" s="1161"/>
      <c r="JF16" s="1162"/>
      <c r="JG16" s="1160"/>
      <c r="JH16" s="1160"/>
      <c r="JI16" s="1160"/>
      <c r="JJ16" s="1163"/>
      <c r="JK16" s="1160"/>
      <c r="JL16" s="1103">
        <f t="shared" ref="JL16:JL45" ca="1" si="43">IF(ISBLANK(JK16),IF(JL15=0,0,IF(VALUE(OFFSET(JK16,JL15*-1,0))&lt;JL15+1,0,JL15+1)),1)</f>
        <v>0</v>
      </c>
      <c r="JM16" s="56"/>
    </row>
    <row r="17" spans="1:274" ht="12.6" customHeight="1" thickBot="1" x14ac:dyDescent="0.25">
      <c r="A17" s="1006"/>
      <c r="B17" s="1006"/>
      <c r="C17" s="1006"/>
      <c r="D17" s="1006"/>
      <c r="E17" s="1006"/>
      <c r="F17" s="1006"/>
      <c r="G17" s="1006"/>
      <c r="H17" s="1006"/>
      <c r="I17" s="1006"/>
      <c r="J17" s="1006"/>
      <c r="K17" s="1006"/>
      <c r="L17" s="1006"/>
      <c r="M17" s="1006"/>
      <c r="N17" s="1006"/>
      <c r="O17" s="1006"/>
      <c r="P17" s="1006"/>
      <c r="Q17" s="1006"/>
      <c r="R17" s="1006"/>
      <c r="S17" s="1006"/>
      <c r="T17" s="1006"/>
      <c r="U17" s="1006"/>
      <c r="V17" s="1006"/>
      <c r="W17" s="1006"/>
      <c r="X17" s="1006"/>
      <c r="Y17" s="1006"/>
      <c r="Z17" s="1006"/>
      <c r="AA17" s="1006"/>
      <c r="AB17" s="1132" t="str">
        <f t="shared" si="10"/>
        <v/>
      </c>
      <c r="AC17" s="1139" t="str">
        <f t="shared" si="11"/>
        <v/>
      </c>
      <c r="AD17" s="1134" t="str">
        <f ca="1">IF(ISERROR(FV57),"",IF(FV57="","",TRUNC(FV57/12)))</f>
        <v/>
      </c>
      <c r="AE17" s="1138" t="str">
        <f ca="1">IF(ISERROR(FV57),"",IF(FV57="","",FV57-(AD17*12)))</f>
        <v/>
      </c>
      <c r="AF17" s="1139" t="str">
        <f ca="1">IF(ISERROR(FO57),"",IF(FO57="","",FO57))</f>
        <v/>
      </c>
      <c r="AG17" s="1134" t="str">
        <f ca="1">IF(ISERROR(FX57),"",IF(FX57="","",TRUNC(FX57/12)))</f>
        <v/>
      </c>
      <c r="AH17" s="1138" t="str">
        <f ca="1">IF(ISERROR(FX57),"",IF(FX57="","",FX57-(AG17*12)))</f>
        <v/>
      </c>
      <c r="AI17" s="1134" t="str">
        <f ca="1">IF(ISERROR(FZ57),"",IF(FZ57="","",TRUNC(FZ57/12)))</f>
        <v/>
      </c>
      <c r="AJ17" s="1138" t="str">
        <f ca="1">IF(ISERROR(FZ57),"",IF(FZ57="","",FZ57-(AI17*12)))</f>
        <v/>
      </c>
      <c r="AK17" s="1619" t="str">
        <f t="shared" si="12"/>
        <v/>
      </c>
      <c r="AL17" s="1620" t="str">
        <f t="shared" si="13"/>
        <v/>
      </c>
      <c r="AM17" s="1621" t="str">
        <f t="shared" si="14"/>
        <v/>
      </c>
      <c r="AN17" s="1139" t="str">
        <f t="shared" si="15"/>
        <v/>
      </c>
      <c r="AO17" s="1622" t="str">
        <f t="shared" si="16"/>
        <v/>
      </c>
      <c r="AP17" s="1141" t="str">
        <f t="shared" si="4"/>
        <v/>
      </c>
      <c r="AQ17" s="1623" t="str">
        <f t="shared" si="5"/>
        <v/>
      </c>
      <c r="AR17" s="1137" t="str">
        <f t="shared" si="17"/>
        <v/>
      </c>
      <c r="AS17" s="1138" t="str">
        <f t="shared" si="18"/>
        <v/>
      </c>
      <c r="AT17" s="1624" t="str">
        <f t="shared" si="19"/>
        <v/>
      </c>
      <c r="AU17" s="1625" t="str">
        <f t="shared" si="20"/>
        <v/>
      </c>
      <c r="AV17" s="1143" t="str">
        <f t="shared" si="21"/>
        <v/>
      </c>
      <c r="AW17" s="1138" t="str">
        <f t="shared" si="22"/>
        <v/>
      </c>
      <c r="AX17" s="1624" t="str">
        <f t="shared" si="23"/>
        <v/>
      </c>
      <c r="AY17" s="1625" t="str">
        <f t="shared" si="24"/>
        <v/>
      </c>
      <c r="AZ17" s="1143" t="str">
        <f t="shared" si="25"/>
        <v/>
      </c>
      <c r="BA17" s="1138" t="str">
        <f t="shared" si="26"/>
        <v/>
      </c>
      <c r="BB17" s="1624" t="str">
        <f t="shared" si="27"/>
        <v/>
      </c>
      <c r="BC17" s="1625" t="str">
        <f t="shared" si="28"/>
        <v/>
      </c>
      <c r="BD17" s="1143" t="str">
        <f t="shared" si="29"/>
        <v/>
      </c>
      <c r="BE17" s="1138" t="str">
        <f t="shared" si="30"/>
        <v/>
      </c>
      <c r="BF17" s="1624" t="str">
        <f t="shared" si="31"/>
        <v/>
      </c>
      <c r="BG17" s="1625" t="str">
        <f t="shared" si="32"/>
        <v/>
      </c>
      <c r="BH17" s="180"/>
      <c r="BJ17" s="63"/>
      <c r="BK17" s="56"/>
      <c r="BW17" s="910">
        <f t="shared" ca="1" si="33"/>
        <v>0</v>
      </c>
      <c r="BX17" s="911" t="str">
        <f t="shared" ca="1" si="40"/>
        <v/>
      </c>
      <c r="BY17" s="911" t="b">
        <f t="shared" ca="1" si="34"/>
        <v>0</v>
      </c>
      <c r="BZ17" s="1217" t="e">
        <f t="shared" si="41"/>
        <v>#REF!</v>
      </c>
      <c r="CB17" s="104"/>
      <c r="CC17" s="113"/>
      <c r="CD17" s="113"/>
      <c r="CE17" s="113"/>
      <c r="CF17" s="113"/>
      <c r="CG17" s="58"/>
      <c r="CH17" s="58"/>
      <c r="CI17" s="58"/>
      <c r="CJ17" s="58"/>
      <c r="CK17" s="58"/>
      <c r="CL17" s="58"/>
      <c r="CM17" s="58"/>
      <c r="CN17" s="58"/>
      <c r="CO17" s="58"/>
      <c r="CP17" s="58"/>
      <c r="CQ17" s="58"/>
      <c r="CR17" s="58"/>
      <c r="CS17" s="58"/>
      <c r="CT17" s="58"/>
      <c r="CU17" s="105"/>
      <c r="CV17" s="105"/>
      <c r="CW17" s="105"/>
      <c r="CX17" s="58"/>
      <c r="CY17" s="104"/>
      <c r="CZ17" s="58"/>
      <c r="DA17" s="58"/>
      <c r="DB17" s="58"/>
      <c r="DC17" s="58"/>
      <c r="DD17" s="58"/>
      <c r="DE17" s="58"/>
      <c r="DF17" s="58"/>
      <c r="DG17" s="58"/>
      <c r="DH17" s="1199"/>
      <c r="DI17" s="617"/>
      <c r="DJ17" s="638"/>
      <c r="DK17" s="1245"/>
      <c r="DL17" s="618"/>
      <c r="DM17" s="639"/>
      <c r="DN17" s="1248"/>
      <c r="DO17" s="619"/>
      <c r="DP17" s="620"/>
      <c r="DQ17" s="1294"/>
      <c r="DR17" s="621"/>
      <c r="DS17" s="1491"/>
      <c r="DT17" s="1486"/>
      <c r="DU17" s="1487"/>
      <c r="DV17" s="622"/>
      <c r="DW17" s="1250"/>
      <c r="DX17" s="623"/>
      <c r="DY17" s="624"/>
      <c r="DZ17" s="622"/>
      <c r="EA17" s="1250"/>
      <c r="EB17" s="623"/>
      <c r="EC17" s="624"/>
      <c r="ED17" s="622"/>
      <c r="EE17" s="1250"/>
      <c r="EF17" s="623"/>
      <c r="EG17" s="624"/>
      <c r="EH17" s="622"/>
      <c r="EI17" s="1250"/>
      <c r="EJ17" s="623"/>
      <c r="EK17" s="625"/>
      <c r="EL17" s="859"/>
      <c r="EM17" s="924"/>
      <c r="EN17" s="860"/>
      <c r="EO17" s="861"/>
      <c r="EP17" s="58"/>
      <c r="EQ17" s="58"/>
      <c r="ER17" s="58"/>
      <c r="ES17" s="58"/>
      <c r="ET17" s="58"/>
      <c r="EU17" s="58"/>
      <c r="EX17" s="870" t="str">
        <f t="shared" ca="1" si="35"/>
        <v/>
      </c>
      <c r="EY17" s="872" t="str">
        <f t="shared" si="6"/>
        <v/>
      </c>
      <c r="EZ17" s="872" t="str">
        <f t="shared" si="36"/>
        <v/>
      </c>
      <c r="FA17" s="891" t="str">
        <f t="shared" ca="1" si="42"/>
        <v/>
      </c>
      <c r="FB17" s="892" t="str">
        <f t="shared" ca="1" si="37"/>
        <v/>
      </c>
      <c r="FC17" s="892">
        <f t="shared" ca="1" si="7"/>
        <v>0</v>
      </c>
      <c r="FD17" s="892">
        <f t="shared" ca="1" si="8"/>
        <v>0</v>
      </c>
      <c r="FE17" s="892">
        <f t="shared" ca="1" si="9"/>
        <v>0</v>
      </c>
      <c r="FF17" s="892">
        <f t="shared" ca="1" si="38"/>
        <v>0</v>
      </c>
      <c r="FN17" s="703"/>
      <c r="FO17" s="703"/>
      <c r="FP17" s="703" t="b">
        <v>0</v>
      </c>
      <c r="FQ17" s="703" t="b">
        <f t="shared" si="39"/>
        <v>1</v>
      </c>
      <c r="FX17" s="103"/>
      <c r="FZ17" s="1"/>
      <c r="GA17" s="58"/>
      <c r="GB17" s="58"/>
      <c r="GC17" s="58"/>
      <c r="GD17" s="58"/>
      <c r="GE17" s="58"/>
      <c r="GF17" s="58"/>
      <c r="GG17" s="58"/>
      <c r="GH17" s="58"/>
      <c r="GI17" s="58"/>
      <c r="GJ17" s="58"/>
      <c r="GK17" s="1"/>
      <c r="HA17" s="1950"/>
      <c r="HB17" s="1951"/>
      <c r="HC17" s="1951"/>
      <c r="HD17" s="1951"/>
      <c r="HE17" s="1951"/>
      <c r="HF17" s="1951"/>
      <c r="HG17" s="1951"/>
      <c r="HH17" s="1951"/>
      <c r="HI17" s="1951"/>
      <c r="HJ17" s="1951"/>
      <c r="HK17" s="1951"/>
      <c r="HL17" s="1951"/>
      <c r="HM17" s="1951"/>
      <c r="HN17" s="1951"/>
      <c r="HO17" s="1951"/>
      <c r="HP17" s="1951"/>
      <c r="HQ17" s="1951"/>
      <c r="HR17" s="1951"/>
      <c r="HS17" s="1951"/>
      <c r="HT17" s="1951"/>
      <c r="HU17" s="1951"/>
      <c r="HV17" s="1951"/>
      <c r="HW17" s="1951"/>
      <c r="HX17" s="1952"/>
      <c r="ID17" s="723"/>
      <c r="IE17" s="1159"/>
      <c r="IF17" s="1160"/>
      <c r="IG17" s="1161"/>
      <c r="IH17" s="1162"/>
      <c r="II17" s="1160"/>
      <c r="IJ17" s="1161"/>
      <c r="IK17" s="1162"/>
      <c r="IL17" s="1160"/>
      <c r="IM17" s="1160"/>
      <c r="IN17" s="1160"/>
      <c r="IO17" s="1160"/>
      <c r="IP17" s="1160"/>
      <c r="IQ17" s="1160"/>
      <c r="IR17" s="1160"/>
      <c r="IS17" s="1161"/>
      <c r="IT17" s="1162"/>
      <c r="IU17" s="1160"/>
      <c r="IV17" s="1160"/>
      <c r="IW17" s="1161"/>
      <c r="IX17" s="1162"/>
      <c r="IY17" s="1160"/>
      <c r="IZ17" s="1160"/>
      <c r="JA17" s="1161"/>
      <c r="JB17" s="1162"/>
      <c r="JC17" s="1160"/>
      <c r="JD17" s="1160"/>
      <c r="JE17" s="1161"/>
      <c r="JF17" s="1162"/>
      <c r="JG17" s="1160"/>
      <c r="JH17" s="1160"/>
      <c r="JI17" s="1160"/>
      <c r="JJ17" s="1163"/>
      <c r="JK17" s="1160"/>
      <c r="JL17" s="1103">
        <f t="shared" ca="1" si="43"/>
        <v>0</v>
      </c>
      <c r="JM17" s="56"/>
      <c r="JN17" s="48"/>
    </row>
    <row r="18" spans="1:274" ht="12.6" customHeight="1" thickTop="1" x14ac:dyDescent="0.2">
      <c r="A18" s="1006"/>
      <c r="B18" s="1006"/>
      <c r="C18" s="1006"/>
      <c r="D18" s="1006"/>
      <c r="E18" s="1006"/>
      <c r="F18" s="1006"/>
      <c r="G18" s="1006"/>
      <c r="H18" s="1006"/>
      <c r="I18" s="1006"/>
      <c r="J18" s="1006"/>
      <c r="K18" s="1006"/>
      <c r="L18" s="1006"/>
      <c r="M18" s="1006"/>
      <c r="N18" s="1006"/>
      <c r="O18" s="1006"/>
      <c r="P18" s="1006"/>
      <c r="Q18" s="1006"/>
      <c r="R18" s="1006"/>
      <c r="S18" s="1006"/>
      <c r="T18" s="1006"/>
      <c r="U18" s="1006"/>
      <c r="V18" s="1006"/>
      <c r="W18" s="1006"/>
      <c r="X18" s="1006"/>
      <c r="Y18" s="1006"/>
      <c r="Z18" s="1006"/>
      <c r="AA18" s="1006"/>
      <c r="AB18" s="1132" t="str">
        <f t="shared" si="10"/>
        <v/>
      </c>
      <c r="AC18" s="1139" t="str">
        <f t="shared" si="11"/>
        <v/>
      </c>
      <c r="AD18" s="1134" t="str">
        <f ca="1">IF(ISERROR(FV58),"",IF(FV58="","",TRUNC(FV58/12)))</f>
        <v/>
      </c>
      <c r="AE18" s="1138" t="str">
        <f ca="1">IF(ISERROR(FV58),"",IF(FV58="","",FV58-(AD18*12)))</f>
        <v/>
      </c>
      <c r="AF18" s="1139" t="str">
        <f ca="1">IF(ISERROR(FO58),"",IF(FO58="","",FO58))</f>
        <v/>
      </c>
      <c r="AG18" s="1134" t="str">
        <f ca="1">IF(ISERROR(FX58),"",IF(FX58="","",TRUNC(FX58/12)))</f>
        <v/>
      </c>
      <c r="AH18" s="1138" t="str">
        <f ca="1">IF(ISERROR(FX58),"",IF(FX58="","",FX58-(AG18*12)))</f>
        <v/>
      </c>
      <c r="AI18" s="1134" t="str">
        <f ca="1">IF(ISERROR(FZ58),"",IF(FZ58="","",TRUNC(FZ58/12)))</f>
        <v/>
      </c>
      <c r="AJ18" s="1138" t="str">
        <f ca="1">IF(ISERROR(FZ58),"",IF(FZ58="","",FZ58-(AI18*12)))</f>
        <v/>
      </c>
      <c r="AK18" s="1619" t="str">
        <f t="shared" si="12"/>
        <v/>
      </c>
      <c r="AL18" s="1620" t="str">
        <f t="shared" si="13"/>
        <v/>
      </c>
      <c r="AM18" s="1621" t="str">
        <f t="shared" si="14"/>
        <v/>
      </c>
      <c r="AN18" s="1139" t="str">
        <f t="shared" si="15"/>
        <v/>
      </c>
      <c r="AO18" s="1622" t="str">
        <f t="shared" si="16"/>
        <v/>
      </c>
      <c r="AP18" s="1141" t="str">
        <f t="shared" si="4"/>
        <v/>
      </c>
      <c r="AQ18" s="1623" t="str">
        <f t="shared" si="5"/>
        <v/>
      </c>
      <c r="AR18" s="1137" t="str">
        <f t="shared" si="17"/>
        <v/>
      </c>
      <c r="AS18" s="1138" t="str">
        <f t="shared" si="18"/>
        <v/>
      </c>
      <c r="AT18" s="1624" t="str">
        <f t="shared" si="19"/>
        <v/>
      </c>
      <c r="AU18" s="1625" t="str">
        <f t="shared" si="20"/>
        <v/>
      </c>
      <c r="AV18" s="1143" t="str">
        <f t="shared" si="21"/>
        <v/>
      </c>
      <c r="AW18" s="1138" t="str">
        <f t="shared" si="22"/>
        <v/>
      </c>
      <c r="AX18" s="1624" t="str">
        <f t="shared" si="23"/>
        <v/>
      </c>
      <c r="AY18" s="1625" t="str">
        <f t="shared" si="24"/>
        <v/>
      </c>
      <c r="AZ18" s="1143" t="str">
        <f t="shared" si="25"/>
        <v/>
      </c>
      <c r="BA18" s="1138" t="str">
        <f t="shared" si="26"/>
        <v/>
      </c>
      <c r="BB18" s="1624" t="str">
        <f t="shared" si="27"/>
        <v/>
      </c>
      <c r="BC18" s="1625" t="str">
        <f t="shared" si="28"/>
        <v/>
      </c>
      <c r="BD18" s="1143" t="str">
        <f t="shared" si="29"/>
        <v/>
      </c>
      <c r="BE18" s="1138" t="str">
        <f t="shared" si="30"/>
        <v/>
      </c>
      <c r="BF18" s="1624" t="str">
        <f t="shared" si="31"/>
        <v/>
      </c>
      <c r="BG18" s="1625" t="str">
        <f t="shared" si="32"/>
        <v/>
      </c>
      <c r="BH18" s="180"/>
      <c r="BJ18" s="63"/>
      <c r="BK18" s="56"/>
      <c r="BW18" s="910">
        <f ca="1">IF(AB18="",0,1)+IF(AC18="",0,1)+IF(AD18="",0,1)+IF(AE18="",0,1)+IF(AF18="",0,1)+IF(AG18="",0,1)+IF(AH18="",0,1)+IF(AI18="",0,1)+IF(AJ18="",0,1)+IF(AK18="",0,1)+IF(AL18="",0,1)+IF(AM18="",0,1)+IF(AN18="",0,1)+IF(AO18="",0,1)+IF(AP18="",0,1)+IF(AQ18="",0,1)+IF(AR18="",0,1)+IF(AS18="",0,1)+IF(AT18="",0,1)+IF(AU18="",0,1)+IF(AV18="",0,1)+IF(AW18="",0,1)+IF(AX18="",0,1)+IF(AY18="",0,1)+IF(AZ18="",0,1)+IF(BA18="",0,1)+IF(BB18="",0,1)+IF(BC18="",0,1)+IF(BD18="",0,1)+IF(BE18="",0,1)+IF(BF18="",0,1)+IF(BG18="",0,1)</f>
        <v>0</v>
      </c>
      <c r="BX18" s="911" t="str">
        <f t="shared" ca="1" si="40"/>
        <v/>
      </c>
      <c r="BY18" s="911" t="b">
        <f t="shared" ca="1" si="34"/>
        <v>0</v>
      </c>
      <c r="BZ18" s="1217" t="e">
        <f t="shared" si="41"/>
        <v>#REF!</v>
      </c>
      <c r="CB18" s="104"/>
      <c r="CC18" s="113"/>
      <c r="CD18" s="113"/>
      <c r="CE18" s="113"/>
      <c r="CF18" s="113"/>
      <c r="CG18" s="58"/>
      <c r="CH18" s="58"/>
      <c r="CI18" s="58"/>
      <c r="CJ18" s="58"/>
      <c r="CK18" s="58"/>
      <c r="CL18" s="58"/>
      <c r="CM18" s="58"/>
      <c r="CN18" s="58"/>
      <c r="CO18" s="58"/>
      <c r="CP18" s="58"/>
      <c r="CQ18" s="58"/>
      <c r="CR18" s="58"/>
      <c r="CS18" s="58"/>
      <c r="CT18" s="58"/>
      <c r="CU18" s="105"/>
      <c r="CV18" s="105"/>
      <c r="CW18" s="105"/>
      <c r="CX18" s="58"/>
      <c r="CY18" s="105"/>
      <c r="CZ18" s="58"/>
      <c r="DA18" s="58"/>
      <c r="DB18" s="58"/>
      <c r="DC18" s="58"/>
      <c r="DD18" s="58"/>
      <c r="DE18" s="58"/>
      <c r="DF18" s="58"/>
      <c r="DG18" s="58"/>
      <c r="DH18" s="616"/>
      <c r="DI18" s="617"/>
      <c r="DJ18" s="638"/>
      <c r="DK18" s="1245"/>
      <c r="DL18" s="618"/>
      <c r="DM18" s="639"/>
      <c r="DN18" s="1248"/>
      <c r="DO18" s="619"/>
      <c r="DP18" s="620"/>
      <c r="DQ18" s="1294"/>
      <c r="DR18" s="621"/>
      <c r="DS18" s="1491"/>
      <c r="DT18" s="1486"/>
      <c r="DU18" s="1487"/>
      <c r="DV18" s="622"/>
      <c r="DW18" s="1250"/>
      <c r="DX18" s="623"/>
      <c r="DY18" s="624"/>
      <c r="DZ18" s="622"/>
      <c r="EA18" s="1250"/>
      <c r="EB18" s="623"/>
      <c r="EC18" s="624"/>
      <c r="ED18" s="622"/>
      <c r="EE18" s="1250"/>
      <c r="EF18" s="623"/>
      <c r="EG18" s="624"/>
      <c r="EH18" s="622"/>
      <c r="EI18" s="1250"/>
      <c r="EJ18" s="623"/>
      <c r="EK18" s="625"/>
      <c r="EL18" s="859"/>
      <c r="EM18" s="924"/>
      <c r="EN18" s="860"/>
      <c r="EO18" s="861"/>
      <c r="EP18" s="58"/>
      <c r="EQ18" s="58"/>
      <c r="ER18" s="58"/>
      <c r="ES18" s="58"/>
      <c r="ET18" s="58"/>
      <c r="EU18" s="58"/>
      <c r="EX18" s="870" t="str">
        <f t="shared" ca="1" si="35"/>
        <v/>
      </c>
      <c r="EY18" s="872" t="str">
        <f t="shared" si="6"/>
        <v/>
      </c>
      <c r="EZ18" s="872" t="str">
        <f t="shared" si="36"/>
        <v/>
      </c>
      <c r="FA18" s="891" t="str">
        <f t="shared" ca="1" si="42"/>
        <v/>
      </c>
      <c r="FB18" s="892" t="str">
        <f t="shared" ca="1" si="37"/>
        <v/>
      </c>
      <c r="FC18" s="892">
        <f t="shared" ca="1" si="7"/>
        <v>0</v>
      </c>
      <c r="FD18" s="892">
        <f t="shared" ca="1" si="8"/>
        <v>0</v>
      </c>
      <c r="FE18" s="892">
        <f t="shared" ca="1" si="9"/>
        <v>0</v>
      </c>
      <c r="FF18" s="892">
        <f t="shared" ca="1" si="38"/>
        <v>0</v>
      </c>
      <c r="FN18" s="703"/>
      <c r="FO18" s="703"/>
      <c r="FP18" s="703" t="b">
        <v>0</v>
      </c>
      <c r="FQ18" s="703" t="b">
        <f t="shared" si="39"/>
        <v>1</v>
      </c>
      <c r="FX18" s="103"/>
      <c r="FZ18" s="1"/>
      <c r="GA18" s="58"/>
      <c r="GB18" s="58"/>
      <c r="GC18" s="58"/>
      <c r="GD18" s="58"/>
      <c r="GE18" s="58"/>
      <c r="GF18" s="58"/>
      <c r="GG18" s="58"/>
      <c r="GH18" s="58"/>
      <c r="GI18" s="58"/>
      <c r="GJ18" s="58"/>
      <c r="GK18" s="1"/>
      <c r="HA18" s="46"/>
      <c r="HB18" s="46"/>
      <c r="HC18" s="46"/>
      <c r="HD18" s="46"/>
      <c r="HE18" s="46"/>
      <c r="HF18" s="46"/>
      <c r="HG18" s="46"/>
      <c r="HH18" s="46"/>
      <c r="HI18" s="46"/>
      <c r="HM18" s="47"/>
      <c r="HN18" s="48"/>
      <c r="ID18" s="723"/>
      <c r="IE18" s="1159"/>
      <c r="IF18" s="1160"/>
      <c r="IG18" s="1161"/>
      <c r="IH18" s="1162"/>
      <c r="II18" s="1160"/>
      <c r="IJ18" s="1161"/>
      <c r="IK18" s="1162"/>
      <c r="IL18" s="1160"/>
      <c r="IM18" s="1160"/>
      <c r="IN18" s="1160"/>
      <c r="IO18" s="1160"/>
      <c r="IP18" s="1160"/>
      <c r="IQ18" s="1160"/>
      <c r="IR18" s="1160"/>
      <c r="IS18" s="1161"/>
      <c r="IT18" s="1162"/>
      <c r="IU18" s="1160"/>
      <c r="IV18" s="1160"/>
      <c r="IW18" s="1161"/>
      <c r="IX18" s="1162"/>
      <c r="IY18" s="1160"/>
      <c r="IZ18" s="1160"/>
      <c r="JA18" s="1161"/>
      <c r="JB18" s="1162"/>
      <c r="JC18" s="1160"/>
      <c r="JD18" s="1160"/>
      <c r="JE18" s="1161"/>
      <c r="JF18" s="1162"/>
      <c r="JG18" s="1160"/>
      <c r="JH18" s="1160"/>
      <c r="JI18" s="1160"/>
      <c r="JJ18" s="1163"/>
      <c r="JK18" s="1160"/>
      <c r="JL18" s="1103">
        <f t="shared" ca="1" si="43"/>
        <v>0</v>
      </c>
      <c r="JM18" s="56"/>
      <c r="JN18" s="48"/>
    </row>
    <row r="19" spans="1:274" ht="12.6" customHeight="1" x14ac:dyDescent="0.2">
      <c r="A19" s="1006"/>
      <c r="B19" s="1006"/>
      <c r="C19" s="1006"/>
      <c r="D19" s="1006"/>
      <c r="E19" s="1006"/>
      <c r="F19" s="1006"/>
      <c r="G19" s="1006"/>
      <c r="H19" s="1006"/>
      <c r="I19" s="1006"/>
      <c r="J19" s="1006"/>
      <c r="K19" s="1006"/>
      <c r="L19" s="1006"/>
      <c r="M19" s="1006"/>
      <c r="N19" s="1006"/>
      <c r="O19" s="1006"/>
      <c r="P19" s="1006"/>
      <c r="Q19" s="1006"/>
      <c r="R19" s="1006"/>
      <c r="S19" s="1006"/>
      <c r="T19" s="1006"/>
      <c r="U19" s="1006"/>
      <c r="V19" s="1006"/>
      <c r="W19" s="1006"/>
      <c r="X19" s="1006"/>
      <c r="Y19" s="1006"/>
      <c r="Z19" s="1006"/>
      <c r="AA19" s="1006"/>
      <c r="AB19" s="1132" t="str">
        <f t="shared" si="10"/>
        <v/>
      </c>
      <c r="AC19" s="1139" t="str">
        <f t="shared" si="11"/>
        <v/>
      </c>
      <c r="AD19" s="1134" t="str">
        <f t="shared" ref="AD19:AD45" ca="1" si="44">IF(ISERROR(FV59),"",IF(FV59="","",TRUNC(FV59/12)))</f>
        <v/>
      </c>
      <c r="AE19" s="1138" t="str">
        <f t="shared" ref="AE19:AE45" ca="1" si="45">IF(ISERROR(FV59),"",IF(FV59="","",FV59-(AD19*12)))</f>
        <v/>
      </c>
      <c r="AF19" s="1139" t="str">
        <f t="shared" ref="AF19:AF45" ca="1" si="46">IF(ISERROR(FO59),"",IF(FO59="","",FO59))</f>
        <v/>
      </c>
      <c r="AG19" s="1134" t="str">
        <f t="shared" ref="AG19:AG45" ca="1" si="47">IF(ISERROR(FX59),"",IF(FX59="","",TRUNC(FX59/12)))</f>
        <v/>
      </c>
      <c r="AH19" s="1138" t="str">
        <f t="shared" ref="AH19:AH45" ca="1" si="48">IF(ISERROR(FX59),"",IF(FX59="","",FX59-(AG19*12)))</f>
        <v/>
      </c>
      <c r="AI19" s="1134" t="str">
        <f t="shared" ref="AI19:AI45" ca="1" si="49">IF(ISERROR(FZ59),"",IF(FZ59="","",TRUNC(FZ59/12)))</f>
        <v/>
      </c>
      <c r="AJ19" s="1138" t="str">
        <f t="shared" ref="AJ19:AJ45" ca="1" si="50">IF(ISERROR(FZ59),"",IF(FZ59="","",FZ59-(AI19*12)))</f>
        <v/>
      </c>
      <c r="AK19" s="1619" t="str">
        <f t="shared" si="12"/>
        <v/>
      </c>
      <c r="AL19" s="1620" t="str">
        <f t="shared" si="13"/>
        <v/>
      </c>
      <c r="AM19" s="1621" t="str">
        <f t="shared" si="14"/>
        <v/>
      </c>
      <c r="AN19" s="1139" t="str">
        <f t="shared" si="15"/>
        <v/>
      </c>
      <c r="AO19" s="1622" t="str">
        <f t="shared" si="16"/>
        <v/>
      </c>
      <c r="AP19" s="1141" t="str">
        <f t="shared" si="4"/>
        <v/>
      </c>
      <c r="AQ19" s="1623" t="str">
        <f t="shared" si="5"/>
        <v/>
      </c>
      <c r="AR19" s="1137" t="str">
        <f t="shared" si="17"/>
        <v/>
      </c>
      <c r="AS19" s="1138" t="str">
        <f t="shared" si="18"/>
        <v/>
      </c>
      <c r="AT19" s="1624" t="str">
        <f t="shared" si="19"/>
        <v/>
      </c>
      <c r="AU19" s="1625" t="str">
        <f t="shared" si="20"/>
        <v/>
      </c>
      <c r="AV19" s="1143" t="str">
        <f t="shared" si="21"/>
        <v/>
      </c>
      <c r="AW19" s="1138" t="str">
        <f t="shared" si="22"/>
        <v/>
      </c>
      <c r="AX19" s="1624" t="str">
        <f t="shared" si="23"/>
        <v/>
      </c>
      <c r="AY19" s="1625" t="str">
        <f t="shared" si="24"/>
        <v/>
      </c>
      <c r="AZ19" s="1143" t="str">
        <f t="shared" si="25"/>
        <v/>
      </c>
      <c r="BA19" s="1138" t="str">
        <f t="shared" si="26"/>
        <v/>
      </c>
      <c r="BB19" s="1624" t="str">
        <f t="shared" si="27"/>
        <v/>
      </c>
      <c r="BC19" s="1625" t="str">
        <f t="shared" si="28"/>
        <v/>
      </c>
      <c r="BD19" s="1143" t="str">
        <f t="shared" si="29"/>
        <v/>
      </c>
      <c r="BE19" s="1138" t="str">
        <f t="shared" si="30"/>
        <v/>
      </c>
      <c r="BF19" s="1624" t="str">
        <f t="shared" si="31"/>
        <v/>
      </c>
      <c r="BG19" s="1625" t="str">
        <f t="shared" si="32"/>
        <v/>
      </c>
      <c r="BH19" s="180"/>
      <c r="BJ19" s="63"/>
      <c r="BK19" s="56"/>
      <c r="BW19" s="910">
        <f t="shared" ca="1" si="33"/>
        <v>0</v>
      </c>
      <c r="BX19" s="911" t="str">
        <f t="shared" ca="1" si="40"/>
        <v/>
      </c>
      <c r="BY19" s="911" t="b">
        <f t="shared" ca="1" si="34"/>
        <v>0</v>
      </c>
      <c r="BZ19" s="1217" t="e">
        <f t="shared" si="41"/>
        <v>#REF!</v>
      </c>
      <c r="CB19" s="105"/>
      <c r="CC19" s="112"/>
      <c r="CD19" s="112"/>
      <c r="CE19" s="112"/>
      <c r="CF19" s="112"/>
      <c r="CG19" s="112"/>
      <c r="CH19" s="112"/>
      <c r="CI19" s="114"/>
      <c r="CJ19" s="114"/>
      <c r="CK19" s="114"/>
      <c r="CL19" s="114"/>
      <c r="CM19" s="114"/>
      <c r="CN19" s="114"/>
      <c r="CO19" s="114"/>
      <c r="CP19" s="112"/>
      <c r="CQ19" s="112"/>
      <c r="CR19" s="115"/>
      <c r="CS19" s="112"/>
      <c r="CT19" s="112"/>
      <c r="CU19" s="112"/>
      <c r="CV19" s="112"/>
      <c r="CW19" s="112"/>
      <c r="CX19" s="58"/>
      <c r="CY19" s="105"/>
      <c r="CZ19" s="58"/>
      <c r="DA19" s="58"/>
      <c r="DB19" s="58"/>
      <c r="DC19" s="58"/>
      <c r="DD19" s="58"/>
      <c r="DE19" s="58"/>
      <c r="DF19" s="58"/>
      <c r="DG19" s="58"/>
      <c r="DH19" s="616"/>
      <c r="DI19" s="617"/>
      <c r="DJ19" s="638"/>
      <c r="DK19" s="1245"/>
      <c r="DL19" s="618"/>
      <c r="DM19" s="639"/>
      <c r="DN19" s="1248"/>
      <c r="DO19" s="619"/>
      <c r="DP19" s="620"/>
      <c r="DQ19" s="1294"/>
      <c r="DR19" s="621"/>
      <c r="DS19" s="1491"/>
      <c r="DT19" s="1486"/>
      <c r="DU19" s="1487"/>
      <c r="DV19" s="622"/>
      <c r="DW19" s="1250"/>
      <c r="DX19" s="623"/>
      <c r="DY19" s="624"/>
      <c r="DZ19" s="622"/>
      <c r="EA19" s="1250"/>
      <c r="EB19" s="623"/>
      <c r="EC19" s="624"/>
      <c r="ED19" s="622"/>
      <c r="EE19" s="1250"/>
      <c r="EF19" s="623"/>
      <c r="EG19" s="624"/>
      <c r="EH19" s="622"/>
      <c r="EI19" s="1250"/>
      <c r="EJ19" s="623"/>
      <c r="EK19" s="625"/>
      <c r="EL19" s="859"/>
      <c r="EM19" s="924"/>
      <c r="EN19" s="860"/>
      <c r="EO19" s="861"/>
      <c r="EP19" s="58"/>
      <c r="EQ19" s="58"/>
      <c r="ER19" s="58"/>
      <c r="ES19" s="58"/>
      <c r="ET19" s="58"/>
      <c r="EU19" s="58"/>
      <c r="EX19" s="870" t="str">
        <f t="shared" ca="1" si="35"/>
        <v/>
      </c>
      <c r="EY19" s="872" t="str">
        <f t="shared" si="6"/>
        <v/>
      </c>
      <c r="EZ19" s="872" t="str">
        <f t="shared" si="36"/>
        <v/>
      </c>
      <c r="FA19" s="891" t="str">
        <f t="shared" ca="1" si="42"/>
        <v/>
      </c>
      <c r="FB19" s="892" t="str">
        <f t="shared" ca="1" si="37"/>
        <v/>
      </c>
      <c r="FC19" s="892">
        <f t="shared" ca="1" si="7"/>
        <v>0</v>
      </c>
      <c r="FD19" s="892">
        <f t="shared" ca="1" si="8"/>
        <v>0</v>
      </c>
      <c r="FE19" s="892">
        <f t="shared" ca="1" si="9"/>
        <v>0</v>
      </c>
      <c r="FF19" s="892">
        <f t="shared" ca="1" si="38"/>
        <v>0</v>
      </c>
      <c r="FN19" s="703"/>
      <c r="FO19" s="703"/>
      <c r="FP19" s="703" t="b">
        <v>0</v>
      </c>
      <c r="FQ19" s="703" t="b">
        <f t="shared" si="39"/>
        <v>1</v>
      </c>
      <c r="FX19" s="103"/>
      <c r="FZ19" s="1"/>
      <c r="GA19" s="58"/>
      <c r="GB19" s="58"/>
      <c r="GC19" s="58"/>
      <c r="GD19" s="58"/>
      <c r="GE19" s="58"/>
      <c r="GF19" s="58"/>
      <c r="GG19" s="58"/>
      <c r="GH19" s="58"/>
      <c r="GI19" s="58"/>
      <c r="GJ19" s="58"/>
      <c r="GK19" s="1"/>
      <c r="GL19" s="56"/>
      <c r="GM19" s="56"/>
      <c r="GZ19" s="1097" t="s">
        <v>730</v>
      </c>
      <c r="HA19" s="1098">
        <v>80</v>
      </c>
      <c r="HB19" s="1098">
        <f t="shared" ref="HB19:ID19" si="51">HA19+1</f>
        <v>81</v>
      </c>
      <c r="HC19" s="1098">
        <f t="shared" si="51"/>
        <v>82</v>
      </c>
      <c r="HD19" s="1098">
        <f t="shared" si="51"/>
        <v>83</v>
      </c>
      <c r="HE19" s="1098">
        <f t="shared" si="51"/>
        <v>84</v>
      </c>
      <c r="HF19" s="1098">
        <f t="shared" si="51"/>
        <v>85</v>
      </c>
      <c r="HG19" s="1098">
        <f t="shared" si="51"/>
        <v>86</v>
      </c>
      <c r="HH19" s="1098">
        <f t="shared" si="51"/>
        <v>87</v>
      </c>
      <c r="HI19" s="1098">
        <f t="shared" si="51"/>
        <v>88</v>
      </c>
      <c r="HJ19" s="1098">
        <f t="shared" si="51"/>
        <v>89</v>
      </c>
      <c r="HK19" s="1098">
        <f t="shared" si="51"/>
        <v>90</v>
      </c>
      <c r="HL19" s="1098">
        <f t="shared" si="51"/>
        <v>91</v>
      </c>
      <c r="HM19" s="1098">
        <f t="shared" si="51"/>
        <v>92</v>
      </c>
      <c r="HN19" s="1098">
        <f t="shared" si="51"/>
        <v>93</v>
      </c>
      <c r="HO19" s="1098">
        <f t="shared" si="51"/>
        <v>94</v>
      </c>
      <c r="HP19" s="1098">
        <f t="shared" si="51"/>
        <v>95</v>
      </c>
      <c r="HQ19" s="1098">
        <f t="shared" si="51"/>
        <v>96</v>
      </c>
      <c r="HR19" s="1098">
        <f t="shared" si="51"/>
        <v>97</v>
      </c>
      <c r="HS19" s="1098">
        <f t="shared" si="51"/>
        <v>98</v>
      </c>
      <c r="HT19" s="1098">
        <f t="shared" si="51"/>
        <v>99</v>
      </c>
      <c r="HU19" s="1098">
        <f t="shared" si="51"/>
        <v>100</v>
      </c>
      <c r="HV19" s="1098">
        <f t="shared" si="51"/>
        <v>101</v>
      </c>
      <c r="HW19" s="1098">
        <f t="shared" si="51"/>
        <v>102</v>
      </c>
      <c r="HX19" s="1098">
        <f t="shared" si="51"/>
        <v>103</v>
      </c>
      <c r="HY19" s="1098">
        <f t="shared" si="51"/>
        <v>104</v>
      </c>
      <c r="HZ19" s="1098">
        <f t="shared" si="51"/>
        <v>105</v>
      </c>
      <c r="IA19" s="1098">
        <f t="shared" si="51"/>
        <v>106</v>
      </c>
      <c r="IB19" s="1098">
        <f t="shared" si="51"/>
        <v>107</v>
      </c>
      <c r="IC19" s="1098">
        <f t="shared" si="51"/>
        <v>108</v>
      </c>
      <c r="ID19" s="1098">
        <f t="shared" si="51"/>
        <v>109</v>
      </c>
      <c r="IE19" s="1159"/>
      <c r="IF19" s="1160"/>
      <c r="IG19" s="1161"/>
      <c r="IH19" s="1162"/>
      <c r="II19" s="1160"/>
      <c r="IJ19" s="1161"/>
      <c r="IK19" s="1162"/>
      <c r="IL19" s="1160"/>
      <c r="IM19" s="1160"/>
      <c r="IN19" s="1160"/>
      <c r="IO19" s="1160"/>
      <c r="IP19" s="1160"/>
      <c r="IQ19" s="1160"/>
      <c r="IR19" s="1160"/>
      <c r="IS19" s="1161"/>
      <c r="IT19" s="1162"/>
      <c r="IU19" s="1160"/>
      <c r="IV19" s="1160"/>
      <c r="IW19" s="1161"/>
      <c r="IX19" s="1162"/>
      <c r="IY19" s="1160"/>
      <c r="IZ19" s="1160"/>
      <c r="JA19" s="1161"/>
      <c r="JB19" s="1162"/>
      <c r="JC19" s="1160"/>
      <c r="JD19" s="1160"/>
      <c r="JE19" s="1161"/>
      <c r="JF19" s="1162"/>
      <c r="JG19" s="1160"/>
      <c r="JH19" s="1160"/>
      <c r="JI19" s="1160"/>
      <c r="JJ19" s="1163"/>
      <c r="JK19" s="1160"/>
      <c r="JL19" s="1103">
        <f t="shared" ca="1" si="43"/>
        <v>0</v>
      </c>
      <c r="JM19" s="56"/>
    </row>
    <row r="20" spans="1:274" ht="12.6" customHeight="1" x14ac:dyDescent="0.2">
      <c r="A20" s="1006"/>
      <c r="B20" s="1006"/>
      <c r="C20" s="1006"/>
      <c r="D20" s="1006"/>
      <c r="E20" s="1006"/>
      <c r="F20" s="1006"/>
      <c r="G20" s="1006"/>
      <c r="H20" s="1006"/>
      <c r="I20" s="1006"/>
      <c r="J20" s="1006"/>
      <c r="K20" s="1006"/>
      <c r="L20" s="1006"/>
      <c r="M20" s="1006"/>
      <c r="N20" s="1006"/>
      <c r="O20" s="1006"/>
      <c r="P20" s="1006"/>
      <c r="Q20" s="1006"/>
      <c r="R20" s="1006"/>
      <c r="S20" s="1006"/>
      <c r="T20" s="1006"/>
      <c r="U20" s="1006"/>
      <c r="V20" s="1006"/>
      <c r="W20" s="1006"/>
      <c r="X20" s="1006"/>
      <c r="Y20" s="1006"/>
      <c r="Z20" s="1006"/>
      <c r="AA20" s="1006"/>
      <c r="AB20" s="1132" t="str">
        <f t="shared" si="10"/>
        <v/>
      </c>
      <c r="AC20" s="1139" t="str">
        <f t="shared" si="11"/>
        <v/>
      </c>
      <c r="AD20" s="1134" t="str">
        <f t="shared" ca="1" si="44"/>
        <v/>
      </c>
      <c r="AE20" s="1138" t="str">
        <f t="shared" ca="1" si="45"/>
        <v/>
      </c>
      <c r="AF20" s="1139" t="str">
        <f t="shared" ca="1" si="46"/>
        <v/>
      </c>
      <c r="AG20" s="1134" t="str">
        <f t="shared" ca="1" si="47"/>
        <v/>
      </c>
      <c r="AH20" s="1138" t="str">
        <f t="shared" ca="1" si="48"/>
        <v/>
      </c>
      <c r="AI20" s="1134" t="str">
        <f t="shared" ca="1" si="49"/>
        <v/>
      </c>
      <c r="AJ20" s="1138" t="str">
        <f t="shared" ca="1" si="50"/>
        <v/>
      </c>
      <c r="AK20" s="1619" t="str">
        <f t="shared" si="12"/>
        <v/>
      </c>
      <c r="AL20" s="1620" t="str">
        <f t="shared" si="13"/>
        <v/>
      </c>
      <c r="AM20" s="1621" t="str">
        <f t="shared" si="14"/>
        <v/>
      </c>
      <c r="AN20" s="1139" t="str">
        <f t="shared" si="15"/>
        <v/>
      </c>
      <c r="AO20" s="1622" t="str">
        <f t="shared" si="16"/>
        <v/>
      </c>
      <c r="AP20" s="1141" t="str">
        <f t="shared" si="4"/>
        <v/>
      </c>
      <c r="AQ20" s="1623" t="str">
        <f t="shared" si="5"/>
        <v/>
      </c>
      <c r="AR20" s="1137" t="str">
        <f t="shared" si="17"/>
        <v/>
      </c>
      <c r="AS20" s="1138" t="str">
        <f t="shared" si="18"/>
        <v/>
      </c>
      <c r="AT20" s="1624" t="str">
        <f t="shared" si="19"/>
        <v/>
      </c>
      <c r="AU20" s="1625" t="str">
        <f t="shared" si="20"/>
        <v/>
      </c>
      <c r="AV20" s="1143" t="str">
        <f t="shared" si="21"/>
        <v/>
      </c>
      <c r="AW20" s="1138" t="str">
        <f t="shared" si="22"/>
        <v/>
      </c>
      <c r="AX20" s="1624" t="str">
        <f t="shared" si="23"/>
        <v/>
      </c>
      <c r="AY20" s="1625" t="str">
        <f t="shared" si="24"/>
        <v/>
      </c>
      <c r="AZ20" s="1143" t="str">
        <f t="shared" si="25"/>
        <v/>
      </c>
      <c r="BA20" s="1138" t="str">
        <f t="shared" si="26"/>
        <v/>
      </c>
      <c r="BB20" s="1624" t="str">
        <f t="shared" si="27"/>
        <v/>
      </c>
      <c r="BC20" s="1625" t="str">
        <f t="shared" si="28"/>
        <v/>
      </c>
      <c r="BD20" s="1143" t="str">
        <f t="shared" si="29"/>
        <v/>
      </c>
      <c r="BE20" s="1138" t="str">
        <f t="shared" si="30"/>
        <v/>
      </c>
      <c r="BF20" s="1624" t="str">
        <f t="shared" si="31"/>
        <v/>
      </c>
      <c r="BG20" s="1625" t="str">
        <f t="shared" si="32"/>
        <v/>
      </c>
      <c r="BH20" s="180"/>
      <c r="BJ20" s="63"/>
      <c r="BK20" s="56"/>
      <c r="BW20" s="910">
        <f t="shared" ca="1" si="33"/>
        <v>0</v>
      </c>
      <c r="BX20" s="911" t="str">
        <f t="shared" ca="1" si="40"/>
        <v/>
      </c>
      <c r="BY20" s="911" t="b">
        <f t="shared" ca="1" si="34"/>
        <v>0</v>
      </c>
      <c r="BZ20" s="1217" t="e">
        <f t="shared" si="41"/>
        <v>#REF!</v>
      </c>
      <c r="CB20" s="105"/>
      <c r="CC20" s="112"/>
      <c r="CD20" s="112"/>
      <c r="CE20" s="112"/>
      <c r="CF20" s="112"/>
      <c r="CG20" s="112"/>
      <c r="CH20" s="112"/>
      <c r="CI20" s="114"/>
      <c r="CJ20" s="114"/>
      <c r="CK20" s="114"/>
      <c r="CL20" s="114"/>
      <c r="CM20" s="114"/>
      <c r="CN20" s="114"/>
      <c r="CO20" s="114"/>
      <c r="CP20" s="112"/>
      <c r="CQ20" s="112"/>
      <c r="CR20" s="115"/>
      <c r="CS20" s="112"/>
      <c r="CT20" s="112"/>
      <c r="CU20" s="112"/>
      <c r="CV20" s="112"/>
      <c r="CW20" s="112"/>
      <c r="CX20" s="58"/>
      <c r="CY20" s="105"/>
      <c r="CZ20" s="319" t="s">
        <v>348</v>
      </c>
      <c r="DA20" s="2131"/>
      <c r="DB20" s="2132"/>
      <c r="DC20" s="58"/>
      <c r="DD20" s="58"/>
      <c r="DE20" s="58"/>
      <c r="DF20" s="58"/>
      <c r="DG20" s="58"/>
      <c r="DH20" s="616"/>
      <c r="DI20" s="617"/>
      <c r="DJ20" s="638"/>
      <c r="DK20" s="1245"/>
      <c r="DL20" s="618"/>
      <c r="DM20" s="639"/>
      <c r="DN20" s="1248"/>
      <c r="DO20" s="619"/>
      <c r="DP20" s="620"/>
      <c r="DQ20" s="1294"/>
      <c r="DR20" s="621"/>
      <c r="DS20" s="1491"/>
      <c r="DT20" s="1486"/>
      <c r="DU20" s="1487"/>
      <c r="DV20" s="622"/>
      <c r="DW20" s="1250"/>
      <c r="DX20" s="623"/>
      <c r="DY20" s="624"/>
      <c r="DZ20" s="622"/>
      <c r="EA20" s="1250"/>
      <c r="EB20" s="623"/>
      <c r="EC20" s="624"/>
      <c r="ED20" s="622"/>
      <c r="EE20" s="1250"/>
      <c r="EF20" s="623"/>
      <c r="EG20" s="624"/>
      <c r="EH20" s="622"/>
      <c r="EI20" s="1250"/>
      <c r="EJ20" s="623"/>
      <c r="EK20" s="625"/>
      <c r="EL20" s="859"/>
      <c r="EM20" s="924"/>
      <c r="EN20" s="860"/>
      <c r="EO20" s="861"/>
      <c r="EP20" s="58"/>
      <c r="EQ20" s="58"/>
      <c r="ER20" s="58"/>
      <c r="ES20" s="58"/>
      <c r="ET20" s="58"/>
      <c r="EU20" s="58"/>
      <c r="EX20" s="870" t="str">
        <f t="shared" ca="1" si="35"/>
        <v/>
      </c>
      <c r="EY20" s="872" t="str">
        <f t="shared" si="6"/>
        <v/>
      </c>
      <c r="EZ20" s="872" t="str">
        <f t="shared" si="36"/>
        <v/>
      </c>
      <c r="FA20" s="891" t="str">
        <f t="shared" ca="1" si="42"/>
        <v/>
      </c>
      <c r="FB20" s="892" t="str">
        <f t="shared" ca="1" si="37"/>
        <v/>
      </c>
      <c r="FC20" s="892">
        <f t="shared" ca="1" si="7"/>
        <v>0</v>
      </c>
      <c r="FD20" s="892">
        <f t="shared" ca="1" si="8"/>
        <v>0</v>
      </c>
      <c r="FE20" s="892">
        <f t="shared" ca="1" si="9"/>
        <v>0</v>
      </c>
      <c r="FF20" s="892">
        <f t="shared" ca="1" si="38"/>
        <v>0</v>
      </c>
      <c r="FN20" s="703"/>
      <c r="FO20" s="703"/>
      <c r="FP20" s="703" t="b">
        <v>0</v>
      </c>
      <c r="FQ20" s="703" t="b">
        <f t="shared" si="39"/>
        <v>1</v>
      </c>
      <c r="FX20" s="103"/>
      <c r="FZ20" s="1"/>
      <c r="GA20" s="58"/>
      <c r="GB20" s="58"/>
      <c r="GC20" s="58"/>
      <c r="GD20" s="58"/>
      <c r="GE20" s="58"/>
      <c r="GF20" s="58"/>
      <c r="GG20" s="58"/>
      <c r="GH20" s="58"/>
      <c r="GI20" s="58"/>
      <c r="GJ20" s="58"/>
      <c r="GK20" s="1"/>
      <c r="GL20" s="56"/>
      <c r="GM20" s="56"/>
      <c r="GZ20" s="1097" t="s">
        <v>706</v>
      </c>
      <c r="HA20" s="1098">
        <v>1</v>
      </c>
      <c r="HB20" s="1098">
        <f t="shared" ref="HB20:HZ20" si="52">HA20+1</f>
        <v>2</v>
      </c>
      <c r="HC20" s="1098">
        <f t="shared" si="52"/>
        <v>3</v>
      </c>
      <c r="HD20" s="1098">
        <f t="shared" si="52"/>
        <v>4</v>
      </c>
      <c r="HE20" s="1098">
        <f t="shared" si="52"/>
        <v>5</v>
      </c>
      <c r="HF20" s="1098">
        <f t="shared" si="52"/>
        <v>6</v>
      </c>
      <c r="HG20" s="1098">
        <f t="shared" si="52"/>
        <v>7</v>
      </c>
      <c r="HH20" s="1098">
        <f t="shared" si="52"/>
        <v>8</v>
      </c>
      <c r="HI20" s="1098">
        <f t="shared" si="52"/>
        <v>9</v>
      </c>
      <c r="HJ20" s="1098">
        <f t="shared" si="52"/>
        <v>10</v>
      </c>
      <c r="HK20" s="1098">
        <f t="shared" si="52"/>
        <v>11</v>
      </c>
      <c r="HL20" s="1098">
        <f t="shared" si="52"/>
        <v>12</v>
      </c>
      <c r="HM20" s="1098">
        <f t="shared" si="52"/>
        <v>13</v>
      </c>
      <c r="HN20" s="1098">
        <f t="shared" si="52"/>
        <v>14</v>
      </c>
      <c r="HO20" s="1098">
        <f t="shared" si="52"/>
        <v>15</v>
      </c>
      <c r="HP20" s="1098">
        <f t="shared" si="52"/>
        <v>16</v>
      </c>
      <c r="HQ20" s="1098">
        <f t="shared" si="52"/>
        <v>17</v>
      </c>
      <c r="HR20" s="1098">
        <f t="shared" si="52"/>
        <v>18</v>
      </c>
      <c r="HS20" s="1098">
        <f t="shared" si="52"/>
        <v>19</v>
      </c>
      <c r="HT20" s="1098">
        <f t="shared" si="52"/>
        <v>20</v>
      </c>
      <c r="HU20" s="1098">
        <f t="shared" si="52"/>
        <v>21</v>
      </c>
      <c r="HV20" s="1098">
        <f t="shared" si="52"/>
        <v>22</v>
      </c>
      <c r="HW20" s="1098">
        <f t="shared" si="52"/>
        <v>23</v>
      </c>
      <c r="HX20" s="1098">
        <f t="shared" si="52"/>
        <v>24</v>
      </c>
      <c r="HY20" s="1098">
        <f t="shared" si="52"/>
        <v>25</v>
      </c>
      <c r="HZ20" s="1098">
        <f t="shared" si="52"/>
        <v>26</v>
      </c>
      <c r="IA20" s="1099" t="s">
        <v>740</v>
      </c>
      <c r="IB20" s="1098">
        <v>27</v>
      </c>
      <c r="IC20" s="1098"/>
      <c r="ID20" s="1098"/>
      <c r="IE20" s="1159"/>
      <c r="IF20" s="1160"/>
      <c r="IG20" s="1161"/>
      <c r="IH20" s="1162"/>
      <c r="II20" s="1160"/>
      <c r="IJ20" s="1161"/>
      <c r="IK20" s="1162"/>
      <c r="IL20" s="1160"/>
      <c r="IM20" s="1160"/>
      <c r="IN20" s="1160"/>
      <c r="IO20" s="1160"/>
      <c r="IP20" s="1160"/>
      <c r="IQ20" s="1160"/>
      <c r="IR20" s="1160"/>
      <c r="IS20" s="1161"/>
      <c r="IT20" s="1162"/>
      <c r="IU20" s="1160"/>
      <c r="IV20" s="1160"/>
      <c r="IW20" s="1161"/>
      <c r="IX20" s="1162"/>
      <c r="IY20" s="1160"/>
      <c r="IZ20" s="1160"/>
      <c r="JA20" s="1161"/>
      <c r="JB20" s="1162"/>
      <c r="JC20" s="1160"/>
      <c r="JD20" s="1160"/>
      <c r="JE20" s="1161"/>
      <c r="JF20" s="1162"/>
      <c r="JG20" s="1160"/>
      <c r="JH20" s="1160"/>
      <c r="JI20" s="1160"/>
      <c r="JJ20" s="1163"/>
      <c r="JK20" s="1160"/>
      <c r="JL20" s="1103">
        <f t="shared" ca="1" si="43"/>
        <v>0</v>
      </c>
      <c r="JM20" s="56"/>
    </row>
    <row r="21" spans="1:274" ht="12.6" customHeight="1" thickBot="1" x14ac:dyDescent="0.25">
      <c r="A21" s="1006"/>
      <c r="B21" s="1006"/>
      <c r="C21" s="1006"/>
      <c r="D21" s="1006"/>
      <c r="E21" s="1006"/>
      <c r="F21" s="1006"/>
      <c r="G21" s="1006"/>
      <c r="H21" s="1006"/>
      <c r="I21" s="1006"/>
      <c r="J21" s="1006"/>
      <c r="K21" s="1006"/>
      <c r="L21" s="1006"/>
      <c r="M21" s="1006"/>
      <c r="N21" s="1006"/>
      <c r="O21" s="1006"/>
      <c r="P21" s="1006"/>
      <c r="Q21" s="1006"/>
      <c r="R21" s="1006"/>
      <c r="S21" s="1006"/>
      <c r="T21" s="1006"/>
      <c r="U21" s="1006"/>
      <c r="V21" s="1006"/>
      <c r="W21" s="1006"/>
      <c r="X21" s="1006"/>
      <c r="Y21" s="1006"/>
      <c r="Z21" s="1006"/>
      <c r="AA21" s="1006"/>
      <c r="AB21" s="1132" t="str">
        <f t="shared" si="10"/>
        <v/>
      </c>
      <c r="AC21" s="1139" t="str">
        <f t="shared" ref="AC21:AC45" si="53">IF(ISBLANK(DI21),"",DI21)</f>
        <v/>
      </c>
      <c r="AD21" s="1134" t="str">
        <f t="shared" ca="1" si="44"/>
        <v/>
      </c>
      <c r="AE21" s="1138" t="str">
        <f t="shared" ca="1" si="45"/>
        <v/>
      </c>
      <c r="AF21" s="1139" t="str">
        <f t="shared" ca="1" si="46"/>
        <v/>
      </c>
      <c r="AG21" s="1134" t="str">
        <f t="shared" ca="1" si="47"/>
        <v/>
      </c>
      <c r="AH21" s="1138" t="str">
        <f t="shared" ca="1" si="48"/>
        <v/>
      </c>
      <c r="AI21" s="1134" t="str">
        <f t="shared" ca="1" si="49"/>
        <v/>
      </c>
      <c r="AJ21" s="1138" t="str">
        <f t="shared" ca="1" si="50"/>
        <v/>
      </c>
      <c r="AK21" s="1619" t="str">
        <f t="shared" ref="AK21:AK45" si="54">IF(ISBLANK(DO21),"",DO21)</f>
        <v/>
      </c>
      <c r="AL21" s="1620" t="str">
        <f t="shared" ref="AL21:AL45" si="55">IF(ISBLANK(DP21),"",DP21)</f>
        <v/>
      </c>
      <c r="AM21" s="1621" t="str">
        <f t="shared" ref="AM21:AM45" si="56">IF(ISBLANK(DQ21),"",DQ21)</f>
        <v/>
      </c>
      <c r="AN21" s="1139" t="str">
        <f t="shared" ref="AN21:AN45" si="57">IF(ISBLANK(DR21),"",DR21)</f>
        <v/>
      </c>
      <c r="AO21" s="1622" t="str">
        <f t="shared" ref="AO21:AO45" si="58">IF(ISBLANK(DS21),"",DS21)</f>
        <v/>
      </c>
      <c r="AP21" s="1141" t="str">
        <f t="shared" si="4"/>
        <v/>
      </c>
      <c r="AQ21" s="1623" t="str">
        <f t="shared" si="5"/>
        <v/>
      </c>
      <c r="AR21" s="1137" t="str">
        <f t="shared" si="17"/>
        <v/>
      </c>
      <c r="AS21" s="1138" t="str">
        <f t="shared" si="18"/>
        <v/>
      </c>
      <c r="AT21" s="1624" t="str">
        <f t="shared" si="19"/>
        <v/>
      </c>
      <c r="AU21" s="1625" t="str">
        <f t="shared" si="20"/>
        <v/>
      </c>
      <c r="AV21" s="1143" t="str">
        <f t="shared" si="21"/>
        <v/>
      </c>
      <c r="AW21" s="1138" t="str">
        <f t="shared" si="22"/>
        <v/>
      </c>
      <c r="AX21" s="1624" t="str">
        <f t="shared" si="23"/>
        <v/>
      </c>
      <c r="AY21" s="1625" t="str">
        <f t="shared" si="24"/>
        <v/>
      </c>
      <c r="AZ21" s="1143" t="str">
        <f t="shared" si="25"/>
        <v/>
      </c>
      <c r="BA21" s="1138" t="str">
        <f t="shared" si="26"/>
        <v/>
      </c>
      <c r="BB21" s="1624" t="str">
        <f t="shared" si="27"/>
        <v/>
      </c>
      <c r="BC21" s="1625" t="str">
        <f t="shared" si="28"/>
        <v/>
      </c>
      <c r="BD21" s="1143" t="str">
        <f t="shared" si="29"/>
        <v/>
      </c>
      <c r="BE21" s="1138" t="str">
        <f t="shared" si="30"/>
        <v/>
      </c>
      <c r="BF21" s="1624" t="str">
        <f t="shared" ref="BF21:BF45" si="59">IF(ISBLANK(EJ21),"",EJ21)</f>
        <v/>
      </c>
      <c r="BG21" s="1625" t="str">
        <f t="shared" ref="BG21:BG45" si="60">IF(ISBLANK(EK21),"",EK21)</f>
        <v/>
      </c>
      <c r="BH21" s="180"/>
      <c r="BJ21" s="63"/>
      <c r="BK21" s="56"/>
      <c r="BW21" s="910">
        <f t="shared" ca="1" si="33"/>
        <v>0</v>
      </c>
      <c r="BX21" s="911" t="str">
        <f t="shared" ca="1" si="40"/>
        <v/>
      </c>
      <c r="BY21" s="911" t="b">
        <f t="shared" ca="1" si="34"/>
        <v>0</v>
      </c>
      <c r="BZ21" s="1217" t="e">
        <f t="shared" si="41"/>
        <v>#REF!</v>
      </c>
      <c r="CB21" s="1502">
        <v>6</v>
      </c>
      <c r="CC21" s="1502">
        <v>4</v>
      </c>
      <c r="CD21" s="1502">
        <v>15</v>
      </c>
      <c r="CE21" s="1502">
        <v>4</v>
      </c>
      <c r="CF21" s="1502">
        <v>5</v>
      </c>
      <c r="CG21" s="1503">
        <v>3</v>
      </c>
      <c r="CH21" s="1503">
        <v>4.57</v>
      </c>
      <c r="CI21" s="1503">
        <v>4.57</v>
      </c>
      <c r="CJ21" s="1503">
        <v>4.57</v>
      </c>
      <c r="CK21" s="1503">
        <v>4.57</v>
      </c>
      <c r="CL21" s="1503">
        <v>4</v>
      </c>
      <c r="CM21" s="1503">
        <v>5</v>
      </c>
      <c r="CN21" s="1503">
        <v>5.29</v>
      </c>
      <c r="CO21" s="1503">
        <v>5.29</v>
      </c>
      <c r="CP21" s="1503">
        <v>4</v>
      </c>
      <c r="CQ21" s="1503">
        <v>3</v>
      </c>
      <c r="CR21" s="1503">
        <v>4.57</v>
      </c>
      <c r="CS21" s="1503">
        <v>4.57</v>
      </c>
      <c r="CT21" s="1503">
        <v>4.57</v>
      </c>
      <c r="CU21" s="1503">
        <v>4.57</v>
      </c>
      <c r="CV21" s="1503">
        <v>4</v>
      </c>
      <c r="CW21" s="1503">
        <v>5</v>
      </c>
      <c r="CX21" s="1503">
        <v>5.29</v>
      </c>
      <c r="CY21" s="1503">
        <v>5.29</v>
      </c>
      <c r="CZ21" s="1503">
        <v>4</v>
      </c>
      <c r="DA21" s="1502">
        <v>5</v>
      </c>
      <c r="DB21" s="1504">
        <v>15</v>
      </c>
      <c r="DC21" s="1503">
        <v>21.57</v>
      </c>
      <c r="DD21" s="1502">
        <v>4</v>
      </c>
      <c r="DE21" s="1502">
        <v>4</v>
      </c>
      <c r="DF21" s="58"/>
      <c r="DG21" s="58"/>
      <c r="DH21" s="616"/>
      <c r="DI21" s="617"/>
      <c r="DJ21" s="638"/>
      <c r="DK21" s="1245"/>
      <c r="DL21" s="618"/>
      <c r="DM21" s="639"/>
      <c r="DN21" s="1248"/>
      <c r="DO21" s="619"/>
      <c r="DP21" s="620"/>
      <c r="DQ21" s="1294"/>
      <c r="DR21" s="621"/>
      <c r="DS21" s="1491"/>
      <c r="DT21" s="1486"/>
      <c r="DU21" s="1487"/>
      <c r="DV21" s="622"/>
      <c r="DW21" s="1250"/>
      <c r="DX21" s="623"/>
      <c r="DY21" s="624"/>
      <c r="DZ21" s="622"/>
      <c r="EA21" s="1250"/>
      <c r="EB21" s="623"/>
      <c r="EC21" s="624"/>
      <c r="ED21" s="622"/>
      <c r="EE21" s="1250"/>
      <c r="EF21" s="623"/>
      <c r="EG21" s="624"/>
      <c r="EH21" s="622"/>
      <c r="EI21" s="1250"/>
      <c r="EJ21" s="623"/>
      <c r="EK21" s="625"/>
      <c r="EL21" s="479"/>
      <c r="EM21" s="924"/>
      <c r="EN21" s="860"/>
      <c r="EO21" s="861"/>
      <c r="EP21" s="58"/>
      <c r="EQ21" s="58"/>
      <c r="ER21" s="58"/>
      <c r="ES21" s="58"/>
      <c r="ET21" s="58"/>
      <c r="EU21" s="58"/>
      <c r="EX21" s="870" t="str">
        <f t="shared" ca="1" si="35"/>
        <v/>
      </c>
      <c r="EY21" s="872" t="str">
        <f t="shared" si="6"/>
        <v/>
      </c>
      <c r="EZ21" s="872" t="str">
        <f t="shared" si="36"/>
        <v/>
      </c>
      <c r="FA21" s="891" t="str">
        <f t="shared" ca="1" si="42"/>
        <v/>
      </c>
      <c r="FB21" s="892" t="str">
        <f t="shared" ca="1" si="37"/>
        <v/>
      </c>
      <c r="FC21" s="892">
        <f t="shared" ca="1" si="7"/>
        <v>0</v>
      </c>
      <c r="FD21" s="892">
        <f t="shared" ca="1" si="8"/>
        <v>0</v>
      </c>
      <c r="FE21" s="892">
        <f t="shared" ca="1" si="9"/>
        <v>0</v>
      </c>
      <c r="FF21" s="892">
        <f t="shared" ca="1" si="38"/>
        <v>0</v>
      </c>
      <c r="FN21" s="703"/>
      <c r="FO21" s="703"/>
      <c r="FP21" s="703" t="b">
        <v>0</v>
      </c>
      <c r="FQ21" s="703" t="b">
        <f t="shared" si="39"/>
        <v>1</v>
      </c>
      <c r="FX21" s="705"/>
      <c r="FZ21" s="8"/>
      <c r="GA21" s="58"/>
      <c r="GB21" s="58"/>
      <c r="GC21" s="58"/>
      <c r="GD21" s="58"/>
      <c r="GE21" s="58"/>
      <c r="GF21" s="58"/>
      <c r="GG21" s="58"/>
      <c r="GH21" s="58"/>
      <c r="GI21" s="58"/>
      <c r="GJ21" s="58"/>
      <c r="GK21" s="8"/>
      <c r="GL21" s="56"/>
      <c r="GM21" s="56"/>
      <c r="GZ21" s="1097" t="s">
        <v>729</v>
      </c>
      <c r="HA21" s="1098">
        <v>1</v>
      </c>
      <c r="HB21" s="1098">
        <f>HA21+1</f>
        <v>2</v>
      </c>
      <c r="HC21" s="1098">
        <f t="shared" ref="HC21:HK22" si="61">HB21+1</f>
        <v>3</v>
      </c>
      <c r="HD21" s="1098">
        <f t="shared" si="61"/>
        <v>4</v>
      </c>
      <c r="HE21" s="1098">
        <f t="shared" si="61"/>
        <v>5</v>
      </c>
      <c r="HF21" s="1098">
        <f t="shared" si="61"/>
        <v>6</v>
      </c>
      <c r="HG21" s="1098">
        <f t="shared" si="61"/>
        <v>7</v>
      </c>
      <c r="HH21" s="1098">
        <f t="shared" si="61"/>
        <v>8</v>
      </c>
      <c r="HI21" s="1098">
        <f t="shared" si="61"/>
        <v>9</v>
      </c>
      <c r="HJ21" s="1098">
        <f t="shared" si="61"/>
        <v>10</v>
      </c>
      <c r="HK21" s="1098">
        <f t="shared" si="61"/>
        <v>11</v>
      </c>
      <c r="HL21" s="1098">
        <f t="shared" ref="HL21:HX22" si="62">HK21+1</f>
        <v>12</v>
      </c>
      <c r="HM21" s="1098">
        <f t="shared" si="62"/>
        <v>13</v>
      </c>
      <c r="HN21" s="1098">
        <f t="shared" si="62"/>
        <v>14</v>
      </c>
      <c r="HO21" s="1098">
        <f t="shared" si="62"/>
        <v>15</v>
      </c>
      <c r="HP21" s="1098">
        <f t="shared" si="62"/>
        <v>16</v>
      </c>
      <c r="HQ21" s="1098">
        <f t="shared" si="62"/>
        <v>17</v>
      </c>
      <c r="HR21" s="1098">
        <f t="shared" si="62"/>
        <v>18</v>
      </c>
      <c r="HS21" s="1098">
        <f t="shared" ref="HS21:ID21" si="63">HR21+1</f>
        <v>19</v>
      </c>
      <c r="HT21" s="1098">
        <f t="shared" si="63"/>
        <v>20</v>
      </c>
      <c r="HU21" s="1098">
        <f t="shared" si="63"/>
        <v>21</v>
      </c>
      <c r="HV21" s="1098">
        <f t="shared" si="63"/>
        <v>22</v>
      </c>
      <c r="HW21" s="1098">
        <f t="shared" si="63"/>
        <v>23</v>
      </c>
      <c r="HX21" s="1098">
        <f t="shared" si="63"/>
        <v>24</v>
      </c>
      <c r="HY21" s="1098">
        <f t="shared" si="63"/>
        <v>25</v>
      </c>
      <c r="HZ21" s="1098">
        <f t="shared" si="63"/>
        <v>26</v>
      </c>
      <c r="IA21" s="1100">
        <f t="shared" si="63"/>
        <v>27</v>
      </c>
      <c r="IB21" s="1100">
        <f t="shared" si="63"/>
        <v>28</v>
      </c>
      <c r="IC21" s="1100">
        <f t="shared" si="63"/>
        <v>29</v>
      </c>
      <c r="ID21" s="1100">
        <f t="shared" si="63"/>
        <v>30</v>
      </c>
      <c r="IE21" s="1159"/>
      <c r="IF21" s="1160"/>
      <c r="IG21" s="1161"/>
      <c r="IH21" s="1162"/>
      <c r="II21" s="1160"/>
      <c r="IJ21" s="1161"/>
      <c r="IK21" s="1162"/>
      <c r="IL21" s="1160"/>
      <c r="IM21" s="1160"/>
      <c r="IN21" s="1160"/>
      <c r="IO21" s="1160"/>
      <c r="IP21" s="1160"/>
      <c r="IQ21" s="1160"/>
      <c r="IR21" s="1160"/>
      <c r="IS21" s="1161"/>
      <c r="IT21" s="1162"/>
      <c r="IU21" s="1160"/>
      <c r="IV21" s="1160"/>
      <c r="IW21" s="1161"/>
      <c r="IX21" s="1162"/>
      <c r="IY21" s="1160"/>
      <c r="IZ21" s="1160"/>
      <c r="JA21" s="1161"/>
      <c r="JB21" s="1162"/>
      <c r="JC21" s="1160"/>
      <c r="JD21" s="1160"/>
      <c r="JE21" s="1161"/>
      <c r="JF21" s="1162"/>
      <c r="JG21" s="1160"/>
      <c r="JH21" s="1160"/>
      <c r="JI21" s="1160"/>
      <c r="JJ21" s="1163"/>
      <c r="JK21" s="1160"/>
      <c r="JL21" s="1103">
        <f t="shared" ca="1" si="43"/>
        <v>0</v>
      </c>
      <c r="JM21" s="56"/>
    </row>
    <row r="22" spans="1:274" ht="12.6" customHeight="1" thickTop="1" x14ac:dyDescent="0.2">
      <c r="A22" s="1006"/>
      <c r="B22" s="1006"/>
      <c r="C22" s="1006"/>
      <c r="D22" s="1006"/>
      <c r="E22" s="1006"/>
      <c r="F22" s="1006"/>
      <c r="G22" s="1006"/>
      <c r="H22" s="1006"/>
      <c r="I22" s="1006"/>
      <c r="J22" s="1006"/>
      <c r="K22" s="1006"/>
      <c r="L22" s="1006"/>
      <c r="M22" s="1006"/>
      <c r="N22" s="1006"/>
      <c r="O22" s="1006"/>
      <c r="P22" s="1006"/>
      <c r="Q22" s="1006"/>
      <c r="R22" s="1006"/>
      <c r="S22" s="1006"/>
      <c r="T22" s="1006"/>
      <c r="U22" s="1006"/>
      <c r="V22" s="1006"/>
      <c r="W22" s="1006"/>
      <c r="X22" s="1006"/>
      <c r="Y22" s="1006"/>
      <c r="Z22" s="1006"/>
      <c r="AA22" s="1006"/>
      <c r="AB22" s="1132" t="str">
        <f t="shared" si="10"/>
        <v/>
      </c>
      <c r="AC22" s="1139" t="str">
        <f t="shared" si="53"/>
        <v/>
      </c>
      <c r="AD22" s="1134" t="str">
        <f t="shared" ca="1" si="44"/>
        <v/>
      </c>
      <c r="AE22" s="1138" t="str">
        <f t="shared" ca="1" si="45"/>
        <v/>
      </c>
      <c r="AF22" s="1139" t="str">
        <f t="shared" ca="1" si="46"/>
        <v/>
      </c>
      <c r="AG22" s="1134" t="str">
        <f t="shared" ca="1" si="47"/>
        <v/>
      </c>
      <c r="AH22" s="1138" t="str">
        <f t="shared" ca="1" si="48"/>
        <v/>
      </c>
      <c r="AI22" s="1134" t="str">
        <f t="shared" ca="1" si="49"/>
        <v/>
      </c>
      <c r="AJ22" s="1138" t="str">
        <f t="shared" ca="1" si="50"/>
        <v/>
      </c>
      <c r="AK22" s="1619" t="str">
        <f t="shared" si="54"/>
        <v/>
      </c>
      <c r="AL22" s="1620" t="str">
        <f t="shared" si="55"/>
        <v/>
      </c>
      <c r="AM22" s="1621" t="str">
        <f t="shared" si="56"/>
        <v/>
      </c>
      <c r="AN22" s="1139" t="str">
        <f t="shared" si="57"/>
        <v/>
      </c>
      <c r="AO22" s="1622" t="str">
        <f t="shared" si="58"/>
        <v/>
      </c>
      <c r="AP22" s="1141" t="str">
        <f t="shared" si="4"/>
        <v/>
      </c>
      <c r="AQ22" s="1623" t="str">
        <f t="shared" si="5"/>
        <v/>
      </c>
      <c r="AR22" s="1137" t="str">
        <f t="shared" si="17"/>
        <v/>
      </c>
      <c r="AS22" s="1138" t="str">
        <f t="shared" si="18"/>
        <v/>
      </c>
      <c r="AT22" s="1624" t="str">
        <f t="shared" si="19"/>
        <v/>
      </c>
      <c r="AU22" s="1625" t="str">
        <f t="shared" si="20"/>
        <v/>
      </c>
      <c r="AV22" s="1143" t="str">
        <f t="shared" si="21"/>
        <v/>
      </c>
      <c r="AW22" s="1138" t="str">
        <f t="shared" si="22"/>
        <v/>
      </c>
      <c r="AX22" s="1624" t="str">
        <f t="shared" si="23"/>
        <v/>
      </c>
      <c r="AY22" s="1625" t="str">
        <f t="shared" si="24"/>
        <v/>
      </c>
      <c r="AZ22" s="1143" t="str">
        <f t="shared" si="25"/>
        <v/>
      </c>
      <c r="BA22" s="1138" t="str">
        <f t="shared" si="26"/>
        <v/>
      </c>
      <c r="BB22" s="1624" t="str">
        <f t="shared" si="27"/>
        <v/>
      </c>
      <c r="BC22" s="1625" t="str">
        <f t="shared" si="28"/>
        <v/>
      </c>
      <c r="BD22" s="1143" t="str">
        <f t="shared" si="29"/>
        <v/>
      </c>
      <c r="BE22" s="1138" t="str">
        <f t="shared" si="30"/>
        <v/>
      </c>
      <c r="BF22" s="1624" t="str">
        <f t="shared" si="59"/>
        <v/>
      </c>
      <c r="BG22" s="1625" t="str">
        <f t="shared" si="60"/>
        <v/>
      </c>
      <c r="BH22" s="180"/>
      <c r="BJ22" s="63"/>
      <c r="BK22" s="56"/>
      <c r="BW22" s="910">
        <f t="shared" ca="1" si="33"/>
        <v>0</v>
      </c>
      <c r="BX22" s="911" t="str">
        <f t="shared" ca="1" si="40"/>
        <v/>
      </c>
      <c r="BY22" s="911" t="b">
        <f t="shared" ca="1" si="34"/>
        <v>0</v>
      </c>
      <c r="BZ22" s="1217" t="e">
        <f t="shared" si="41"/>
        <v>#REF!</v>
      </c>
      <c r="CB22" s="2071" t="s">
        <v>312</v>
      </c>
      <c r="CC22" s="2072"/>
      <c r="CD22" s="2072"/>
      <c r="CE22" s="2072"/>
      <c r="CF22" s="2072"/>
      <c r="CG22" s="2072"/>
      <c r="CH22" s="2072"/>
      <c r="CI22" s="2072"/>
      <c r="CJ22" s="2072"/>
      <c r="CK22" s="2072"/>
      <c r="CL22" s="2072"/>
      <c r="CM22" s="2072"/>
      <c r="CN22" s="2072"/>
      <c r="CO22" s="2072"/>
      <c r="CP22" s="2072"/>
      <c r="CQ22" s="2072"/>
      <c r="CR22" s="2072"/>
      <c r="CS22" s="2072"/>
      <c r="CT22" s="2072"/>
      <c r="CU22" s="2072"/>
      <c r="CV22" s="2072"/>
      <c r="CW22" s="2072"/>
      <c r="CX22" s="2072"/>
      <c r="CY22" s="2072"/>
      <c r="CZ22" s="2073"/>
      <c r="DA22" s="2073"/>
      <c r="DB22" s="2073"/>
      <c r="DC22" s="2073"/>
      <c r="DD22" s="2073"/>
      <c r="DE22" s="2074"/>
      <c r="DF22" s="58"/>
      <c r="DG22" s="58"/>
      <c r="DH22" s="616"/>
      <c r="DI22" s="617"/>
      <c r="DJ22" s="638"/>
      <c r="DK22" s="1245"/>
      <c r="DL22" s="618"/>
      <c r="DM22" s="639"/>
      <c r="DN22" s="1248"/>
      <c r="DO22" s="619"/>
      <c r="DP22" s="620"/>
      <c r="DQ22" s="1294"/>
      <c r="DR22" s="621"/>
      <c r="DS22" s="1491"/>
      <c r="DT22" s="1486"/>
      <c r="DU22" s="1487"/>
      <c r="DV22" s="622"/>
      <c r="DW22" s="1250"/>
      <c r="DX22" s="623"/>
      <c r="DY22" s="624"/>
      <c r="DZ22" s="622"/>
      <c r="EA22" s="1250"/>
      <c r="EB22" s="623"/>
      <c r="EC22" s="624"/>
      <c r="ED22" s="622"/>
      <c r="EE22" s="1250"/>
      <c r="EF22" s="623"/>
      <c r="EG22" s="624"/>
      <c r="EH22" s="622"/>
      <c r="EI22" s="1250"/>
      <c r="EJ22" s="623"/>
      <c r="EK22" s="625"/>
      <c r="EL22" s="479"/>
      <c r="EM22" s="924"/>
      <c r="EN22" s="860"/>
      <c r="EO22" s="861"/>
      <c r="EP22" s="58"/>
      <c r="EQ22" s="58"/>
      <c r="ER22" s="58"/>
      <c r="ES22" s="58"/>
      <c r="ET22" s="58"/>
      <c r="EU22" s="58"/>
      <c r="EX22" s="870" t="str">
        <f t="shared" ca="1" si="35"/>
        <v/>
      </c>
      <c r="EY22" s="872" t="str">
        <f t="shared" si="6"/>
        <v/>
      </c>
      <c r="EZ22" s="872" t="str">
        <f t="shared" si="36"/>
        <v/>
      </c>
      <c r="FA22" s="891" t="str">
        <f t="shared" ca="1" si="42"/>
        <v/>
      </c>
      <c r="FB22" s="892" t="str">
        <f t="shared" ca="1" si="37"/>
        <v/>
      </c>
      <c r="FC22" s="892">
        <f t="shared" ca="1" si="7"/>
        <v>0</v>
      </c>
      <c r="FD22" s="892">
        <f t="shared" ca="1" si="8"/>
        <v>0</v>
      </c>
      <c r="FE22" s="892">
        <f t="shared" ca="1" si="9"/>
        <v>0</v>
      </c>
      <c r="FF22" s="892">
        <f t="shared" ca="1" si="38"/>
        <v>0</v>
      </c>
      <c r="FN22" s="703"/>
      <c r="FO22" s="703"/>
      <c r="FP22" s="703" t="b">
        <v>0</v>
      </c>
      <c r="FQ22" s="703" t="b">
        <f t="shared" si="39"/>
        <v>1</v>
      </c>
      <c r="FX22" s="705"/>
      <c r="FZ22" s="8"/>
      <c r="GA22" s="58"/>
      <c r="GB22" s="58"/>
      <c r="GC22" s="58"/>
      <c r="GD22" s="58"/>
      <c r="GE22" s="58"/>
      <c r="GF22" s="58"/>
      <c r="GG22" s="58"/>
      <c r="GH22" s="58"/>
      <c r="GI22" s="58"/>
      <c r="GJ22" s="58"/>
      <c r="GK22" s="8"/>
      <c r="GL22" s="56"/>
      <c r="GM22" s="56"/>
      <c r="GZ22" s="1097" t="s">
        <v>706</v>
      </c>
      <c r="HA22" s="1098">
        <v>1</v>
      </c>
      <c r="HB22" s="1098">
        <f>HA22+1</f>
        <v>2</v>
      </c>
      <c r="HC22" s="1098">
        <f>HB22+1</f>
        <v>3</v>
      </c>
      <c r="HD22" s="1098">
        <f t="shared" si="61"/>
        <v>4</v>
      </c>
      <c r="HE22" s="1098">
        <f t="shared" si="61"/>
        <v>5</v>
      </c>
      <c r="HF22" s="1098">
        <f t="shared" si="61"/>
        <v>6</v>
      </c>
      <c r="HG22" s="1098">
        <f t="shared" si="61"/>
        <v>7</v>
      </c>
      <c r="HH22" s="1098">
        <f t="shared" si="61"/>
        <v>8</v>
      </c>
      <c r="HI22" s="1098">
        <f t="shared" si="61"/>
        <v>9</v>
      </c>
      <c r="HJ22" s="1098">
        <f t="shared" si="61"/>
        <v>10</v>
      </c>
      <c r="HK22" s="1098">
        <f t="shared" si="61"/>
        <v>11</v>
      </c>
      <c r="HL22" s="1098">
        <f t="shared" si="62"/>
        <v>12</v>
      </c>
      <c r="HM22" s="1098">
        <f t="shared" si="62"/>
        <v>13</v>
      </c>
      <c r="HN22" s="1098">
        <f t="shared" si="62"/>
        <v>14</v>
      </c>
      <c r="HO22" s="1098">
        <f t="shared" si="62"/>
        <v>15</v>
      </c>
      <c r="HP22" s="1098">
        <f t="shared" si="62"/>
        <v>16</v>
      </c>
      <c r="HQ22" s="1098">
        <f t="shared" si="62"/>
        <v>17</v>
      </c>
      <c r="HR22" s="1098">
        <f t="shared" si="62"/>
        <v>18</v>
      </c>
      <c r="HS22" s="1098">
        <f t="shared" si="62"/>
        <v>19</v>
      </c>
      <c r="HT22" s="1098">
        <f t="shared" si="62"/>
        <v>20</v>
      </c>
      <c r="HU22" s="1098">
        <f t="shared" si="62"/>
        <v>21</v>
      </c>
      <c r="HV22" s="1098">
        <f t="shared" si="62"/>
        <v>22</v>
      </c>
      <c r="HW22" s="1098">
        <f t="shared" si="62"/>
        <v>23</v>
      </c>
      <c r="HX22" s="1098">
        <f t="shared" si="62"/>
        <v>24</v>
      </c>
      <c r="HY22" s="1098">
        <f>HX22+1</f>
        <v>25</v>
      </c>
      <c r="HZ22" s="1098">
        <f>HY22+1</f>
        <v>26</v>
      </c>
      <c r="IA22" s="1098">
        <f>HZ22+1</f>
        <v>27</v>
      </c>
      <c r="IB22" s="1098">
        <f>IA22+1</f>
        <v>28</v>
      </c>
      <c r="IC22" s="1098"/>
      <c r="ID22" s="1098"/>
      <c r="IE22" s="1159"/>
      <c r="IF22" s="1160"/>
      <c r="IG22" s="1161"/>
      <c r="IH22" s="1162"/>
      <c r="II22" s="1160"/>
      <c r="IJ22" s="1161"/>
      <c r="IK22" s="1162"/>
      <c r="IL22" s="1160"/>
      <c r="IM22" s="1160"/>
      <c r="IN22" s="1160"/>
      <c r="IO22" s="1160"/>
      <c r="IP22" s="1160"/>
      <c r="IQ22" s="1160"/>
      <c r="IR22" s="1160"/>
      <c r="IS22" s="1161"/>
      <c r="IT22" s="1162"/>
      <c r="IU22" s="1160"/>
      <c r="IV22" s="1160"/>
      <c r="IW22" s="1161"/>
      <c r="IX22" s="1162"/>
      <c r="IY22" s="1160"/>
      <c r="IZ22" s="1160"/>
      <c r="JA22" s="1161"/>
      <c r="JB22" s="1162"/>
      <c r="JC22" s="1160"/>
      <c r="JD22" s="1160"/>
      <c r="JE22" s="1161"/>
      <c r="JF22" s="1162"/>
      <c r="JG22" s="1160"/>
      <c r="JH22" s="1160"/>
      <c r="JI22" s="1160"/>
      <c r="JJ22" s="1163"/>
      <c r="JK22" s="1160"/>
      <c r="JL22" s="1103">
        <f t="shared" ca="1" si="43"/>
        <v>0</v>
      </c>
      <c r="JM22" s="56"/>
    </row>
    <row r="23" spans="1:274" ht="12.6" customHeight="1" thickBot="1" x14ac:dyDescent="0.25">
      <c r="A23" s="1006"/>
      <c r="B23" s="1006"/>
      <c r="C23" s="1006"/>
      <c r="D23" s="1006"/>
      <c r="E23" s="1006"/>
      <c r="F23" s="1006"/>
      <c r="G23" s="1006"/>
      <c r="H23" s="1006"/>
      <c r="I23" s="1006"/>
      <c r="J23" s="1006"/>
      <c r="K23" s="1006"/>
      <c r="L23" s="1006"/>
      <c r="M23" s="1006"/>
      <c r="N23" s="1006"/>
      <c r="O23" s="1006"/>
      <c r="P23" s="1006"/>
      <c r="Q23" s="1006"/>
      <c r="R23" s="1006"/>
      <c r="S23" s="1006"/>
      <c r="T23" s="1006"/>
      <c r="U23" s="1006"/>
      <c r="V23" s="1006"/>
      <c r="W23" s="1006"/>
      <c r="X23" s="1006"/>
      <c r="Y23" s="1006"/>
      <c r="Z23" s="1006"/>
      <c r="AA23" s="1006"/>
      <c r="AB23" s="1132" t="str">
        <f t="shared" si="10"/>
        <v/>
      </c>
      <c r="AC23" s="1139" t="str">
        <f t="shared" si="53"/>
        <v/>
      </c>
      <c r="AD23" s="1134" t="str">
        <f t="shared" ca="1" si="44"/>
        <v/>
      </c>
      <c r="AE23" s="1138" t="str">
        <f t="shared" ca="1" si="45"/>
        <v/>
      </c>
      <c r="AF23" s="1139" t="str">
        <f t="shared" ca="1" si="46"/>
        <v/>
      </c>
      <c r="AG23" s="1134" t="str">
        <f t="shared" ca="1" si="47"/>
        <v/>
      </c>
      <c r="AH23" s="1138" t="str">
        <f t="shared" ca="1" si="48"/>
        <v/>
      </c>
      <c r="AI23" s="1134" t="str">
        <f t="shared" ca="1" si="49"/>
        <v/>
      </c>
      <c r="AJ23" s="1138" t="str">
        <f t="shared" ca="1" si="50"/>
        <v/>
      </c>
      <c r="AK23" s="1619" t="str">
        <f t="shared" si="54"/>
        <v/>
      </c>
      <c r="AL23" s="1620" t="str">
        <f t="shared" si="55"/>
        <v/>
      </c>
      <c r="AM23" s="1621" t="str">
        <f t="shared" si="56"/>
        <v/>
      </c>
      <c r="AN23" s="1139" t="str">
        <f t="shared" si="57"/>
        <v/>
      </c>
      <c r="AO23" s="1622" t="str">
        <f t="shared" si="58"/>
        <v/>
      </c>
      <c r="AP23" s="1141" t="str">
        <f t="shared" si="4"/>
        <v/>
      </c>
      <c r="AQ23" s="1623" t="str">
        <f t="shared" si="5"/>
        <v/>
      </c>
      <c r="AR23" s="1137" t="str">
        <f t="shared" si="17"/>
        <v/>
      </c>
      <c r="AS23" s="1138" t="str">
        <f t="shared" si="18"/>
        <v/>
      </c>
      <c r="AT23" s="1624" t="str">
        <f t="shared" si="19"/>
        <v/>
      </c>
      <c r="AU23" s="1625" t="str">
        <f t="shared" si="20"/>
        <v/>
      </c>
      <c r="AV23" s="1143" t="str">
        <f t="shared" si="21"/>
        <v/>
      </c>
      <c r="AW23" s="1138" t="str">
        <f t="shared" si="22"/>
        <v/>
      </c>
      <c r="AX23" s="1624" t="str">
        <f t="shared" si="23"/>
        <v/>
      </c>
      <c r="AY23" s="1625" t="str">
        <f t="shared" si="24"/>
        <v/>
      </c>
      <c r="AZ23" s="1143" t="str">
        <f t="shared" si="25"/>
        <v/>
      </c>
      <c r="BA23" s="1138" t="str">
        <f t="shared" si="26"/>
        <v/>
      </c>
      <c r="BB23" s="1624" t="str">
        <f t="shared" si="27"/>
        <v/>
      </c>
      <c r="BC23" s="1625" t="str">
        <f t="shared" si="28"/>
        <v/>
      </c>
      <c r="BD23" s="1143" t="str">
        <f t="shared" si="29"/>
        <v/>
      </c>
      <c r="BE23" s="1138" t="str">
        <f t="shared" si="30"/>
        <v/>
      </c>
      <c r="BF23" s="1624" t="str">
        <f t="shared" si="59"/>
        <v/>
      </c>
      <c r="BG23" s="1625" t="str">
        <f t="shared" si="60"/>
        <v/>
      </c>
      <c r="BH23" s="180"/>
      <c r="BJ23" s="63"/>
      <c r="BK23" s="56"/>
      <c r="BW23" s="910">
        <f t="shared" ca="1" si="33"/>
        <v>0</v>
      </c>
      <c r="BX23" s="911" t="str">
        <f t="shared" ca="1" si="40"/>
        <v/>
      </c>
      <c r="BY23" s="911" t="b">
        <f t="shared" ca="1" si="34"/>
        <v>0</v>
      </c>
      <c r="BZ23" s="1217" t="e">
        <f t="shared" si="41"/>
        <v>#REF!</v>
      </c>
      <c r="CB23" s="2075"/>
      <c r="CC23" s="2076"/>
      <c r="CD23" s="2076"/>
      <c r="CE23" s="2076"/>
      <c r="CF23" s="2076"/>
      <c r="CG23" s="2076"/>
      <c r="CH23" s="2076"/>
      <c r="CI23" s="2076"/>
      <c r="CJ23" s="2076"/>
      <c r="CK23" s="2076"/>
      <c r="CL23" s="2076"/>
      <c r="CM23" s="2076"/>
      <c r="CN23" s="2076"/>
      <c r="CO23" s="2076"/>
      <c r="CP23" s="2076"/>
      <c r="CQ23" s="2076"/>
      <c r="CR23" s="2076"/>
      <c r="CS23" s="2076"/>
      <c r="CT23" s="2076"/>
      <c r="CU23" s="2076"/>
      <c r="CV23" s="2076"/>
      <c r="CW23" s="2076"/>
      <c r="CX23" s="2076"/>
      <c r="CY23" s="2076"/>
      <c r="CZ23" s="2077"/>
      <c r="DA23" s="2077"/>
      <c r="DB23" s="2077"/>
      <c r="DC23" s="2077"/>
      <c r="DD23" s="2077"/>
      <c r="DE23" s="2078"/>
      <c r="DF23" s="58"/>
      <c r="DG23" s="58"/>
      <c r="DH23" s="616"/>
      <c r="DI23" s="617"/>
      <c r="DJ23" s="638"/>
      <c r="DK23" s="1245"/>
      <c r="DL23" s="618"/>
      <c r="DM23" s="639"/>
      <c r="DN23" s="1248"/>
      <c r="DO23" s="619"/>
      <c r="DP23" s="620"/>
      <c r="DQ23" s="1294"/>
      <c r="DR23" s="621"/>
      <c r="DS23" s="1491"/>
      <c r="DT23" s="1486"/>
      <c r="DU23" s="1487"/>
      <c r="DV23" s="622"/>
      <c r="DW23" s="1250"/>
      <c r="DX23" s="623"/>
      <c r="DY23" s="624"/>
      <c r="DZ23" s="622"/>
      <c r="EA23" s="1250"/>
      <c r="EB23" s="623"/>
      <c r="EC23" s="624"/>
      <c r="ED23" s="622"/>
      <c r="EE23" s="1250"/>
      <c r="EF23" s="623"/>
      <c r="EG23" s="624"/>
      <c r="EH23" s="622"/>
      <c r="EI23" s="1250"/>
      <c r="EJ23" s="623"/>
      <c r="EK23" s="625"/>
      <c r="EL23" s="58"/>
      <c r="EM23" s="924"/>
      <c r="EN23" s="860"/>
      <c r="EO23" s="861"/>
      <c r="EP23" s="58"/>
      <c r="EQ23" s="58"/>
      <c r="ER23" s="58"/>
      <c r="ES23" s="58"/>
      <c r="ET23" s="58"/>
      <c r="EU23" s="58"/>
      <c r="EX23" s="870" t="str">
        <f t="shared" ca="1" si="35"/>
        <v/>
      </c>
      <c r="EY23" s="872" t="str">
        <f t="shared" si="6"/>
        <v/>
      </c>
      <c r="EZ23" s="872" t="str">
        <f t="shared" si="36"/>
        <v/>
      </c>
      <c r="FA23" s="891" t="str">
        <f t="shared" ca="1" si="42"/>
        <v/>
      </c>
      <c r="FB23" s="892" t="str">
        <f t="shared" ca="1" si="37"/>
        <v/>
      </c>
      <c r="FC23" s="892">
        <f t="shared" ca="1" si="7"/>
        <v>0</v>
      </c>
      <c r="FD23" s="892">
        <f t="shared" ca="1" si="8"/>
        <v>0</v>
      </c>
      <c r="FE23" s="892">
        <f t="shared" ca="1" si="9"/>
        <v>0</v>
      </c>
      <c r="FF23" s="892">
        <f t="shared" ca="1" si="38"/>
        <v>0</v>
      </c>
      <c r="FN23" s="703"/>
      <c r="FO23" s="703"/>
      <c r="FP23" s="703" t="b">
        <v>0</v>
      </c>
      <c r="FQ23" s="703" t="b">
        <f t="shared" si="39"/>
        <v>1</v>
      </c>
      <c r="FX23" s="103"/>
      <c r="FZ23" s="1"/>
      <c r="GA23" s="58"/>
      <c r="GB23" s="58"/>
      <c r="GC23" s="58"/>
      <c r="GD23" s="58"/>
      <c r="GE23" s="58"/>
      <c r="GF23" s="58"/>
      <c r="GG23" s="58"/>
      <c r="GH23" s="58"/>
      <c r="GI23" s="58"/>
      <c r="GJ23" s="58"/>
      <c r="GK23" s="1"/>
      <c r="GL23" s="56"/>
      <c r="GM23" s="56"/>
      <c r="ID23" s="723"/>
      <c r="IE23" s="1159"/>
      <c r="IF23" s="1160"/>
      <c r="IG23" s="1161"/>
      <c r="IH23" s="1162"/>
      <c r="II23" s="1160"/>
      <c r="IJ23" s="1161"/>
      <c r="IK23" s="1162"/>
      <c r="IL23" s="1160"/>
      <c r="IM23" s="1160"/>
      <c r="IN23" s="1160"/>
      <c r="IO23" s="1160"/>
      <c r="IP23" s="1160"/>
      <c r="IQ23" s="1160"/>
      <c r="IR23" s="1160"/>
      <c r="IS23" s="1161"/>
      <c r="IT23" s="1162"/>
      <c r="IU23" s="1160"/>
      <c r="IV23" s="1160"/>
      <c r="IW23" s="1161"/>
      <c r="IX23" s="1162"/>
      <c r="IY23" s="1160"/>
      <c r="IZ23" s="1160"/>
      <c r="JA23" s="1161"/>
      <c r="JB23" s="1162"/>
      <c r="JC23" s="1160"/>
      <c r="JD23" s="1160"/>
      <c r="JE23" s="1161"/>
      <c r="JF23" s="1162"/>
      <c r="JG23" s="1160"/>
      <c r="JH23" s="1160"/>
      <c r="JI23" s="1160"/>
      <c r="JJ23" s="1163"/>
      <c r="JK23" s="1160"/>
      <c r="JL23" s="1103">
        <f t="shared" ca="1" si="43"/>
        <v>0</v>
      </c>
      <c r="JM23" s="56"/>
    </row>
    <row r="24" spans="1:274" ht="12.6" customHeight="1" thickTop="1" thickBot="1" x14ac:dyDescent="0.25">
      <c r="A24" s="1006"/>
      <c r="B24" s="1006"/>
      <c r="C24" s="1006"/>
      <c r="D24" s="1006"/>
      <c r="E24" s="1006"/>
      <c r="F24" s="1006"/>
      <c r="G24" s="1006"/>
      <c r="H24" s="1006"/>
      <c r="I24" s="1006"/>
      <c r="J24" s="1006"/>
      <c r="K24" s="1006"/>
      <c r="L24" s="1006"/>
      <c r="M24" s="1006"/>
      <c r="N24" s="1006"/>
      <c r="O24" s="1006"/>
      <c r="P24" s="1006"/>
      <c r="Q24" s="1006"/>
      <c r="R24" s="1006"/>
      <c r="S24" s="1006"/>
      <c r="T24" s="1006"/>
      <c r="U24" s="1006"/>
      <c r="V24" s="1006"/>
      <c r="W24" s="1007" t="s">
        <v>61</v>
      </c>
      <c r="X24" s="2004">
        <f>B48+B49</f>
        <v>0</v>
      </c>
      <c r="Y24" s="2004"/>
      <c r="Z24" s="1006"/>
      <c r="AA24" s="1006"/>
      <c r="AB24" s="1132" t="str">
        <f t="shared" ref="AB24:AB45" si="64">IF(ISBLANK(DH24),"",DH24)</f>
        <v/>
      </c>
      <c r="AC24" s="1139" t="str">
        <f t="shared" si="53"/>
        <v/>
      </c>
      <c r="AD24" s="1134" t="str">
        <f t="shared" ca="1" si="44"/>
        <v/>
      </c>
      <c r="AE24" s="1138" t="str">
        <f t="shared" ca="1" si="45"/>
        <v/>
      </c>
      <c r="AF24" s="1139" t="str">
        <f t="shared" ca="1" si="46"/>
        <v/>
      </c>
      <c r="AG24" s="1134" t="str">
        <f t="shared" ca="1" si="47"/>
        <v/>
      </c>
      <c r="AH24" s="1138" t="str">
        <f t="shared" ca="1" si="48"/>
        <v/>
      </c>
      <c r="AI24" s="1134" t="str">
        <f t="shared" ca="1" si="49"/>
        <v/>
      </c>
      <c r="AJ24" s="1138" t="str">
        <f t="shared" ca="1" si="50"/>
        <v/>
      </c>
      <c r="AK24" s="1619" t="str">
        <f t="shared" si="54"/>
        <v/>
      </c>
      <c r="AL24" s="1620" t="str">
        <f t="shared" si="55"/>
        <v/>
      </c>
      <c r="AM24" s="1621" t="str">
        <f t="shared" si="56"/>
        <v/>
      </c>
      <c r="AN24" s="1139" t="str">
        <f t="shared" si="57"/>
        <v/>
      </c>
      <c r="AO24" s="1622" t="str">
        <f t="shared" si="58"/>
        <v/>
      </c>
      <c r="AP24" s="1141" t="str">
        <f t="shared" si="4"/>
        <v/>
      </c>
      <c r="AQ24" s="1623" t="str">
        <f t="shared" si="5"/>
        <v/>
      </c>
      <c r="AR24" s="1137" t="str">
        <f t="shared" si="17"/>
        <v/>
      </c>
      <c r="AS24" s="1138" t="str">
        <f t="shared" si="18"/>
        <v/>
      </c>
      <c r="AT24" s="1624" t="str">
        <f t="shared" si="19"/>
        <v/>
      </c>
      <c r="AU24" s="1625" t="str">
        <f t="shared" si="20"/>
        <v/>
      </c>
      <c r="AV24" s="1143" t="str">
        <f t="shared" si="21"/>
        <v/>
      </c>
      <c r="AW24" s="1138" t="str">
        <f t="shared" si="22"/>
        <v/>
      </c>
      <c r="AX24" s="1624" t="str">
        <f t="shared" si="23"/>
        <v/>
      </c>
      <c r="AY24" s="1625" t="str">
        <f t="shared" si="24"/>
        <v/>
      </c>
      <c r="AZ24" s="1143" t="str">
        <f t="shared" si="25"/>
        <v/>
      </c>
      <c r="BA24" s="1138" t="str">
        <f t="shared" si="26"/>
        <v/>
      </c>
      <c r="BB24" s="1624" t="str">
        <f t="shared" si="27"/>
        <v/>
      </c>
      <c r="BC24" s="1625" t="str">
        <f t="shared" si="28"/>
        <v/>
      </c>
      <c r="BD24" s="1143" t="str">
        <f t="shared" si="29"/>
        <v/>
      </c>
      <c r="BE24" s="1138" t="str">
        <f t="shared" si="30"/>
        <v/>
      </c>
      <c r="BF24" s="1624" t="str">
        <f t="shared" si="59"/>
        <v/>
      </c>
      <c r="BG24" s="1625" t="str">
        <f t="shared" si="60"/>
        <v/>
      </c>
      <c r="BH24" s="180"/>
      <c r="BJ24" s="63"/>
      <c r="BK24" s="56"/>
      <c r="BW24" s="910">
        <f t="shared" ca="1" si="33"/>
        <v>0</v>
      </c>
      <c r="BX24" s="911" t="str">
        <f t="shared" ca="1" si="40"/>
        <v/>
      </c>
      <c r="BY24" s="911" t="b">
        <f t="shared" ca="1" si="34"/>
        <v>0</v>
      </c>
      <c r="BZ24" s="1217" t="e">
        <f t="shared" si="41"/>
        <v>#REF!</v>
      </c>
      <c r="CB24" s="2137"/>
      <c r="CC24" s="2138"/>
      <c r="CD24" s="2138"/>
      <c r="CE24" s="2138"/>
      <c r="CF24" s="2078"/>
      <c r="CG24" s="2133" t="s">
        <v>166</v>
      </c>
      <c r="CH24" s="2134"/>
      <c r="CI24" s="2134"/>
      <c r="CJ24" s="2134"/>
      <c r="CK24" s="2134"/>
      <c r="CL24" s="2134"/>
      <c r="CM24" s="2134"/>
      <c r="CN24" s="2073"/>
      <c r="CO24" s="2073"/>
      <c r="CP24" s="2074"/>
      <c r="CQ24" s="2133" t="s">
        <v>167</v>
      </c>
      <c r="CR24" s="2134"/>
      <c r="CS24" s="2134"/>
      <c r="CT24" s="2134"/>
      <c r="CU24" s="2134"/>
      <c r="CV24" s="2134"/>
      <c r="CW24" s="2134"/>
      <c r="CX24" s="2073"/>
      <c r="CY24" s="2073"/>
      <c r="CZ24" s="2074"/>
      <c r="DA24" s="1455"/>
      <c r="DB24" s="2156"/>
      <c r="DC24" s="2157"/>
      <c r="DD24" s="2157"/>
      <c r="DE24" s="2158"/>
      <c r="DF24" s="58"/>
      <c r="DG24" s="58"/>
      <c r="DH24" s="616"/>
      <c r="DI24" s="617"/>
      <c r="DJ24" s="638"/>
      <c r="DK24" s="1245"/>
      <c r="DL24" s="618"/>
      <c r="DM24" s="639"/>
      <c r="DN24" s="1248"/>
      <c r="DO24" s="619"/>
      <c r="DP24" s="620"/>
      <c r="DQ24" s="1294"/>
      <c r="DR24" s="621"/>
      <c r="DS24" s="1491"/>
      <c r="DT24" s="1486"/>
      <c r="DU24" s="1487"/>
      <c r="DV24" s="622"/>
      <c r="DW24" s="1250"/>
      <c r="DX24" s="623"/>
      <c r="DY24" s="624"/>
      <c r="DZ24" s="622"/>
      <c r="EA24" s="1250"/>
      <c r="EB24" s="623"/>
      <c r="EC24" s="624"/>
      <c r="ED24" s="622"/>
      <c r="EE24" s="1250"/>
      <c r="EF24" s="623"/>
      <c r="EG24" s="624"/>
      <c r="EH24" s="622"/>
      <c r="EI24" s="1250"/>
      <c r="EJ24" s="623"/>
      <c r="EK24" s="625"/>
      <c r="EL24" s="58"/>
      <c r="EM24" s="924"/>
      <c r="EN24" s="860"/>
      <c r="EO24" s="861"/>
      <c r="EP24" s="58"/>
      <c r="EQ24" s="58"/>
      <c r="ER24" s="58"/>
      <c r="ES24" s="58"/>
      <c r="ET24" s="2013" t="s">
        <v>291</v>
      </c>
      <c r="EU24" s="2014"/>
      <c r="EX24" s="870" t="str">
        <f t="shared" ca="1" si="35"/>
        <v/>
      </c>
      <c r="EY24" s="872" t="str">
        <f t="shared" si="6"/>
        <v/>
      </c>
      <c r="EZ24" s="872" t="str">
        <f t="shared" si="36"/>
        <v/>
      </c>
      <c r="FA24" s="891" t="str">
        <f t="shared" ca="1" si="42"/>
        <v/>
      </c>
      <c r="FB24" s="892" t="str">
        <f t="shared" ca="1" si="37"/>
        <v/>
      </c>
      <c r="FC24" s="892">
        <f t="shared" ca="1" si="7"/>
        <v>0</v>
      </c>
      <c r="FD24" s="892">
        <f t="shared" ca="1" si="8"/>
        <v>0</v>
      </c>
      <c r="FE24" s="892">
        <f t="shared" ca="1" si="9"/>
        <v>0</v>
      </c>
      <c r="FF24" s="892">
        <f t="shared" ca="1" si="38"/>
        <v>0</v>
      </c>
      <c r="FN24" s="703"/>
      <c r="FO24" s="703"/>
      <c r="FP24" s="703" t="b">
        <v>0</v>
      </c>
      <c r="FQ24" s="703" t="b">
        <f t="shared" si="39"/>
        <v>1</v>
      </c>
      <c r="FX24" s="103"/>
      <c r="FZ24" s="1"/>
      <c r="GA24" s="58"/>
      <c r="GB24" s="58"/>
      <c r="GC24" s="58"/>
      <c r="GD24" s="58"/>
      <c r="GE24" s="58"/>
      <c r="GF24" s="58"/>
      <c r="GG24" s="58"/>
      <c r="GH24" s="58"/>
      <c r="GI24" s="58"/>
      <c r="GJ24" s="58"/>
      <c r="GK24" s="1"/>
      <c r="ID24" s="723"/>
      <c r="IE24" s="1159"/>
      <c r="IF24" s="1160"/>
      <c r="IG24" s="1161"/>
      <c r="IH24" s="1162"/>
      <c r="II24" s="1160"/>
      <c r="IJ24" s="1161"/>
      <c r="IK24" s="1162"/>
      <c r="IL24" s="1160"/>
      <c r="IM24" s="1160"/>
      <c r="IN24" s="1160"/>
      <c r="IO24" s="1160"/>
      <c r="IP24" s="1160"/>
      <c r="IQ24" s="1160"/>
      <c r="IR24" s="1160"/>
      <c r="IS24" s="1161"/>
      <c r="IT24" s="1162"/>
      <c r="IU24" s="1160"/>
      <c r="IV24" s="1160"/>
      <c r="IW24" s="1161"/>
      <c r="IX24" s="1162"/>
      <c r="IY24" s="1160"/>
      <c r="IZ24" s="1160"/>
      <c r="JA24" s="1161"/>
      <c r="JB24" s="1162"/>
      <c r="JC24" s="1160"/>
      <c r="JD24" s="1160"/>
      <c r="JE24" s="1161"/>
      <c r="JF24" s="1162"/>
      <c r="JG24" s="1160"/>
      <c r="JH24" s="1160"/>
      <c r="JI24" s="1160"/>
      <c r="JJ24" s="1163"/>
      <c r="JK24" s="1160"/>
      <c r="JL24" s="1103">
        <f t="shared" ca="1" si="43"/>
        <v>0</v>
      </c>
      <c r="JM24" s="56"/>
    </row>
    <row r="25" spans="1:274" ht="12.6" customHeight="1" thickTop="1" thickBot="1" x14ac:dyDescent="0.25">
      <c r="A25" s="1006"/>
      <c r="B25" s="1006"/>
      <c r="C25" s="1006"/>
      <c r="D25" s="1006"/>
      <c r="E25" s="1006"/>
      <c r="F25" s="1006"/>
      <c r="G25" s="1006"/>
      <c r="H25" s="1006"/>
      <c r="I25" s="1006"/>
      <c r="J25" s="1006"/>
      <c r="K25" s="1006"/>
      <c r="L25" s="1006"/>
      <c r="M25" s="1006"/>
      <c r="N25" s="1006"/>
      <c r="O25" s="1006"/>
      <c r="P25" s="1006"/>
      <c r="Q25" s="1006"/>
      <c r="R25" s="1006"/>
      <c r="S25" s="1006"/>
      <c r="T25" s="1006"/>
      <c r="U25" s="1006"/>
      <c r="V25" s="1006"/>
      <c r="W25" s="1006"/>
      <c r="X25" s="1006"/>
      <c r="Y25" s="1006"/>
      <c r="Z25" s="1006"/>
      <c r="AA25" s="1292"/>
      <c r="AB25" s="1132" t="str">
        <f t="shared" si="64"/>
        <v/>
      </c>
      <c r="AC25" s="1139" t="str">
        <f t="shared" si="53"/>
        <v/>
      </c>
      <c r="AD25" s="1134" t="str">
        <f t="shared" ca="1" si="44"/>
        <v/>
      </c>
      <c r="AE25" s="1138" t="str">
        <f t="shared" ca="1" si="45"/>
        <v/>
      </c>
      <c r="AF25" s="1139" t="str">
        <f t="shared" ca="1" si="46"/>
        <v/>
      </c>
      <c r="AG25" s="1134" t="str">
        <f t="shared" ca="1" si="47"/>
        <v/>
      </c>
      <c r="AH25" s="1138" t="str">
        <f t="shared" ca="1" si="48"/>
        <v/>
      </c>
      <c r="AI25" s="1134" t="str">
        <f t="shared" ca="1" si="49"/>
        <v/>
      </c>
      <c r="AJ25" s="1138" t="str">
        <f t="shared" ca="1" si="50"/>
        <v/>
      </c>
      <c r="AK25" s="1619" t="str">
        <f t="shared" si="54"/>
        <v/>
      </c>
      <c r="AL25" s="1620" t="str">
        <f t="shared" si="55"/>
        <v/>
      </c>
      <c r="AM25" s="1621" t="str">
        <f t="shared" si="56"/>
        <v/>
      </c>
      <c r="AN25" s="1139" t="str">
        <f t="shared" si="57"/>
        <v/>
      </c>
      <c r="AO25" s="1622" t="str">
        <f t="shared" si="58"/>
        <v/>
      </c>
      <c r="AP25" s="1141" t="str">
        <f t="shared" si="4"/>
        <v/>
      </c>
      <c r="AQ25" s="1623" t="str">
        <f t="shared" si="5"/>
        <v/>
      </c>
      <c r="AR25" s="1137" t="str">
        <f t="shared" si="17"/>
        <v/>
      </c>
      <c r="AS25" s="1138" t="str">
        <f t="shared" si="18"/>
        <v/>
      </c>
      <c r="AT25" s="1624" t="str">
        <f t="shared" si="19"/>
        <v/>
      </c>
      <c r="AU25" s="1625" t="str">
        <f t="shared" si="20"/>
        <v/>
      </c>
      <c r="AV25" s="1143" t="str">
        <f t="shared" si="21"/>
        <v/>
      </c>
      <c r="AW25" s="1138" t="str">
        <f t="shared" si="22"/>
        <v/>
      </c>
      <c r="AX25" s="1624" t="str">
        <f t="shared" si="23"/>
        <v/>
      </c>
      <c r="AY25" s="1625" t="str">
        <f t="shared" si="24"/>
        <v/>
      </c>
      <c r="AZ25" s="1143" t="str">
        <f t="shared" si="25"/>
        <v/>
      </c>
      <c r="BA25" s="1138" t="str">
        <f t="shared" si="26"/>
        <v/>
      </c>
      <c r="BB25" s="1624" t="str">
        <f t="shared" si="27"/>
        <v/>
      </c>
      <c r="BC25" s="1625" t="str">
        <f t="shared" si="28"/>
        <v/>
      </c>
      <c r="BD25" s="1143" t="str">
        <f t="shared" si="29"/>
        <v/>
      </c>
      <c r="BE25" s="1138" t="str">
        <f t="shared" si="30"/>
        <v/>
      </c>
      <c r="BF25" s="1624" t="str">
        <f t="shared" si="59"/>
        <v/>
      </c>
      <c r="BG25" s="1625" t="str">
        <f t="shared" si="60"/>
        <v/>
      </c>
      <c r="BH25" s="180"/>
      <c r="BJ25" s="63"/>
      <c r="BK25" s="56"/>
      <c r="BW25" s="910">
        <f t="shared" ca="1" si="33"/>
        <v>0</v>
      </c>
      <c r="BX25" s="911" t="str">
        <f t="shared" ca="1" si="40"/>
        <v/>
      </c>
      <c r="BY25" s="911" t="b">
        <f t="shared" ca="1" si="34"/>
        <v>0</v>
      </c>
      <c r="BZ25" s="1217" t="e">
        <f t="shared" si="41"/>
        <v>#REF!</v>
      </c>
      <c r="CB25" s="2139"/>
      <c r="CC25" s="2140"/>
      <c r="CD25" s="2140"/>
      <c r="CE25" s="2140"/>
      <c r="CF25" s="2141"/>
      <c r="CG25" s="2135"/>
      <c r="CH25" s="2136"/>
      <c r="CI25" s="2136"/>
      <c r="CJ25" s="2136"/>
      <c r="CK25" s="2136"/>
      <c r="CL25" s="2136"/>
      <c r="CM25" s="2136"/>
      <c r="CN25" s="2077"/>
      <c r="CO25" s="2077"/>
      <c r="CP25" s="2078"/>
      <c r="CQ25" s="2148"/>
      <c r="CR25" s="2149"/>
      <c r="CS25" s="2149"/>
      <c r="CT25" s="2149"/>
      <c r="CU25" s="2149"/>
      <c r="CV25" s="2149"/>
      <c r="CW25" s="2149"/>
      <c r="CX25" s="2150"/>
      <c r="CY25" s="2150"/>
      <c r="CZ25" s="2151"/>
      <c r="DA25" s="1455"/>
      <c r="DB25" s="2152"/>
      <c r="DC25" s="2074"/>
      <c r="DD25" s="2154"/>
      <c r="DE25" s="2155"/>
      <c r="DF25" s="58"/>
      <c r="DG25" s="58"/>
      <c r="DH25" s="616"/>
      <c r="DI25" s="617"/>
      <c r="DJ25" s="638"/>
      <c r="DK25" s="1245"/>
      <c r="DL25" s="618"/>
      <c r="DM25" s="639"/>
      <c r="DN25" s="1248"/>
      <c r="DO25" s="619"/>
      <c r="DP25" s="620"/>
      <c r="DQ25" s="1294"/>
      <c r="DR25" s="621"/>
      <c r="DS25" s="1491"/>
      <c r="DT25" s="1486"/>
      <c r="DU25" s="1487"/>
      <c r="DV25" s="622"/>
      <c r="DW25" s="1250"/>
      <c r="DX25" s="623"/>
      <c r="DY25" s="624"/>
      <c r="DZ25" s="622"/>
      <c r="EA25" s="1250"/>
      <c r="EB25" s="623"/>
      <c r="EC25" s="624"/>
      <c r="ED25" s="622"/>
      <c r="EE25" s="1250"/>
      <c r="EF25" s="623"/>
      <c r="EG25" s="624"/>
      <c r="EH25" s="622"/>
      <c r="EI25" s="1250"/>
      <c r="EJ25" s="623"/>
      <c r="EK25" s="625"/>
      <c r="EL25" s="58"/>
      <c r="EM25" s="924"/>
      <c r="EN25" s="860"/>
      <c r="EO25" s="861"/>
      <c r="EP25" s="58"/>
      <c r="EQ25" s="58"/>
      <c r="ER25" s="58"/>
      <c r="ES25" s="58"/>
      <c r="ET25" s="2015"/>
      <c r="EU25" s="2016"/>
      <c r="EX25" s="870" t="str">
        <f t="shared" ca="1" si="35"/>
        <v/>
      </c>
      <c r="EY25" s="872" t="str">
        <f t="shared" si="6"/>
        <v/>
      </c>
      <c r="EZ25" s="872" t="str">
        <f t="shared" si="36"/>
        <v/>
      </c>
      <c r="FA25" s="891" t="str">
        <f t="shared" ca="1" si="42"/>
        <v/>
      </c>
      <c r="FB25" s="892" t="str">
        <f t="shared" ca="1" si="37"/>
        <v/>
      </c>
      <c r="FC25" s="892">
        <f t="shared" ca="1" si="7"/>
        <v>0</v>
      </c>
      <c r="FD25" s="892">
        <f t="shared" ca="1" si="8"/>
        <v>0</v>
      </c>
      <c r="FE25" s="892">
        <f t="shared" ca="1" si="9"/>
        <v>0</v>
      </c>
      <c r="FF25" s="892">
        <f t="shared" ca="1" si="38"/>
        <v>0</v>
      </c>
      <c r="FN25" s="703"/>
      <c r="FO25" s="703"/>
      <c r="FP25" s="703" t="b">
        <v>0</v>
      </c>
      <c r="FQ25" s="703" t="b">
        <f t="shared" si="39"/>
        <v>1</v>
      </c>
      <c r="FX25" s="103"/>
      <c r="FZ25" s="1"/>
      <c r="GA25" s="1884" t="s">
        <v>713</v>
      </c>
      <c r="GB25" s="1884"/>
      <c r="GC25" s="1884"/>
      <c r="GD25" s="1884"/>
      <c r="GE25" s="1884"/>
      <c r="GF25" s="1884"/>
      <c r="GG25" s="1885"/>
      <c r="GH25" s="1885"/>
      <c r="GI25" s="1885"/>
      <c r="GJ25" s="1885"/>
      <c r="GK25" s="1"/>
      <c r="ID25" s="723"/>
      <c r="IE25" s="1159"/>
      <c r="IF25" s="1160"/>
      <c r="IG25" s="1161"/>
      <c r="IH25" s="1162"/>
      <c r="II25" s="1160"/>
      <c r="IJ25" s="1161"/>
      <c r="IK25" s="1162"/>
      <c r="IL25" s="1160"/>
      <c r="IM25" s="1160"/>
      <c r="IN25" s="1160"/>
      <c r="IO25" s="1160"/>
      <c r="IP25" s="1160"/>
      <c r="IQ25" s="1160"/>
      <c r="IR25" s="1160"/>
      <c r="IS25" s="1161"/>
      <c r="IT25" s="1162"/>
      <c r="IU25" s="1160"/>
      <c r="IV25" s="1160"/>
      <c r="IW25" s="1161"/>
      <c r="IX25" s="1162"/>
      <c r="IY25" s="1160"/>
      <c r="IZ25" s="1160"/>
      <c r="JA25" s="1161"/>
      <c r="JB25" s="1162"/>
      <c r="JC25" s="1160"/>
      <c r="JD25" s="1160"/>
      <c r="JE25" s="1161"/>
      <c r="JF25" s="1162"/>
      <c r="JG25" s="1160"/>
      <c r="JH25" s="1160"/>
      <c r="JI25" s="1160"/>
      <c r="JJ25" s="1163"/>
      <c r="JK25" s="1160"/>
      <c r="JL25" s="1103">
        <f t="shared" ca="1" si="43"/>
        <v>0</v>
      </c>
      <c r="JM25" s="56"/>
    </row>
    <row r="26" spans="1:274" ht="12.6" customHeight="1" thickTop="1" thickBot="1" x14ac:dyDescent="0.25">
      <c r="A26" s="1848" t="s">
        <v>40</v>
      </c>
      <c r="B26" s="1849" t="s">
        <v>102</v>
      </c>
      <c r="C26" s="1849" t="s">
        <v>31</v>
      </c>
      <c r="D26" s="1849" t="s">
        <v>25</v>
      </c>
      <c r="E26" s="1850"/>
      <c r="F26" s="1851" t="s">
        <v>74</v>
      </c>
      <c r="G26" s="1824" t="s">
        <v>9</v>
      </c>
      <c r="H26" s="1822"/>
      <c r="I26" s="1822"/>
      <c r="J26" s="1822" t="s">
        <v>10</v>
      </c>
      <c r="K26" s="1822"/>
      <c r="L26" s="1825"/>
      <c r="M26" s="1852" t="s">
        <v>11</v>
      </c>
      <c r="N26" s="1853"/>
      <c r="O26" s="1854" t="s">
        <v>12</v>
      </c>
      <c r="P26" s="1819"/>
      <c r="Q26" s="1819" t="s">
        <v>13</v>
      </c>
      <c r="R26" s="1820"/>
      <c r="S26" s="1821" t="s">
        <v>14</v>
      </c>
      <c r="T26" s="1822"/>
      <c r="U26" s="1822"/>
      <c r="V26" s="1822"/>
      <c r="W26" s="1823"/>
      <c r="X26" s="1824" t="s">
        <v>85</v>
      </c>
      <c r="Y26" s="1825"/>
      <c r="Z26" s="1036" t="s">
        <v>15</v>
      </c>
      <c r="AA26" s="1826" t="s">
        <v>548</v>
      </c>
      <c r="AB26" s="1132" t="str">
        <f t="shared" si="64"/>
        <v/>
      </c>
      <c r="AC26" s="1139" t="str">
        <f t="shared" si="53"/>
        <v/>
      </c>
      <c r="AD26" s="1134" t="str">
        <f t="shared" ca="1" si="44"/>
        <v/>
      </c>
      <c r="AE26" s="1138" t="str">
        <f t="shared" ca="1" si="45"/>
        <v/>
      </c>
      <c r="AF26" s="1139" t="str">
        <f t="shared" ca="1" si="46"/>
        <v/>
      </c>
      <c r="AG26" s="1134" t="str">
        <f t="shared" ca="1" si="47"/>
        <v/>
      </c>
      <c r="AH26" s="1138" t="str">
        <f t="shared" ca="1" si="48"/>
        <v/>
      </c>
      <c r="AI26" s="1134" t="str">
        <f t="shared" ca="1" si="49"/>
        <v/>
      </c>
      <c r="AJ26" s="1138" t="str">
        <f t="shared" ca="1" si="50"/>
        <v/>
      </c>
      <c r="AK26" s="1619" t="str">
        <f t="shared" si="54"/>
        <v/>
      </c>
      <c r="AL26" s="1620" t="str">
        <f t="shared" si="55"/>
        <v/>
      </c>
      <c r="AM26" s="1621" t="str">
        <f t="shared" si="56"/>
        <v/>
      </c>
      <c r="AN26" s="1139" t="str">
        <f t="shared" si="57"/>
        <v/>
      </c>
      <c r="AO26" s="1622" t="str">
        <f t="shared" si="58"/>
        <v/>
      </c>
      <c r="AP26" s="1141" t="str">
        <f t="shared" si="4"/>
        <v/>
      </c>
      <c r="AQ26" s="1623" t="str">
        <f t="shared" si="5"/>
        <v/>
      </c>
      <c r="AR26" s="1137" t="str">
        <f t="shared" si="17"/>
        <v/>
      </c>
      <c r="AS26" s="1138" t="str">
        <f t="shared" si="18"/>
        <v/>
      </c>
      <c r="AT26" s="1624" t="str">
        <f t="shared" si="19"/>
        <v/>
      </c>
      <c r="AU26" s="1625" t="str">
        <f t="shared" si="20"/>
        <v/>
      </c>
      <c r="AV26" s="1143" t="str">
        <f t="shared" si="21"/>
        <v/>
      </c>
      <c r="AW26" s="1138" t="str">
        <f t="shared" si="22"/>
        <v/>
      </c>
      <c r="AX26" s="1624" t="str">
        <f t="shared" si="23"/>
        <v/>
      </c>
      <c r="AY26" s="1625" t="str">
        <f t="shared" si="24"/>
        <v/>
      </c>
      <c r="AZ26" s="1143" t="str">
        <f t="shared" si="25"/>
        <v/>
      </c>
      <c r="BA26" s="1138" t="str">
        <f t="shared" si="26"/>
        <v/>
      </c>
      <c r="BB26" s="1624" t="str">
        <f t="shared" si="27"/>
        <v/>
      </c>
      <c r="BC26" s="1625" t="str">
        <f t="shared" si="28"/>
        <v/>
      </c>
      <c r="BD26" s="1143" t="str">
        <f t="shared" si="29"/>
        <v/>
      </c>
      <c r="BE26" s="1138" t="str">
        <f t="shared" si="30"/>
        <v/>
      </c>
      <c r="BF26" s="1624" t="str">
        <f t="shared" si="59"/>
        <v/>
      </c>
      <c r="BG26" s="1625" t="str">
        <f t="shared" si="60"/>
        <v/>
      </c>
      <c r="BH26" s="180"/>
      <c r="BJ26" s="63"/>
      <c r="BK26" s="56"/>
      <c r="BW26" s="910">
        <f t="shared" ca="1" si="33"/>
        <v>0</v>
      </c>
      <c r="BX26" s="911" t="str">
        <f t="shared" ca="1" si="40"/>
        <v/>
      </c>
      <c r="BY26" s="911" t="b">
        <f t="shared" ca="1" si="34"/>
        <v>0</v>
      </c>
      <c r="BZ26" s="1217" t="e">
        <f t="shared" si="41"/>
        <v>#REF!</v>
      </c>
      <c r="CB26" s="1994" t="s">
        <v>289</v>
      </c>
      <c r="CC26" s="2069" t="s">
        <v>102</v>
      </c>
      <c r="CD26" s="1996" t="s">
        <v>175</v>
      </c>
      <c r="CE26" s="2063" t="s">
        <v>817</v>
      </c>
      <c r="CF26" s="2064"/>
      <c r="CG26" s="1857" t="s">
        <v>808</v>
      </c>
      <c r="CH26" s="1859" t="s">
        <v>271</v>
      </c>
      <c r="CI26" s="1860"/>
      <c r="CJ26" s="1859" t="s">
        <v>272</v>
      </c>
      <c r="CK26" s="1860"/>
      <c r="CL26" s="1876" t="s">
        <v>185</v>
      </c>
      <c r="CM26" s="1878" t="s">
        <v>404</v>
      </c>
      <c r="CN26" s="2142" t="s">
        <v>802</v>
      </c>
      <c r="CO26" s="2143"/>
      <c r="CP26" s="2144"/>
      <c r="CQ26" s="1863" t="s">
        <v>808</v>
      </c>
      <c r="CR26" s="1865" t="s">
        <v>271</v>
      </c>
      <c r="CS26" s="1866"/>
      <c r="CT26" s="1865" t="s">
        <v>272</v>
      </c>
      <c r="CU26" s="1866"/>
      <c r="CV26" s="2067" t="s">
        <v>185</v>
      </c>
      <c r="CW26" s="1874" t="s">
        <v>404</v>
      </c>
      <c r="CX26" s="2145" t="s">
        <v>802</v>
      </c>
      <c r="CY26" s="2146"/>
      <c r="CZ26" s="2147"/>
      <c r="DA26" s="1855" t="s">
        <v>416</v>
      </c>
      <c r="DB26" s="2153"/>
      <c r="DC26" s="2078"/>
      <c r="DD26" s="1871" t="s">
        <v>810</v>
      </c>
      <c r="DE26" s="1873" t="s">
        <v>811</v>
      </c>
      <c r="DF26" s="58"/>
      <c r="DG26" s="58"/>
      <c r="DH26" s="616"/>
      <c r="DI26" s="617"/>
      <c r="DJ26" s="638"/>
      <c r="DK26" s="1245"/>
      <c r="DL26" s="618"/>
      <c r="DM26" s="639"/>
      <c r="DN26" s="1248"/>
      <c r="DO26" s="619"/>
      <c r="DP26" s="620"/>
      <c r="DQ26" s="1294"/>
      <c r="DR26" s="621"/>
      <c r="DS26" s="1491"/>
      <c r="DT26" s="1486"/>
      <c r="DU26" s="1487"/>
      <c r="DV26" s="622"/>
      <c r="DW26" s="1250"/>
      <c r="DX26" s="623"/>
      <c r="DY26" s="624"/>
      <c r="DZ26" s="622"/>
      <c r="EA26" s="1250"/>
      <c r="EB26" s="623"/>
      <c r="EC26" s="624"/>
      <c r="ED26" s="622"/>
      <c r="EE26" s="1250"/>
      <c r="EF26" s="623"/>
      <c r="EG26" s="624"/>
      <c r="EH26" s="622"/>
      <c r="EI26" s="1250"/>
      <c r="EJ26" s="623"/>
      <c r="EK26" s="625"/>
      <c r="EL26" s="58"/>
      <c r="EM26" s="1880" t="s">
        <v>289</v>
      </c>
      <c r="EN26" s="1882" t="s">
        <v>266</v>
      </c>
      <c r="EO26" s="1883"/>
      <c r="EP26" s="1883"/>
      <c r="EQ26" s="1880" t="s">
        <v>267</v>
      </c>
      <c r="ER26" s="1869" t="s">
        <v>812</v>
      </c>
      <c r="ES26" s="1870"/>
      <c r="ET26" s="2017"/>
      <c r="EU26" s="2018"/>
      <c r="EX26" s="870" t="str">
        <f t="shared" ca="1" si="35"/>
        <v/>
      </c>
      <c r="EY26" s="872" t="str">
        <f t="shared" si="6"/>
        <v/>
      </c>
      <c r="EZ26" s="872" t="str">
        <f t="shared" si="36"/>
        <v/>
      </c>
      <c r="FA26" s="891" t="str">
        <f t="shared" ca="1" si="42"/>
        <v/>
      </c>
      <c r="FB26" s="892" t="str">
        <f t="shared" ca="1" si="37"/>
        <v/>
      </c>
      <c r="FC26" s="892">
        <f t="shared" ca="1" si="7"/>
        <v>0</v>
      </c>
      <c r="FD26" s="892">
        <f t="shared" ca="1" si="8"/>
        <v>0</v>
      </c>
      <c r="FE26" s="892">
        <f t="shared" ca="1" si="9"/>
        <v>0</v>
      </c>
      <c r="FF26" s="892">
        <f t="shared" ca="1" si="38"/>
        <v>0</v>
      </c>
      <c r="FN26" s="703"/>
      <c r="FO26" s="703"/>
      <c r="FP26" s="703" t="b">
        <v>0</v>
      </c>
      <c r="FQ26" s="703" t="b">
        <f t="shared" si="39"/>
        <v>1</v>
      </c>
      <c r="FX26" s="103"/>
      <c r="FZ26" s="1"/>
      <c r="GA26" s="1943" t="s">
        <v>361</v>
      </c>
      <c r="GB26" s="1944"/>
      <c r="GC26" s="1943" t="s">
        <v>253</v>
      </c>
      <c r="GD26" s="1944"/>
      <c r="GE26" s="1987" t="s">
        <v>364</v>
      </c>
      <c r="GF26" s="1989" t="s">
        <v>308</v>
      </c>
      <c r="GG26" s="1943" t="s">
        <v>715</v>
      </c>
      <c r="GH26" s="1944"/>
      <c r="GI26" s="1943" t="s">
        <v>714</v>
      </c>
      <c r="GJ26" s="1944"/>
      <c r="GK26" s="1947" t="s">
        <v>365</v>
      </c>
      <c r="GL26" s="1947" t="s">
        <v>366</v>
      </c>
      <c r="GM26" s="1947" t="s">
        <v>367</v>
      </c>
      <c r="GZ26" s="65"/>
      <c r="HA26" s="1953" t="s">
        <v>308</v>
      </c>
      <c r="HB26" s="1928" t="s">
        <v>707</v>
      </c>
      <c r="HC26" s="1928" t="s">
        <v>732</v>
      </c>
      <c r="HD26" s="1928" t="e">
        <f>IF($HA$1,"Bay Length","Overall Length")</f>
        <v>#REF!</v>
      </c>
      <c r="HE26" s="1929"/>
      <c r="HF26" s="1928" t="e">
        <f>IF($HA$1,"L Sect #","TC Width")</f>
        <v>#REF!</v>
      </c>
      <c r="HG26" s="1886" t="e">
        <f>IF($HA$1,"L Min Sup Wid","TCXL Feet")</f>
        <v>#REF!</v>
      </c>
      <c r="HH26" s="1886" t="e">
        <f>IF($HA$1,"L Max Sup Wid","TCXL Inch")</f>
        <v>#REF!</v>
      </c>
      <c r="HI26" s="1886" t="e">
        <f>IF($HA$1,"L Min Flg Ga","TCXL Type")</f>
        <v>#REF!</v>
      </c>
      <c r="HJ26" s="1886" t="e">
        <f>IF($HA$1,"L Max Flg Ga","TCXR Feet")</f>
        <v>#REF!</v>
      </c>
      <c r="HK26" s="1886" t="e">
        <f>IF($HA$1,"L Skew","TCXR Inch")</f>
        <v>#REF!</v>
      </c>
      <c r="HL26" s="1886" t="e">
        <f>IF($HA$1,"L Brg Slp","TCXR Type")</f>
        <v>#REF!</v>
      </c>
      <c r="HM26" s="1928" t="e">
        <f>IF($HA$1,"R Sect #","BDL")</f>
        <v>#REF!</v>
      </c>
      <c r="HN26" s="1886" t="e">
        <f>IF($HA$1,"R Min Sup Wid","BDR")</f>
        <v>#REF!</v>
      </c>
      <c r="HO26" s="1886" t="e">
        <f>IF($HA$1,"R Max Sup Wid","BCXL Feet")</f>
        <v>#REF!</v>
      </c>
      <c r="HP26" s="1886" t="e">
        <f>IF($HA$1,"R Min Flg Ga","BCXL Inch")</f>
        <v>#REF!</v>
      </c>
      <c r="HQ26" s="1886" t="e">
        <f>IF($HA$1,"R Max Flg Ga","BCXR Feet")</f>
        <v>#REF!</v>
      </c>
      <c r="HR26" s="1886" t="e">
        <f>IF($HA$1,"R Skew","BCXR Inch")</f>
        <v>#REF!</v>
      </c>
      <c r="HS26" s="1886" t="e">
        <f>IF($HA$1,"R Brg Slp","HL Feet")</f>
        <v>#REF!</v>
      </c>
      <c r="HT26" s="1886" t="e">
        <f>IF($HA$1,"TC Slope","HL Inch")</f>
        <v>#REF!</v>
      </c>
      <c r="HU26" s="1886" t="e">
        <f>IF($HA$1,"Load Notes","HR Feet")</f>
        <v>#REF!</v>
      </c>
      <c r="HV26" s="1886" t="e">
        <f>IF($HA$1,"Spcl Notes","HR Inch")</f>
        <v>#REF!</v>
      </c>
      <c r="HW26" s="1886" t="e">
        <f>IF($HA$1,"# KB","Slot Ga")</f>
        <v>#REF!</v>
      </c>
      <c r="HX26" s="1886" t="e">
        <f>IF($HA$1,"TC Width","L Seat Slp")</f>
        <v>#REF!</v>
      </c>
      <c r="HY26" s="1886" t="e">
        <f>IF($HA$1,"TCL Override","R Seat Slp")</f>
        <v>#REF!</v>
      </c>
      <c r="HZ26" s="1886" t="e">
        <f>IF($HA$1,"TCR Override","Load Notes")</f>
        <v>#REF!</v>
      </c>
      <c r="IA26" s="1886" t="e">
        <f>IF($HA$1,"L-BL Override","Spcl Notes")</f>
        <v>#REF!</v>
      </c>
      <c r="IB26" s="1888" t="e">
        <f>IF($HA$1,"R-BL Override","# KB")</f>
        <v>#REF!</v>
      </c>
      <c r="IC26" s="1886" t="e">
        <f>IF($HA$1,"BDL Override","-")</f>
        <v>#REF!</v>
      </c>
      <c r="ID26" s="1913" t="e">
        <f>IF($HA$1,"BDR Override","-")</f>
        <v>#REF!</v>
      </c>
      <c r="IE26" s="1159"/>
      <c r="IF26" s="1160"/>
      <c r="IG26" s="1161"/>
      <c r="IH26" s="1162"/>
      <c r="II26" s="1160"/>
      <c r="IJ26" s="1161"/>
      <c r="IK26" s="1162"/>
      <c r="IL26" s="1160"/>
      <c r="IM26" s="1160"/>
      <c r="IN26" s="1160"/>
      <c r="IO26" s="1160"/>
      <c r="IP26" s="1160"/>
      <c r="IQ26" s="1160"/>
      <c r="IR26" s="1160"/>
      <c r="IS26" s="1161"/>
      <c r="IT26" s="1162"/>
      <c r="IU26" s="1160"/>
      <c r="IV26" s="1160"/>
      <c r="IW26" s="1161"/>
      <c r="IX26" s="1162"/>
      <c r="IY26" s="1160"/>
      <c r="IZ26" s="1160"/>
      <c r="JA26" s="1161"/>
      <c r="JB26" s="1162"/>
      <c r="JC26" s="1160"/>
      <c r="JD26" s="1160"/>
      <c r="JE26" s="1161"/>
      <c r="JF26" s="1162"/>
      <c r="JG26" s="1160"/>
      <c r="JH26" s="1160"/>
      <c r="JI26" s="1160"/>
      <c r="JJ26" s="1163"/>
      <c r="JK26" s="1160"/>
      <c r="JL26" s="1103">
        <f t="shared" ca="1" si="43"/>
        <v>0</v>
      </c>
      <c r="JM26" s="56"/>
    </row>
    <row r="27" spans="1:274" ht="12.6" customHeight="1" thickTop="1" thickBot="1" x14ac:dyDescent="0.25">
      <c r="A27" s="1848"/>
      <c r="B27" s="1849"/>
      <c r="C27" s="1849"/>
      <c r="D27" s="1849"/>
      <c r="E27" s="1850"/>
      <c r="F27" s="1851"/>
      <c r="G27" s="1828" t="s">
        <v>16</v>
      </c>
      <c r="H27" s="1829"/>
      <c r="I27" s="1022" t="s">
        <v>385</v>
      </c>
      <c r="J27" s="1829" t="s">
        <v>16</v>
      </c>
      <c r="K27" s="1829"/>
      <c r="L27" s="976" t="s">
        <v>385</v>
      </c>
      <c r="M27" s="1026" t="s">
        <v>18</v>
      </c>
      <c r="N27" s="395" t="s">
        <v>19</v>
      </c>
      <c r="O27" s="1854"/>
      <c r="P27" s="1819"/>
      <c r="Q27" s="1819"/>
      <c r="R27" s="1820"/>
      <c r="S27" s="1830" t="s">
        <v>71</v>
      </c>
      <c r="T27" s="1829"/>
      <c r="U27" s="1829" t="s">
        <v>72</v>
      </c>
      <c r="V27" s="1829"/>
      <c r="W27" s="395" t="s">
        <v>27</v>
      </c>
      <c r="X27" s="1021" t="s">
        <v>86</v>
      </c>
      <c r="Y27" s="976" t="s">
        <v>87</v>
      </c>
      <c r="Z27" s="1037" t="s">
        <v>57</v>
      </c>
      <c r="AA27" s="1827"/>
      <c r="AB27" s="1132" t="str">
        <f t="shared" si="64"/>
        <v/>
      </c>
      <c r="AC27" s="1139" t="str">
        <f t="shared" si="53"/>
        <v/>
      </c>
      <c r="AD27" s="1134" t="str">
        <f t="shared" ca="1" si="44"/>
        <v/>
      </c>
      <c r="AE27" s="1138" t="str">
        <f t="shared" ca="1" si="45"/>
        <v/>
      </c>
      <c r="AF27" s="1139" t="str">
        <f t="shared" ca="1" si="46"/>
        <v/>
      </c>
      <c r="AG27" s="1134" t="str">
        <f t="shared" ca="1" si="47"/>
        <v/>
      </c>
      <c r="AH27" s="1138" t="str">
        <f t="shared" ca="1" si="48"/>
        <v/>
      </c>
      <c r="AI27" s="1134" t="str">
        <f t="shared" ca="1" si="49"/>
        <v/>
      </c>
      <c r="AJ27" s="1138" t="str">
        <f t="shared" ca="1" si="50"/>
        <v/>
      </c>
      <c r="AK27" s="1619" t="str">
        <f t="shared" si="54"/>
        <v/>
      </c>
      <c r="AL27" s="1620" t="str">
        <f t="shared" si="55"/>
        <v/>
      </c>
      <c r="AM27" s="1621" t="str">
        <f t="shared" si="56"/>
        <v/>
      </c>
      <c r="AN27" s="1139" t="str">
        <f t="shared" si="57"/>
        <v/>
      </c>
      <c r="AO27" s="1622" t="str">
        <f t="shared" si="58"/>
        <v/>
      </c>
      <c r="AP27" s="1141" t="str">
        <f t="shared" si="4"/>
        <v/>
      </c>
      <c r="AQ27" s="1623" t="str">
        <f t="shared" si="5"/>
        <v/>
      </c>
      <c r="AR27" s="1137" t="str">
        <f t="shared" si="17"/>
        <v/>
      </c>
      <c r="AS27" s="1138" t="str">
        <f t="shared" si="18"/>
        <v/>
      </c>
      <c r="AT27" s="1624" t="str">
        <f t="shared" si="19"/>
        <v/>
      </c>
      <c r="AU27" s="1625" t="str">
        <f t="shared" si="20"/>
        <v/>
      </c>
      <c r="AV27" s="1143" t="str">
        <f t="shared" si="21"/>
        <v/>
      </c>
      <c r="AW27" s="1138" t="str">
        <f t="shared" si="22"/>
        <v/>
      </c>
      <c r="AX27" s="1624" t="str">
        <f t="shared" si="23"/>
        <v/>
      </c>
      <c r="AY27" s="1625" t="str">
        <f t="shared" si="24"/>
        <v/>
      </c>
      <c r="AZ27" s="1143" t="str">
        <f t="shared" si="25"/>
        <v/>
      </c>
      <c r="BA27" s="1138" t="str">
        <f t="shared" si="26"/>
        <v/>
      </c>
      <c r="BB27" s="1624" t="str">
        <f t="shared" si="27"/>
        <v/>
      </c>
      <c r="BC27" s="1625" t="str">
        <f t="shared" si="28"/>
        <v/>
      </c>
      <c r="BD27" s="1143" t="str">
        <f t="shared" si="29"/>
        <v/>
      </c>
      <c r="BE27" s="1138" t="str">
        <f t="shared" si="30"/>
        <v/>
      </c>
      <c r="BF27" s="1624" t="str">
        <f t="shared" si="59"/>
        <v/>
      </c>
      <c r="BG27" s="1625" t="str">
        <f t="shared" si="60"/>
        <v/>
      </c>
      <c r="BH27" s="180"/>
      <c r="BJ27" s="460" t="s">
        <v>308</v>
      </c>
      <c r="BK27" s="461" t="s">
        <v>402</v>
      </c>
      <c r="BL27" s="294" t="s">
        <v>138</v>
      </c>
      <c r="BM27" s="294" t="s">
        <v>139</v>
      </c>
      <c r="BN27" s="294" t="s">
        <v>140</v>
      </c>
      <c r="BO27" s="294" t="s">
        <v>150</v>
      </c>
      <c r="BP27" s="294" t="s">
        <v>151</v>
      </c>
      <c r="BQ27" s="294" t="s">
        <v>152</v>
      </c>
      <c r="BR27" s="294" t="s">
        <v>146</v>
      </c>
      <c r="BS27" s="294" t="s">
        <v>143</v>
      </c>
      <c r="BT27" s="294" t="s">
        <v>142</v>
      </c>
      <c r="BU27" s="294" t="s">
        <v>144</v>
      </c>
      <c r="BV27" s="294" t="s">
        <v>145</v>
      </c>
      <c r="BW27" s="910">
        <f t="shared" ca="1" si="33"/>
        <v>0</v>
      </c>
      <c r="BX27" s="911" t="str">
        <f t="shared" ca="1" si="40"/>
        <v/>
      </c>
      <c r="BY27" s="911" t="b">
        <f t="shared" ca="1" si="34"/>
        <v>0</v>
      </c>
      <c r="BZ27" s="1217" t="e">
        <f t="shared" si="41"/>
        <v>#REF!</v>
      </c>
      <c r="CB27" s="1995"/>
      <c r="CC27" s="2068"/>
      <c r="CD27" s="1867"/>
      <c r="CE27" s="2065"/>
      <c r="CF27" s="2066"/>
      <c r="CG27" s="1858"/>
      <c r="CH27" s="1861"/>
      <c r="CI27" s="1862"/>
      <c r="CJ27" s="1861"/>
      <c r="CK27" s="1862"/>
      <c r="CL27" s="1877"/>
      <c r="CM27" s="1879"/>
      <c r="CN27" s="1425" t="s">
        <v>809</v>
      </c>
      <c r="CO27" s="1426" t="s">
        <v>804</v>
      </c>
      <c r="CP27" s="1427" t="s">
        <v>198</v>
      </c>
      <c r="CQ27" s="1864"/>
      <c r="CR27" s="1867"/>
      <c r="CS27" s="1868"/>
      <c r="CT27" s="1867"/>
      <c r="CU27" s="1868"/>
      <c r="CV27" s="2068"/>
      <c r="CW27" s="1875"/>
      <c r="CX27" s="1425" t="s">
        <v>809</v>
      </c>
      <c r="CY27" s="1426" t="s">
        <v>804</v>
      </c>
      <c r="CZ27" s="1427" t="s">
        <v>198</v>
      </c>
      <c r="DA27" s="1856"/>
      <c r="DB27" s="364" t="s">
        <v>151</v>
      </c>
      <c r="DC27" s="365" t="s">
        <v>250</v>
      </c>
      <c r="DD27" s="1872"/>
      <c r="DE27" s="1872"/>
      <c r="DF27" s="58"/>
      <c r="DG27" s="58"/>
      <c r="DH27" s="616"/>
      <c r="DI27" s="617"/>
      <c r="DJ27" s="638"/>
      <c r="DK27" s="1245"/>
      <c r="DL27" s="618"/>
      <c r="DM27" s="639"/>
      <c r="DN27" s="1248"/>
      <c r="DO27" s="619"/>
      <c r="DP27" s="620"/>
      <c r="DQ27" s="1294"/>
      <c r="DR27" s="621"/>
      <c r="DS27" s="1491"/>
      <c r="DT27" s="1486"/>
      <c r="DU27" s="1487"/>
      <c r="DV27" s="622"/>
      <c r="DW27" s="1250"/>
      <c r="DX27" s="623"/>
      <c r="DY27" s="624"/>
      <c r="DZ27" s="622"/>
      <c r="EA27" s="1250"/>
      <c r="EB27" s="623"/>
      <c r="EC27" s="624"/>
      <c r="ED27" s="622"/>
      <c r="EE27" s="1250"/>
      <c r="EF27" s="623"/>
      <c r="EG27" s="624"/>
      <c r="EH27" s="622"/>
      <c r="EI27" s="1250"/>
      <c r="EJ27" s="623"/>
      <c r="EK27" s="625"/>
      <c r="EL27" s="58"/>
      <c r="EM27" s="1942"/>
      <c r="EN27" s="465" t="s">
        <v>263</v>
      </c>
      <c r="EO27" s="366" t="s">
        <v>264</v>
      </c>
      <c r="EP27" s="367" t="s">
        <v>265</v>
      </c>
      <c r="EQ27" s="1881"/>
      <c r="ER27" s="480" t="s">
        <v>282</v>
      </c>
      <c r="ES27" s="481" t="s">
        <v>283</v>
      </c>
      <c r="ET27" s="482" t="s">
        <v>217</v>
      </c>
      <c r="EU27" s="483" t="s">
        <v>137</v>
      </c>
      <c r="EX27" s="870" t="str">
        <f t="shared" ca="1" si="35"/>
        <v/>
      </c>
      <c r="EY27" s="872" t="str">
        <f t="shared" si="6"/>
        <v/>
      </c>
      <c r="EZ27" s="872" t="str">
        <f t="shared" si="36"/>
        <v/>
      </c>
      <c r="FA27" s="891" t="str">
        <f t="shared" ca="1" si="42"/>
        <v/>
      </c>
      <c r="FB27" s="892" t="str">
        <f t="shared" ca="1" si="37"/>
        <v/>
      </c>
      <c r="FC27" s="892">
        <f t="shared" ca="1" si="7"/>
        <v>0</v>
      </c>
      <c r="FD27" s="892">
        <f t="shared" ca="1" si="8"/>
        <v>0</v>
      </c>
      <c r="FE27" s="892">
        <f t="shared" ca="1" si="9"/>
        <v>0</v>
      </c>
      <c r="FF27" s="892">
        <f t="shared" ca="1" si="38"/>
        <v>0</v>
      </c>
      <c r="FN27" s="703"/>
      <c r="FO27" s="703"/>
      <c r="FP27" s="703" t="b">
        <v>0</v>
      </c>
      <c r="FQ27" s="703" t="b">
        <f t="shared" si="39"/>
        <v>1</v>
      </c>
      <c r="FX27" s="103"/>
      <c r="FZ27" s="1"/>
      <c r="GA27" s="486" t="s">
        <v>362</v>
      </c>
      <c r="GB27" s="487" t="s">
        <v>363</v>
      </c>
      <c r="GC27" s="486" t="s">
        <v>282</v>
      </c>
      <c r="GD27" s="487" t="s">
        <v>283</v>
      </c>
      <c r="GE27" s="1988"/>
      <c r="GF27" s="1988"/>
      <c r="GG27" s="486" t="s">
        <v>362</v>
      </c>
      <c r="GH27" s="487" t="s">
        <v>363</v>
      </c>
      <c r="GI27" s="486" t="s">
        <v>362</v>
      </c>
      <c r="GJ27" s="487" t="s">
        <v>363</v>
      </c>
      <c r="GK27" s="1948"/>
      <c r="GL27" s="1948"/>
      <c r="GM27" s="1948"/>
      <c r="GZ27" s="65"/>
      <c r="HA27" s="1954"/>
      <c r="HB27" s="1887"/>
      <c r="HC27" s="1887"/>
      <c r="HD27" s="1887"/>
      <c r="HE27" s="1887"/>
      <c r="HF27" s="1887"/>
      <c r="HG27" s="1887"/>
      <c r="HH27" s="1887"/>
      <c r="HI27" s="1887"/>
      <c r="HJ27" s="1887"/>
      <c r="HK27" s="1887"/>
      <c r="HL27" s="1887"/>
      <c r="HM27" s="1887"/>
      <c r="HN27" s="1887"/>
      <c r="HO27" s="1887"/>
      <c r="HP27" s="1887"/>
      <c r="HQ27" s="1887"/>
      <c r="HR27" s="1887"/>
      <c r="HS27" s="1887"/>
      <c r="HT27" s="1887"/>
      <c r="HU27" s="1887"/>
      <c r="HV27" s="1887"/>
      <c r="HW27" s="1887"/>
      <c r="HX27" s="1887"/>
      <c r="HY27" s="1887"/>
      <c r="HZ27" s="1887"/>
      <c r="IA27" s="1887"/>
      <c r="IB27" s="1889"/>
      <c r="IC27" s="1887"/>
      <c r="ID27" s="1914"/>
      <c r="IE27" s="1159"/>
      <c r="IF27" s="1160"/>
      <c r="IG27" s="1161"/>
      <c r="IH27" s="1162"/>
      <c r="II27" s="1160"/>
      <c r="IJ27" s="1161"/>
      <c r="IK27" s="1162"/>
      <c r="IL27" s="1160"/>
      <c r="IM27" s="1160"/>
      <c r="IN27" s="1160"/>
      <c r="IO27" s="1160"/>
      <c r="IP27" s="1160"/>
      <c r="IQ27" s="1160"/>
      <c r="IR27" s="1160"/>
      <c r="IS27" s="1161"/>
      <c r="IT27" s="1162"/>
      <c r="IU27" s="1160"/>
      <c r="IV27" s="1160"/>
      <c r="IW27" s="1161"/>
      <c r="IX27" s="1162"/>
      <c r="IY27" s="1160"/>
      <c r="IZ27" s="1160"/>
      <c r="JA27" s="1161"/>
      <c r="JB27" s="1162"/>
      <c r="JC27" s="1160"/>
      <c r="JD27" s="1160"/>
      <c r="JE27" s="1161"/>
      <c r="JF27" s="1162"/>
      <c r="JG27" s="1160"/>
      <c r="JH27" s="1160"/>
      <c r="JI27" s="1160"/>
      <c r="JJ27" s="1163"/>
      <c r="JK27" s="1160"/>
      <c r="JL27" s="1103">
        <f t="shared" ca="1" si="43"/>
        <v>0</v>
      </c>
      <c r="JM27" s="56"/>
    </row>
    <row r="28" spans="1:274" ht="12.6" customHeight="1" thickTop="1" x14ac:dyDescent="0.3">
      <c r="A28" s="1569" t="str">
        <f t="shared" ref="A28:A45" si="65">IF(ISBLANK(CB28),"",CB28)</f>
        <v/>
      </c>
      <c r="B28" s="1570" t="str">
        <f t="shared" ref="B28:B45" si="66">IF(ISBLANK(CC28),"",CC28)</f>
        <v/>
      </c>
      <c r="C28" s="1571" t="str">
        <f t="shared" ref="C28:C45" si="67">IF(ISBLANK(CD28),"",CD28)</f>
        <v/>
      </c>
      <c r="D28" s="1572" t="str">
        <f t="shared" ref="D28:D44" si="68">IF(CV68="","",TRUNC(CV68/12))</f>
        <v/>
      </c>
      <c r="E28" s="1573" t="str">
        <f t="shared" ref="E28:E44" si="69">IF(CV68="","",CV68-(D28*12))</f>
        <v/>
      </c>
      <c r="F28" s="1574" t="str">
        <f t="shared" ref="F28:F45" si="70">IF(ISBLANK(DE28),"",DE28)</f>
        <v/>
      </c>
      <c r="G28" s="1575" t="str">
        <f t="shared" ref="G28:G44" si="71">IF(DD68=0,"",TRUNC(DD68/12))</f>
        <v/>
      </c>
      <c r="H28" s="1576" t="str">
        <f t="shared" ref="H28:H44" si="72">IF(DD68=0,"",DD68-(G28*12))</f>
        <v/>
      </c>
      <c r="I28" s="1577" t="str">
        <f t="shared" ref="I28:I44" si="73">IF(DD68=0,"",CE68)</f>
        <v/>
      </c>
      <c r="J28" s="1572" t="str">
        <f t="shared" ref="J28:J44" si="74">IF(DJ68=0,"",TRUNC(DJ68/12))</f>
        <v/>
      </c>
      <c r="K28" s="1576" t="str">
        <f t="shared" ref="K28:K44" si="75">IF(DJ68=0,"",DJ68-(J28*12))</f>
        <v/>
      </c>
      <c r="L28" s="1578" t="str">
        <f t="shared" ref="L28:L44" si="76">IF(DJ68=0,"",CN68)</f>
        <v/>
      </c>
      <c r="M28" s="1579" t="str">
        <f t="shared" ref="M28:M45" si="77">IF(CW68="","",CW68)</f>
        <v/>
      </c>
      <c r="N28" s="1580" t="str">
        <f t="shared" ref="N28:N45" si="78">IF(CX68="","",CX68)</f>
        <v/>
      </c>
      <c r="O28" s="1575" t="str">
        <f t="shared" ref="O28:O44" si="79">IF(DZ68="","",IF(AND(DZ68&gt;-12,DZ68&lt;0),-0.000001,TRUNC(DZ68/12)))</f>
        <v/>
      </c>
      <c r="P28" s="1576" t="str">
        <f t="shared" ref="P28:P44" si="80">IF(DZ68="","",IF(AND(DZ68&lt;0,DZ68-(O28*12)=0),-0.00001,DZ68-(O28*12)))</f>
        <v/>
      </c>
      <c r="Q28" s="1572" t="str">
        <f t="shared" ref="Q28:Q44" si="81">IF(EA68="","",IF(AND(EA68&gt;-12,EA68&lt;0),-0.000001,TRUNC(EA68/12)))</f>
        <v/>
      </c>
      <c r="R28" s="1573" t="str">
        <f t="shared" ref="R28:R44" si="82">IF(EA68="","",IF(AND(EA68&lt;0,EA68-(Q28*12)=0),-0.00001,EA68-(Q28*12)))</f>
        <v/>
      </c>
      <c r="S28" s="1581" t="str">
        <f t="shared" ref="S28:S44" si="83">IF(DR68="","",IF(DR68="ERR",TRUNC(DQ68/12),TRUNC(DR68/12)))</f>
        <v/>
      </c>
      <c r="T28" s="1576" t="str">
        <f t="shared" ref="T28:T44" si="84">IF(DR68="","",IF(DR68="ERR",DQ68-(S28*12),DR68-(S28*12)))</f>
        <v/>
      </c>
      <c r="U28" s="1572" t="str">
        <f t="shared" ref="U28:U44" si="85">IF(DY68="","",IF(DY68="ERR",TRUNC(DX68/12),TRUNC(DY68/12)))</f>
        <v/>
      </c>
      <c r="V28" s="1576" t="str">
        <f t="shared" ref="V28:V44" si="86">IF(DY68="","",IF(DY68="ERR",DX68-(U28*12),DY68-(U28*12)))</f>
        <v/>
      </c>
      <c r="W28" s="1580">
        <f t="shared" ref="W28:W44" si="87">IF(EC68="",0,EC68)</f>
        <v>0</v>
      </c>
      <c r="X28" s="1582" t="e">
        <f t="shared" ref="X28:X44" si="88">IF(EN68="","",EN68)</f>
        <v>#REF!</v>
      </c>
      <c r="Y28" s="1583" t="e">
        <f t="shared" ref="Y28:Y44" si="89">IF(ES68="","",ES68)</f>
        <v>#REF!</v>
      </c>
      <c r="Z28" s="1584" t="str">
        <f t="shared" ref="Z28:Z45" si="90">CONCATENATE(IF(DC28="","",CONCATENATE("[",SUBSTITUTE(DC28," ",""),"] ")),IF(DB28="","",CONCATENATE("(",SUBSTITUTE(DB28," ",""),")")))</f>
        <v/>
      </c>
      <c r="AA28" s="1585" t="str">
        <f t="shared" ref="AA28:AA45" si="91">IF(ISBLANK(DD28),"",DD28)</f>
        <v/>
      </c>
      <c r="AB28" s="1132" t="str">
        <f t="shared" si="64"/>
        <v/>
      </c>
      <c r="AC28" s="1139" t="str">
        <f t="shared" si="53"/>
        <v/>
      </c>
      <c r="AD28" s="1134" t="str">
        <f t="shared" ca="1" si="44"/>
        <v/>
      </c>
      <c r="AE28" s="1138" t="str">
        <f t="shared" ca="1" si="45"/>
        <v/>
      </c>
      <c r="AF28" s="1139" t="str">
        <f t="shared" ca="1" si="46"/>
        <v/>
      </c>
      <c r="AG28" s="1134" t="str">
        <f t="shared" ca="1" si="47"/>
        <v/>
      </c>
      <c r="AH28" s="1138" t="str">
        <f t="shared" ca="1" si="48"/>
        <v/>
      </c>
      <c r="AI28" s="1134" t="str">
        <f t="shared" ca="1" si="49"/>
        <v/>
      </c>
      <c r="AJ28" s="1138" t="str">
        <f t="shared" ca="1" si="50"/>
        <v/>
      </c>
      <c r="AK28" s="1619" t="str">
        <f t="shared" si="54"/>
        <v/>
      </c>
      <c r="AL28" s="1620" t="str">
        <f t="shared" si="55"/>
        <v/>
      </c>
      <c r="AM28" s="1621" t="str">
        <f t="shared" si="56"/>
        <v/>
      </c>
      <c r="AN28" s="1139" t="str">
        <f t="shared" si="57"/>
        <v/>
      </c>
      <c r="AO28" s="1622" t="str">
        <f t="shared" si="58"/>
        <v/>
      </c>
      <c r="AP28" s="1141" t="str">
        <f t="shared" si="4"/>
        <v/>
      </c>
      <c r="AQ28" s="1623" t="str">
        <f t="shared" si="5"/>
        <v/>
      </c>
      <c r="AR28" s="1137" t="str">
        <f t="shared" si="17"/>
        <v/>
      </c>
      <c r="AS28" s="1138" t="str">
        <f t="shared" si="18"/>
        <v/>
      </c>
      <c r="AT28" s="1624" t="str">
        <f t="shared" si="19"/>
        <v/>
      </c>
      <c r="AU28" s="1625" t="str">
        <f t="shared" si="20"/>
        <v/>
      </c>
      <c r="AV28" s="1143" t="str">
        <f t="shared" si="21"/>
        <v/>
      </c>
      <c r="AW28" s="1138" t="str">
        <f t="shared" si="22"/>
        <v/>
      </c>
      <c r="AX28" s="1624" t="str">
        <f t="shared" si="23"/>
        <v/>
      </c>
      <c r="AY28" s="1625" t="str">
        <f t="shared" si="24"/>
        <v/>
      </c>
      <c r="AZ28" s="1143" t="str">
        <f t="shared" si="25"/>
        <v/>
      </c>
      <c r="BA28" s="1138" t="str">
        <f t="shared" si="26"/>
        <v/>
      </c>
      <c r="BB28" s="1624" t="str">
        <f t="shared" si="27"/>
        <v/>
      </c>
      <c r="BC28" s="1625" t="str">
        <f t="shared" si="28"/>
        <v/>
      </c>
      <c r="BD28" s="1143" t="str">
        <f t="shared" si="29"/>
        <v/>
      </c>
      <c r="BE28" s="1138" t="str">
        <f t="shared" si="30"/>
        <v/>
      </c>
      <c r="BF28" s="1624" t="str">
        <f t="shared" si="59"/>
        <v/>
      </c>
      <c r="BG28" s="1625" t="str">
        <f t="shared" si="60"/>
        <v/>
      </c>
      <c r="BH28" s="180"/>
      <c r="BJ28" s="1215" t="str">
        <f>IF(OR(ISBLANK(A28),A28=""),"",A28)</f>
        <v/>
      </c>
      <c r="BK28" s="907" t="e">
        <f>IF($BK$1,IF(AND(BJ28&lt;&gt;"",OR(B28=0,B28="")),TRUE,FALSE),FALSE)</f>
        <v>#REF!</v>
      </c>
      <c r="BL28" s="908" t="b">
        <v>0</v>
      </c>
      <c r="BM28" s="908">
        <f>IF(C28="",0,VALUE(IF(BN28="","",LEFT(C28,SEARCH(BN28,C28)-1))))</f>
        <v>0</v>
      </c>
      <c r="BN28" s="908">
        <f>IF(C28="",0,IF(NOT(ISERROR(SEARCH("VG",C28))),"VG",IF(NOT(ISERROR(SEARCH("BG",C28))),"BG",IF(NOT(ISERROR(SEARCH("G",C28))),"G"))))</f>
        <v>0</v>
      </c>
      <c r="BO28" s="908">
        <f>IF(C28="",0,VALUE(MID(C28,SEARCH(BN28,C28)+LEN(BN28),SEARCH("N",C28)-SEARCH(BN28,C28)-LEN(BN28))))</f>
        <v>0</v>
      </c>
      <c r="BP28" s="908">
        <f t="shared" ref="BP28:BP45" si="92">IF(ISERROR(SEARCH("F", C28)),IF(C28="",0,IF(NOT(ISERROR(SEARCH("/", C28))),VALUE(MID(C28,SEARCH("N",C28)+1,SEARCH("/", C28)-SEARCH("N",C28)-1))&amp;"/"&amp;VALUE(MID(C28,SEARCH("/",C28)+1,SEARCH("K", C28)-SEARCH("/",C28)-1)),VALUE(MID(C28,SEARCH("N",C28)+1,SEARCH("K", C28)-SEARCH("N",C28)-1)))),IF(C28="",0,IF(NOT(ISERROR(SEARCH("/", C28))),VALUE(MID(C28,SEARCH("N",C28)+1,SEARCH("/", C28)-SEARCH("N",C28)-1))&amp;"/"&amp;VALUE(MID(C28,SEARCH("/",C28)+1,SEARCH("F", C28)-SEARCH("/",C28)-1)),VALUE(MID(C28,SEARCH("N",C28)+1,SEARCH("F", C28)-SEARCH("N",C28)-1)))))</f>
        <v>0</v>
      </c>
      <c r="BQ28" s="908">
        <f>IF(ISERROR(SEARCH("F",C28)),IF(C28="",0,IF(SEARCH("K",C28)=LEN(C28),0,VALUE(MID(C28,SEARCH("K",C28)+1,LEN(C28))))),IF(C28="",0,IF(SEARCH("F",C28)=LEN(C28),0,VALUE(MID(C28,SEARCH("F",C28)+1,LEN(C28))))))</f>
        <v>0</v>
      </c>
      <c r="BR28" s="908" t="b">
        <f>IF(OR(ISERROR(BM28),ISERROR(BN28),ISERROR(BO28),ISERROR(BP28),ISERROR(BQ28)),FALSE,TRUE)</f>
        <v>1</v>
      </c>
      <c r="BS28" s="1216">
        <f>6+IF(LEFT(I28,1)="R",IF(ISNUMBER(G28),G28*12,0)+IF(ISNUMBER(H28),H28,0),0)</f>
        <v>6</v>
      </c>
      <c r="BT28" s="909" t="str">
        <f>IF(IF(ISNUMBER(S28),S28*12,0)+IF(ISNUMBER(T28),T28,0)&gt;0,IF(AND(IF(ISNUMBER(S28),S28*12,0)+IF(ISNUMBER(T28),T28,0)&gt;=$FE$4/2+$EX$6,IF(ISNUMBER(S28),S28*12,0)+IF(ISNUMBER(T28),T28,0)&lt;=(BS28-($FE$4/2+$EX$6))+IF(I28="X",2,0)),"Yes","No"),"No")</f>
        <v>No</v>
      </c>
      <c r="BU28" s="1216">
        <f>6+IF(LEFT(L28,1)="R",IF(ISNUMBER(J28),J28*12,0)+IF(ISNUMBER(K28),K28,0),0)</f>
        <v>6</v>
      </c>
      <c r="BV28" s="909" t="str">
        <f>IF(IF(ISNUMBER(U28),U28*12,0)+IF(ISNUMBER(V28),V28,0)&gt;0,IF(AND(IF(ISNUMBER(U28),U28*12,0)+IF(ISNUMBER(V28),V28,0)&gt;=$FE$4/2+$EX$6,IF(ISNUMBER(U28),U28*12,0)+IF(ISNUMBER(V28),V28,0)&lt;=(BU28-($FE$4/2+$EX$6))+IF(L28="X",2,0)),"Yes","No"),"No")</f>
        <v>No</v>
      </c>
      <c r="BW28" s="910">
        <f t="shared" ca="1" si="33"/>
        <v>0</v>
      </c>
      <c r="BX28" s="911" t="str">
        <f t="shared" ca="1" si="40"/>
        <v/>
      </c>
      <c r="BY28" s="911" t="b">
        <f t="shared" ca="1" si="34"/>
        <v>0</v>
      </c>
      <c r="BZ28" s="1217" t="e">
        <f t="shared" si="41"/>
        <v>#REF!</v>
      </c>
      <c r="CB28" s="607"/>
      <c r="CC28" s="1566"/>
      <c r="CD28" s="642"/>
      <c r="CE28" s="643"/>
      <c r="CF28" s="1241"/>
      <c r="CG28" s="655"/>
      <c r="CH28" s="656"/>
      <c r="CI28" s="657"/>
      <c r="CJ28" s="656"/>
      <c r="CK28" s="657"/>
      <c r="CL28" s="658"/>
      <c r="CM28" s="691"/>
      <c r="CN28" s="1456"/>
      <c r="CO28" s="1457"/>
      <c r="CP28" s="1458"/>
      <c r="CQ28" s="655"/>
      <c r="CR28" s="656"/>
      <c r="CS28" s="657"/>
      <c r="CT28" s="656"/>
      <c r="CU28" s="657"/>
      <c r="CV28" s="658"/>
      <c r="CW28" s="691"/>
      <c r="CX28" s="1456"/>
      <c r="CY28" s="1457"/>
      <c r="CZ28" s="1458"/>
      <c r="DA28" s="659"/>
      <c r="DB28" s="886"/>
      <c r="DC28" s="887"/>
      <c r="DD28" s="1476"/>
      <c r="DE28" s="1477"/>
      <c r="DF28" s="58"/>
      <c r="DG28" s="58"/>
      <c r="DH28" s="616"/>
      <c r="DI28" s="617"/>
      <c r="DJ28" s="638"/>
      <c r="DK28" s="1245"/>
      <c r="DL28" s="618"/>
      <c r="DM28" s="639"/>
      <c r="DN28" s="1248"/>
      <c r="DO28" s="619"/>
      <c r="DP28" s="620"/>
      <c r="DQ28" s="1294"/>
      <c r="DR28" s="621"/>
      <c r="DS28" s="1491"/>
      <c r="DT28" s="1486"/>
      <c r="DU28" s="1487"/>
      <c r="DV28" s="622"/>
      <c r="DW28" s="1250"/>
      <c r="DX28" s="623"/>
      <c r="DY28" s="624"/>
      <c r="DZ28" s="622"/>
      <c r="EA28" s="1250"/>
      <c r="EB28" s="623"/>
      <c r="EC28" s="624"/>
      <c r="ED28" s="622"/>
      <c r="EE28" s="1250"/>
      <c r="EF28" s="623"/>
      <c r="EG28" s="624"/>
      <c r="EH28" s="622"/>
      <c r="EI28" s="1250"/>
      <c r="EJ28" s="623"/>
      <c r="EK28" s="625"/>
      <c r="EL28" s="58"/>
      <c r="EM28" s="1511" t="str">
        <f>IF(ISBLANK(CB28),"",CB28)</f>
        <v/>
      </c>
      <c r="EN28" s="1512" t="str">
        <f t="shared" ref="EN28:EN45" si="93">IF(DQ68=DR68,"",CONCATENATE(IF(CL28&lt;0,"NS ","FS "),IF(DR68="ERR","Slot Only",CONCATENATE("Slot @ ",DQ68))))</f>
        <v/>
      </c>
      <c r="EO28" s="589" t="str">
        <f t="shared" ref="EO28:EO45" si="94">IF(DX68=DY68,"",CONCATENATE(IF(CV28&lt;0,"FS ","NS "),IF(DY68="ERR","Slot Only",CONCATENATE("Slot @ ",DX68))))</f>
        <v/>
      </c>
      <c r="EP28" s="590" t="str">
        <f t="shared" ref="EP28:EP45" si="95">IF(EC68="","",IF(CI68&lt;&gt;EC68,CONCATENATE("LE slots @ ",CI68," Ga."),IF(CR68&lt;&gt;EC68,CONCATENATE("RE slots @ ",CR68," Ga."),"")))</f>
        <v/>
      </c>
      <c r="EQ28" s="753" t="str">
        <f t="shared" ref="EQ28:EQ45" si="96">IF(AND(ET28&lt;&gt;"",CL28&lt;&gt;"",EU28&lt;&gt;"",CV28&lt;&gt;""),"BE",IF(AND(ET28&lt;&gt;"",CL28&lt;&gt;""),"LE",IF(AND(EU28&lt;&gt;"",CV28&lt;&gt;""),"RE","")))</f>
        <v/>
      </c>
      <c r="ER28" s="1461" t="str">
        <f t="shared" ref="ER28:ER45" si="97">IF(ISBLANK(CO28),"",IF(CEILING(DB68,0.125)&lt;=DC68+$FA$4,"",CEILING(DB68,0.125)))</f>
        <v/>
      </c>
      <c r="ES28" s="1462" t="str">
        <f t="shared" ref="ES28:ES45" si="98">IF(ISBLANK(CY28),"",IF(CEILING(DH68,0.125)&lt;=DI68+$FA$4,"",CEILING(DH68,0.125)))</f>
        <v/>
      </c>
      <c r="ET28" s="1463" t="str">
        <f t="shared" ref="ET28:ET45" si="99">IF(CG28="","",IF($FB$4&gt;EV68,EV68,""))</f>
        <v/>
      </c>
      <c r="EU28" s="1464" t="str">
        <f t="shared" ref="EU28:EU45" si="100">IF(CQ28="","",IF($FB$4&gt;EW68,EW68,""))</f>
        <v/>
      </c>
      <c r="EX28" s="870" t="str">
        <f t="shared" ca="1" si="35"/>
        <v/>
      </c>
      <c r="EY28" s="872" t="str">
        <f t="shared" si="6"/>
        <v/>
      </c>
      <c r="EZ28" s="872" t="str">
        <f t="shared" si="36"/>
        <v/>
      </c>
      <c r="FA28" s="891" t="str">
        <f t="shared" ca="1" si="42"/>
        <v/>
      </c>
      <c r="FB28" s="892" t="str">
        <f t="shared" ca="1" si="37"/>
        <v/>
      </c>
      <c r="FC28" s="892">
        <f t="shared" ca="1" si="7"/>
        <v>0</v>
      </c>
      <c r="FD28" s="892">
        <f t="shared" ca="1" si="8"/>
        <v>0</v>
      </c>
      <c r="FE28" s="892">
        <f t="shared" ca="1" si="9"/>
        <v>0</v>
      </c>
      <c r="FF28" s="892">
        <f t="shared" ca="1" si="38"/>
        <v>0</v>
      </c>
      <c r="FN28" s="913" t="b">
        <v>0</v>
      </c>
      <c r="FO28" s="703" t="b">
        <f>NOT(ISERROR(VLOOKUP(A28,$AB$14:$AB$45,1,FALSE)))</f>
        <v>1</v>
      </c>
      <c r="FP28" s="703" t="b">
        <v>0</v>
      </c>
      <c r="FQ28" s="703" t="b">
        <f t="shared" si="39"/>
        <v>1</v>
      </c>
      <c r="FX28" s="103"/>
      <c r="FZ28" s="1"/>
      <c r="GA28" s="524" t="str">
        <f t="shared" ref="GA28:GA45" si="101">IF(GF28="","",CE28)</f>
        <v/>
      </c>
      <c r="GB28" s="566" t="str">
        <f t="shared" ref="GB28:GB45" si="102">IF(GF28="","",CF28)</f>
        <v/>
      </c>
      <c r="GC28" s="568" t="str">
        <f t="shared" ref="GC28:GC45" si="103">IF(GF28="","",IF(CD68="",0,CD68))</f>
        <v/>
      </c>
      <c r="GD28" s="569" t="str">
        <f t="shared" ref="GD28:GD45" si="104">IF(GF28="","",IF(CM68="",0,CM68))</f>
        <v/>
      </c>
      <c r="GE28" s="567" t="str">
        <f t="shared" ref="GE28:GE45" si="105">IF(GF28="","",IF(ISBLANK(DA28),IF(X28=Y28,0,MAX(ABS(X28),ABS(Y28))*IF(X28&lt;0,-1,1)),DA28))</f>
        <v/>
      </c>
      <c r="GF28" s="525" t="str">
        <f t="shared" ref="GF28:GF45" si="106">IF(A28=0,"",A28)</f>
        <v/>
      </c>
      <c r="GG28" s="1056"/>
      <c r="GH28" s="1057"/>
      <c r="GI28" s="1056"/>
      <c r="GJ28" s="1057"/>
      <c r="GK28" s="1523">
        <f t="shared" ref="GK28:GK45" si="107">IF(D28="",0,D28*12+E28)</f>
        <v>0</v>
      </c>
      <c r="GL28" s="1523" t="e">
        <f t="shared" ref="GL28:GL45" si="108">(GA28*12+GB28+GC28+GD28)/COS(ATAN(ABS(GE28/12)))</f>
        <v>#VALUE!</v>
      </c>
      <c r="GM28" s="1524" t="e">
        <f>IF(ABS(GK28-GL28)&gt;=#REF!,ABS(GK28-GL28),0)</f>
        <v>#VALUE!</v>
      </c>
      <c r="GZ28" s="64"/>
      <c r="HA28" s="1153"/>
      <c r="HB28" s="1154"/>
      <c r="HC28" s="1154"/>
      <c r="HD28" s="1155"/>
      <c r="HE28" s="1156"/>
      <c r="HF28" s="1154"/>
      <c r="HG28" s="1154"/>
      <c r="HH28" s="1154"/>
      <c r="HI28" s="1154"/>
      <c r="HJ28" s="1154"/>
      <c r="HK28" s="1154"/>
      <c r="HL28" s="1154"/>
      <c r="HM28" s="1154"/>
      <c r="HN28" s="1154"/>
      <c r="HO28" s="1154"/>
      <c r="HP28" s="1154"/>
      <c r="HQ28" s="1154"/>
      <c r="HR28" s="1154"/>
      <c r="HS28" s="1154"/>
      <c r="HT28" s="1154"/>
      <c r="HU28" s="1154"/>
      <c r="HV28" s="1154"/>
      <c r="HW28" s="1154"/>
      <c r="HX28" s="1154"/>
      <c r="HY28" s="1157"/>
      <c r="HZ28" s="1157"/>
      <c r="IA28" s="1157"/>
      <c r="IB28" s="1157"/>
      <c r="IC28" s="1157"/>
      <c r="ID28" s="1158"/>
      <c r="IE28" s="1159"/>
      <c r="IF28" s="1160"/>
      <c r="IG28" s="1161"/>
      <c r="IH28" s="1162"/>
      <c r="II28" s="1160"/>
      <c r="IJ28" s="1161"/>
      <c r="IK28" s="1162"/>
      <c r="IL28" s="1160"/>
      <c r="IM28" s="1160"/>
      <c r="IN28" s="1160"/>
      <c r="IO28" s="1160"/>
      <c r="IP28" s="1160"/>
      <c r="IQ28" s="1160"/>
      <c r="IR28" s="1160"/>
      <c r="IS28" s="1161"/>
      <c r="IT28" s="1162"/>
      <c r="IU28" s="1160"/>
      <c r="IV28" s="1160"/>
      <c r="IW28" s="1161"/>
      <c r="IX28" s="1162"/>
      <c r="IY28" s="1160"/>
      <c r="IZ28" s="1160"/>
      <c r="JA28" s="1161"/>
      <c r="JB28" s="1162"/>
      <c r="JC28" s="1160"/>
      <c r="JD28" s="1160"/>
      <c r="JE28" s="1161"/>
      <c r="JF28" s="1162"/>
      <c r="JG28" s="1160"/>
      <c r="JH28" s="1160"/>
      <c r="JI28" s="1160"/>
      <c r="JJ28" s="1163"/>
      <c r="JK28" s="1160"/>
      <c r="JL28" s="1103">
        <f t="shared" ca="1" si="43"/>
        <v>0</v>
      </c>
      <c r="JM28" s="56"/>
    </row>
    <row r="29" spans="1:274" ht="12.6" customHeight="1" x14ac:dyDescent="0.25">
      <c r="A29" s="1132" t="str">
        <f t="shared" si="65"/>
        <v/>
      </c>
      <c r="B29" s="1586" t="str">
        <f t="shared" si="66"/>
        <v/>
      </c>
      <c r="C29" s="1133" t="str">
        <f t="shared" si="67"/>
        <v/>
      </c>
      <c r="D29" s="1134" t="str">
        <f t="shared" si="68"/>
        <v/>
      </c>
      <c r="E29" s="1135" t="str">
        <f t="shared" si="69"/>
        <v/>
      </c>
      <c r="F29" s="1136" t="str">
        <f t="shared" si="70"/>
        <v/>
      </c>
      <c r="G29" s="1137" t="str">
        <f t="shared" si="71"/>
        <v/>
      </c>
      <c r="H29" s="1138" t="str">
        <f t="shared" si="72"/>
        <v/>
      </c>
      <c r="I29" s="1139" t="str">
        <f t="shared" si="73"/>
        <v/>
      </c>
      <c r="J29" s="1134" t="str">
        <f t="shared" si="74"/>
        <v/>
      </c>
      <c r="K29" s="1138" t="str">
        <f t="shared" si="75"/>
        <v/>
      </c>
      <c r="L29" s="1140" t="str">
        <f t="shared" si="76"/>
        <v/>
      </c>
      <c r="M29" s="1141" t="str">
        <f t="shared" si="77"/>
        <v/>
      </c>
      <c r="N29" s="1142" t="str">
        <f t="shared" si="78"/>
        <v/>
      </c>
      <c r="O29" s="1137" t="str">
        <f t="shared" si="79"/>
        <v/>
      </c>
      <c r="P29" s="1138" t="str">
        <f t="shared" si="80"/>
        <v/>
      </c>
      <c r="Q29" s="1134" t="str">
        <f t="shared" si="81"/>
        <v/>
      </c>
      <c r="R29" s="1135" t="str">
        <f t="shared" si="82"/>
        <v/>
      </c>
      <c r="S29" s="1143" t="str">
        <f t="shared" si="83"/>
        <v/>
      </c>
      <c r="T29" s="1138" t="str">
        <f t="shared" si="84"/>
        <v/>
      </c>
      <c r="U29" s="1134" t="str">
        <f t="shared" si="85"/>
        <v/>
      </c>
      <c r="V29" s="1138" t="str">
        <f t="shared" si="86"/>
        <v/>
      </c>
      <c r="W29" s="1142">
        <f t="shared" si="87"/>
        <v>0</v>
      </c>
      <c r="X29" s="1144" t="e">
        <f t="shared" si="88"/>
        <v>#REF!</v>
      </c>
      <c r="Y29" s="1145" t="e">
        <f t="shared" si="89"/>
        <v>#REF!</v>
      </c>
      <c r="Z29" s="1587" t="str">
        <f t="shared" si="90"/>
        <v/>
      </c>
      <c r="AA29" s="1206" t="str">
        <f t="shared" si="91"/>
        <v/>
      </c>
      <c r="AB29" s="1132" t="str">
        <f t="shared" si="64"/>
        <v/>
      </c>
      <c r="AC29" s="1139" t="str">
        <f t="shared" si="53"/>
        <v/>
      </c>
      <c r="AD29" s="1134" t="str">
        <f t="shared" ca="1" si="44"/>
        <v/>
      </c>
      <c r="AE29" s="1138" t="str">
        <f t="shared" ca="1" si="45"/>
        <v/>
      </c>
      <c r="AF29" s="1139" t="str">
        <f t="shared" ca="1" si="46"/>
        <v/>
      </c>
      <c r="AG29" s="1134" t="str">
        <f t="shared" ca="1" si="47"/>
        <v/>
      </c>
      <c r="AH29" s="1138" t="str">
        <f t="shared" ca="1" si="48"/>
        <v/>
      </c>
      <c r="AI29" s="1134" t="str">
        <f t="shared" ca="1" si="49"/>
        <v/>
      </c>
      <c r="AJ29" s="1138" t="str">
        <f t="shared" ca="1" si="50"/>
        <v/>
      </c>
      <c r="AK29" s="1619" t="str">
        <f t="shared" si="54"/>
        <v/>
      </c>
      <c r="AL29" s="1620" t="str">
        <f t="shared" si="55"/>
        <v/>
      </c>
      <c r="AM29" s="1621" t="str">
        <f t="shared" si="56"/>
        <v/>
      </c>
      <c r="AN29" s="1139" t="str">
        <f t="shared" si="57"/>
        <v/>
      </c>
      <c r="AO29" s="1622" t="str">
        <f t="shared" si="58"/>
        <v/>
      </c>
      <c r="AP29" s="1141" t="str">
        <f t="shared" si="4"/>
        <v/>
      </c>
      <c r="AQ29" s="1623" t="str">
        <f t="shared" si="5"/>
        <v/>
      </c>
      <c r="AR29" s="1137" t="str">
        <f t="shared" si="17"/>
        <v/>
      </c>
      <c r="AS29" s="1138" t="str">
        <f t="shared" si="18"/>
        <v/>
      </c>
      <c r="AT29" s="1624" t="str">
        <f t="shared" si="19"/>
        <v/>
      </c>
      <c r="AU29" s="1625" t="str">
        <f t="shared" si="20"/>
        <v/>
      </c>
      <c r="AV29" s="1143" t="str">
        <f t="shared" si="21"/>
        <v/>
      </c>
      <c r="AW29" s="1138" t="str">
        <f t="shared" si="22"/>
        <v/>
      </c>
      <c r="AX29" s="1624" t="str">
        <f t="shared" si="23"/>
        <v/>
      </c>
      <c r="AY29" s="1625" t="str">
        <f t="shared" si="24"/>
        <v/>
      </c>
      <c r="AZ29" s="1143" t="str">
        <f t="shared" si="25"/>
        <v/>
      </c>
      <c r="BA29" s="1138" t="str">
        <f t="shared" si="26"/>
        <v/>
      </c>
      <c r="BB29" s="1624" t="str">
        <f t="shared" si="27"/>
        <v/>
      </c>
      <c r="BC29" s="1625" t="str">
        <f t="shared" si="28"/>
        <v/>
      </c>
      <c r="BD29" s="1143" t="str">
        <f t="shared" si="29"/>
        <v/>
      </c>
      <c r="BE29" s="1138" t="str">
        <f t="shared" si="30"/>
        <v/>
      </c>
      <c r="BF29" s="1624" t="str">
        <f t="shared" si="59"/>
        <v/>
      </c>
      <c r="BG29" s="1625" t="str">
        <f t="shared" si="60"/>
        <v/>
      </c>
      <c r="BH29" s="180"/>
      <c r="BJ29" s="1215" t="str">
        <f>IF(AND(OR(ISBLANK(A29),A29=""),Z29&lt;&gt;""),BJ28,IF(OR(ISBLANK(A29),A29=""),"",A29))</f>
        <v/>
      </c>
      <c r="BK29" s="913" t="e">
        <f>IF($BK$1,IF(BJ29=BJ28,BK28,IF(AND(BJ29&lt;&gt;"",OR(B29=0,B29="")),TRUE,FALSE)),FALSE)</f>
        <v>#REF!</v>
      </c>
      <c r="BL29" s="908" t="b">
        <v>0</v>
      </c>
      <c r="BM29" s="908">
        <f t="shared" ref="BM29:BM45" si="109">IF(C29="",0,VALUE(IF(BN29="","",LEFT(C29,SEARCH(BN29,C29)-1))))</f>
        <v>0</v>
      </c>
      <c r="BN29" s="908">
        <f t="shared" ref="BN29:BN45" si="110">IF(C29="",0,IF(NOT(ISERROR(SEARCH("VG",C29))),"VG",IF(NOT(ISERROR(SEARCH("BG",C29))),"BG",IF(NOT(ISERROR(SEARCH("G",C29))),"G"))))</f>
        <v>0</v>
      </c>
      <c r="BO29" s="908">
        <f t="shared" ref="BO29:BO45" si="111">IF(C29="",0,VALUE(MID(C29,SEARCH(BN29,C29)+LEN(BN29),SEARCH("N",C29)-SEARCH(BN29,C29)-LEN(BN29))))</f>
        <v>0</v>
      </c>
      <c r="BP29" s="908">
        <f t="shared" si="92"/>
        <v>0</v>
      </c>
      <c r="BQ29" s="908">
        <f t="shared" ref="BQ29:BQ45" si="112">IF(ISERROR(SEARCH("F",C29)),IF(C29="",0,IF(SEARCH("K",C29)=LEN(C29),0,VALUE(MID(C29,SEARCH("K",C29)+1,LEN(C29))))),IF(C29="",0,IF(SEARCH("F",C29)=LEN(C29),0,VALUE(MID(C29,SEARCH("F",C29)+1,LEN(C29))))))</f>
        <v>0</v>
      </c>
      <c r="BR29" s="908" t="b">
        <f t="shared" ref="BR29:BR45" si="113">IF(OR(ISERROR(BM29),ISERROR(BN29),ISERROR(BO29),ISERROR(BP29),ISERROR(BQ29)),FALSE,TRUE)</f>
        <v>1</v>
      </c>
      <c r="BS29" s="1216">
        <f t="shared" ref="BS29:BS45" si="114">6+IF(LEFT(I29,1)="R",IF(ISNUMBER(G29),G29*12,0)+IF(ISNUMBER(H29),H29,0),0)</f>
        <v>6</v>
      </c>
      <c r="BT29" s="909" t="str">
        <f t="shared" ref="BT29:BT45" si="115">IF(IF(ISNUMBER(S29),S29*12,0)+IF(ISNUMBER(T29),T29,0)&gt;0,IF(AND(IF(ISNUMBER(S29),S29*12,0)+IF(ISNUMBER(T29),T29,0)&gt;=$FE$4/2+$EX$6,IF(ISNUMBER(S29),S29*12,0)+IF(ISNUMBER(T29),T29,0)&lt;=(BS29-($FE$4/2+$EX$6))+IF(I29="X",2,0)),"Yes","No"),"No")</f>
        <v>No</v>
      </c>
      <c r="BU29" s="1216">
        <f t="shared" ref="BU29:BU45" si="116">6+IF(LEFT(L29,1)="R",IF(ISNUMBER(J29),J29*12,0)+IF(ISNUMBER(K29),K29,0),0)</f>
        <v>6</v>
      </c>
      <c r="BV29" s="909" t="str">
        <f t="shared" ref="BV29:BV45" si="117">IF(IF(ISNUMBER(U29),U29*12,0)+IF(ISNUMBER(V29),V29,0)&gt;0,IF(AND(IF(ISNUMBER(U29),U29*12,0)+IF(ISNUMBER(V29),V29,0)&gt;=$FE$4/2+$EX$6,IF(ISNUMBER(U29),U29*12,0)+IF(ISNUMBER(V29),V29,0)&lt;=(BU29-($FE$4/2+$EX$6))+IF(L29="X",2,0)),"Yes","No"),"No")</f>
        <v>No</v>
      </c>
      <c r="BW29" s="910">
        <f t="shared" ca="1" si="33"/>
        <v>0</v>
      </c>
      <c r="BX29" s="911" t="str">
        <f t="shared" ca="1" si="40"/>
        <v/>
      </c>
      <c r="BY29" s="911" t="b">
        <f t="shared" ca="1" si="34"/>
        <v>0</v>
      </c>
      <c r="BZ29" s="1217" t="e">
        <f t="shared" si="41"/>
        <v>#REF!</v>
      </c>
      <c r="CB29" s="616"/>
      <c r="CC29" s="1567"/>
      <c r="CD29" s="645"/>
      <c r="CE29" s="646"/>
      <c r="CF29" s="1242"/>
      <c r="CG29" s="660"/>
      <c r="CH29" s="661"/>
      <c r="CI29" s="662"/>
      <c r="CJ29" s="661"/>
      <c r="CK29" s="662"/>
      <c r="CL29" s="663"/>
      <c r="CM29" s="692"/>
      <c r="CN29" s="687"/>
      <c r="CO29" s="1430"/>
      <c r="CP29" s="839"/>
      <c r="CQ29" s="660"/>
      <c r="CR29" s="661"/>
      <c r="CS29" s="662"/>
      <c r="CT29" s="661"/>
      <c r="CU29" s="662"/>
      <c r="CV29" s="663"/>
      <c r="CW29" s="692"/>
      <c r="CX29" s="687"/>
      <c r="CY29" s="1430"/>
      <c r="CZ29" s="839"/>
      <c r="DA29" s="665"/>
      <c r="DB29" s="648"/>
      <c r="DC29" s="649"/>
      <c r="DD29" s="1478"/>
      <c r="DE29" s="1479"/>
      <c r="DF29" s="58"/>
      <c r="DG29" s="58"/>
      <c r="DH29" s="616"/>
      <c r="DI29" s="617"/>
      <c r="DJ29" s="638"/>
      <c r="DK29" s="1245"/>
      <c r="DL29" s="618"/>
      <c r="DM29" s="639"/>
      <c r="DN29" s="1248"/>
      <c r="DO29" s="619"/>
      <c r="DP29" s="620"/>
      <c r="DQ29" s="1294"/>
      <c r="DR29" s="621"/>
      <c r="DS29" s="1491"/>
      <c r="DT29" s="1486"/>
      <c r="DU29" s="1487"/>
      <c r="DV29" s="622"/>
      <c r="DW29" s="1250"/>
      <c r="DX29" s="623"/>
      <c r="DY29" s="624"/>
      <c r="DZ29" s="622"/>
      <c r="EA29" s="1250"/>
      <c r="EB29" s="623"/>
      <c r="EC29" s="624"/>
      <c r="ED29" s="622"/>
      <c r="EE29" s="1250"/>
      <c r="EF29" s="623"/>
      <c r="EG29" s="624"/>
      <c r="EH29" s="622"/>
      <c r="EI29" s="1250"/>
      <c r="EJ29" s="623"/>
      <c r="EK29" s="625"/>
      <c r="EL29" s="58"/>
      <c r="EM29" s="1513" t="str">
        <f t="shared" ref="EM29:EM45" si="118">IF(ISBLANK(CB29),"",CB29)</f>
        <v/>
      </c>
      <c r="EN29" s="1514" t="str">
        <f t="shared" si="93"/>
        <v/>
      </c>
      <c r="EO29" s="591" t="str">
        <f t="shared" si="94"/>
        <v/>
      </c>
      <c r="EP29" s="592" t="str">
        <f t="shared" si="95"/>
        <v/>
      </c>
      <c r="EQ29" s="754" t="str">
        <f t="shared" si="96"/>
        <v/>
      </c>
      <c r="ER29" s="1465" t="str">
        <f t="shared" si="97"/>
        <v/>
      </c>
      <c r="ES29" s="1466" t="str">
        <f t="shared" si="98"/>
        <v/>
      </c>
      <c r="ET29" s="1467" t="str">
        <f t="shared" si="99"/>
        <v/>
      </c>
      <c r="EU29" s="1468" t="str">
        <f t="shared" si="100"/>
        <v/>
      </c>
      <c r="EX29" s="870" t="str">
        <f t="shared" ca="1" si="35"/>
        <v/>
      </c>
      <c r="EY29" s="872" t="str">
        <f t="shared" si="6"/>
        <v/>
      </c>
      <c r="EZ29" s="872" t="str">
        <f t="shared" si="36"/>
        <v/>
      </c>
      <c r="FA29" s="891" t="str">
        <f t="shared" ca="1" si="42"/>
        <v/>
      </c>
      <c r="FB29" s="892" t="str">
        <f t="shared" ca="1" si="37"/>
        <v/>
      </c>
      <c r="FC29" s="892">
        <f t="shared" ca="1" si="7"/>
        <v>0</v>
      </c>
      <c r="FD29" s="892">
        <f t="shared" ca="1" si="8"/>
        <v>0</v>
      </c>
      <c r="FE29" s="892">
        <f t="shared" ca="1" si="9"/>
        <v>0</v>
      </c>
      <c r="FF29" s="892">
        <f t="shared" ca="1" si="38"/>
        <v>0</v>
      </c>
      <c r="FN29" s="913" t="b">
        <v>0</v>
      </c>
      <c r="FO29" s="703" t="b">
        <f t="shared" ref="FO29:FO45" si="119">NOT(ISERROR(VLOOKUP(A29,$AB$14:$AB$45,1,FALSE)))</f>
        <v>1</v>
      </c>
      <c r="FP29" s="703" t="b">
        <v>0</v>
      </c>
      <c r="FQ29" s="703" t="b">
        <f t="shared" si="39"/>
        <v>1</v>
      </c>
      <c r="FX29" s="103"/>
      <c r="FZ29" s="1"/>
      <c r="GA29" s="524" t="str">
        <f t="shared" si="101"/>
        <v/>
      </c>
      <c r="GB29" s="566" t="str">
        <f t="shared" si="102"/>
        <v/>
      </c>
      <c r="GC29" s="568" t="str">
        <f t="shared" si="103"/>
        <v/>
      </c>
      <c r="GD29" s="569" t="str">
        <f t="shared" si="104"/>
        <v/>
      </c>
      <c r="GE29" s="567" t="str">
        <f t="shared" si="105"/>
        <v/>
      </c>
      <c r="GF29" s="525" t="str">
        <f t="shared" si="106"/>
        <v/>
      </c>
      <c r="GG29" s="1056"/>
      <c r="GH29" s="1058"/>
      <c r="GI29" s="1056"/>
      <c r="GJ29" s="1058"/>
      <c r="GK29" s="1523">
        <f t="shared" si="107"/>
        <v>0</v>
      </c>
      <c r="GL29" s="1523" t="e">
        <f t="shared" si="108"/>
        <v>#VALUE!</v>
      </c>
      <c r="GM29" s="1524" t="e">
        <f>IF(ABS(GK29-GL29)&gt;=#REF!,ABS(GK29-GL29),0)</f>
        <v>#VALUE!</v>
      </c>
      <c r="HA29" s="1159"/>
      <c r="HB29" s="1160"/>
      <c r="HC29" s="1160"/>
      <c r="HD29" s="1161"/>
      <c r="HE29" s="1162"/>
      <c r="HF29" s="1160"/>
      <c r="HG29" s="1160"/>
      <c r="HH29" s="1160"/>
      <c r="HI29" s="1160"/>
      <c r="HJ29" s="1160"/>
      <c r="HK29" s="1160"/>
      <c r="HL29" s="1160"/>
      <c r="HM29" s="1160"/>
      <c r="HN29" s="1160"/>
      <c r="HO29" s="1160"/>
      <c r="HP29" s="1160"/>
      <c r="HQ29" s="1160"/>
      <c r="HR29" s="1160"/>
      <c r="HS29" s="1160"/>
      <c r="HT29" s="1160"/>
      <c r="HU29" s="1160"/>
      <c r="HV29" s="1160"/>
      <c r="HW29" s="1160"/>
      <c r="HX29" s="1160"/>
      <c r="HY29" s="1164"/>
      <c r="HZ29" s="1164"/>
      <c r="IA29" s="1164"/>
      <c r="IB29" s="1164"/>
      <c r="IC29" s="1164"/>
      <c r="ID29" s="1165"/>
      <c r="IE29" s="1159"/>
      <c r="IF29" s="1160"/>
      <c r="IG29" s="1161"/>
      <c r="IH29" s="1162"/>
      <c r="II29" s="1160"/>
      <c r="IJ29" s="1161"/>
      <c r="IK29" s="1162"/>
      <c r="IL29" s="1160"/>
      <c r="IM29" s="1160"/>
      <c r="IN29" s="1160"/>
      <c r="IO29" s="1160"/>
      <c r="IP29" s="1160"/>
      <c r="IQ29" s="1160"/>
      <c r="IR29" s="1160"/>
      <c r="IS29" s="1161"/>
      <c r="IT29" s="1162"/>
      <c r="IU29" s="1160"/>
      <c r="IV29" s="1160"/>
      <c r="IW29" s="1161"/>
      <c r="IX29" s="1162"/>
      <c r="IY29" s="1160"/>
      <c r="IZ29" s="1160"/>
      <c r="JA29" s="1161"/>
      <c r="JB29" s="1162"/>
      <c r="JC29" s="1160"/>
      <c r="JD29" s="1160"/>
      <c r="JE29" s="1161"/>
      <c r="JF29" s="1162"/>
      <c r="JG29" s="1160"/>
      <c r="JH29" s="1160"/>
      <c r="JI29" s="1160"/>
      <c r="JJ29" s="1163"/>
      <c r="JK29" s="1160"/>
      <c r="JL29" s="1103">
        <f t="shared" ca="1" si="43"/>
        <v>0</v>
      </c>
      <c r="JM29" s="56"/>
    </row>
    <row r="30" spans="1:274" s="65" customFormat="1" ht="12.6" customHeight="1" x14ac:dyDescent="0.25">
      <c r="A30" s="1132" t="str">
        <f t="shared" si="65"/>
        <v/>
      </c>
      <c r="B30" s="1586" t="str">
        <f t="shared" si="66"/>
        <v/>
      </c>
      <c r="C30" s="1133" t="str">
        <f t="shared" si="67"/>
        <v/>
      </c>
      <c r="D30" s="1134" t="str">
        <f t="shared" si="68"/>
        <v/>
      </c>
      <c r="E30" s="1135" t="str">
        <f t="shared" si="69"/>
        <v/>
      </c>
      <c r="F30" s="1136" t="str">
        <f t="shared" si="70"/>
        <v/>
      </c>
      <c r="G30" s="1137" t="str">
        <f t="shared" si="71"/>
        <v/>
      </c>
      <c r="H30" s="1138" t="str">
        <f t="shared" si="72"/>
        <v/>
      </c>
      <c r="I30" s="1139" t="str">
        <f t="shared" si="73"/>
        <v/>
      </c>
      <c r="J30" s="1134" t="str">
        <f t="shared" si="74"/>
        <v/>
      </c>
      <c r="K30" s="1138" t="str">
        <f t="shared" si="75"/>
        <v/>
      </c>
      <c r="L30" s="1140" t="str">
        <f t="shared" si="76"/>
        <v/>
      </c>
      <c r="M30" s="1141" t="str">
        <f t="shared" si="77"/>
        <v/>
      </c>
      <c r="N30" s="1142" t="str">
        <f t="shared" si="78"/>
        <v/>
      </c>
      <c r="O30" s="1137" t="str">
        <f t="shared" si="79"/>
        <v/>
      </c>
      <c r="P30" s="1138" t="str">
        <f t="shared" si="80"/>
        <v/>
      </c>
      <c r="Q30" s="1134" t="str">
        <f t="shared" si="81"/>
        <v/>
      </c>
      <c r="R30" s="1135" t="str">
        <f t="shared" si="82"/>
        <v/>
      </c>
      <c r="S30" s="1143" t="str">
        <f t="shared" si="83"/>
        <v/>
      </c>
      <c r="T30" s="1138" t="str">
        <f t="shared" si="84"/>
        <v/>
      </c>
      <c r="U30" s="1134" t="str">
        <f t="shared" si="85"/>
        <v/>
      </c>
      <c r="V30" s="1138" t="str">
        <f t="shared" si="86"/>
        <v/>
      </c>
      <c r="W30" s="1142">
        <f t="shared" si="87"/>
        <v>0</v>
      </c>
      <c r="X30" s="1144" t="e">
        <f t="shared" si="88"/>
        <v>#REF!</v>
      </c>
      <c r="Y30" s="1145" t="e">
        <f t="shared" si="89"/>
        <v>#REF!</v>
      </c>
      <c r="Z30" s="1587" t="str">
        <f t="shared" si="90"/>
        <v/>
      </c>
      <c r="AA30" s="1206" t="str">
        <f t="shared" si="91"/>
        <v/>
      </c>
      <c r="AB30" s="1132" t="str">
        <f t="shared" si="64"/>
        <v/>
      </c>
      <c r="AC30" s="1139" t="str">
        <f t="shared" si="53"/>
        <v/>
      </c>
      <c r="AD30" s="1134" t="str">
        <f t="shared" ca="1" si="44"/>
        <v/>
      </c>
      <c r="AE30" s="1138" t="str">
        <f t="shared" ca="1" si="45"/>
        <v/>
      </c>
      <c r="AF30" s="1139" t="str">
        <f t="shared" ca="1" si="46"/>
        <v/>
      </c>
      <c r="AG30" s="1134" t="str">
        <f t="shared" ca="1" si="47"/>
        <v/>
      </c>
      <c r="AH30" s="1138" t="str">
        <f t="shared" ca="1" si="48"/>
        <v/>
      </c>
      <c r="AI30" s="1134" t="str">
        <f t="shared" ca="1" si="49"/>
        <v/>
      </c>
      <c r="AJ30" s="1138" t="str">
        <f t="shared" ca="1" si="50"/>
        <v/>
      </c>
      <c r="AK30" s="1619" t="str">
        <f t="shared" si="54"/>
        <v/>
      </c>
      <c r="AL30" s="1620" t="str">
        <f t="shared" si="55"/>
        <v/>
      </c>
      <c r="AM30" s="1621" t="str">
        <f t="shared" si="56"/>
        <v/>
      </c>
      <c r="AN30" s="1139" t="str">
        <f t="shared" si="57"/>
        <v/>
      </c>
      <c r="AO30" s="1622" t="str">
        <f t="shared" si="58"/>
        <v/>
      </c>
      <c r="AP30" s="1141" t="str">
        <f t="shared" si="4"/>
        <v/>
      </c>
      <c r="AQ30" s="1623" t="str">
        <f t="shared" si="5"/>
        <v/>
      </c>
      <c r="AR30" s="1137" t="str">
        <f t="shared" si="17"/>
        <v/>
      </c>
      <c r="AS30" s="1138" t="str">
        <f t="shared" si="18"/>
        <v/>
      </c>
      <c r="AT30" s="1624" t="str">
        <f t="shared" si="19"/>
        <v/>
      </c>
      <c r="AU30" s="1625" t="str">
        <f t="shared" si="20"/>
        <v/>
      </c>
      <c r="AV30" s="1143" t="str">
        <f t="shared" si="21"/>
        <v/>
      </c>
      <c r="AW30" s="1138" t="str">
        <f t="shared" si="22"/>
        <v/>
      </c>
      <c r="AX30" s="1624" t="str">
        <f t="shared" si="23"/>
        <v/>
      </c>
      <c r="AY30" s="1625" t="str">
        <f t="shared" si="24"/>
        <v/>
      </c>
      <c r="AZ30" s="1143" t="str">
        <f t="shared" si="25"/>
        <v/>
      </c>
      <c r="BA30" s="1138" t="str">
        <f t="shared" si="26"/>
        <v/>
      </c>
      <c r="BB30" s="1624" t="str">
        <f t="shared" si="27"/>
        <v/>
      </c>
      <c r="BC30" s="1625" t="str">
        <f t="shared" si="28"/>
        <v/>
      </c>
      <c r="BD30" s="1143" t="str">
        <f t="shared" si="29"/>
        <v/>
      </c>
      <c r="BE30" s="1138" t="str">
        <f t="shared" si="30"/>
        <v/>
      </c>
      <c r="BF30" s="1624" t="str">
        <f t="shared" si="59"/>
        <v/>
      </c>
      <c r="BG30" s="1625" t="str">
        <f t="shared" si="60"/>
        <v/>
      </c>
      <c r="BH30" s="181"/>
      <c r="BJ30" s="1215" t="str">
        <f t="shared" ref="BJ30:BJ45" si="120">IF(AND(OR(ISBLANK(A30),A30=""),Z30&lt;&gt;""),BJ29,IF(OR(ISBLANK(A30),A30=""),"",A30))</f>
        <v/>
      </c>
      <c r="BK30" s="913" t="e">
        <f>IF($BK$1,IF(BJ30=BJ29,BK29,IF(AND(BJ30&lt;&gt;"",OR(B30=0,B30="")),TRUE,FALSE)),FALSE)</f>
        <v>#REF!</v>
      </c>
      <c r="BL30" s="908" t="b">
        <v>0</v>
      </c>
      <c r="BM30" s="908">
        <f t="shared" si="109"/>
        <v>0</v>
      </c>
      <c r="BN30" s="908">
        <f t="shared" si="110"/>
        <v>0</v>
      </c>
      <c r="BO30" s="908">
        <f t="shared" si="111"/>
        <v>0</v>
      </c>
      <c r="BP30" s="908">
        <f t="shared" si="92"/>
        <v>0</v>
      </c>
      <c r="BQ30" s="908">
        <f t="shared" si="112"/>
        <v>0</v>
      </c>
      <c r="BR30" s="908" t="b">
        <f t="shared" si="113"/>
        <v>1</v>
      </c>
      <c r="BS30" s="1216">
        <f t="shared" si="114"/>
        <v>6</v>
      </c>
      <c r="BT30" s="909" t="str">
        <f t="shared" si="115"/>
        <v>No</v>
      </c>
      <c r="BU30" s="1216">
        <f t="shared" si="116"/>
        <v>6</v>
      </c>
      <c r="BV30" s="909" t="str">
        <f t="shared" si="117"/>
        <v>No</v>
      </c>
      <c r="BW30" s="910">
        <f t="shared" ca="1" si="33"/>
        <v>0</v>
      </c>
      <c r="BX30" s="911" t="str">
        <f t="shared" ca="1" si="40"/>
        <v/>
      </c>
      <c r="BY30" s="911" t="b">
        <f t="shared" ca="1" si="34"/>
        <v>0</v>
      </c>
      <c r="BZ30" s="1217" t="e">
        <f t="shared" si="41"/>
        <v>#REF!</v>
      </c>
      <c r="CB30" s="616"/>
      <c r="CC30" s="1567"/>
      <c r="CD30" s="645"/>
      <c r="CE30" s="646"/>
      <c r="CF30" s="1242"/>
      <c r="CG30" s="660"/>
      <c r="CH30" s="661"/>
      <c r="CI30" s="662"/>
      <c r="CJ30" s="661"/>
      <c r="CK30" s="662"/>
      <c r="CL30" s="663"/>
      <c r="CM30" s="692"/>
      <c r="CN30" s="687"/>
      <c r="CO30" s="1430"/>
      <c r="CP30" s="839"/>
      <c r="CQ30" s="660"/>
      <c r="CR30" s="661"/>
      <c r="CS30" s="662"/>
      <c r="CT30" s="661"/>
      <c r="CU30" s="662"/>
      <c r="CV30" s="663"/>
      <c r="CW30" s="692"/>
      <c r="CX30" s="687"/>
      <c r="CY30" s="1430"/>
      <c r="CZ30" s="839"/>
      <c r="DA30" s="665"/>
      <c r="DB30" s="648"/>
      <c r="DC30" s="649"/>
      <c r="DD30" s="1478"/>
      <c r="DE30" s="1479"/>
      <c r="DF30" s="58"/>
      <c r="DG30" s="58"/>
      <c r="DH30" s="616"/>
      <c r="DI30" s="617"/>
      <c r="DJ30" s="638"/>
      <c r="DK30" s="1245"/>
      <c r="DL30" s="618"/>
      <c r="DM30" s="639"/>
      <c r="DN30" s="1248"/>
      <c r="DO30" s="619"/>
      <c r="DP30" s="620"/>
      <c r="DQ30" s="1294"/>
      <c r="DR30" s="621"/>
      <c r="DS30" s="1491"/>
      <c r="DT30" s="1486"/>
      <c r="DU30" s="1487"/>
      <c r="DV30" s="622"/>
      <c r="DW30" s="1250"/>
      <c r="DX30" s="623"/>
      <c r="DY30" s="624"/>
      <c r="DZ30" s="622"/>
      <c r="EA30" s="1250"/>
      <c r="EB30" s="623"/>
      <c r="EC30" s="624"/>
      <c r="ED30" s="622"/>
      <c r="EE30" s="1250"/>
      <c r="EF30" s="623"/>
      <c r="EG30" s="624"/>
      <c r="EH30" s="622"/>
      <c r="EI30" s="1250"/>
      <c r="EJ30" s="623"/>
      <c r="EK30" s="625"/>
      <c r="EL30" s="58"/>
      <c r="EM30" s="1513" t="str">
        <f t="shared" si="118"/>
        <v/>
      </c>
      <c r="EN30" s="1514" t="str">
        <f t="shared" si="93"/>
        <v/>
      </c>
      <c r="EO30" s="591" t="str">
        <f t="shared" si="94"/>
        <v/>
      </c>
      <c r="EP30" s="592" t="str">
        <f t="shared" si="95"/>
        <v/>
      </c>
      <c r="EQ30" s="754" t="str">
        <f t="shared" si="96"/>
        <v/>
      </c>
      <c r="ER30" s="1469" t="str">
        <f t="shared" si="97"/>
        <v/>
      </c>
      <c r="ES30" s="1470" t="str">
        <f t="shared" si="98"/>
        <v/>
      </c>
      <c r="ET30" s="1467" t="str">
        <f t="shared" si="99"/>
        <v/>
      </c>
      <c r="EU30" s="1468" t="str">
        <f t="shared" si="100"/>
        <v/>
      </c>
      <c r="EV30" s="46"/>
      <c r="EW30" s="46"/>
      <c r="EX30" s="870" t="str">
        <f t="shared" ca="1" si="35"/>
        <v/>
      </c>
      <c r="EY30" s="872" t="str">
        <f t="shared" si="6"/>
        <v/>
      </c>
      <c r="EZ30" s="872" t="str">
        <f t="shared" si="36"/>
        <v/>
      </c>
      <c r="FA30" s="891" t="str">
        <f t="shared" ca="1" si="42"/>
        <v/>
      </c>
      <c r="FB30" s="892" t="str">
        <f t="shared" ca="1" si="37"/>
        <v/>
      </c>
      <c r="FC30" s="892">
        <f t="shared" ca="1" si="7"/>
        <v>0</v>
      </c>
      <c r="FD30" s="892">
        <f t="shared" ca="1" si="8"/>
        <v>0</v>
      </c>
      <c r="FE30" s="892">
        <f t="shared" ca="1" si="9"/>
        <v>0</v>
      </c>
      <c r="FF30" s="892">
        <f t="shared" ca="1" si="38"/>
        <v>0</v>
      </c>
      <c r="FN30" s="913" t="b">
        <v>0</v>
      </c>
      <c r="FO30" s="704" t="b">
        <f t="shared" si="119"/>
        <v>1</v>
      </c>
      <c r="FP30" s="703" t="b">
        <v>0</v>
      </c>
      <c r="FQ30" s="704" t="b">
        <f t="shared" si="39"/>
        <v>1</v>
      </c>
      <c r="FX30" s="103"/>
      <c r="FZ30" s="1"/>
      <c r="GA30" s="524" t="str">
        <f t="shared" si="101"/>
        <v/>
      </c>
      <c r="GB30" s="566" t="str">
        <f t="shared" si="102"/>
        <v/>
      </c>
      <c r="GC30" s="568" t="str">
        <f t="shared" si="103"/>
        <v/>
      </c>
      <c r="GD30" s="569" t="str">
        <f t="shared" si="104"/>
        <v/>
      </c>
      <c r="GE30" s="567" t="str">
        <f t="shared" si="105"/>
        <v/>
      </c>
      <c r="GF30" s="525" t="str">
        <f t="shared" si="106"/>
        <v/>
      </c>
      <c r="GG30" s="1056"/>
      <c r="GH30" s="1058"/>
      <c r="GI30" s="1056"/>
      <c r="GJ30" s="1058"/>
      <c r="GK30" s="1523">
        <f t="shared" si="107"/>
        <v>0</v>
      </c>
      <c r="GL30" s="1523" t="e">
        <f t="shared" si="108"/>
        <v>#VALUE!</v>
      </c>
      <c r="GM30" s="1524" t="e">
        <f>IF(ABS(GK30-GL30)&gt;=#REF!,ABS(GK30-GL30),0)</f>
        <v>#VALUE!</v>
      </c>
      <c r="GZ30" s="46"/>
      <c r="HA30" s="1159"/>
      <c r="HB30" s="1160"/>
      <c r="HC30" s="1160"/>
      <c r="HD30" s="1161"/>
      <c r="HE30" s="1162"/>
      <c r="HF30" s="1160"/>
      <c r="HG30" s="1160"/>
      <c r="HH30" s="1160"/>
      <c r="HI30" s="1160"/>
      <c r="HJ30" s="1160"/>
      <c r="HK30" s="1160"/>
      <c r="HL30" s="1160"/>
      <c r="HM30" s="1160"/>
      <c r="HN30" s="1160"/>
      <c r="HO30" s="1160"/>
      <c r="HP30" s="1160"/>
      <c r="HQ30" s="1160"/>
      <c r="HR30" s="1160"/>
      <c r="HS30" s="1160"/>
      <c r="HT30" s="1160"/>
      <c r="HU30" s="1160"/>
      <c r="HV30" s="1160"/>
      <c r="HW30" s="1160"/>
      <c r="HX30" s="1160"/>
      <c r="HY30" s="1166"/>
      <c r="HZ30" s="1166"/>
      <c r="IA30" s="1166"/>
      <c r="IB30" s="1166"/>
      <c r="IC30" s="1166"/>
      <c r="ID30" s="1165"/>
      <c r="IE30" s="1159"/>
      <c r="IF30" s="1160"/>
      <c r="IG30" s="1161"/>
      <c r="IH30" s="1162"/>
      <c r="II30" s="1160"/>
      <c r="IJ30" s="1161"/>
      <c r="IK30" s="1162"/>
      <c r="IL30" s="1160"/>
      <c r="IM30" s="1160"/>
      <c r="IN30" s="1160"/>
      <c r="IO30" s="1160"/>
      <c r="IP30" s="1160"/>
      <c r="IQ30" s="1160"/>
      <c r="IR30" s="1160"/>
      <c r="IS30" s="1161"/>
      <c r="IT30" s="1162"/>
      <c r="IU30" s="1160"/>
      <c r="IV30" s="1160"/>
      <c r="IW30" s="1161"/>
      <c r="IX30" s="1162"/>
      <c r="IY30" s="1160"/>
      <c r="IZ30" s="1160"/>
      <c r="JA30" s="1161"/>
      <c r="JB30" s="1162"/>
      <c r="JC30" s="1160"/>
      <c r="JD30" s="1160"/>
      <c r="JE30" s="1161"/>
      <c r="JF30" s="1162"/>
      <c r="JG30" s="1160"/>
      <c r="JH30" s="1160"/>
      <c r="JI30" s="1160"/>
      <c r="JJ30" s="1166"/>
      <c r="JK30" s="1160"/>
      <c r="JL30" s="1103">
        <f t="shared" ca="1" si="43"/>
        <v>0</v>
      </c>
      <c r="JM30" s="1088"/>
    </row>
    <row r="31" spans="1:274" s="65" customFormat="1" ht="12.6" customHeight="1" x14ac:dyDescent="0.25">
      <c r="A31" s="1132" t="str">
        <f t="shared" si="65"/>
        <v/>
      </c>
      <c r="B31" s="1586" t="str">
        <f t="shared" si="66"/>
        <v/>
      </c>
      <c r="C31" s="1133" t="str">
        <f t="shared" si="67"/>
        <v/>
      </c>
      <c r="D31" s="1134" t="str">
        <f t="shared" si="68"/>
        <v/>
      </c>
      <c r="E31" s="1135" t="str">
        <f t="shared" si="69"/>
        <v/>
      </c>
      <c r="F31" s="1136" t="str">
        <f t="shared" si="70"/>
        <v/>
      </c>
      <c r="G31" s="1137" t="str">
        <f t="shared" si="71"/>
        <v/>
      </c>
      <c r="H31" s="1138" t="str">
        <f t="shared" si="72"/>
        <v/>
      </c>
      <c r="I31" s="1139" t="str">
        <f t="shared" si="73"/>
        <v/>
      </c>
      <c r="J31" s="1134" t="str">
        <f t="shared" si="74"/>
        <v/>
      </c>
      <c r="K31" s="1138" t="str">
        <f t="shared" si="75"/>
        <v/>
      </c>
      <c r="L31" s="1140" t="str">
        <f t="shared" si="76"/>
        <v/>
      </c>
      <c r="M31" s="1141" t="str">
        <f t="shared" si="77"/>
        <v/>
      </c>
      <c r="N31" s="1142" t="str">
        <f t="shared" si="78"/>
        <v/>
      </c>
      <c r="O31" s="1137" t="str">
        <f t="shared" si="79"/>
        <v/>
      </c>
      <c r="P31" s="1138" t="str">
        <f t="shared" si="80"/>
        <v/>
      </c>
      <c r="Q31" s="1134" t="str">
        <f t="shared" si="81"/>
        <v/>
      </c>
      <c r="R31" s="1135" t="str">
        <f t="shared" si="82"/>
        <v/>
      </c>
      <c r="S31" s="1143" t="str">
        <f t="shared" si="83"/>
        <v/>
      </c>
      <c r="T31" s="1138" t="str">
        <f t="shared" si="84"/>
        <v/>
      </c>
      <c r="U31" s="1134" t="str">
        <f t="shared" si="85"/>
        <v/>
      </c>
      <c r="V31" s="1138" t="str">
        <f t="shared" si="86"/>
        <v/>
      </c>
      <c r="W31" s="1142">
        <f t="shared" si="87"/>
        <v>0</v>
      </c>
      <c r="X31" s="1144" t="e">
        <f t="shared" si="88"/>
        <v>#REF!</v>
      </c>
      <c r="Y31" s="1145" t="e">
        <f t="shared" si="89"/>
        <v>#REF!</v>
      </c>
      <c r="Z31" s="1587" t="str">
        <f t="shared" si="90"/>
        <v/>
      </c>
      <c r="AA31" s="1206" t="str">
        <f t="shared" si="91"/>
        <v/>
      </c>
      <c r="AB31" s="1132" t="str">
        <f t="shared" si="64"/>
        <v/>
      </c>
      <c r="AC31" s="1139" t="str">
        <f t="shared" si="53"/>
        <v/>
      </c>
      <c r="AD31" s="1134" t="str">
        <f t="shared" ca="1" si="44"/>
        <v/>
      </c>
      <c r="AE31" s="1138" t="str">
        <f t="shared" ca="1" si="45"/>
        <v/>
      </c>
      <c r="AF31" s="1139" t="str">
        <f t="shared" ca="1" si="46"/>
        <v/>
      </c>
      <c r="AG31" s="1134" t="str">
        <f t="shared" ca="1" si="47"/>
        <v/>
      </c>
      <c r="AH31" s="1138" t="str">
        <f t="shared" ca="1" si="48"/>
        <v/>
      </c>
      <c r="AI31" s="1134" t="str">
        <f t="shared" ca="1" si="49"/>
        <v/>
      </c>
      <c r="AJ31" s="1138" t="str">
        <f t="shared" ca="1" si="50"/>
        <v/>
      </c>
      <c r="AK31" s="1619" t="str">
        <f t="shared" si="54"/>
        <v/>
      </c>
      <c r="AL31" s="1620" t="str">
        <f t="shared" si="55"/>
        <v/>
      </c>
      <c r="AM31" s="1621" t="str">
        <f t="shared" si="56"/>
        <v/>
      </c>
      <c r="AN31" s="1139" t="str">
        <f t="shared" si="57"/>
        <v/>
      </c>
      <c r="AO31" s="1622" t="str">
        <f t="shared" si="58"/>
        <v/>
      </c>
      <c r="AP31" s="1141" t="str">
        <f t="shared" si="4"/>
        <v/>
      </c>
      <c r="AQ31" s="1623" t="str">
        <f t="shared" si="5"/>
        <v/>
      </c>
      <c r="AR31" s="1137" t="str">
        <f t="shared" si="17"/>
        <v/>
      </c>
      <c r="AS31" s="1138" t="str">
        <f t="shared" si="18"/>
        <v/>
      </c>
      <c r="AT31" s="1624" t="str">
        <f t="shared" si="19"/>
        <v/>
      </c>
      <c r="AU31" s="1625" t="str">
        <f t="shared" si="20"/>
        <v/>
      </c>
      <c r="AV31" s="1143" t="str">
        <f t="shared" si="21"/>
        <v/>
      </c>
      <c r="AW31" s="1138" t="str">
        <f t="shared" si="22"/>
        <v/>
      </c>
      <c r="AX31" s="1624" t="str">
        <f t="shared" si="23"/>
        <v/>
      </c>
      <c r="AY31" s="1625" t="str">
        <f t="shared" si="24"/>
        <v/>
      </c>
      <c r="AZ31" s="1143" t="str">
        <f t="shared" si="25"/>
        <v/>
      </c>
      <c r="BA31" s="1138" t="str">
        <f t="shared" si="26"/>
        <v/>
      </c>
      <c r="BB31" s="1624" t="str">
        <f t="shared" si="27"/>
        <v/>
      </c>
      <c r="BC31" s="1625" t="str">
        <f t="shared" si="28"/>
        <v/>
      </c>
      <c r="BD31" s="1143" t="str">
        <f t="shared" si="29"/>
        <v/>
      </c>
      <c r="BE31" s="1138" t="str">
        <f t="shared" si="30"/>
        <v/>
      </c>
      <c r="BF31" s="1624" t="str">
        <f t="shared" si="59"/>
        <v/>
      </c>
      <c r="BG31" s="1625" t="str">
        <f t="shared" si="60"/>
        <v/>
      </c>
      <c r="BH31" s="181"/>
      <c r="BJ31" s="1215" t="str">
        <f t="shared" si="120"/>
        <v/>
      </c>
      <c r="BK31" s="913" t="e">
        <f t="shared" ref="BK31:BK45" si="121">IF($BK$1,IF(BJ31=BJ30,BK30,IF(AND(BJ31&lt;&gt;"",OR(B31=0,B31="")),TRUE,FALSE)),FALSE)</f>
        <v>#REF!</v>
      </c>
      <c r="BL31" s="908" t="b">
        <v>0</v>
      </c>
      <c r="BM31" s="908">
        <f t="shared" si="109"/>
        <v>0</v>
      </c>
      <c r="BN31" s="908">
        <f t="shared" si="110"/>
        <v>0</v>
      </c>
      <c r="BO31" s="908">
        <f t="shared" si="111"/>
        <v>0</v>
      </c>
      <c r="BP31" s="908">
        <f t="shared" si="92"/>
        <v>0</v>
      </c>
      <c r="BQ31" s="908">
        <f t="shared" si="112"/>
        <v>0</v>
      </c>
      <c r="BR31" s="908" t="b">
        <f t="shared" si="113"/>
        <v>1</v>
      </c>
      <c r="BS31" s="1216">
        <f t="shared" si="114"/>
        <v>6</v>
      </c>
      <c r="BT31" s="909" t="str">
        <f t="shared" si="115"/>
        <v>No</v>
      </c>
      <c r="BU31" s="1216">
        <f t="shared" si="116"/>
        <v>6</v>
      </c>
      <c r="BV31" s="909" t="str">
        <f t="shared" si="117"/>
        <v>No</v>
      </c>
      <c r="BW31" s="910">
        <f t="shared" ca="1" si="33"/>
        <v>0</v>
      </c>
      <c r="BX31" s="911" t="str">
        <f t="shared" ca="1" si="40"/>
        <v/>
      </c>
      <c r="BY31" s="911" t="b">
        <f t="shared" ca="1" si="34"/>
        <v>0</v>
      </c>
      <c r="BZ31" s="1217" t="e">
        <f t="shared" si="41"/>
        <v>#REF!</v>
      </c>
      <c r="CB31" s="616"/>
      <c r="CC31" s="1567"/>
      <c r="CD31" s="645"/>
      <c r="CE31" s="646"/>
      <c r="CF31" s="1242"/>
      <c r="CG31" s="660"/>
      <c r="CH31" s="661"/>
      <c r="CI31" s="662"/>
      <c r="CJ31" s="661"/>
      <c r="CK31" s="662"/>
      <c r="CL31" s="663"/>
      <c r="CM31" s="692"/>
      <c r="CN31" s="687"/>
      <c r="CO31" s="1430"/>
      <c r="CP31" s="839"/>
      <c r="CQ31" s="660"/>
      <c r="CR31" s="661"/>
      <c r="CS31" s="662"/>
      <c r="CT31" s="661"/>
      <c r="CU31" s="662"/>
      <c r="CV31" s="663"/>
      <c r="CW31" s="692"/>
      <c r="CX31" s="687"/>
      <c r="CY31" s="1430"/>
      <c r="CZ31" s="839"/>
      <c r="DA31" s="665"/>
      <c r="DB31" s="648"/>
      <c r="DC31" s="649"/>
      <c r="DD31" s="1478"/>
      <c r="DE31" s="1479"/>
      <c r="DF31" s="58"/>
      <c r="DG31" s="58"/>
      <c r="DH31" s="616"/>
      <c r="DI31" s="617"/>
      <c r="DJ31" s="638"/>
      <c r="DK31" s="1245"/>
      <c r="DL31" s="618"/>
      <c r="DM31" s="639"/>
      <c r="DN31" s="1248"/>
      <c r="DO31" s="619"/>
      <c r="DP31" s="620"/>
      <c r="DQ31" s="1294"/>
      <c r="DR31" s="621"/>
      <c r="DS31" s="1491"/>
      <c r="DT31" s="1486"/>
      <c r="DU31" s="1487"/>
      <c r="DV31" s="622"/>
      <c r="DW31" s="1250"/>
      <c r="DX31" s="623"/>
      <c r="DY31" s="624"/>
      <c r="DZ31" s="622"/>
      <c r="EA31" s="1250"/>
      <c r="EB31" s="623"/>
      <c r="EC31" s="624"/>
      <c r="ED31" s="622"/>
      <c r="EE31" s="1250"/>
      <c r="EF31" s="623"/>
      <c r="EG31" s="624"/>
      <c r="EH31" s="622"/>
      <c r="EI31" s="1250"/>
      <c r="EJ31" s="623"/>
      <c r="EK31" s="625"/>
      <c r="EL31" s="58"/>
      <c r="EM31" s="1513" t="str">
        <f t="shared" si="118"/>
        <v/>
      </c>
      <c r="EN31" s="1514" t="str">
        <f t="shared" si="93"/>
        <v/>
      </c>
      <c r="EO31" s="591" t="str">
        <f t="shared" si="94"/>
        <v/>
      </c>
      <c r="EP31" s="592" t="str">
        <f t="shared" si="95"/>
        <v/>
      </c>
      <c r="EQ31" s="754" t="str">
        <f t="shared" si="96"/>
        <v/>
      </c>
      <c r="ER31" s="1469" t="str">
        <f t="shared" si="97"/>
        <v/>
      </c>
      <c r="ES31" s="1470" t="str">
        <f t="shared" si="98"/>
        <v/>
      </c>
      <c r="ET31" s="1467" t="str">
        <f t="shared" si="99"/>
        <v/>
      </c>
      <c r="EU31" s="1468" t="str">
        <f t="shared" si="100"/>
        <v/>
      </c>
      <c r="EV31" s="46"/>
      <c r="EW31" s="46"/>
      <c r="EX31" s="870" t="str">
        <f t="shared" ca="1" si="35"/>
        <v/>
      </c>
      <c r="EY31" s="872" t="str">
        <f t="shared" si="6"/>
        <v/>
      </c>
      <c r="EZ31" s="872" t="str">
        <f t="shared" si="36"/>
        <v/>
      </c>
      <c r="FA31" s="891" t="str">
        <f t="shared" ca="1" si="42"/>
        <v/>
      </c>
      <c r="FB31" s="892" t="str">
        <f t="shared" ca="1" si="37"/>
        <v/>
      </c>
      <c r="FC31" s="892">
        <f t="shared" ca="1" si="7"/>
        <v>0</v>
      </c>
      <c r="FD31" s="892">
        <f t="shared" ca="1" si="8"/>
        <v>0</v>
      </c>
      <c r="FE31" s="892">
        <f t="shared" ca="1" si="9"/>
        <v>0</v>
      </c>
      <c r="FF31" s="892">
        <f t="shared" ca="1" si="38"/>
        <v>0</v>
      </c>
      <c r="FN31" s="913" t="b">
        <v>0</v>
      </c>
      <c r="FO31" s="704" t="b">
        <f t="shared" si="119"/>
        <v>1</v>
      </c>
      <c r="FP31" s="703" t="b">
        <v>0</v>
      </c>
      <c r="FQ31" s="704" t="b">
        <f t="shared" si="39"/>
        <v>1</v>
      </c>
      <c r="FX31" s="103"/>
      <c r="FZ31" s="1"/>
      <c r="GA31" s="524" t="str">
        <f t="shared" si="101"/>
        <v/>
      </c>
      <c r="GB31" s="566" t="str">
        <f t="shared" si="102"/>
        <v/>
      </c>
      <c r="GC31" s="568" t="str">
        <f t="shared" si="103"/>
        <v/>
      </c>
      <c r="GD31" s="569" t="str">
        <f t="shared" si="104"/>
        <v/>
      </c>
      <c r="GE31" s="567" t="str">
        <f t="shared" si="105"/>
        <v/>
      </c>
      <c r="GF31" s="525" t="str">
        <f t="shared" si="106"/>
        <v/>
      </c>
      <c r="GG31" s="1056"/>
      <c r="GH31" s="1058"/>
      <c r="GI31" s="1056"/>
      <c r="GJ31" s="1058"/>
      <c r="GK31" s="1523">
        <f t="shared" si="107"/>
        <v>0</v>
      </c>
      <c r="GL31" s="1523" t="e">
        <f t="shared" si="108"/>
        <v>#VALUE!</v>
      </c>
      <c r="GM31" s="1524" t="e">
        <f>IF(ABS(GK31-GL31)&gt;=#REF!,ABS(GK31-GL31),0)</f>
        <v>#VALUE!</v>
      </c>
      <c r="GZ31" s="46"/>
      <c r="HA31" s="1159"/>
      <c r="HB31" s="1160"/>
      <c r="HC31" s="1160"/>
      <c r="HD31" s="1161"/>
      <c r="HE31" s="1162"/>
      <c r="HF31" s="1160"/>
      <c r="HG31" s="1160"/>
      <c r="HH31" s="1160"/>
      <c r="HI31" s="1160"/>
      <c r="HJ31" s="1160"/>
      <c r="HK31" s="1160"/>
      <c r="HL31" s="1160"/>
      <c r="HM31" s="1160"/>
      <c r="HN31" s="1160"/>
      <c r="HO31" s="1160"/>
      <c r="HP31" s="1160"/>
      <c r="HQ31" s="1160"/>
      <c r="HR31" s="1160"/>
      <c r="HS31" s="1160"/>
      <c r="HT31" s="1160"/>
      <c r="HU31" s="1160"/>
      <c r="HV31" s="1160"/>
      <c r="HW31" s="1160"/>
      <c r="HX31" s="1160"/>
      <c r="HY31" s="1166"/>
      <c r="HZ31" s="1166"/>
      <c r="IA31" s="1166"/>
      <c r="IB31" s="1166"/>
      <c r="IC31" s="1166"/>
      <c r="ID31" s="1165"/>
      <c r="IE31" s="1159"/>
      <c r="IF31" s="1160"/>
      <c r="IG31" s="1161"/>
      <c r="IH31" s="1162"/>
      <c r="II31" s="1160"/>
      <c r="IJ31" s="1161"/>
      <c r="IK31" s="1162"/>
      <c r="IL31" s="1160"/>
      <c r="IM31" s="1160"/>
      <c r="IN31" s="1160"/>
      <c r="IO31" s="1160"/>
      <c r="IP31" s="1160"/>
      <c r="IQ31" s="1160"/>
      <c r="IR31" s="1160"/>
      <c r="IS31" s="1161"/>
      <c r="IT31" s="1162"/>
      <c r="IU31" s="1160"/>
      <c r="IV31" s="1160"/>
      <c r="IW31" s="1161"/>
      <c r="IX31" s="1162"/>
      <c r="IY31" s="1160"/>
      <c r="IZ31" s="1160"/>
      <c r="JA31" s="1161"/>
      <c r="JB31" s="1162"/>
      <c r="JC31" s="1160"/>
      <c r="JD31" s="1160"/>
      <c r="JE31" s="1161"/>
      <c r="JF31" s="1162"/>
      <c r="JG31" s="1160"/>
      <c r="JH31" s="1160"/>
      <c r="JI31" s="1160"/>
      <c r="JJ31" s="1166"/>
      <c r="JK31" s="1160"/>
      <c r="JL31" s="1103">
        <f t="shared" ca="1" si="43"/>
        <v>0</v>
      </c>
      <c r="JM31" s="1088"/>
    </row>
    <row r="32" spans="1:274" ht="12.6" customHeight="1" x14ac:dyDescent="0.25">
      <c r="A32" s="1132" t="str">
        <f t="shared" si="65"/>
        <v/>
      </c>
      <c r="B32" s="1586" t="str">
        <f t="shared" si="66"/>
        <v/>
      </c>
      <c r="C32" s="1133" t="str">
        <f t="shared" si="67"/>
        <v/>
      </c>
      <c r="D32" s="1134" t="str">
        <f t="shared" si="68"/>
        <v/>
      </c>
      <c r="E32" s="1135" t="str">
        <f t="shared" si="69"/>
        <v/>
      </c>
      <c r="F32" s="1136" t="str">
        <f t="shared" si="70"/>
        <v/>
      </c>
      <c r="G32" s="1137" t="str">
        <f t="shared" si="71"/>
        <v/>
      </c>
      <c r="H32" s="1138" t="str">
        <f t="shared" si="72"/>
        <v/>
      </c>
      <c r="I32" s="1139" t="str">
        <f t="shared" si="73"/>
        <v/>
      </c>
      <c r="J32" s="1134" t="str">
        <f t="shared" si="74"/>
        <v/>
      </c>
      <c r="K32" s="1138" t="str">
        <f t="shared" si="75"/>
        <v/>
      </c>
      <c r="L32" s="1140" t="str">
        <f t="shared" si="76"/>
        <v/>
      </c>
      <c r="M32" s="1141" t="str">
        <f t="shared" si="77"/>
        <v/>
      </c>
      <c r="N32" s="1142" t="str">
        <f t="shared" si="78"/>
        <v/>
      </c>
      <c r="O32" s="1137" t="str">
        <f t="shared" si="79"/>
        <v/>
      </c>
      <c r="P32" s="1138" t="str">
        <f t="shared" si="80"/>
        <v/>
      </c>
      <c r="Q32" s="1134" t="str">
        <f t="shared" si="81"/>
        <v/>
      </c>
      <c r="R32" s="1135" t="str">
        <f t="shared" si="82"/>
        <v/>
      </c>
      <c r="S32" s="1143" t="str">
        <f t="shared" si="83"/>
        <v/>
      </c>
      <c r="T32" s="1138" t="str">
        <f t="shared" si="84"/>
        <v/>
      </c>
      <c r="U32" s="1134" t="str">
        <f t="shared" si="85"/>
        <v/>
      </c>
      <c r="V32" s="1138" t="str">
        <f t="shared" si="86"/>
        <v/>
      </c>
      <c r="W32" s="1142">
        <f t="shared" si="87"/>
        <v>0</v>
      </c>
      <c r="X32" s="1144" t="e">
        <f t="shared" si="88"/>
        <v>#REF!</v>
      </c>
      <c r="Y32" s="1145" t="e">
        <f t="shared" si="89"/>
        <v>#REF!</v>
      </c>
      <c r="Z32" s="1587" t="str">
        <f t="shared" si="90"/>
        <v/>
      </c>
      <c r="AA32" s="1206" t="str">
        <f t="shared" si="91"/>
        <v/>
      </c>
      <c r="AB32" s="1132" t="str">
        <f t="shared" si="64"/>
        <v/>
      </c>
      <c r="AC32" s="1139" t="str">
        <f t="shared" si="53"/>
        <v/>
      </c>
      <c r="AD32" s="1134" t="str">
        <f t="shared" ca="1" si="44"/>
        <v/>
      </c>
      <c r="AE32" s="1138" t="str">
        <f t="shared" ca="1" si="45"/>
        <v/>
      </c>
      <c r="AF32" s="1139" t="str">
        <f t="shared" ca="1" si="46"/>
        <v/>
      </c>
      <c r="AG32" s="1134" t="str">
        <f t="shared" ca="1" si="47"/>
        <v/>
      </c>
      <c r="AH32" s="1138" t="str">
        <f t="shared" ca="1" si="48"/>
        <v/>
      </c>
      <c r="AI32" s="1134" t="str">
        <f t="shared" ca="1" si="49"/>
        <v/>
      </c>
      <c r="AJ32" s="1138" t="str">
        <f t="shared" ca="1" si="50"/>
        <v/>
      </c>
      <c r="AK32" s="1619" t="str">
        <f t="shared" si="54"/>
        <v/>
      </c>
      <c r="AL32" s="1620" t="str">
        <f t="shared" si="55"/>
        <v/>
      </c>
      <c r="AM32" s="1621" t="str">
        <f t="shared" si="56"/>
        <v/>
      </c>
      <c r="AN32" s="1139" t="str">
        <f t="shared" si="57"/>
        <v/>
      </c>
      <c r="AO32" s="1622" t="str">
        <f t="shared" si="58"/>
        <v/>
      </c>
      <c r="AP32" s="1141" t="str">
        <f t="shared" si="4"/>
        <v/>
      </c>
      <c r="AQ32" s="1623" t="str">
        <f t="shared" si="5"/>
        <v/>
      </c>
      <c r="AR32" s="1137" t="str">
        <f t="shared" si="17"/>
        <v/>
      </c>
      <c r="AS32" s="1138" t="str">
        <f t="shared" si="18"/>
        <v/>
      </c>
      <c r="AT32" s="1624" t="str">
        <f t="shared" si="19"/>
        <v/>
      </c>
      <c r="AU32" s="1625" t="str">
        <f t="shared" si="20"/>
        <v/>
      </c>
      <c r="AV32" s="1143" t="str">
        <f t="shared" si="21"/>
        <v/>
      </c>
      <c r="AW32" s="1138" t="str">
        <f t="shared" si="22"/>
        <v/>
      </c>
      <c r="AX32" s="1624" t="str">
        <f t="shared" si="23"/>
        <v/>
      </c>
      <c r="AY32" s="1625" t="str">
        <f t="shared" si="24"/>
        <v/>
      </c>
      <c r="AZ32" s="1143" t="str">
        <f t="shared" si="25"/>
        <v/>
      </c>
      <c r="BA32" s="1138" t="str">
        <f t="shared" si="26"/>
        <v/>
      </c>
      <c r="BB32" s="1624" t="str">
        <f t="shared" si="27"/>
        <v/>
      </c>
      <c r="BC32" s="1625" t="str">
        <f t="shared" si="28"/>
        <v/>
      </c>
      <c r="BD32" s="1143" t="str">
        <f t="shared" si="29"/>
        <v/>
      </c>
      <c r="BE32" s="1138" t="str">
        <f t="shared" si="30"/>
        <v/>
      </c>
      <c r="BF32" s="1624" t="str">
        <f t="shared" si="59"/>
        <v/>
      </c>
      <c r="BG32" s="1625" t="str">
        <f t="shared" si="60"/>
        <v/>
      </c>
      <c r="BH32" s="180"/>
      <c r="BJ32" s="1215" t="str">
        <f t="shared" si="120"/>
        <v/>
      </c>
      <c r="BK32" s="913" t="e">
        <f t="shared" si="121"/>
        <v>#REF!</v>
      </c>
      <c r="BL32" s="908" t="b">
        <v>0</v>
      </c>
      <c r="BM32" s="908">
        <f t="shared" si="109"/>
        <v>0</v>
      </c>
      <c r="BN32" s="908">
        <f t="shared" si="110"/>
        <v>0</v>
      </c>
      <c r="BO32" s="908">
        <f t="shared" si="111"/>
        <v>0</v>
      </c>
      <c r="BP32" s="908">
        <f t="shared" si="92"/>
        <v>0</v>
      </c>
      <c r="BQ32" s="908">
        <f t="shared" si="112"/>
        <v>0</v>
      </c>
      <c r="BR32" s="908" t="b">
        <f t="shared" si="113"/>
        <v>1</v>
      </c>
      <c r="BS32" s="1216">
        <f t="shared" si="114"/>
        <v>6</v>
      </c>
      <c r="BT32" s="909" t="str">
        <f t="shared" si="115"/>
        <v>No</v>
      </c>
      <c r="BU32" s="1216">
        <f t="shared" si="116"/>
        <v>6</v>
      </c>
      <c r="BV32" s="909" t="str">
        <f t="shared" si="117"/>
        <v>No</v>
      </c>
      <c r="BW32" s="910">
        <f t="shared" ca="1" si="33"/>
        <v>0</v>
      </c>
      <c r="BX32" s="911" t="str">
        <f t="shared" ca="1" si="40"/>
        <v/>
      </c>
      <c r="BY32" s="911" t="b">
        <f t="shared" ca="1" si="34"/>
        <v>0</v>
      </c>
      <c r="BZ32" s="1217" t="e">
        <f t="shared" si="41"/>
        <v>#REF!</v>
      </c>
      <c r="CB32" s="616"/>
      <c r="CC32" s="1567"/>
      <c r="CD32" s="645"/>
      <c r="CE32" s="646"/>
      <c r="CF32" s="1242"/>
      <c r="CG32" s="660"/>
      <c r="CH32" s="661"/>
      <c r="CI32" s="662"/>
      <c r="CJ32" s="661"/>
      <c r="CK32" s="662"/>
      <c r="CL32" s="663"/>
      <c r="CM32" s="692"/>
      <c r="CN32" s="687"/>
      <c r="CO32" s="1430"/>
      <c r="CP32" s="839"/>
      <c r="CQ32" s="660"/>
      <c r="CR32" s="661"/>
      <c r="CS32" s="662"/>
      <c r="CT32" s="661"/>
      <c r="CU32" s="662"/>
      <c r="CV32" s="663"/>
      <c r="CW32" s="692"/>
      <c r="CX32" s="687"/>
      <c r="CY32" s="1430"/>
      <c r="CZ32" s="839"/>
      <c r="DA32" s="665"/>
      <c r="DB32" s="648"/>
      <c r="DC32" s="649"/>
      <c r="DD32" s="1478"/>
      <c r="DE32" s="1479"/>
      <c r="DF32" s="58"/>
      <c r="DG32" s="58"/>
      <c r="DH32" s="695"/>
      <c r="DI32" s="617"/>
      <c r="DJ32" s="638"/>
      <c r="DK32" s="1245"/>
      <c r="DL32" s="618"/>
      <c r="DM32" s="639"/>
      <c r="DN32" s="1248"/>
      <c r="DO32" s="619"/>
      <c r="DP32" s="620"/>
      <c r="DQ32" s="1294"/>
      <c r="DR32" s="621"/>
      <c r="DS32" s="1491"/>
      <c r="DT32" s="1486"/>
      <c r="DU32" s="1487"/>
      <c r="DV32" s="622"/>
      <c r="DW32" s="1250"/>
      <c r="DX32" s="623"/>
      <c r="DY32" s="624"/>
      <c r="DZ32" s="622"/>
      <c r="EA32" s="1250"/>
      <c r="EB32" s="623"/>
      <c r="EC32" s="624"/>
      <c r="ED32" s="622"/>
      <c r="EE32" s="1250"/>
      <c r="EF32" s="623"/>
      <c r="EG32" s="624"/>
      <c r="EH32" s="622"/>
      <c r="EI32" s="1250"/>
      <c r="EJ32" s="623"/>
      <c r="EK32" s="625"/>
      <c r="EL32" s="58"/>
      <c r="EM32" s="1513" t="str">
        <f t="shared" si="118"/>
        <v/>
      </c>
      <c r="EN32" s="1514" t="str">
        <f t="shared" si="93"/>
        <v/>
      </c>
      <c r="EO32" s="591" t="str">
        <f t="shared" si="94"/>
        <v/>
      </c>
      <c r="EP32" s="592" t="str">
        <f t="shared" si="95"/>
        <v/>
      </c>
      <c r="EQ32" s="754" t="str">
        <f t="shared" si="96"/>
        <v/>
      </c>
      <c r="ER32" s="1465" t="str">
        <f t="shared" si="97"/>
        <v/>
      </c>
      <c r="ES32" s="1466" t="str">
        <f t="shared" si="98"/>
        <v/>
      </c>
      <c r="ET32" s="1467" t="str">
        <f t="shared" si="99"/>
        <v/>
      </c>
      <c r="EU32" s="1468" t="str">
        <f t="shared" si="100"/>
        <v/>
      </c>
      <c r="EX32" s="870" t="str">
        <f t="shared" ca="1" si="35"/>
        <v/>
      </c>
      <c r="EY32" s="872" t="str">
        <f t="shared" si="6"/>
        <v/>
      </c>
      <c r="EZ32" s="872" t="str">
        <f t="shared" si="36"/>
        <v/>
      </c>
      <c r="FA32" s="891" t="str">
        <f t="shared" ca="1" si="42"/>
        <v/>
      </c>
      <c r="FB32" s="892" t="str">
        <f t="shared" ca="1" si="37"/>
        <v/>
      </c>
      <c r="FC32" s="892">
        <f t="shared" ca="1" si="7"/>
        <v>0</v>
      </c>
      <c r="FD32" s="892">
        <f t="shared" ca="1" si="8"/>
        <v>0</v>
      </c>
      <c r="FE32" s="892">
        <f t="shared" ca="1" si="9"/>
        <v>0</v>
      </c>
      <c r="FF32" s="892">
        <f t="shared" ca="1" si="38"/>
        <v>0</v>
      </c>
      <c r="FN32" s="913" t="b">
        <v>0</v>
      </c>
      <c r="FO32" s="703" t="b">
        <f t="shared" si="119"/>
        <v>1</v>
      </c>
      <c r="FP32" s="703" t="b">
        <v>0</v>
      </c>
      <c r="FQ32" s="703" t="b">
        <f t="shared" si="39"/>
        <v>1</v>
      </c>
      <c r="FX32" s="103"/>
      <c r="FZ32" s="1"/>
      <c r="GA32" s="524" t="str">
        <f t="shared" si="101"/>
        <v/>
      </c>
      <c r="GB32" s="566" t="str">
        <f t="shared" si="102"/>
        <v/>
      </c>
      <c r="GC32" s="568" t="str">
        <f t="shared" si="103"/>
        <v/>
      </c>
      <c r="GD32" s="569" t="str">
        <f t="shared" si="104"/>
        <v/>
      </c>
      <c r="GE32" s="567" t="str">
        <f t="shared" si="105"/>
        <v/>
      </c>
      <c r="GF32" s="525" t="str">
        <f t="shared" si="106"/>
        <v/>
      </c>
      <c r="GG32" s="1056"/>
      <c r="GH32" s="1058"/>
      <c r="GI32" s="1056"/>
      <c r="GJ32" s="1058"/>
      <c r="GK32" s="1523">
        <f t="shared" si="107"/>
        <v>0</v>
      </c>
      <c r="GL32" s="1523" t="e">
        <f t="shared" si="108"/>
        <v>#VALUE!</v>
      </c>
      <c r="GM32" s="1524" t="e">
        <f>IF(ABS(GK32-GL32)&gt;=#REF!,ABS(GK32-GL32),0)</f>
        <v>#VALUE!</v>
      </c>
      <c r="HA32" s="1159"/>
      <c r="HB32" s="1160"/>
      <c r="HC32" s="1160"/>
      <c r="HD32" s="1161"/>
      <c r="HE32" s="1162"/>
      <c r="HF32" s="1160"/>
      <c r="HG32" s="1160"/>
      <c r="HH32" s="1160"/>
      <c r="HI32" s="1160"/>
      <c r="HJ32" s="1160"/>
      <c r="HK32" s="1160"/>
      <c r="HL32" s="1160"/>
      <c r="HM32" s="1160"/>
      <c r="HN32" s="1160"/>
      <c r="HO32" s="1160"/>
      <c r="HP32" s="1160"/>
      <c r="HQ32" s="1160"/>
      <c r="HR32" s="1160"/>
      <c r="HS32" s="1160"/>
      <c r="HT32" s="1160"/>
      <c r="HU32" s="1160"/>
      <c r="HV32" s="1160"/>
      <c r="HW32" s="1160"/>
      <c r="HX32" s="1160"/>
      <c r="HY32" s="1164"/>
      <c r="HZ32" s="1164"/>
      <c r="IA32" s="1164"/>
      <c r="IB32" s="1164"/>
      <c r="IC32" s="1164"/>
      <c r="ID32" s="1165"/>
      <c r="IE32" s="1159"/>
      <c r="IF32" s="1160"/>
      <c r="IG32" s="1161"/>
      <c r="IH32" s="1162"/>
      <c r="II32" s="1160"/>
      <c r="IJ32" s="1161"/>
      <c r="IK32" s="1162"/>
      <c r="IL32" s="1160"/>
      <c r="IM32" s="1160"/>
      <c r="IN32" s="1160"/>
      <c r="IO32" s="1160"/>
      <c r="IP32" s="1160"/>
      <c r="IQ32" s="1160"/>
      <c r="IR32" s="1160"/>
      <c r="IS32" s="1161"/>
      <c r="IT32" s="1162"/>
      <c r="IU32" s="1160"/>
      <c r="IV32" s="1160"/>
      <c r="IW32" s="1161"/>
      <c r="IX32" s="1162"/>
      <c r="IY32" s="1160"/>
      <c r="IZ32" s="1160"/>
      <c r="JA32" s="1161"/>
      <c r="JB32" s="1162"/>
      <c r="JC32" s="1160"/>
      <c r="JD32" s="1160"/>
      <c r="JE32" s="1161"/>
      <c r="JF32" s="1162"/>
      <c r="JG32" s="1160"/>
      <c r="JH32" s="1160"/>
      <c r="JI32" s="1160"/>
      <c r="JJ32" s="1163"/>
      <c r="JK32" s="1160"/>
      <c r="JL32" s="1103">
        <f t="shared" ca="1" si="43"/>
        <v>0</v>
      </c>
      <c r="JM32" s="56"/>
    </row>
    <row r="33" spans="1:273" ht="12.6" customHeight="1" x14ac:dyDescent="0.25">
      <c r="A33" s="1132" t="str">
        <f t="shared" si="65"/>
        <v/>
      </c>
      <c r="B33" s="1586" t="str">
        <f t="shared" si="66"/>
        <v/>
      </c>
      <c r="C33" s="1133" t="str">
        <f t="shared" si="67"/>
        <v/>
      </c>
      <c r="D33" s="1134" t="str">
        <f t="shared" si="68"/>
        <v/>
      </c>
      <c r="E33" s="1135" t="str">
        <f t="shared" si="69"/>
        <v/>
      </c>
      <c r="F33" s="1136" t="str">
        <f t="shared" si="70"/>
        <v/>
      </c>
      <c r="G33" s="1137" t="str">
        <f t="shared" si="71"/>
        <v/>
      </c>
      <c r="H33" s="1138" t="str">
        <f t="shared" si="72"/>
        <v/>
      </c>
      <c r="I33" s="1139" t="str">
        <f t="shared" si="73"/>
        <v/>
      </c>
      <c r="J33" s="1134" t="str">
        <f t="shared" si="74"/>
        <v/>
      </c>
      <c r="K33" s="1138" t="str">
        <f t="shared" si="75"/>
        <v/>
      </c>
      <c r="L33" s="1140" t="str">
        <f t="shared" si="76"/>
        <v/>
      </c>
      <c r="M33" s="1141" t="str">
        <f t="shared" si="77"/>
        <v/>
      </c>
      <c r="N33" s="1142" t="str">
        <f t="shared" si="78"/>
        <v/>
      </c>
      <c r="O33" s="1137" t="str">
        <f t="shared" si="79"/>
        <v/>
      </c>
      <c r="P33" s="1138" t="str">
        <f t="shared" si="80"/>
        <v/>
      </c>
      <c r="Q33" s="1134" t="str">
        <f t="shared" si="81"/>
        <v/>
      </c>
      <c r="R33" s="1135" t="str">
        <f t="shared" si="82"/>
        <v/>
      </c>
      <c r="S33" s="1143" t="str">
        <f t="shared" si="83"/>
        <v/>
      </c>
      <c r="T33" s="1138" t="str">
        <f t="shared" si="84"/>
        <v/>
      </c>
      <c r="U33" s="1134" t="str">
        <f t="shared" si="85"/>
        <v/>
      </c>
      <c r="V33" s="1138" t="str">
        <f t="shared" si="86"/>
        <v/>
      </c>
      <c r="W33" s="1142">
        <f t="shared" si="87"/>
        <v>0</v>
      </c>
      <c r="X33" s="1144" t="e">
        <f t="shared" si="88"/>
        <v>#REF!</v>
      </c>
      <c r="Y33" s="1145" t="e">
        <f t="shared" si="89"/>
        <v>#REF!</v>
      </c>
      <c r="Z33" s="1587" t="str">
        <f t="shared" si="90"/>
        <v/>
      </c>
      <c r="AA33" s="1206" t="str">
        <f t="shared" si="91"/>
        <v/>
      </c>
      <c r="AB33" s="1132" t="str">
        <f t="shared" si="64"/>
        <v/>
      </c>
      <c r="AC33" s="1139" t="str">
        <f t="shared" si="53"/>
        <v/>
      </c>
      <c r="AD33" s="1134" t="str">
        <f t="shared" ca="1" si="44"/>
        <v/>
      </c>
      <c r="AE33" s="1138" t="str">
        <f t="shared" ca="1" si="45"/>
        <v/>
      </c>
      <c r="AF33" s="1139" t="str">
        <f t="shared" ca="1" si="46"/>
        <v/>
      </c>
      <c r="AG33" s="1134" t="str">
        <f t="shared" ca="1" si="47"/>
        <v/>
      </c>
      <c r="AH33" s="1138" t="str">
        <f t="shared" ca="1" si="48"/>
        <v/>
      </c>
      <c r="AI33" s="1134" t="str">
        <f t="shared" ca="1" si="49"/>
        <v/>
      </c>
      <c r="AJ33" s="1138" t="str">
        <f t="shared" ca="1" si="50"/>
        <v/>
      </c>
      <c r="AK33" s="1619" t="str">
        <f t="shared" si="54"/>
        <v/>
      </c>
      <c r="AL33" s="1620" t="str">
        <f t="shared" si="55"/>
        <v/>
      </c>
      <c r="AM33" s="1621" t="str">
        <f t="shared" si="56"/>
        <v/>
      </c>
      <c r="AN33" s="1139" t="str">
        <f t="shared" si="57"/>
        <v/>
      </c>
      <c r="AO33" s="1622" t="str">
        <f t="shared" si="58"/>
        <v/>
      </c>
      <c r="AP33" s="1141" t="str">
        <f t="shared" si="4"/>
        <v/>
      </c>
      <c r="AQ33" s="1623" t="str">
        <f t="shared" si="5"/>
        <v/>
      </c>
      <c r="AR33" s="1137" t="str">
        <f t="shared" si="17"/>
        <v/>
      </c>
      <c r="AS33" s="1138" t="str">
        <f t="shared" si="18"/>
        <v/>
      </c>
      <c r="AT33" s="1624" t="str">
        <f t="shared" si="19"/>
        <v/>
      </c>
      <c r="AU33" s="1625" t="str">
        <f t="shared" si="20"/>
        <v/>
      </c>
      <c r="AV33" s="1143" t="str">
        <f t="shared" si="21"/>
        <v/>
      </c>
      <c r="AW33" s="1138" t="str">
        <f t="shared" si="22"/>
        <v/>
      </c>
      <c r="AX33" s="1624" t="str">
        <f t="shared" si="23"/>
        <v/>
      </c>
      <c r="AY33" s="1625" t="str">
        <f t="shared" si="24"/>
        <v/>
      </c>
      <c r="AZ33" s="1143" t="str">
        <f t="shared" si="25"/>
        <v/>
      </c>
      <c r="BA33" s="1138" t="str">
        <f t="shared" si="26"/>
        <v/>
      </c>
      <c r="BB33" s="1624" t="str">
        <f t="shared" si="27"/>
        <v/>
      </c>
      <c r="BC33" s="1625" t="str">
        <f t="shared" si="28"/>
        <v/>
      </c>
      <c r="BD33" s="1143" t="str">
        <f t="shared" si="29"/>
        <v/>
      </c>
      <c r="BE33" s="1138" t="str">
        <f t="shared" si="30"/>
        <v/>
      </c>
      <c r="BF33" s="1624" t="str">
        <f t="shared" si="59"/>
        <v/>
      </c>
      <c r="BG33" s="1625" t="str">
        <f t="shared" si="60"/>
        <v/>
      </c>
      <c r="BH33" s="180"/>
      <c r="BJ33" s="1215" t="str">
        <f t="shared" si="120"/>
        <v/>
      </c>
      <c r="BK33" s="913" t="e">
        <f t="shared" si="121"/>
        <v>#REF!</v>
      </c>
      <c r="BL33" s="908" t="b">
        <v>0</v>
      </c>
      <c r="BM33" s="908">
        <f t="shared" si="109"/>
        <v>0</v>
      </c>
      <c r="BN33" s="908">
        <f t="shared" si="110"/>
        <v>0</v>
      </c>
      <c r="BO33" s="908">
        <f t="shared" si="111"/>
        <v>0</v>
      </c>
      <c r="BP33" s="908">
        <f t="shared" si="92"/>
        <v>0</v>
      </c>
      <c r="BQ33" s="908">
        <f t="shared" si="112"/>
        <v>0</v>
      </c>
      <c r="BR33" s="908" t="b">
        <f t="shared" si="113"/>
        <v>1</v>
      </c>
      <c r="BS33" s="1216">
        <f t="shared" si="114"/>
        <v>6</v>
      </c>
      <c r="BT33" s="909" t="str">
        <f t="shared" si="115"/>
        <v>No</v>
      </c>
      <c r="BU33" s="1216">
        <f t="shared" si="116"/>
        <v>6</v>
      </c>
      <c r="BV33" s="909" t="str">
        <f t="shared" si="117"/>
        <v>No</v>
      </c>
      <c r="BW33" s="910">
        <f t="shared" ca="1" si="33"/>
        <v>0</v>
      </c>
      <c r="BX33" s="911" t="str">
        <f t="shared" ca="1" si="40"/>
        <v/>
      </c>
      <c r="BY33" s="911" t="b">
        <f t="shared" ca="1" si="34"/>
        <v>0</v>
      </c>
      <c r="BZ33" s="1217" t="e">
        <f t="shared" si="41"/>
        <v>#REF!</v>
      </c>
      <c r="CB33" s="616"/>
      <c r="CC33" s="1567"/>
      <c r="CD33" s="645"/>
      <c r="CE33" s="646"/>
      <c r="CF33" s="1242"/>
      <c r="CG33" s="660"/>
      <c r="CH33" s="661"/>
      <c r="CI33" s="662"/>
      <c r="CJ33" s="661"/>
      <c r="CK33" s="662"/>
      <c r="CL33" s="663"/>
      <c r="CM33" s="692"/>
      <c r="CN33" s="687"/>
      <c r="CO33" s="1430"/>
      <c r="CP33" s="839"/>
      <c r="CQ33" s="660"/>
      <c r="CR33" s="661"/>
      <c r="CS33" s="662"/>
      <c r="CT33" s="661"/>
      <c r="CU33" s="662"/>
      <c r="CV33" s="663"/>
      <c r="CW33" s="692"/>
      <c r="CX33" s="687"/>
      <c r="CY33" s="1430"/>
      <c r="CZ33" s="839"/>
      <c r="DA33" s="665"/>
      <c r="DB33" s="648"/>
      <c r="DC33" s="649"/>
      <c r="DD33" s="1478"/>
      <c r="DE33" s="1479"/>
      <c r="DF33" s="58"/>
      <c r="DG33" s="58"/>
      <c r="DH33" s="616"/>
      <c r="DI33" s="617"/>
      <c r="DJ33" s="638"/>
      <c r="DK33" s="1245"/>
      <c r="DL33" s="618"/>
      <c r="DM33" s="639"/>
      <c r="DN33" s="1248"/>
      <c r="DO33" s="619"/>
      <c r="DP33" s="620"/>
      <c r="DQ33" s="1294"/>
      <c r="DR33" s="621"/>
      <c r="DS33" s="1491"/>
      <c r="DT33" s="1486"/>
      <c r="DU33" s="1487"/>
      <c r="DV33" s="622"/>
      <c r="DW33" s="1250"/>
      <c r="DX33" s="623"/>
      <c r="DY33" s="624"/>
      <c r="DZ33" s="622"/>
      <c r="EA33" s="1250"/>
      <c r="EB33" s="623"/>
      <c r="EC33" s="624"/>
      <c r="ED33" s="622"/>
      <c r="EE33" s="1250"/>
      <c r="EF33" s="623"/>
      <c r="EG33" s="624"/>
      <c r="EH33" s="622"/>
      <c r="EI33" s="1250"/>
      <c r="EJ33" s="623"/>
      <c r="EK33" s="625"/>
      <c r="EL33" s="58"/>
      <c r="EM33" s="1513" t="str">
        <f t="shared" si="118"/>
        <v/>
      </c>
      <c r="EN33" s="1514" t="str">
        <f t="shared" si="93"/>
        <v/>
      </c>
      <c r="EO33" s="591" t="str">
        <f t="shared" si="94"/>
        <v/>
      </c>
      <c r="EP33" s="592" t="str">
        <f t="shared" si="95"/>
        <v/>
      </c>
      <c r="EQ33" s="754" t="str">
        <f t="shared" si="96"/>
        <v/>
      </c>
      <c r="ER33" s="1465" t="str">
        <f t="shared" si="97"/>
        <v/>
      </c>
      <c r="ES33" s="1466" t="str">
        <f t="shared" si="98"/>
        <v/>
      </c>
      <c r="ET33" s="1467" t="str">
        <f t="shared" si="99"/>
        <v/>
      </c>
      <c r="EU33" s="1468" t="str">
        <f t="shared" si="100"/>
        <v/>
      </c>
      <c r="EX33" s="870" t="str">
        <f t="shared" ca="1" si="35"/>
        <v/>
      </c>
      <c r="EY33" s="872" t="str">
        <f t="shared" si="6"/>
        <v/>
      </c>
      <c r="EZ33" s="872" t="str">
        <f t="shared" si="36"/>
        <v/>
      </c>
      <c r="FA33" s="891" t="str">
        <f t="shared" ca="1" si="42"/>
        <v/>
      </c>
      <c r="FB33" s="892" t="str">
        <f t="shared" ca="1" si="37"/>
        <v/>
      </c>
      <c r="FC33" s="892">
        <f t="shared" ca="1" si="7"/>
        <v>0</v>
      </c>
      <c r="FD33" s="892">
        <f t="shared" ca="1" si="8"/>
        <v>0</v>
      </c>
      <c r="FE33" s="892">
        <f t="shared" ca="1" si="9"/>
        <v>0</v>
      </c>
      <c r="FF33" s="892">
        <f t="shared" ca="1" si="38"/>
        <v>0</v>
      </c>
      <c r="FN33" s="913" t="b">
        <v>0</v>
      </c>
      <c r="FO33" s="703" t="b">
        <f t="shared" si="119"/>
        <v>1</v>
      </c>
      <c r="FP33" s="703" t="b">
        <v>0</v>
      </c>
      <c r="FQ33" s="703" t="b">
        <f t="shared" si="39"/>
        <v>1</v>
      </c>
      <c r="FX33" s="103"/>
      <c r="FZ33" s="1"/>
      <c r="GA33" s="524" t="str">
        <f t="shared" si="101"/>
        <v/>
      </c>
      <c r="GB33" s="566" t="str">
        <f t="shared" si="102"/>
        <v/>
      </c>
      <c r="GC33" s="568" t="str">
        <f t="shared" si="103"/>
        <v/>
      </c>
      <c r="GD33" s="569" t="str">
        <f t="shared" si="104"/>
        <v/>
      </c>
      <c r="GE33" s="567" t="str">
        <f t="shared" si="105"/>
        <v/>
      </c>
      <c r="GF33" s="525" t="str">
        <f t="shared" si="106"/>
        <v/>
      </c>
      <c r="GG33" s="1056"/>
      <c r="GH33" s="1058"/>
      <c r="GI33" s="1056"/>
      <c r="GJ33" s="1058"/>
      <c r="GK33" s="1523">
        <f t="shared" si="107"/>
        <v>0</v>
      </c>
      <c r="GL33" s="1523" t="e">
        <f t="shared" si="108"/>
        <v>#VALUE!</v>
      </c>
      <c r="GM33" s="1524" t="e">
        <f>IF(ABS(GK33-GL33)&gt;=#REF!,ABS(GK33-GL33),0)</f>
        <v>#VALUE!</v>
      </c>
      <c r="HA33" s="1159"/>
      <c r="HB33" s="1160"/>
      <c r="HC33" s="1160"/>
      <c r="HD33" s="1161"/>
      <c r="HE33" s="1162"/>
      <c r="HF33" s="1160"/>
      <c r="HG33" s="1160"/>
      <c r="HH33" s="1160"/>
      <c r="HI33" s="1160"/>
      <c r="HJ33" s="1160"/>
      <c r="HK33" s="1160"/>
      <c r="HL33" s="1160"/>
      <c r="HM33" s="1160"/>
      <c r="HN33" s="1160"/>
      <c r="HO33" s="1160"/>
      <c r="HP33" s="1160"/>
      <c r="HQ33" s="1160"/>
      <c r="HR33" s="1160"/>
      <c r="HS33" s="1160"/>
      <c r="HT33" s="1160"/>
      <c r="HU33" s="1160"/>
      <c r="HV33" s="1160"/>
      <c r="HW33" s="1160"/>
      <c r="HX33" s="1160"/>
      <c r="HY33" s="1164"/>
      <c r="HZ33" s="1164"/>
      <c r="IA33" s="1164"/>
      <c r="IB33" s="1164"/>
      <c r="IC33" s="1164"/>
      <c r="ID33" s="1165"/>
      <c r="IE33" s="1159"/>
      <c r="IF33" s="1160"/>
      <c r="IG33" s="1161"/>
      <c r="IH33" s="1162"/>
      <c r="II33" s="1160"/>
      <c r="IJ33" s="1161"/>
      <c r="IK33" s="1162"/>
      <c r="IL33" s="1160"/>
      <c r="IM33" s="1160"/>
      <c r="IN33" s="1160"/>
      <c r="IO33" s="1160"/>
      <c r="IP33" s="1160"/>
      <c r="IQ33" s="1160"/>
      <c r="IR33" s="1160"/>
      <c r="IS33" s="1161"/>
      <c r="IT33" s="1162"/>
      <c r="IU33" s="1160"/>
      <c r="IV33" s="1160"/>
      <c r="IW33" s="1161"/>
      <c r="IX33" s="1162"/>
      <c r="IY33" s="1160"/>
      <c r="IZ33" s="1160"/>
      <c r="JA33" s="1161"/>
      <c r="JB33" s="1162"/>
      <c r="JC33" s="1160"/>
      <c r="JD33" s="1160"/>
      <c r="JE33" s="1161"/>
      <c r="JF33" s="1162"/>
      <c r="JG33" s="1160"/>
      <c r="JH33" s="1160"/>
      <c r="JI33" s="1160"/>
      <c r="JJ33" s="1163"/>
      <c r="JK33" s="1160"/>
      <c r="JL33" s="1103">
        <f t="shared" ca="1" si="43"/>
        <v>0</v>
      </c>
      <c r="JM33" s="56"/>
    </row>
    <row r="34" spans="1:273" ht="12.6" customHeight="1" x14ac:dyDescent="0.25">
      <c r="A34" s="1132" t="str">
        <f t="shared" si="65"/>
        <v/>
      </c>
      <c r="B34" s="1586" t="str">
        <f t="shared" si="66"/>
        <v/>
      </c>
      <c r="C34" s="1133" t="str">
        <f t="shared" si="67"/>
        <v/>
      </c>
      <c r="D34" s="1134" t="str">
        <f t="shared" si="68"/>
        <v/>
      </c>
      <c r="E34" s="1135" t="str">
        <f t="shared" si="69"/>
        <v/>
      </c>
      <c r="F34" s="1136" t="str">
        <f t="shared" si="70"/>
        <v/>
      </c>
      <c r="G34" s="1137" t="str">
        <f t="shared" si="71"/>
        <v/>
      </c>
      <c r="H34" s="1138" t="str">
        <f t="shared" si="72"/>
        <v/>
      </c>
      <c r="I34" s="1139" t="str">
        <f t="shared" si="73"/>
        <v/>
      </c>
      <c r="J34" s="1134" t="str">
        <f t="shared" si="74"/>
        <v/>
      </c>
      <c r="K34" s="1138" t="str">
        <f t="shared" si="75"/>
        <v/>
      </c>
      <c r="L34" s="1140" t="str">
        <f t="shared" si="76"/>
        <v/>
      </c>
      <c r="M34" s="1141" t="str">
        <f t="shared" si="77"/>
        <v/>
      </c>
      <c r="N34" s="1142" t="str">
        <f t="shared" si="78"/>
        <v/>
      </c>
      <c r="O34" s="1137" t="str">
        <f t="shared" si="79"/>
        <v/>
      </c>
      <c r="P34" s="1138" t="str">
        <f t="shared" si="80"/>
        <v/>
      </c>
      <c r="Q34" s="1134" t="str">
        <f t="shared" si="81"/>
        <v/>
      </c>
      <c r="R34" s="1135" t="str">
        <f t="shared" si="82"/>
        <v/>
      </c>
      <c r="S34" s="1143" t="str">
        <f t="shared" si="83"/>
        <v/>
      </c>
      <c r="T34" s="1138" t="str">
        <f t="shared" si="84"/>
        <v/>
      </c>
      <c r="U34" s="1134" t="str">
        <f t="shared" si="85"/>
        <v/>
      </c>
      <c r="V34" s="1138" t="str">
        <f t="shared" si="86"/>
        <v/>
      </c>
      <c r="W34" s="1142">
        <f t="shared" si="87"/>
        <v>0</v>
      </c>
      <c r="X34" s="1144" t="e">
        <f t="shared" si="88"/>
        <v>#REF!</v>
      </c>
      <c r="Y34" s="1145" t="e">
        <f t="shared" si="89"/>
        <v>#REF!</v>
      </c>
      <c r="Z34" s="1587" t="str">
        <f t="shared" si="90"/>
        <v/>
      </c>
      <c r="AA34" s="1206" t="str">
        <f t="shared" si="91"/>
        <v/>
      </c>
      <c r="AB34" s="1132" t="str">
        <f t="shared" si="64"/>
        <v/>
      </c>
      <c r="AC34" s="1139" t="str">
        <f t="shared" si="53"/>
        <v/>
      </c>
      <c r="AD34" s="1134" t="str">
        <f t="shared" ca="1" si="44"/>
        <v/>
      </c>
      <c r="AE34" s="1138" t="str">
        <f t="shared" ca="1" si="45"/>
        <v/>
      </c>
      <c r="AF34" s="1139" t="str">
        <f t="shared" ca="1" si="46"/>
        <v/>
      </c>
      <c r="AG34" s="1134" t="str">
        <f t="shared" ca="1" si="47"/>
        <v/>
      </c>
      <c r="AH34" s="1138" t="str">
        <f t="shared" ca="1" si="48"/>
        <v/>
      </c>
      <c r="AI34" s="1134" t="str">
        <f t="shared" ca="1" si="49"/>
        <v/>
      </c>
      <c r="AJ34" s="1138" t="str">
        <f t="shared" ca="1" si="50"/>
        <v/>
      </c>
      <c r="AK34" s="1619" t="str">
        <f t="shared" si="54"/>
        <v/>
      </c>
      <c r="AL34" s="1620" t="str">
        <f t="shared" si="55"/>
        <v/>
      </c>
      <c r="AM34" s="1621" t="str">
        <f t="shared" si="56"/>
        <v/>
      </c>
      <c r="AN34" s="1139" t="str">
        <f t="shared" si="57"/>
        <v/>
      </c>
      <c r="AO34" s="1622" t="str">
        <f t="shared" si="58"/>
        <v/>
      </c>
      <c r="AP34" s="1141" t="str">
        <f t="shared" si="4"/>
        <v/>
      </c>
      <c r="AQ34" s="1623" t="str">
        <f t="shared" si="5"/>
        <v/>
      </c>
      <c r="AR34" s="1137" t="str">
        <f t="shared" si="17"/>
        <v/>
      </c>
      <c r="AS34" s="1138" t="str">
        <f t="shared" si="18"/>
        <v/>
      </c>
      <c r="AT34" s="1624" t="str">
        <f t="shared" si="19"/>
        <v/>
      </c>
      <c r="AU34" s="1625" t="str">
        <f t="shared" si="20"/>
        <v/>
      </c>
      <c r="AV34" s="1143" t="str">
        <f t="shared" si="21"/>
        <v/>
      </c>
      <c r="AW34" s="1138" t="str">
        <f t="shared" si="22"/>
        <v/>
      </c>
      <c r="AX34" s="1624" t="str">
        <f t="shared" si="23"/>
        <v/>
      </c>
      <c r="AY34" s="1625" t="str">
        <f t="shared" si="24"/>
        <v/>
      </c>
      <c r="AZ34" s="1143" t="str">
        <f t="shared" si="25"/>
        <v/>
      </c>
      <c r="BA34" s="1138" t="str">
        <f t="shared" si="26"/>
        <v/>
      </c>
      <c r="BB34" s="1624" t="str">
        <f t="shared" si="27"/>
        <v/>
      </c>
      <c r="BC34" s="1625" t="str">
        <f t="shared" si="28"/>
        <v/>
      </c>
      <c r="BD34" s="1143" t="str">
        <f t="shared" si="29"/>
        <v/>
      </c>
      <c r="BE34" s="1138" t="str">
        <f t="shared" si="30"/>
        <v/>
      </c>
      <c r="BF34" s="1624" t="str">
        <f t="shared" si="59"/>
        <v/>
      </c>
      <c r="BG34" s="1625" t="str">
        <f t="shared" si="60"/>
        <v/>
      </c>
      <c r="BH34" s="180"/>
      <c r="BJ34" s="1215" t="str">
        <f t="shared" si="120"/>
        <v/>
      </c>
      <c r="BK34" s="913" t="e">
        <f t="shared" si="121"/>
        <v>#REF!</v>
      </c>
      <c r="BL34" s="908" t="b">
        <v>0</v>
      </c>
      <c r="BM34" s="908">
        <f t="shared" si="109"/>
        <v>0</v>
      </c>
      <c r="BN34" s="908">
        <f t="shared" si="110"/>
        <v>0</v>
      </c>
      <c r="BO34" s="908">
        <f t="shared" si="111"/>
        <v>0</v>
      </c>
      <c r="BP34" s="908">
        <f t="shared" si="92"/>
        <v>0</v>
      </c>
      <c r="BQ34" s="908">
        <f t="shared" si="112"/>
        <v>0</v>
      </c>
      <c r="BR34" s="908" t="b">
        <f t="shared" si="113"/>
        <v>1</v>
      </c>
      <c r="BS34" s="1216">
        <f t="shared" si="114"/>
        <v>6</v>
      </c>
      <c r="BT34" s="909" t="str">
        <f t="shared" si="115"/>
        <v>No</v>
      </c>
      <c r="BU34" s="1216">
        <f t="shared" si="116"/>
        <v>6</v>
      </c>
      <c r="BV34" s="909" t="str">
        <f t="shared" si="117"/>
        <v>No</v>
      </c>
      <c r="BW34" s="910">
        <f t="shared" ca="1" si="33"/>
        <v>0</v>
      </c>
      <c r="BX34" s="911" t="str">
        <f t="shared" ca="1" si="40"/>
        <v/>
      </c>
      <c r="BY34" s="911" t="b">
        <f t="shared" ca="1" si="34"/>
        <v>0</v>
      </c>
      <c r="BZ34" s="1217" t="e">
        <f t="shared" si="41"/>
        <v>#REF!</v>
      </c>
      <c r="CB34" s="616"/>
      <c r="CC34" s="1567"/>
      <c r="CD34" s="645"/>
      <c r="CE34" s="646"/>
      <c r="CF34" s="1242"/>
      <c r="CG34" s="660"/>
      <c r="CH34" s="661"/>
      <c r="CI34" s="662"/>
      <c r="CJ34" s="661"/>
      <c r="CK34" s="662"/>
      <c r="CL34" s="663"/>
      <c r="CM34" s="692"/>
      <c r="CN34" s="687"/>
      <c r="CO34" s="1430"/>
      <c r="CP34" s="839"/>
      <c r="CQ34" s="660"/>
      <c r="CR34" s="661"/>
      <c r="CS34" s="662"/>
      <c r="CT34" s="661"/>
      <c r="CU34" s="662"/>
      <c r="CV34" s="663"/>
      <c r="CW34" s="692"/>
      <c r="CX34" s="687"/>
      <c r="CY34" s="1430"/>
      <c r="CZ34" s="839"/>
      <c r="DA34" s="665"/>
      <c r="DB34" s="648"/>
      <c r="DC34" s="649"/>
      <c r="DD34" s="1478"/>
      <c r="DE34" s="1479"/>
      <c r="DF34" s="58"/>
      <c r="DG34" s="58"/>
      <c r="DH34" s="616"/>
      <c r="DI34" s="617"/>
      <c r="DJ34" s="638"/>
      <c r="DK34" s="1245"/>
      <c r="DL34" s="618"/>
      <c r="DM34" s="639"/>
      <c r="DN34" s="1248"/>
      <c r="DO34" s="619"/>
      <c r="DP34" s="620"/>
      <c r="DQ34" s="1294"/>
      <c r="DR34" s="621"/>
      <c r="DS34" s="1491"/>
      <c r="DT34" s="1486"/>
      <c r="DU34" s="1487"/>
      <c r="DV34" s="622"/>
      <c r="DW34" s="1250"/>
      <c r="DX34" s="623"/>
      <c r="DY34" s="624"/>
      <c r="DZ34" s="622"/>
      <c r="EA34" s="1250"/>
      <c r="EB34" s="623"/>
      <c r="EC34" s="624"/>
      <c r="ED34" s="622"/>
      <c r="EE34" s="1250"/>
      <c r="EF34" s="623"/>
      <c r="EG34" s="624"/>
      <c r="EH34" s="622"/>
      <c r="EI34" s="1250"/>
      <c r="EJ34" s="623"/>
      <c r="EK34" s="625"/>
      <c r="EL34" s="58"/>
      <c r="EM34" s="1513" t="str">
        <f t="shared" si="118"/>
        <v/>
      </c>
      <c r="EN34" s="1514" t="str">
        <f t="shared" si="93"/>
        <v/>
      </c>
      <c r="EO34" s="591" t="str">
        <f t="shared" si="94"/>
        <v/>
      </c>
      <c r="EP34" s="592" t="str">
        <f t="shared" si="95"/>
        <v/>
      </c>
      <c r="EQ34" s="754" t="str">
        <f t="shared" si="96"/>
        <v/>
      </c>
      <c r="ER34" s="1465" t="str">
        <f t="shared" si="97"/>
        <v/>
      </c>
      <c r="ES34" s="1466" t="str">
        <f t="shared" si="98"/>
        <v/>
      </c>
      <c r="ET34" s="1467" t="str">
        <f t="shared" si="99"/>
        <v/>
      </c>
      <c r="EU34" s="1468" t="str">
        <f t="shared" si="100"/>
        <v/>
      </c>
      <c r="EX34" s="870" t="str">
        <f t="shared" ca="1" si="35"/>
        <v/>
      </c>
      <c r="EY34" s="872" t="str">
        <f t="shared" si="6"/>
        <v/>
      </c>
      <c r="EZ34" s="872" t="str">
        <f t="shared" si="36"/>
        <v/>
      </c>
      <c r="FA34" s="891" t="str">
        <f t="shared" ca="1" si="42"/>
        <v/>
      </c>
      <c r="FB34" s="892" t="str">
        <f t="shared" ca="1" si="37"/>
        <v/>
      </c>
      <c r="FC34" s="892">
        <f t="shared" ca="1" si="7"/>
        <v>0</v>
      </c>
      <c r="FD34" s="892">
        <f t="shared" ca="1" si="8"/>
        <v>0</v>
      </c>
      <c r="FE34" s="892">
        <f t="shared" ca="1" si="9"/>
        <v>0</v>
      </c>
      <c r="FF34" s="892">
        <f t="shared" ca="1" si="38"/>
        <v>0</v>
      </c>
      <c r="FN34" s="913" t="b">
        <v>0</v>
      </c>
      <c r="FO34" s="703" t="b">
        <f t="shared" si="119"/>
        <v>1</v>
      </c>
      <c r="FP34" s="703" t="b">
        <v>0</v>
      </c>
      <c r="FQ34" s="703" t="b">
        <f t="shared" si="39"/>
        <v>1</v>
      </c>
      <c r="FX34" s="103"/>
      <c r="FZ34" s="1"/>
      <c r="GA34" s="524" t="str">
        <f t="shared" si="101"/>
        <v/>
      </c>
      <c r="GB34" s="566" t="str">
        <f t="shared" si="102"/>
        <v/>
      </c>
      <c r="GC34" s="568" t="str">
        <f t="shared" si="103"/>
        <v/>
      </c>
      <c r="GD34" s="569" t="str">
        <f t="shared" si="104"/>
        <v/>
      </c>
      <c r="GE34" s="567" t="str">
        <f t="shared" si="105"/>
        <v/>
      </c>
      <c r="GF34" s="525" t="str">
        <f t="shared" si="106"/>
        <v/>
      </c>
      <c r="GG34" s="1056"/>
      <c r="GH34" s="1058"/>
      <c r="GI34" s="1056"/>
      <c r="GJ34" s="1058"/>
      <c r="GK34" s="1523">
        <f t="shared" si="107"/>
        <v>0</v>
      </c>
      <c r="GL34" s="1523" t="e">
        <f t="shared" si="108"/>
        <v>#VALUE!</v>
      </c>
      <c r="GM34" s="1524" t="e">
        <f>IF(ABS(GK34-GL34)&gt;=#REF!,ABS(GK34-GL34),0)</f>
        <v>#VALUE!</v>
      </c>
      <c r="HA34" s="1159"/>
      <c r="HB34" s="1160"/>
      <c r="HC34" s="1160"/>
      <c r="HD34" s="1161"/>
      <c r="HE34" s="1162"/>
      <c r="HF34" s="1160"/>
      <c r="HG34" s="1160"/>
      <c r="HH34" s="1160"/>
      <c r="HI34" s="1160"/>
      <c r="HJ34" s="1160"/>
      <c r="HK34" s="1160"/>
      <c r="HL34" s="1160"/>
      <c r="HM34" s="1160"/>
      <c r="HN34" s="1160"/>
      <c r="HO34" s="1160"/>
      <c r="HP34" s="1160"/>
      <c r="HQ34" s="1160"/>
      <c r="HR34" s="1160"/>
      <c r="HS34" s="1160"/>
      <c r="HT34" s="1160"/>
      <c r="HU34" s="1160"/>
      <c r="HV34" s="1160"/>
      <c r="HW34" s="1160"/>
      <c r="HX34" s="1160"/>
      <c r="HY34" s="1164"/>
      <c r="HZ34" s="1164"/>
      <c r="IA34" s="1164"/>
      <c r="IB34" s="1164"/>
      <c r="IC34" s="1164"/>
      <c r="ID34" s="1165"/>
      <c r="IE34" s="1159"/>
      <c r="IF34" s="1160"/>
      <c r="IG34" s="1161"/>
      <c r="IH34" s="1162"/>
      <c r="II34" s="1160"/>
      <c r="IJ34" s="1161"/>
      <c r="IK34" s="1162"/>
      <c r="IL34" s="1160"/>
      <c r="IM34" s="1160"/>
      <c r="IN34" s="1160"/>
      <c r="IO34" s="1160"/>
      <c r="IP34" s="1160"/>
      <c r="IQ34" s="1160"/>
      <c r="IR34" s="1160"/>
      <c r="IS34" s="1161"/>
      <c r="IT34" s="1162"/>
      <c r="IU34" s="1160"/>
      <c r="IV34" s="1160"/>
      <c r="IW34" s="1161"/>
      <c r="IX34" s="1162"/>
      <c r="IY34" s="1160"/>
      <c r="IZ34" s="1160"/>
      <c r="JA34" s="1161"/>
      <c r="JB34" s="1162"/>
      <c r="JC34" s="1160"/>
      <c r="JD34" s="1160"/>
      <c r="JE34" s="1161"/>
      <c r="JF34" s="1162"/>
      <c r="JG34" s="1160"/>
      <c r="JH34" s="1160"/>
      <c r="JI34" s="1160"/>
      <c r="JJ34" s="1163"/>
      <c r="JK34" s="1160"/>
      <c r="JL34" s="1103">
        <f t="shared" ca="1" si="43"/>
        <v>0</v>
      </c>
      <c r="JM34" s="56"/>
    </row>
    <row r="35" spans="1:273" ht="12.6" customHeight="1" x14ac:dyDescent="0.25">
      <c r="A35" s="1132" t="str">
        <f t="shared" si="65"/>
        <v/>
      </c>
      <c r="B35" s="1586" t="str">
        <f t="shared" si="66"/>
        <v/>
      </c>
      <c r="C35" s="1133" t="str">
        <f t="shared" si="67"/>
        <v/>
      </c>
      <c r="D35" s="1134" t="str">
        <f t="shared" si="68"/>
        <v/>
      </c>
      <c r="E35" s="1135" t="str">
        <f t="shared" si="69"/>
        <v/>
      </c>
      <c r="F35" s="1136" t="str">
        <f t="shared" si="70"/>
        <v/>
      </c>
      <c r="G35" s="1137" t="str">
        <f t="shared" si="71"/>
        <v/>
      </c>
      <c r="H35" s="1138" t="str">
        <f t="shared" si="72"/>
        <v/>
      </c>
      <c r="I35" s="1139" t="str">
        <f t="shared" si="73"/>
        <v/>
      </c>
      <c r="J35" s="1134" t="str">
        <f t="shared" si="74"/>
        <v/>
      </c>
      <c r="K35" s="1138" t="str">
        <f t="shared" si="75"/>
        <v/>
      </c>
      <c r="L35" s="1140" t="str">
        <f t="shared" si="76"/>
        <v/>
      </c>
      <c r="M35" s="1141" t="str">
        <f t="shared" si="77"/>
        <v/>
      </c>
      <c r="N35" s="1142" t="str">
        <f t="shared" si="78"/>
        <v/>
      </c>
      <c r="O35" s="1137" t="str">
        <f t="shared" si="79"/>
        <v/>
      </c>
      <c r="P35" s="1138" t="str">
        <f t="shared" si="80"/>
        <v/>
      </c>
      <c r="Q35" s="1134" t="str">
        <f t="shared" si="81"/>
        <v/>
      </c>
      <c r="R35" s="1135" t="str">
        <f t="shared" si="82"/>
        <v/>
      </c>
      <c r="S35" s="1143" t="str">
        <f t="shared" si="83"/>
        <v/>
      </c>
      <c r="T35" s="1138" t="str">
        <f t="shared" si="84"/>
        <v/>
      </c>
      <c r="U35" s="1134" t="str">
        <f t="shared" si="85"/>
        <v/>
      </c>
      <c r="V35" s="1138" t="str">
        <f t="shared" si="86"/>
        <v/>
      </c>
      <c r="W35" s="1142">
        <f t="shared" si="87"/>
        <v>0</v>
      </c>
      <c r="X35" s="1144" t="e">
        <f t="shared" si="88"/>
        <v>#REF!</v>
      </c>
      <c r="Y35" s="1145" t="e">
        <f t="shared" si="89"/>
        <v>#REF!</v>
      </c>
      <c r="Z35" s="1587" t="str">
        <f t="shared" si="90"/>
        <v/>
      </c>
      <c r="AA35" s="1206" t="str">
        <f t="shared" si="91"/>
        <v/>
      </c>
      <c r="AB35" s="1132" t="str">
        <f t="shared" si="64"/>
        <v/>
      </c>
      <c r="AC35" s="1139" t="str">
        <f t="shared" si="53"/>
        <v/>
      </c>
      <c r="AD35" s="1134" t="str">
        <f t="shared" ca="1" si="44"/>
        <v/>
      </c>
      <c r="AE35" s="1138" t="str">
        <f t="shared" ca="1" si="45"/>
        <v/>
      </c>
      <c r="AF35" s="1139" t="str">
        <f t="shared" ca="1" si="46"/>
        <v/>
      </c>
      <c r="AG35" s="1134" t="str">
        <f t="shared" ca="1" si="47"/>
        <v/>
      </c>
      <c r="AH35" s="1138" t="str">
        <f t="shared" ca="1" si="48"/>
        <v/>
      </c>
      <c r="AI35" s="1134" t="str">
        <f t="shared" ca="1" si="49"/>
        <v/>
      </c>
      <c r="AJ35" s="1138" t="str">
        <f t="shared" ca="1" si="50"/>
        <v/>
      </c>
      <c r="AK35" s="1619" t="str">
        <f t="shared" si="54"/>
        <v/>
      </c>
      <c r="AL35" s="1620" t="str">
        <f t="shared" si="55"/>
        <v/>
      </c>
      <c r="AM35" s="1621" t="str">
        <f t="shared" si="56"/>
        <v/>
      </c>
      <c r="AN35" s="1139" t="str">
        <f t="shared" si="57"/>
        <v/>
      </c>
      <c r="AO35" s="1622" t="str">
        <f t="shared" si="58"/>
        <v/>
      </c>
      <c r="AP35" s="1141" t="str">
        <f t="shared" si="4"/>
        <v/>
      </c>
      <c r="AQ35" s="1623" t="str">
        <f t="shared" si="5"/>
        <v/>
      </c>
      <c r="AR35" s="1137" t="str">
        <f t="shared" si="17"/>
        <v/>
      </c>
      <c r="AS35" s="1138" t="str">
        <f t="shared" si="18"/>
        <v/>
      </c>
      <c r="AT35" s="1624" t="str">
        <f t="shared" si="19"/>
        <v/>
      </c>
      <c r="AU35" s="1625" t="str">
        <f t="shared" si="20"/>
        <v/>
      </c>
      <c r="AV35" s="1143" t="str">
        <f t="shared" si="21"/>
        <v/>
      </c>
      <c r="AW35" s="1138" t="str">
        <f t="shared" si="22"/>
        <v/>
      </c>
      <c r="AX35" s="1624" t="str">
        <f t="shared" si="23"/>
        <v/>
      </c>
      <c r="AY35" s="1625" t="str">
        <f t="shared" si="24"/>
        <v/>
      </c>
      <c r="AZ35" s="1143" t="str">
        <f t="shared" si="25"/>
        <v/>
      </c>
      <c r="BA35" s="1138" t="str">
        <f t="shared" si="26"/>
        <v/>
      </c>
      <c r="BB35" s="1624" t="str">
        <f t="shared" si="27"/>
        <v/>
      </c>
      <c r="BC35" s="1625" t="str">
        <f t="shared" si="28"/>
        <v/>
      </c>
      <c r="BD35" s="1143" t="str">
        <f t="shared" si="29"/>
        <v/>
      </c>
      <c r="BE35" s="1138" t="str">
        <f t="shared" si="30"/>
        <v/>
      </c>
      <c r="BF35" s="1624" t="str">
        <f t="shared" si="59"/>
        <v/>
      </c>
      <c r="BG35" s="1625" t="str">
        <f t="shared" si="60"/>
        <v/>
      </c>
      <c r="BH35" s="180"/>
      <c r="BJ35" s="1215" t="str">
        <f t="shared" si="120"/>
        <v/>
      </c>
      <c r="BK35" s="913" t="e">
        <f t="shared" si="121"/>
        <v>#REF!</v>
      </c>
      <c r="BL35" s="908" t="b">
        <v>0</v>
      </c>
      <c r="BM35" s="908">
        <f t="shared" si="109"/>
        <v>0</v>
      </c>
      <c r="BN35" s="908">
        <f t="shared" si="110"/>
        <v>0</v>
      </c>
      <c r="BO35" s="908">
        <f t="shared" si="111"/>
        <v>0</v>
      </c>
      <c r="BP35" s="908">
        <f t="shared" si="92"/>
        <v>0</v>
      </c>
      <c r="BQ35" s="908">
        <f t="shared" si="112"/>
        <v>0</v>
      </c>
      <c r="BR35" s="908" t="b">
        <f t="shared" si="113"/>
        <v>1</v>
      </c>
      <c r="BS35" s="1216">
        <f t="shared" si="114"/>
        <v>6</v>
      </c>
      <c r="BT35" s="909" t="str">
        <f t="shared" si="115"/>
        <v>No</v>
      </c>
      <c r="BU35" s="1216">
        <f t="shared" si="116"/>
        <v>6</v>
      </c>
      <c r="BV35" s="909" t="str">
        <f t="shared" si="117"/>
        <v>No</v>
      </c>
      <c r="BW35" s="910">
        <f t="shared" ca="1" si="33"/>
        <v>0</v>
      </c>
      <c r="BX35" s="911" t="str">
        <f t="shared" ca="1" si="40"/>
        <v/>
      </c>
      <c r="BY35" s="911" t="b">
        <f t="shared" ca="1" si="34"/>
        <v>0</v>
      </c>
      <c r="BZ35" s="1217" t="e">
        <f t="shared" si="41"/>
        <v>#REF!</v>
      </c>
      <c r="CB35" s="616"/>
      <c r="CC35" s="1567"/>
      <c r="CD35" s="645"/>
      <c r="CE35" s="646"/>
      <c r="CF35" s="1242"/>
      <c r="CG35" s="660"/>
      <c r="CH35" s="661"/>
      <c r="CI35" s="662"/>
      <c r="CJ35" s="661"/>
      <c r="CK35" s="662"/>
      <c r="CL35" s="663"/>
      <c r="CM35" s="692"/>
      <c r="CN35" s="687"/>
      <c r="CO35" s="1430"/>
      <c r="CP35" s="839"/>
      <c r="CQ35" s="660"/>
      <c r="CR35" s="661"/>
      <c r="CS35" s="662"/>
      <c r="CT35" s="661"/>
      <c r="CU35" s="662"/>
      <c r="CV35" s="663"/>
      <c r="CW35" s="692"/>
      <c r="CX35" s="687"/>
      <c r="CY35" s="1430"/>
      <c r="CZ35" s="839"/>
      <c r="DA35" s="665"/>
      <c r="DB35" s="648"/>
      <c r="DC35" s="649"/>
      <c r="DD35" s="1478"/>
      <c r="DE35" s="1479"/>
      <c r="DF35" s="58"/>
      <c r="DG35" s="58"/>
      <c r="DH35" s="616"/>
      <c r="DI35" s="617"/>
      <c r="DJ35" s="638"/>
      <c r="DK35" s="1245"/>
      <c r="DL35" s="618"/>
      <c r="DM35" s="639"/>
      <c r="DN35" s="1248"/>
      <c r="DO35" s="619"/>
      <c r="DP35" s="620"/>
      <c r="DQ35" s="1294"/>
      <c r="DR35" s="621"/>
      <c r="DS35" s="1491"/>
      <c r="DT35" s="1486"/>
      <c r="DU35" s="1487"/>
      <c r="DV35" s="622"/>
      <c r="DW35" s="1250"/>
      <c r="DX35" s="623"/>
      <c r="DY35" s="624"/>
      <c r="DZ35" s="622"/>
      <c r="EA35" s="1250"/>
      <c r="EB35" s="623"/>
      <c r="EC35" s="624"/>
      <c r="ED35" s="622"/>
      <c r="EE35" s="1250"/>
      <c r="EF35" s="623"/>
      <c r="EG35" s="624"/>
      <c r="EH35" s="622"/>
      <c r="EI35" s="1250"/>
      <c r="EJ35" s="623"/>
      <c r="EK35" s="625"/>
      <c r="EL35" s="58"/>
      <c r="EM35" s="1513" t="str">
        <f t="shared" si="118"/>
        <v/>
      </c>
      <c r="EN35" s="1514" t="str">
        <f t="shared" si="93"/>
        <v/>
      </c>
      <c r="EO35" s="591" t="str">
        <f t="shared" si="94"/>
        <v/>
      </c>
      <c r="EP35" s="592" t="str">
        <f t="shared" si="95"/>
        <v/>
      </c>
      <c r="EQ35" s="754" t="str">
        <f t="shared" si="96"/>
        <v/>
      </c>
      <c r="ER35" s="1465" t="str">
        <f t="shared" si="97"/>
        <v/>
      </c>
      <c r="ES35" s="1466" t="str">
        <f t="shared" si="98"/>
        <v/>
      </c>
      <c r="ET35" s="1467" t="str">
        <f t="shared" si="99"/>
        <v/>
      </c>
      <c r="EU35" s="1468" t="str">
        <f t="shared" si="100"/>
        <v/>
      </c>
      <c r="EX35" s="870" t="str">
        <f t="shared" ca="1" si="35"/>
        <v/>
      </c>
      <c r="EY35" s="872" t="str">
        <f t="shared" si="6"/>
        <v/>
      </c>
      <c r="EZ35" s="872" t="str">
        <f t="shared" si="36"/>
        <v/>
      </c>
      <c r="FA35" s="891" t="str">
        <f t="shared" ca="1" si="42"/>
        <v/>
      </c>
      <c r="FB35" s="892" t="str">
        <f t="shared" ca="1" si="37"/>
        <v/>
      </c>
      <c r="FC35" s="892">
        <f t="shared" ca="1" si="7"/>
        <v>0</v>
      </c>
      <c r="FD35" s="892">
        <f t="shared" ca="1" si="8"/>
        <v>0</v>
      </c>
      <c r="FE35" s="892">
        <f t="shared" ca="1" si="9"/>
        <v>0</v>
      </c>
      <c r="FF35" s="892">
        <f t="shared" ca="1" si="38"/>
        <v>0</v>
      </c>
      <c r="FN35" s="913" t="b">
        <v>1</v>
      </c>
      <c r="FO35" s="703" t="b">
        <f t="shared" si="119"/>
        <v>1</v>
      </c>
      <c r="FP35" s="703" t="b">
        <v>0</v>
      </c>
      <c r="FQ35" s="703" t="b">
        <f t="shared" si="39"/>
        <v>1</v>
      </c>
      <c r="FX35" s="103"/>
      <c r="FZ35" s="1"/>
      <c r="GA35" s="524" t="str">
        <f t="shared" si="101"/>
        <v/>
      </c>
      <c r="GB35" s="566" t="str">
        <f t="shared" si="102"/>
        <v/>
      </c>
      <c r="GC35" s="568" t="str">
        <f t="shared" si="103"/>
        <v/>
      </c>
      <c r="GD35" s="569" t="str">
        <f t="shared" si="104"/>
        <v/>
      </c>
      <c r="GE35" s="567" t="str">
        <f t="shared" si="105"/>
        <v/>
      </c>
      <c r="GF35" s="525" t="str">
        <f t="shared" si="106"/>
        <v/>
      </c>
      <c r="GG35" s="1056"/>
      <c r="GH35" s="1058"/>
      <c r="GI35" s="1056"/>
      <c r="GJ35" s="1058"/>
      <c r="GK35" s="1523">
        <f t="shared" si="107"/>
        <v>0</v>
      </c>
      <c r="GL35" s="1523" t="e">
        <f t="shared" si="108"/>
        <v>#VALUE!</v>
      </c>
      <c r="GM35" s="1524" t="e">
        <f>IF(ABS(GK35-GL35)&gt;=#REF!,ABS(GK35-GL35),0)</f>
        <v>#VALUE!</v>
      </c>
      <c r="HA35" s="1159"/>
      <c r="HB35" s="1160"/>
      <c r="HC35" s="1160"/>
      <c r="HD35" s="1161"/>
      <c r="HE35" s="1162"/>
      <c r="HF35" s="1160"/>
      <c r="HG35" s="1160"/>
      <c r="HH35" s="1160"/>
      <c r="HI35" s="1160"/>
      <c r="HJ35" s="1160"/>
      <c r="HK35" s="1160"/>
      <c r="HL35" s="1160"/>
      <c r="HM35" s="1160"/>
      <c r="HN35" s="1160"/>
      <c r="HO35" s="1160"/>
      <c r="HP35" s="1160"/>
      <c r="HQ35" s="1160"/>
      <c r="HR35" s="1160"/>
      <c r="HS35" s="1160"/>
      <c r="HT35" s="1160"/>
      <c r="HU35" s="1160"/>
      <c r="HV35" s="1160"/>
      <c r="HW35" s="1160"/>
      <c r="HX35" s="1160"/>
      <c r="HY35" s="1164"/>
      <c r="HZ35" s="1164"/>
      <c r="IA35" s="1164"/>
      <c r="IB35" s="1164"/>
      <c r="IC35" s="1164"/>
      <c r="ID35" s="1165"/>
      <c r="IE35" s="1159"/>
      <c r="IF35" s="1160"/>
      <c r="IG35" s="1161"/>
      <c r="IH35" s="1162"/>
      <c r="II35" s="1160"/>
      <c r="IJ35" s="1161"/>
      <c r="IK35" s="1162"/>
      <c r="IL35" s="1160"/>
      <c r="IM35" s="1160"/>
      <c r="IN35" s="1160"/>
      <c r="IO35" s="1160"/>
      <c r="IP35" s="1160"/>
      <c r="IQ35" s="1160"/>
      <c r="IR35" s="1160"/>
      <c r="IS35" s="1161"/>
      <c r="IT35" s="1162"/>
      <c r="IU35" s="1160"/>
      <c r="IV35" s="1160"/>
      <c r="IW35" s="1161"/>
      <c r="IX35" s="1162"/>
      <c r="IY35" s="1160"/>
      <c r="IZ35" s="1160"/>
      <c r="JA35" s="1161"/>
      <c r="JB35" s="1162"/>
      <c r="JC35" s="1160"/>
      <c r="JD35" s="1160"/>
      <c r="JE35" s="1161"/>
      <c r="JF35" s="1162"/>
      <c r="JG35" s="1160"/>
      <c r="JH35" s="1160"/>
      <c r="JI35" s="1160"/>
      <c r="JJ35" s="1163"/>
      <c r="JK35" s="1160"/>
      <c r="JL35" s="1103">
        <f t="shared" ca="1" si="43"/>
        <v>0</v>
      </c>
      <c r="JM35" s="56"/>
    </row>
    <row r="36" spans="1:273" ht="12.6" customHeight="1" x14ac:dyDescent="0.25">
      <c r="A36" s="1132" t="str">
        <f t="shared" si="65"/>
        <v/>
      </c>
      <c r="B36" s="1586" t="str">
        <f t="shared" si="66"/>
        <v/>
      </c>
      <c r="C36" s="1133" t="str">
        <f t="shared" si="67"/>
        <v/>
      </c>
      <c r="D36" s="1134" t="str">
        <f t="shared" si="68"/>
        <v/>
      </c>
      <c r="E36" s="1135" t="str">
        <f t="shared" si="69"/>
        <v/>
      </c>
      <c r="F36" s="1136" t="str">
        <f t="shared" si="70"/>
        <v/>
      </c>
      <c r="G36" s="1137" t="str">
        <f t="shared" si="71"/>
        <v/>
      </c>
      <c r="H36" s="1138" t="str">
        <f t="shared" si="72"/>
        <v/>
      </c>
      <c r="I36" s="1139" t="str">
        <f t="shared" si="73"/>
        <v/>
      </c>
      <c r="J36" s="1134" t="str">
        <f t="shared" si="74"/>
        <v/>
      </c>
      <c r="K36" s="1138" t="str">
        <f t="shared" si="75"/>
        <v/>
      </c>
      <c r="L36" s="1140" t="str">
        <f t="shared" si="76"/>
        <v/>
      </c>
      <c r="M36" s="1141" t="str">
        <f t="shared" si="77"/>
        <v/>
      </c>
      <c r="N36" s="1142" t="str">
        <f t="shared" si="78"/>
        <v/>
      </c>
      <c r="O36" s="1137" t="str">
        <f t="shared" si="79"/>
        <v/>
      </c>
      <c r="P36" s="1138" t="str">
        <f t="shared" si="80"/>
        <v/>
      </c>
      <c r="Q36" s="1134" t="str">
        <f t="shared" si="81"/>
        <v/>
      </c>
      <c r="R36" s="1135" t="str">
        <f t="shared" si="82"/>
        <v/>
      </c>
      <c r="S36" s="1143" t="str">
        <f t="shared" si="83"/>
        <v/>
      </c>
      <c r="T36" s="1138" t="str">
        <f t="shared" si="84"/>
        <v/>
      </c>
      <c r="U36" s="1134" t="str">
        <f t="shared" si="85"/>
        <v/>
      </c>
      <c r="V36" s="1138" t="str">
        <f t="shared" si="86"/>
        <v/>
      </c>
      <c r="W36" s="1142">
        <f t="shared" si="87"/>
        <v>0</v>
      </c>
      <c r="X36" s="1144" t="e">
        <f t="shared" si="88"/>
        <v>#REF!</v>
      </c>
      <c r="Y36" s="1145" t="e">
        <f t="shared" si="89"/>
        <v>#REF!</v>
      </c>
      <c r="Z36" s="1587" t="str">
        <f t="shared" si="90"/>
        <v/>
      </c>
      <c r="AA36" s="1206" t="str">
        <f t="shared" si="91"/>
        <v/>
      </c>
      <c r="AB36" s="1132" t="str">
        <f t="shared" si="64"/>
        <v/>
      </c>
      <c r="AC36" s="1139" t="str">
        <f t="shared" si="53"/>
        <v/>
      </c>
      <c r="AD36" s="1134" t="str">
        <f t="shared" ca="1" si="44"/>
        <v/>
      </c>
      <c r="AE36" s="1138" t="str">
        <f t="shared" ca="1" si="45"/>
        <v/>
      </c>
      <c r="AF36" s="1139" t="str">
        <f t="shared" ca="1" si="46"/>
        <v/>
      </c>
      <c r="AG36" s="1134" t="str">
        <f t="shared" ca="1" si="47"/>
        <v/>
      </c>
      <c r="AH36" s="1138" t="str">
        <f t="shared" ca="1" si="48"/>
        <v/>
      </c>
      <c r="AI36" s="1134" t="str">
        <f t="shared" ca="1" si="49"/>
        <v/>
      </c>
      <c r="AJ36" s="1138" t="str">
        <f t="shared" ca="1" si="50"/>
        <v/>
      </c>
      <c r="AK36" s="1619" t="str">
        <f t="shared" si="54"/>
        <v/>
      </c>
      <c r="AL36" s="1620" t="str">
        <f t="shared" si="55"/>
        <v/>
      </c>
      <c r="AM36" s="1621" t="str">
        <f t="shared" si="56"/>
        <v/>
      </c>
      <c r="AN36" s="1139" t="str">
        <f t="shared" si="57"/>
        <v/>
      </c>
      <c r="AO36" s="1622" t="str">
        <f t="shared" si="58"/>
        <v/>
      </c>
      <c r="AP36" s="1141" t="str">
        <f t="shared" si="4"/>
        <v/>
      </c>
      <c r="AQ36" s="1623" t="str">
        <f t="shared" si="5"/>
        <v/>
      </c>
      <c r="AR36" s="1137" t="str">
        <f t="shared" si="17"/>
        <v/>
      </c>
      <c r="AS36" s="1138" t="str">
        <f t="shared" si="18"/>
        <v/>
      </c>
      <c r="AT36" s="1624" t="str">
        <f t="shared" si="19"/>
        <v/>
      </c>
      <c r="AU36" s="1625" t="str">
        <f t="shared" si="20"/>
        <v/>
      </c>
      <c r="AV36" s="1143" t="str">
        <f t="shared" si="21"/>
        <v/>
      </c>
      <c r="AW36" s="1138" t="str">
        <f t="shared" si="22"/>
        <v/>
      </c>
      <c r="AX36" s="1624" t="str">
        <f t="shared" si="23"/>
        <v/>
      </c>
      <c r="AY36" s="1625" t="str">
        <f t="shared" si="24"/>
        <v/>
      </c>
      <c r="AZ36" s="1143" t="str">
        <f t="shared" si="25"/>
        <v/>
      </c>
      <c r="BA36" s="1138" t="str">
        <f t="shared" si="26"/>
        <v/>
      </c>
      <c r="BB36" s="1624" t="str">
        <f t="shared" si="27"/>
        <v/>
      </c>
      <c r="BC36" s="1625" t="str">
        <f t="shared" si="28"/>
        <v/>
      </c>
      <c r="BD36" s="1143" t="str">
        <f t="shared" si="29"/>
        <v/>
      </c>
      <c r="BE36" s="1138" t="str">
        <f t="shared" si="30"/>
        <v/>
      </c>
      <c r="BF36" s="1624" t="str">
        <f t="shared" si="59"/>
        <v/>
      </c>
      <c r="BG36" s="1625" t="str">
        <f t="shared" si="60"/>
        <v/>
      </c>
      <c r="BH36" s="180"/>
      <c r="BJ36" s="1215" t="str">
        <f t="shared" si="120"/>
        <v/>
      </c>
      <c r="BK36" s="913" t="e">
        <f t="shared" si="121"/>
        <v>#REF!</v>
      </c>
      <c r="BL36" s="908" t="b">
        <v>0</v>
      </c>
      <c r="BM36" s="908">
        <f t="shared" si="109"/>
        <v>0</v>
      </c>
      <c r="BN36" s="908">
        <f t="shared" si="110"/>
        <v>0</v>
      </c>
      <c r="BO36" s="908">
        <f t="shared" si="111"/>
        <v>0</v>
      </c>
      <c r="BP36" s="908">
        <f t="shared" si="92"/>
        <v>0</v>
      </c>
      <c r="BQ36" s="908">
        <f t="shared" si="112"/>
        <v>0</v>
      </c>
      <c r="BR36" s="908" t="b">
        <f t="shared" si="113"/>
        <v>1</v>
      </c>
      <c r="BS36" s="1216">
        <f t="shared" si="114"/>
        <v>6</v>
      </c>
      <c r="BT36" s="909" t="str">
        <f t="shared" si="115"/>
        <v>No</v>
      </c>
      <c r="BU36" s="1216">
        <f t="shared" si="116"/>
        <v>6</v>
      </c>
      <c r="BV36" s="909" t="str">
        <f t="shared" si="117"/>
        <v>No</v>
      </c>
      <c r="BW36" s="910">
        <f t="shared" ca="1" si="33"/>
        <v>0</v>
      </c>
      <c r="BX36" s="911" t="str">
        <f t="shared" ca="1" si="40"/>
        <v/>
      </c>
      <c r="BY36" s="911" t="b">
        <f t="shared" ca="1" si="34"/>
        <v>0</v>
      </c>
      <c r="BZ36" s="1217" t="e">
        <f t="shared" si="41"/>
        <v>#REF!</v>
      </c>
      <c r="CB36" s="616"/>
      <c r="CC36" s="1567"/>
      <c r="CD36" s="645"/>
      <c r="CE36" s="646"/>
      <c r="CF36" s="1242"/>
      <c r="CG36" s="660"/>
      <c r="CH36" s="661"/>
      <c r="CI36" s="662"/>
      <c r="CJ36" s="661"/>
      <c r="CK36" s="662"/>
      <c r="CL36" s="663"/>
      <c r="CM36" s="692"/>
      <c r="CN36" s="687"/>
      <c r="CO36" s="1430"/>
      <c r="CP36" s="839"/>
      <c r="CQ36" s="660"/>
      <c r="CR36" s="661"/>
      <c r="CS36" s="662"/>
      <c r="CT36" s="661"/>
      <c r="CU36" s="662"/>
      <c r="CV36" s="663"/>
      <c r="CW36" s="692"/>
      <c r="CX36" s="687"/>
      <c r="CY36" s="1430"/>
      <c r="CZ36" s="839"/>
      <c r="DA36" s="665"/>
      <c r="DB36" s="648"/>
      <c r="DC36" s="649"/>
      <c r="DD36" s="1478"/>
      <c r="DE36" s="1479"/>
      <c r="DF36" s="58"/>
      <c r="DG36" s="58"/>
      <c r="DH36" s="616"/>
      <c r="DI36" s="617"/>
      <c r="DJ36" s="638"/>
      <c r="DK36" s="1245"/>
      <c r="DL36" s="618"/>
      <c r="DM36" s="639"/>
      <c r="DN36" s="1248"/>
      <c r="DO36" s="619"/>
      <c r="DP36" s="620"/>
      <c r="DQ36" s="1294"/>
      <c r="DR36" s="621"/>
      <c r="DS36" s="1491"/>
      <c r="DT36" s="1486"/>
      <c r="DU36" s="1487"/>
      <c r="DV36" s="622"/>
      <c r="DW36" s="1250"/>
      <c r="DX36" s="623"/>
      <c r="DY36" s="624"/>
      <c r="DZ36" s="622"/>
      <c r="EA36" s="1250"/>
      <c r="EB36" s="623"/>
      <c r="EC36" s="624"/>
      <c r="ED36" s="622"/>
      <c r="EE36" s="1250"/>
      <c r="EF36" s="623"/>
      <c r="EG36" s="624"/>
      <c r="EH36" s="622"/>
      <c r="EI36" s="1250"/>
      <c r="EJ36" s="623"/>
      <c r="EK36" s="625"/>
      <c r="EL36" s="58"/>
      <c r="EM36" s="1513" t="str">
        <f t="shared" si="118"/>
        <v/>
      </c>
      <c r="EN36" s="1514" t="str">
        <f t="shared" si="93"/>
        <v/>
      </c>
      <c r="EO36" s="591" t="str">
        <f t="shared" si="94"/>
        <v/>
      </c>
      <c r="EP36" s="592" t="str">
        <f t="shared" si="95"/>
        <v/>
      </c>
      <c r="EQ36" s="754" t="str">
        <f t="shared" si="96"/>
        <v/>
      </c>
      <c r="ER36" s="1465" t="str">
        <f t="shared" si="97"/>
        <v/>
      </c>
      <c r="ES36" s="1466" t="str">
        <f t="shared" si="98"/>
        <v/>
      </c>
      <c r="ET36" s="1467" t="str">
        <f t="shared" si="99"/>
        <v/>
      </c>
      <c r="EU36" s="1468" t="str">
        <f t="shared" si="100"/>
        <v/>
      </c>
      <c r="EX36" s="870" t="str">
        <f t="shared" ca="1" si="35"/>
        <v/>
      </c>
      <c r="EY36" s="872" t="str">
        <f t="shared" si="6"/>
        <v/>
      </c>
      <c r="EZ36" s="872" t="str">
        <f t="shared" si="36"/>
        <v/>
      </c>
      <c r="FA36" s="891" t="str">
        <f t="shared" ca="1" si="42"/>
        <v/>
      </c>
      <c r="FB36" s="892" t="str">
        <f t="shared" ca="1" si="37"/>
        <v/>
      </c>
      <c r="FC36" s="892">
        <f t="shared" ca="1" si="7"/>
        <v>0</v>
      </c>
      <c r="FD36" s="892">
        <f t="shared" ca="1" si="8"/>
        <v>0</v>
      </c>
      <c r="FE36" s="892">
        <f t="shared" ca="1" si="9"/>
        <v>0</v>
      </c>
      <c r="FF36" s="892">
        <f t="shared" ca="1" si="38"/>
        <v>0</v>
      </c>
      <c r="FN36" s="913" t="b">
        <v>0</v>
      </c>
      <c r="FO36" s="703" t="b">
        <f t="shared" si="119"/>
        <v>1</v>
      </c>
      <c r="FP36" s="703" t="b">
        <v>0</v>
      </c>
      <c r="FQ36" s="703" t="b">
        <f t="shared" si="39"/>
        <v>1</v>
      </c>
      <c r="FX36" s="103"/>
      <c r="FZ36" s="1"/>
      <c r="GA36" s="524" t="str">
        <f t="shared" si="101"/>
        <v/>
      </c>
      <c r="GB36" s="566" t="str">
        <f t="shared" si="102"/>
        <v/>
      </c>
      <c r="GC36" s="568" t="str">
        <f t="shared" si="103"/>
        <v/>
      </c>
      <c r="GD36" s="569" t="str">
        <f t="shared" si="104"/>
        <v/>
      </c>
      <c r="GE36" s="567" t="str">
        <f t="shared" si="105"/>
        <v/>
      </c>
      <c r="GF36" s="525" t="str">
        <f t="shared" si="106"/>
        <v/>
      </c>
      <c r="GG36" s="1056"/>
      <c r="GH36" s="1058"/>
      <c r="GI36" s="1056"/>
      <c r="GJ36" s="1058"/>
      <c r="GK36" s="1523">
        <f t="shared" si="107"/>
        <v>0</v>
      </c>
      <c r="GL36" s="1523" t="e">
        <f t="shared" si="108"/>
        <v>#VALUE!</v>
      </c>
      <c r="GM36" s="1524" t="e">
        <f>IF(ABS(GK36-GL36)&gt;=#REF!,ABS(GK36-GL36),0)</f>
        <v>#VALUE!</v>
      </c>
      <c r="HA36" s="1159"/>
      <c r="HB36" s="1160"/>
      <c r="HC36" s="1160"/>
      <c r="HD36" s="1161"/>
      <c r="HE36" s="1162"/>
      <c r="HF36" s="1160"/>
      <c r="HG36" s="1160"/>
      <c r="HH36" s="1160"/>
      <c r="HI36" s="1160"/>
      <c r="HJ36" s="1160"/>
      <c r="HK36" s="1160"/>
      <c r="HL36" s="1160"/>
      <c r="HM36" s="1160"/>
      <c r="HN36" s="1160"/>
      <c r="HO36" s="1160"/>
      <c r="HP36" s="1160"/>
      <c r="HQ36" s="1160"/>
      <c r="HR36" s="1160"/>
      <c r="HS36" s="1160"/>
      <c r="HT36" s="1160"/>
      <c r="HU36" s="1160"/>
      <c r="HV36" s="1160"/>
      <c r="HW36" s="1160"/>
      <c r="HX36" s="1160"/>
      <c r="HY36" s="1164"/>
      <c r="HZ36" s="1164"/>
      <c r="IA36" s="1164"/>
      <c r="IB36" s="1164"/>
      <c r="IC36" s="1164"/>
      <c r="ID36" s="1165"/>
      <c r="IE36" s="1159"/>
      <c r="IF36" s="1160"/>
      <c r="IG36" s="1161"/>
      <c r="IH36" s="1162"/>
      <c r="II36" s="1160"/>
      <c r="IJ36" s="1161"/>
      <c r="IK36" s="1162"/>
      <c r="IL36" s="1160"/>
      <c r="IM36" s="1160"/>
      <c r="IN36" s="1160"/>
      <c r="IO36" s="1160"/>
      <c r="IP36" s="1160"/>
      <c r="IQ36" s="1160"/>
      <c r="IR36" s="1160"/>
      <c r="IS36" s="1161"/>
      <c r="IT36" s="1162"/>
      <c r="IU36" s="1160"/>
      <c r="IV36" s="1160"/>
      <c r="IW36" s="1161"/>
      <c r="IX36" s="1162"/>
      <c r="IY36" s="1160"/>
      <c r="IZ36" s="1160"/>
      <c r="JA36" s="1161"/>
      <c r="JB36" s="1162"/>
      <c r="JC36" s="1160"/>
      <c r="JD36" s="1160"/>
      <c r="JE36" s="1161"/>
      <c r="JF36" s="1162"/>
      <c r="JG36" s="1160"/>
      <c r="JH36" s="1160"/>
      <c r="JI36" s="1160"/>
      <c r="JJ36" s="1163"/>
      <c r="JK36" s="1160"/>
      <c r="JL36" s="1103">
        <f t="shared" ca="1" si="43"/>
        <v>0</v>
      </c>
      <c r="JM36" s="56"/>
    </row>
    <row r="37" spans="1:273" ht="12.6" customHeight="1" x14ac:dyDescent="0.25">
      <c r="A37" s="1132" t="str">
        <f t="shared" si="65"/>
        <v/>
      </c>
      <c r="B37" s="1586" t="str">
        <f t="shared" si="66"/>
        <v/>
      </c>
      <c r="C37" s="1133" t="str">
        <f t="shared" si="67"/>
        <v/>
      </c>
      <c r="D37" s="1134" t="str">
        <f t="shared" si="68"/>
        <v/>
      </c>
      <c r="E37" s="1135" t="str">
        <f t="shared" si="69"/>
        <v/>
      </c>
      <c r="F37" s="1136" t="str">
        <f t="shared" si="70"/>
        <v/>
      </c>
      <c r="G37" s="1137" t="str">
        <f t="shared" si="71"/>
        <v/>
      </c>
      <c r="H37" s="1138" t="str">
        <f t="shared" si="72"/>
        <v/>
      </c>
      <c r="I37" s="1139" t="str">
        <f t="shared" si="73"/>
        <v/>
      </c>
      <c r="J37" s="1134" t="str">
        <f t="shared" si="74"/>
        <v/>
      </c>
      <c r="K37" s="1138" t="str">
        <f t="shared" si="75"/>
        <v/>
      </c>
      <c r="L37" s="1140" t="str">
        <f t="shared" si="76"/>
        <v/>
      </c>
      <c r="M37" s="1141" t="str">
        <f t="shared" si="77"/>
        <v/>
      </c>
      <c r="N37" s="1142" t="str">
        <f t="shared" si="78"/>
        <v/>
      </c>
      <c r="O37" s="1137" t="str">
        <f t="shared" si="79"/>
        <v/>
      </c>
      <c r="P37" s="1138" t="str">
        <f t="shared" si="80"/>
        <v/>
      </c>
      <c r="Q37" s="1134" t="str">
        <f t="shared" si="81"/>
        <v/>
      </c>
      <c r="R37" s="1135" t="str">
        <f t="shared" si="82"/>
        <v/>
      </c>
      <c r="S37" s="1143" t="str">
        <f t="shared" si="83"/>
        <v/>
      </c>
      <c r="T37" s="1138" t="str">
        <f t="shared" si="84"/>
        <v/>
      </c>
      <c r="U37" s="1134" t="str">
        <f t="shared" si="85"/>
        <v/>
      </c>
      <c r="V37" s="1138" t="str">
        <f t="shared" si="86"/>
        <v/>
      </c>
      <c r="W37" s="1142">
        <f t="shared" si="87"/>
        <v>0</v>
      </c>
      <c r="X37" s="1144" t="e">
        <f t="shared" si="88"/>
        <v>#REF!</v>
      </c>
      <c r="Y37" s="1145" t="e">
        <f t="shared" si="89"/>
        <v>#REF!</v>
      </c>
      <c r="Z37" s="1587" t="str">
        <f t="shared" si="90"/>
        <v/>
      </c>
      <c r="AA37" s="1206" t="str">
        <f t="shared" si="91"/>
        <v/>
      </c>
      <c r="AB37" s="1132" t="str">
        <f t="shared" si="64"/>
        <v/>
      </c>
      <c r="AC37" s="1139" t="str">
        <f t="shared" si="53"/>
        <v/>
      </c>
      <c r="AD37" s="1134" t="str">
        <f t="shared" ca="1" si="44"/>
        <v/>
      </c>
      <c r="AE37" s="1138" t="str">
        <f t="shared" ca="1" si="45"/>
        <v/>
      </c>
      <c r="AF37" s="1139" t="str">
        <f t="shared" ca="1" si="46"/>
        <v/>
      </c>
      <c r="AG37" s="1134" t="str">
        <f t="shared" ca="1" si="47"/>
        <v/>
      </c>
      <c r="AH37" s="1138" t="str">
        <f t="shared" ca="1" si="48"/>
        <v/>
      </c>
      <c r="AI37" s="1134" t="str">
        <f t="shared" ca="1" si="49"/>
        <v/>
      </c>
      <c r="AJ37" s="1138" t="str">
        <f t="shared" ca="1" si="50"/>
        <v/>
      </c>
      <c r="AK37" s="1619" t="str">
        <f t="shared" si="54"/>
        <v/>
      </c>
      <c r="AL37" s="1620" t="str">
        <f t="shared" si="55"/>
        <v/>
      </c>
      <c r="AM37" s="1621" t="str">
        <f t="shared" si="56"/>
        <v/>
      </c>
      <c r="AN37" s="1139" t="str">
        <f t="shared" si="57"/>
        <v/>
      </c>
      <c r="AO37" s="1622" t="str">
        <f t="shared" si="58"/>
        <v/>
      </c>
      <c r="AP37" s="1141" t="str">
        <f t="shared" si="4"/>
        <v/>
      </c>
      <c r="AQ37" s="1623" t="str">
        <f t="shared" si="5"/>
        <v/>
      </c>
      <c r="AR37" s="1137" t="str">
        <f t="shared" si="17"/>
        <v/>
      </c>
      <c r="AS37" s="1138" t="str">
        <f t="shared" si="18"/>
        <v/>
      </c>
      <c r="AT37" s="1624" t="str">
        <f t="shared" si="19"/>
        <v/>
      </c>
      <c r="AU37" s="1625" t="str">
        <f t="shared" si="20"/>
        <v/>
      </c>
      <c r="AV37" s="1143" t="str">
        <f t="shared" si="21"/>
        <v/>
      </c>
      <c r="AW37" s="1138" t="str">
        <f t="shared" si="22"/>
        <v/>
      </c>
      <c r="AX37" s="1624" t="str">
        <f t="shared" si="23"/>
        <v/>
      </c>
      <c r="AY37" s="1625" t="str">
        <f t="shared" si="24"/>
        <v/>
      </c>
      <c r="AZ37" s="1143" t="str">
        <f t="shared" si="25"/>
        <v/>
      </c>
      <c r="BA37" s="1138" t="str">
        <f t="shared" si="26"/>
        <v/>
      </c>
      <c r="BB37" s="1624" t="str">
        <f t="shared" si="27"/>
        <v/>
      </c>
      <c r="BC37" s="1625" t="str">
        <f t="shared" si="28"/>
        <v/>
      </c>
      <c r="BD37" s="1143" t="str">
        <f t="shared" si="29"/>
        <v/>
      </c>
      <c r="BE37" s="1138" t="str">
        <f t="shared" si="30"/>
        <v/>
      </c>
      <c r="BF37" s="1624" t="str">
        <f t="shared" si="59"/>
        <v/>
      </c>
      <c r="BG37" s="1625" t="str">
        <f t="shared" si="60"/>
        <v/>
      </c>
      <c r="BH37" s="180"/>
      <c r="BJ37" s="1215" t="str">
        <f t="shared" si="120"/>
        <v/>
      </c>
      <c r="BK37" s="913" t="e">
        <f t="shared" si="121"/>
        <v>#REF!</v>
      </c>
      <c r="BL37" s="908" t="b">
        <v>0</v>
      </c>
      <c r="BM37" s="908">
        <f t="shared" si="109"/>
        <v>0</v>
      </c>
      <c r="BN37" s="908">
        <f t="shared" si="110"/>
        <v>0</v>
      </c>
      <c r="BO37" s="908">
        <f t="shared" si="111"/>
        <v>0</v>
      </c>
      <c r="BP37" s="908">
        <f t="shared" si="92"/>
        <v>0</v>
      </c>
      <c r="BQ37" s="908">
        <f t="shared" si="112"/>
        <v>0</v>
      </c>
      <c r="BR37" s="908" t="b">
        <f t="shared" si="113"/>
        <v>1</v>
      </c>
      <c r="BS37" s="1216">
        <f t="shared" si="114"/>
        <v>6</v>
      </c>
      <c r="BT37" s="909" t="str">
        <f t="shared" si="115"/>
        <v>No</v>
      </c>
      <c r="BU37" s="1216">
        <f t="shared" si="116"/>
        <v>6</v>
      </c>
      <c r="BV37" s="909" t="str">
        <f t="shared" si="117"/>
        <v>No</v>
      </c>
      <c r="BW37" s="910">
        <f t="shared" ca="1" si="33"/>
        <v>0</v>
      </c>
      <c r="BX37" s="911" t="str">
        <f t="shared" ca="1" si="40"/>
        <v/>
      </c>
      <c r="BY37" s="911" t="b">
        <f t="shared" ca="1" si="34"/>
        <v>0</v>
      </c>
      <c r="BZ37" s="1217" t="e">
        <f t="shared" si="41"/>
        <v>#REF!</v>
      </c>
      <c r="CB37" s="616"/>
      <c r="CC37" s="1567"/>
      <c r="CD37" s="645"/>
      <c r="CE37" s="646"/>
      <c r="CF37" s="1242"/>
      <c r="CG37" s="660"/>
      <c r="CH37" s="661"/>
      <c r="CI37" s="662"/>
      <c r="CJ37" s="661"/>
      <c r="CK37" s="662"/>
      <c r="CL37" s="663"/>
      <c r="CM37" s="692"/>
      <c r="CN37" s="687"/>
      <c r="CO37" s="1430"/>
      <c r="CP37" s="839"/>
      <c r="CQ37" s="660"/>
      <c r="CR37" s="661"/>
      <c r="CS37" s="662"/>
      <c r="CT37" s="661"/>
      <c r="CU37" s="662"/>
      <c r="CV37" s="663"/>
      <c r="CW37" s="692"/>
      <c r="CX37" s="687"/>
      <c r="CY37" s="1430"/>
      <c r="CZ37" s="839"/>
      <c r="DA37" s="665"/>
      <c r="DB37" s="648"/>
      <c r="DC37" s="649"/>
      <c r="DD37" s="1478"/>
      <c r="DE37" s="1479"/>
      <c r="DF37" s="58"/>
      <c r="DG37" s="58"/>
      <c r="DH37" s="616"/>
      <c r="DI37" s="617"/>
      <c r="DJ37" s="638"/>
      <c r="DK37" s="1245"/>
      <c r="DL37" s="618"/>
      <c r="DM37" s="639"/>
      <c r="DN37" s="1248"/>
      <c r="DO37" s="619"/>
      <c r="DP37" s="620"/>
      <c r="DQ37" s="1294"/>
      <c r="DR37" s="621"/>
      <c r="DS37" s="1491"/>
      <c r="DT37" s="1486"/>
      <c r="DU37" s="1487"/>
      <c r="DV37" s="622"/>
      <c r="DW37" s="1250"/>
      <c r="DX37" s="623"/>
      <c r="DY37" s="624"/>
      <c r="DZ37" s="622"/>
      <c r="EA37" s="1250"/>
      <c r="EB37" s="623"/>
      <c r="EC37" s="624"/>
      <c r="ED37" s="622"/>
      <c r="EE37" s="1250"/>
      <c r="EF37" s="623"/>
      <c r="EG37" s="624"/>
      <c r="EH37" s="622"/>
      <c r="EI37" s="1250"/>
      <c r="EJ37" s="623"/>
      <c r="EK37" s="625"/>
      <c r="EL37" s="58"/>
      <c r="EM37" s="1513" t="str">
        <f t="shared" si="118"/>
        <v/>
      </c>
      <c r="EN37" s="1514" t="str">
        <f t="shared" si="93"/>
        <v/>
      </c>
      <c r="EO37" s="591" t="str">
        <f t="shared" si="94"/>
        <v/>
      </c>
      <c r="EP37" s="592" t="str">
        <f t="shared" si="95"/>
        <v/>
      </c>
      <c r="EQ37" s="754" t="str">
        <f t="shared" si="96"/>
        <v/>
      </c>
      <c r="ER37" s="1465" t="str">
        <f t="shared" si="97"/>
        <v/>
      </c>
      <c r="ES37" s="1466" t="str">
        <f t="shared" si="98"/>
        <v/>
      </c>
      <c r="ET37" s="1467" t="str">
        <f t="shared" si="99"/>
        <v/>
      </c>
      <c r="EU37" s="1468" t="str">
        <f t="shared" si="100"/>
        <v/>
      </c>
      <c r="EX37" s="870" t="str">
        <f t="shared" ca="1" si="35"/>
        <v/>
      </c>
      <c r="EY37" s="872" t="str">
        <f t="shared" si="6"/>
        <v/>
      </c>
      <c r="EZ37" s="872" t="str">
        <f t="shared" si="36"/>
        <v/>
      </c>
      <c r="FA37" s="891" t="str">
        <f t="shared" ca="1" si="42"/>
        <v/>
      </c>
      <c r="FB37" s="892" t="str">
        <f t="shared" ca="1" si="37"/>
        <v/>
      </c>
      <c r="FC37" s="892">
        <f t="shared" ca="1" si="7"/>
        <v>0</v>
      </c>
      <c r="FD37" s="892">
        <f t="shared" ca="1" si="8"/>
        <v>0</v>
      </c>
      <c r="FE37" s="892">
        <f t="shared" ca="1" si="9"/>
        <v>0</v>
      </c>
      <c r="FF37" s="892">
        <f t="shared" ca="1" si="38"/>
        <v>0</v>
      </c>
      <c r="FN37" s="913" t="b">
        <v>0</v>
      </c>
      <c r="FO37" s="703" t="b">
        <f t="shared" si="119"/>
        <v>1</v>
      </c>
      <c r="FP37" s="703" t="b">
        <v>0</v>
      </c>
      <c r="FQ37" s="703" t="b">
        <f t="shared" si="39"/>
        <v>1</v>
      </c>
      <c r="FX37" s="103"/>
      <c r="FZ37" s="1"/>
      <c r="GA37" s="524" t="str">
        <f t="shared" si="101"/>
        <v/>
      </c>
      <c r="GB37" s="566" t="str">
        <f t="shared" si="102"/>
        <v/>
      </c>
      <c r="GC37" s="568" t="str">
        <f t="shared" si="103"/>
        <v/>
      </c>
      <c r="GD37" s="569" t="str">
        <f t="shared" si="104"/>
        <v/>
      </c>
      <c r="GE37" s="567" t="str">
        <f t="shared" si="105"/>
        <v/>
      </c>
      <c r="GF37" s="525" t="str">
        <f t="shared" si="106"/>
        <v/>
      </c>
      <c r="GG37" s="1056"/>
      <c r="GH37" s="1058"/>
      <c r="GI37" s="1056"/>
      <c r="GJ37" s="1058"/>
      <c r="GK37" s="1523">
        <f t="shared" si="107"/>
        <v>0</v>
      </c>
      <c r="GL37" s="1523" t="e">
        <f t="shared" si="108"/>
        <v>#VALUE!</v>
      </c>
      <c r="GM37" s="1524" t="e">
        <f>IF(ABS(GK37-GL37)&gt;=#REF!,ABS(GK37-GL37),0)</f>
        <v>#VALUE!</v>
      </c>
      <c r="HA37" s="1159"/>
      <c r="HB37" s="1160"/>
      <c r="HC37" s="1160"/>
      <c r="HD37" s="1161"/>
      <c r="HE37" s="1162"/>
      <c r="HF37" s="1160"/>
      <c r="HG37" s="1160"/>
      <c r="HH37" s="1160"/>
      <c r="HI37" s="1160"/>
      <c r="HJ37" s="1160"/>
      <c r="HK37" s="1160"/>
      <c r="HL37" s="1160"/>
      <c r="HM37" s="1160"/>
      <c r="HN37" s="1160"/>
      <c r="HO37" s="1160"/>
      <c r="HP37" s="1160"/>
      <c r="HQ37" s="1160"/>
      <c r="HR37" s="1160"/>
      <c r="HS37" s="1160"/>
      <c r="HT37" s="1160"/>
      <c r="HU37" s="1160"/>
      <c r="HV37" s="1160"/>
      <c r="HW37" s="1160"/>
      <c r="HX37" s="1160"/>
      <c r="HY37" s="1164"/>
      <c r="HZ37" s="1164"/>
      <c r="IA37" s="1164"/>
      <c r="IB37" s="1164"/>
      <c r="IC37" s="1164"/>
      <c r="ID37" s="1165"/>
      <c r="IE37" s="1159"/>
      <c r="IF37" s="1160"/>
      <c r="IG37" s="1161"/>
      <c r="IH37" s="1162"/>
      <c r="II37" s="1160"/>
      <c r="IJ37" s="1161"/>
      <c r="IK37" s="1162"/>
      <c r="IL37" s="1160"/>
      <c r="IM37" s="1160"/>
      <c r="IN37" s="1160"/>
      <c r="IO37" s="1160"/>
      <c r="IP37" s="1160"/>
      <c r="IQ37" s="1160"/>
      <c r="IR37" s="1160"/>
      <c r="IS37" s="1161"/>
      <c r="IT37" s="1162"/>
      <c r="IU37" s="1160"/>
      <c r="IV37" s="1160"/>
      <c r="IW37" s="1161"/>
      <c r="IX37" s="1162"/>
      <c r="IY37" s="1160"/>
      <c r="IZ37" s="1160"/>
      <c r="JA37" s="1161"/>
      <c r="JB37" s="1162"/>
      <c r="JC37" s="1160"/>
      <c r="JD37" s="1160"/>
      <c r="JE37" s="1161"/>
      <c r="JF37" s="1162"/>
      <c r="JG37" s="1160"/>
      <c r="JH37" s="1160"/>
      <c r="JI37" s="1160"/>
      <c r="JJ37" s="1163"/>
      <c r="JK37" s="1160"/>
      <c r="JL37" s="1103">
        <f t="shared" ca="1" si="43"/>
        <v>0</v>
      </c>
      <c r="JM37" s="56"/>
    </row>
    <row r="38" spans="1:273" ht="12.6" customHeight="1" x14ac:dyDescent="0.25">
      <c r="A38" s="1132" t="str">
        <f t="shared" si="65"/>
        <v/>
      </c>
      <c r="B38" s="1586" t="str">
        <f t="shared" si="66"/>
        <v/>
      </c>
      <c r="C38" s="1133" t="str">
        <f t="shared" si="67"/>
        <v/>
      </c>
      <c r="D38" s="1134" t="str">
        <f t="shared" si="68"/>
        <v/>
      </c>
      <c r="E38" s="1135" t="str">
        <f t="shared" si="69"/>
        <v/>
      </c>
      <c r="F38" s="1136" t="str">
        <f t="shared" si="70"/>
        <v/>
      </c>
      <c r="G38" s="1137" t="str">
        <f t="shared" si="71"/>
        <v/>
      </c>
      <c r="H38" s="1138" t="str">
        <f t="shared" si="72"/>
        <v/>
      </c>
      <c r="I38" s="1139" t="str">
        <f t="shared" si="73"/>
        <v/>
      </c>
      <c r="J38" s="1134" t="str">
        <f t="shared" si="74"/>
        <v/>
      </c>
      <c r="K38" s="1138" t="str">
        <f t="shared" si="75"/>
        <v/>
      </c>
      <c r="L38" s="1140" t="str">
        <f t="shared" si="76"/>
        <v/>
      </c>
      <c r="M38" s="1141" t="str">
        <f t="shared" si="77"/>
        <v/>
      </c>
      <c r="N38" s="1142" t="str">
        <f t="shared" si="78"/>
        <v/>
      </c>
      <c r="O38" s="1137" t="str">
        <f t="shared" si="79"/>
        <v/>
      </c>
      <c r="P38" s="1138" t="str">
        <f t="shared" si="80"/>
        <v/>
      </c>
      <c r="Q38" s="1134" t="str">
        <f t="shared" si="81"/>
        <v/>
      </c>
      <c r="R38" s="1135" t="str">
        <f t="shared" si="82"/>
        <v/>
      </c>
      <c r="S38" s="1143" t="str">
        <f t="shared" si="83"/>
        <v/>
      </c>
      <c r="T38" s="1138" t="str">
        <f t="shared" si="84"/>
        <v/>
      </c>
      <c r="U38" s="1134" t="str">
        <f t="shared" si="85"/>
        <v/>
      </c>
      <c r="V38" s="1138" t="str">
        <f t="shared" si="86"/>
        <v/>
      </c>
      <c r="W38" s="1142">
        <f t="shared" si="87"/>
        <v>0</v>
      </c>
      <c r="X38" s="1144" t="e">
        <f t="shared" si="88"/>
        <v>#REF!</v>
      </c>
      <c r="Y38" s="1145" t="e">
        <f t="shared" si="89"/>
        <v>#REF!</v>
      </c>
      <c r="Z38" s="1587" t="str">
        <f t="shared" si="90"/>
        <v/>
      </c>
      <c r="AA38" s="1206" t="str">
        <f t="shared" si="91"/>
        <v/>
      </c>
      <c r="AB38" s="1132" t="str">
        <f t="shared" si="64"/>
        <v/>
      </c>
      <c r="AC38" s="1139" t="str">
        <f t="shared" si="53"/>
        <v/>
      </c>
      <c r="AD38" s="1134" t="str">
        <f t="shared" ca="1" si="44"/>
        <v/>
      </c>
      <c r="AE38" s="1138" t="str">
        <f t="shared" ca="1" si="45"/>
        <v/>
      </c>
      <c r="AF38" s="1139" t="str">
        <f t="shared" ca="1" si="46"/>
        <v/>
      </c>
      <c r="AG38" s="1134" t="str">
        <f t="shared" ca="1" si="47"/>
        <v/>
      </c>
      <c r="AH38" s="1138" t="str">
        <f t="shared" ca="1" si="48"/>
        <v/>
      </c>
      <c r="AI38" s="1134" t="str">
        <f t="shared" ca="1" si="49"/>
        <v/>
      </c>
      <c r="AJ38" s="1138" t="str">
        <f t="shared" ca="1" si="50"/>
        <v/>
      </c>
      <c r="AK38" s="1619" t="str">
        <f t="shared" si="54"/>
        <v/>
      </c>
      <c r="AL38" s="1620" t="str">
        <f t="shared" si="55"/>
        <v/>
      </c>
      <c r="AM38" s="1621" t="str">
        <f t="shared" si="56"/>
        <v/>
      </c>
      <c r="AN38" s="1139" t="str">
        <f t="shared" si="57"/>
        <v/>
      </c>
      <c r="AO38" s="1622" t="str">
        <f t="shared" si="58"/>
        <v/>
      </c>
      <c r="AP38" s="1141" t="str">
        <f t="shared" si="4"/>
        <v/>
      </c>
      <c r="AQ38" s="1623" t="str">
        <f t="shared" si="5"/>
        <v/>
      </c>
      <c r="AR38" s="1137" t="str">
        <f t="shared" si="17"/>
        <v/>
      </c>
      <c r="AS38" s="1138" t="str">
        <f t="shared" si="18"/>
        <v/>
      </c>
      <c r="AT38" s="1624" t="str">
        <f t="shared" si="19"/>
        <v/>
      </c>
      <c r="AU38" s="1625" t="str">
        <f t="shared" si="20"/>
        <v/>
      </c>
      <c r="AV38" s="1143" t="str">
        <f t="shared" si="21"/>
        <v/>
      </c>
      <c r="AW38" s="1138" t="str">
        <f t="shared" si="22"/>
        <v/>
      </c>
      <c r="AX38" s="1624" t="str">
        <f t="shared" si="23"/>
        <v/>
      </c>
      <c r="AY38" s="1625" t="str">
        <f t="shared" si="24"/>
        <v/>
      </c>
      <c r="AZ38" s="1143" t="str">
        <f t="shared" si="25"/>
        <v/>
      </c>
      <c r="BA38" s="1138" t="str">
        <f t="shared" si="26"/>
        <v/>
      </c>
      <c r="BB38" s="1624" t="str">
        <f t="shared" si="27"/>
        <v/>
      </c>
      <c r="BC38" s="1625" t="str">
        <f t="shared" si="28"/>
        <v/>
      </c>
      <c r="BD38" s="1143" t="str">
        <f t="shared" si="29"/>
        <v/>
      </c>
      <c r="BE38" s="1138" t="str">
        <f t="shared" si="30"/>
        <v/>
      </c>
      <c r="BF38" s="1624" t="str">
        <f t="shared" si="59"/>
        <v/>
      </c>
      <c r="BG38" s="1625" t="str">
        <f t="shared" si="60"/>
        <v/>
      </c>
      <c r="BH38" s="180"/>
      <c r="BJ38" s="1215" t="str">
        <f t="shared" si="120"/>
        <v/>
      </c>
      <c r="BK38" s="913" t="e">
        <f t="shared" si="121"/>
        <v>#REF!</v>
      </c>
      <c r="BL38" s="908" t="b">
        <v>0</v>
      </c>
      <c r="BM38" s="908">
        <f t="shared" si="109"/>
        <v>0</v>
      </c>
      <c r="BN38" s="908">
        <f t="shared" si="110"/>
        <v>0</v>
      </c>
      <c r="BO38" s="908">
        <f t="shared" si="111"/>
        <v>0</v>
      </c>
      <c r="BP38" s="908">
        <f t="shared" si="92"/>
        <v>0</v>
      </c>
      <c r="BQ38" s="908">
        <f t="shared" si="112"/>
        <v>0</v>
      </c>
      <c r="BR38" s="908" t="b">
        <f t="shared" si="113"/>
        <v>1</v>
      </c>
      <c r="BS38" s="1216">
        <f t="shared" si="114"/>
        <v>6</v>
      </c>
      <c r="BT38" s="909" t="str">
        <f t="shared" si="115"/>
        <v>No</v>
      </c>
      <c r="BU38" s="1216">
        <f t="shared" si="116"/>
        <v>6</v>
      </c>
      <c r="BV38" s="909" t="str">
        <f t="shared" si="117"/>
        <v>No</v>
      </c>
      <c r="BW38" s="910">
        <f t="shared" ca="1" si="33"/>
        <v>0</v>
      </c>
      <c r="BX38" s="911" t="str">
        <f t="shared" ca="1" si="40"/>
        <v/>
      </c>
      <c r="BY38" s="911" t="b">
        <f t="shared" ca="1" si="34"/>
        <v>0</v>
      </c>
      <c r="BZ38" s="1217" t="e">
        <f t="shared" si="41"/>
        <v>#REF!</v>
      </c>
      <c r="CB38" s="616"/>
      <c r="CC38" s="1567"/>
      <c r="CD38" s="645"/>
      <c r="CE38" s="646"/>
      <c r="CF38" s="1242"/>
      <c r="CG38" s="660"/>
      <c r="CH38" s="661"/>
      <c r="CI38" s="662"/>
      <c r="CJ38" s="661"/>
      <c r="CK38" s="662"/>
      <c r="CL38" s="663"/>
      <c r="CM38" s="692"/>
      <c r="CN38" s="687"/>
      <c r="CO38" s="1430"/>
      <c r="CP38" s="839"/>
      <c r="CQ38" s="660"/>
      <c r="CR38" s="661"/>
      <c r="CS38" s="662"/>
      <c r="CT38" s="661"/>
      <c r="CU38" s="662"/>
      <c r="CV38" s="663"/>
      <c r="CW38" s="692"/>
      <c r="CX38" s="687"/>
      <c r="CY38" s="1430"/>
      <c r="CZ38" s="839"/>
      <c r="DA38" s="665"/>
      <c r="DB38" s="648"/>
      <c r="DC38" s="649"/>
      <c r="DD38" s="1478"/>
      <c r="DE38" s="1479"/>
      <c r="DF38" s="58"/>
      <c r="DG38" s="58"/>
      <c r="DH38" s="616"/>
      <c r="DI38" s="617"/>
      <c r="DJ38" s="638"/>
      <c r="DK38" s="1245"/>
      <c r="DL38" s="618"/>
      <c r="DM38" s="639"/>
      <c r="DN38" s="1248"/>
      <c r="DO38" s="619"/>
      <c r="DP38" s="620"/>
      <c r="DQ38" s="1294"/>
      <c r="DR38" s="621"/>
      <c r="DS38" s="1491"/>
      <c r="DT38" s="1486"/>
      <c r="DU38" s="1487"/>
      <c r="DV38" s="622"/>
      <c r="DW38" s="1250"/>
      <c r="DX38" s="623"/>
      <c r="DY38" s="624"/>
      <c r="DZ38" s="622"/>
      <c r="EA38" s="1250"/>
      <c r="EB38" s="623"/>
      <c r="EC38" s="624"/>
      <c r="ED38" s="622"/>
      <c r="EE38" s="1250"/>
      <c r="EF38" s="623"/>
      <c r="EG38" s="624"/>
      <c r="EH38" s="622"/>
      <c r="EI38" s="1250"/>
      <c r="EJ38" s="623"/>
      <c r="EK38" s="625"/>
      <c r="EL38" s="58"/>
      <c r="EM38" s="1513" t="str">
        <f t="shared" si="118"/>
        <v/>
      </c>
      <c r="EN38" s="1514" t="str">
        <f t="shared" si="93"/>
        <v/>
      </c>
      <c r="EO38" s="591" t="str">
        <f t="shared" si="94"/>
        <v/>
      </c>
      <c r="EP38" s="592" t="str">
        <f t="shared" si="95"/>
        <v/>
      </c>
      <c r="EQ38" s="754" t="str">
        <f t="shared" si="96"/>
        <v/>
      </c>
      <c r="ER38" s="1465" t="str">
        <f t="shared" si="97"/>
        <v/>
      </c>
      <c r="ES38" s="1466" t="str">
        <f t="shared" si="98"/>
        <v/>
      </c>
      <c r="ET38" s="1467" t="str">
        <f t="shared" si="99"/>
        <v/>
      </c>
      <c r="EU38" s="1468" t="str">
        <f t="shared" si="100"/>
        <v/>
      </c>
      <c r="EX38" s="870" t="str">
        <f t="shared" ca="1" si="35"/>
        <v/>
      </c>
      <c r="EY38" s="872" t="str">
        <f t="shared" si="6"/>
        <v/>
      </c>
      <c r="EZ38" s="872" t="str">
        <f t="shared" si="36"/>
        <v/>
      </c>
      <c r="FA38" s="891" t="str">
        <f t="shared" ca="1" si="42"/>
        <v/>
      </c>
      <c r="FB38" s="892" t="str">
        <f t="shared" ca="1" si="37"/>
        <v/>
      </c>
      <c r="FC38" s="892">
        <f t="shared" ca="1" si="7"/>
        <v>0</v>
      </c>
      <c r="FD38" s="892">
        <f t="shared" ca="1" si="8"/>
        <v>0</v>
      </c>
      <c r="FE38" s="892">
        <f t="shared" ca="1" si="9"/>
        <v>0</v>
      </c>
      <c r="FF38" s="892">
        <f t="shared" ca="1" si="38"/>
        <v>0</v>
      </c>
      <c r="FN38" s="913" t="b">
        <v>0</v>
      </c>
      <c r="FO38" s="703" t="b">
        <f t="shared" si="119"/>
        <v>1</v>
      </c>
      <c r="FP38" s="703" t="b">
        <v>0</v>
      </c>
      <c r="FQ38" s="703" t="b">
        <f t="shared" si="39"/>
        <v>1</v>
      </c>
      <c r="FX38" s="103"/>
      <c r="FZ38" s="1"/>
      <c r="GA38" s="524" t="str">
        <f t="shared" si="101"/>
        <v/>
      </c>
      <c r="GB38" s="566" t="str">
        <f t="shared" si="102"/>
        <v/>
      </c>
      <c r="GC38" s="568" t="str">
        <f t="shared" si="103"/>
        <v/>
      </c>
      <c r="GD38" s="569" t="str">
        <f t="shared" si="104"/>
        <v/>
      </c>
      <c r="GE38" s="567" t="str">
        <f t="shared" si="105"/>
        <v/>
      </c>
      <c r="GF38" s="525" t="str">
        <f t="shared" si="106"/>
        <v/>
      </c>
      <c r="GG38" s="1056"/>
      <c r="GH38" s="1058"/>
      <c r="GI38" s="1056"/>
      <c r="GJ38" s="1058"/>
      <c r="GK38" s="1523">
        <f t="shared" si="107"/>
        <v>0</v>
      </c>
      <c r="GL38" s="1523" t="e">
        <f t="shared" si="108"/>
        <v>#VALUE!</v>
      </c>
      <c r="GM38" s="1524" t="e">
        <f>IF(ABS(GK38-GL38)&gt;=#REF!,ABS(GK38-GL38),0)</f>
        <v>#VALUE!</v>
      </c>
      <c r="HA38" s="1159"/>
      <c r="HB38" s="1160"/>
      <c r="HC38" s="1160"/>
      <c r="HD38" s="1161"/>
      <c r="HE38" s="1162"/>
      <c r="HF38" s="1160"/>
      <c r="HG38" s="1160"/>
      <c r="HH38" s="1160"/>
      <c r="HI38" s="1160"/>
      <c r="HJ38" s="1160"/>
      <c r="HK38" s="1160"/>
      <c r="HL38" s="1160"/>
      <c r="HM38" s="1160"/>
      <c r="HN38" s="1160"/>
      <c r="HO38" s="1160"/>
      <c r="HP38" s="1160"/>
      <c r="HQ38" s="1160"/>
      <c r="HR38" s="1160"/>
      <c r="HS38" s="1160"/>
      <c r="HT38" s="1160"/>
      <c r="HU38" s="1160"/>
      <c r="HV38" s="1160"/>
      <c r="HW38" s="1160"/>
      <c r="HX38" s="1160"/>
      <c r="HY38" s="1164"/>
      <c r="HZ38" s="1164"/>
      <c r="IA38" s="1164"/>
      <c r="IB38" s="1164"/>
      <c r="IC38" s="1164"/>
      <c r="ID38" s="1165"/>
      <c r="IE38" s="1159"/>
      <c r="IF38" s="1160"/>
      <c r="IG38" s="1161"/>
      <c r="IH38" s="1162"/>
      <c r="II38" s="1160"/>
      <c r="IJ38" s="1161"/>
      <c r="IK38" s="1162"/>
      <c r="IL38" s="1160"/>
      <c r="IM38" s="1160"/>
      <c r="IN38" s="1160"/>
      <c r="IO38" s="1160"/>
      <c r="IP38" s="1160"/>
      <c r="IQ38" s="1160"/>
      <c r="IR38" s="1160"/>
      <c r="IS38" s="1161"/>
      <c r="IT38" s="1162"/>
      <c r="IU38" s="1160"/>
      <c r="IV38" s="1160"/>
      <c r="IW38" s="1161"/>
      <c r="IX38" s="1162"/>
      <c r="IY38" s="1160"/>
      <c r="IZ38" s="1160"/>
      <c r="JA38" s="1161"/>
      <c r="JB38" s="1162"/>
      <c r="JC38" s="1160"/>
      <c r="JD38" s="1160"/>
      <c r="JE38" s="1161"/>
      <c r="JF38" s="1162"/>
      <c r="JG38" s="1160"/>
      <c r="JH38" s="1160"/>
      <c r="JI38" s="1160"/>
      <c r="JJ38" s="1163"/>
      <c r="JK38" s="1160"/>
      <c r="JL38" s="1103">
        <f t="shared" ca="1" si="43"/>
        <v>0</v>
      </c>
      <c r="JM38" s="56"/>
    </row>
    <row r="39" spans="1:273" ht="12.6" customHeight="1" x14ac:dyDescent="0.25">
      <c r="A39" s="1132" t="str">
        <f t="shared" si="65"/>
        <v/>
      </c>
      <c r="B39" s="1586" t="str">
        <f t="shared" si="66"/>
        <v/>
      </c>
      <c r="C39" s="1133" t="str">
        <f t="shared" si="67"/>
        <v/>
      </c>
      <c r="D39" s="1134" t="str">
        <f t="shared" si="68"/>
        <v/>
      </c>
      <c r="E39" s="1135" t="str">
        <f t="shared" si="69"/>
        <v/>
      </c>
      <c r="F39" s="1136" t="str">
        <f t="shared" si="70"/>
        <v/>
      </c>
      <c r="G39" s="1137" t="str">
        <f t="shared" si="71"/>
        <v/>
      </c>
      <c r="H39" s="1138" t="str">
        <f t="shared" si="72"/>
        <v/>
      </c>
      <c r="I39" s="1139" t="str">
        <f t="shared" si="73"/>
        <v/>
      </c>
      <c r="J39" s="1134" t="str">
        <f t="shared" si="74"/>
        <v/>
      </c>
      <c r="K39" s="1138" t="str">
        <f t="shared" si="75"/>
        <v/>
      </c>
      <c r="L39" s="1140" t="str">
        <f t="shared" si="76"/>
        <v/>
      </c>
      <c r="M39" s="1141" t="str">
        <f t="shared" si="77"/>
        <v/>
      </c>
      <c r="N39" s="1142" t="str">
        <f t="shared" si="78"/>
        <v/>
      </c>
      <c r="O39" s="1137" t="str">
        <f t="shared" si="79"/>
        <v/>
      </c>
      <c r="P39" s="1138" t="str">
        <f t="shared" si="80"/>
        <v/>
      </c>
      <c r="Q39" s="1134" t="str">
        <f t="shared" si="81"/>
        <v/>
      </c>
      <c r="R39" s="1135" t="str">
        <f t="shared" si="82"/>
        <v/>
      </c>
      <c r="S39" s="1143" t="str">
        <f t="shared" si="83"/>
        <v/>
      </c>
      <c r="T39" s="1138" t="str">
        <f t="shared" si="84"/>
        <v/>
      </c>
      <c r="U39" s="1134" t="str">
        <f t="shared" si="85"/>
        <v/>
      </c>
      <c r="V39" s="1138" t="str">
        <f t="shared" si="86"/>
        <v/>
      </c>
      <c r="W39" s="1142">
        <f t="shared" si="87"/>
        <v>0</v>
      </c>
      <c r="X39" s="1144" t="e">
        <f t="shared" si="88"/>
        <v>#REF!</v>
      </c>
      <c r="Y39" s="1145" t="e">
        <f t="shared" si="89"/>
        <v>#REF!</v>
      </c>
      <c r="Z39" s="1587" t="str">
        <f t="shared" si="90"/>
        <v/>
      </c>
      <c r="AA39" s="1206" t="str">
        <f t="shared" si="91"/>
        <v/>
      </c>
      <c r="AB39" s="1132" t="str">
        <f t="shared" si="64"/>
        <v/>
      </c>
      <c r="AC39" s="1139" t="str">
        <f t="shared" si="53"/>
        <v/>
      </c>
      <c r="AD39" s="1134" t="str">
        <f t="shared" ca="1" si="44"/>
        <v/>
      </c>
      <c r="AE39" s="1138" t="str">
        <f t="shared" ca="1" si="45"/>
        <v/>
      </c>
      <c r="AF39" s="1139" t="str">
        <f t="shared" ca="1" si="46"/>
        <v/>
      </c>
      <c r="AG39" s="1134" t="str">
        <f t="shared" ca="1" si="47"/>
        <v/>
      </c>
      <c r="AH39" s="1138" t="str">
        <f t="shared" ca="1" si="48"/>
        <v/>
      </c>
      <c r="AI39" s="1134" t="str">
        <f t="shared" ca="1" si="49"/>
        <v/>
      </c>
      <c r="AJ39" s="1138" t="str">
        <f t="shared" ca="1" si="50"/>
        <v/>
      </c>
      <c r="AK39" s="1619" t="str">
        <f t="shared" si="54"/>
        <v/>
      </c>
      <c r="AL39" s="1620" t="str">
        <f t="shared" si="55"/>
        <v/>
      </c>
      <c r="AM39" s="1621" t="str">
        <f t="shared" si="56"/>
        <v/>
      </c>
      <c r="AN39" s="1139" t="str">
        <f t="shared" si="57"/>
        <v/>
      </c>
      <c r="AO39" s="1622" t="str">
        <f t="shared" si="58"/>
        <v/>
      </c>
      <c r="AP39" s="1141" t="str">
        <f t="shared" si="4"/>
        <v/>
      </c>
      <c r="AQ39" s="1623" t="str">
        <f t="shared" si="5"/>
        <v/>
      </c>
      <c r="AR39" s="1137" t="str">
        <f t="shared" si="17"/>
        <v/>
      </c>
      <c r="AS39" s="1138" t="str">
        <f t="shared" si="18"/>
        <v/>
      </c>
      <c r="AT39" s="1624" t="str">
        <f t="shared" si="19"/>
        <v/>
      </c>
      <c r="AU39" s="1625" t="str">
        <f t="shared" si="20"/>
        <v/>
      </c>
      <c r="AV39" s="1143" t="str">
        <f t="shared" si="21"/>
        <v/>
      </c>
      <c r="AW39" s="1138" t="str">
        <f t="shared" si="22"/>
        <v/>
      </c>
      <c r="AX39" s="1624" t="str">
        <f t="shared" si="23"/>
        <v/>
      </c>
      <c r="AY39" s="1625" t="str">
        <f t="shared" si="24"/>
        <v/>
      </c>
      <c r="AZ39" s="1143" t="str">
        <f t="shared" si="25"/>
        <v/>
      </c>
      <c r="BA39" s="1138" t="str">
        <f t="shared" si="26"/>
        <v/>
      </c>
      <c r="BB39" s="1624" t="str">
        <f t="shared" si="27"/>
        <v/>
      </c>
      <c r="BC39" s="1625" t="str">
        <f t="shared" si="28"/>
        <v/>
      </c>
      <c r="BD39" s="1143" t="str">
        <f t="shared" si="29"/>
        <v/>
      </c>
      <c r="BE39" s="1138" t="str">
        <f t="shared" si="30"/>
        <v/>
      </c>
      <c r="BF39" s="1624" t="str">
        <f t="shared" si="59"/>
        <v/>
      </c>
      <c r="BG39" s="1625" t="str">
        <f t="shared" si="60"/>
        <v/>
      </c>
      <c r="BH39" s="180"/>
      <c r="BJ39" s="1215" t="str">
        <f t="shared" si="120"/>
        <v/>
      </c>
      <c r="BK39" s="913" t="e">
        <f t="shared" si="121"/>
        <v>#REF!</v>
      </c>
      <c r="BL39" s="908" t="b">
        <v>0</v>
      </c>
      <c r="BM39" s="908">
        <f t="shared" si="109"/>
        <v>0</v>
      </c>
      <c r="BN39" s="908">
        <f t="shared" si="110"/>
        <v>0</v>
      </c>
      <c r="BO39" s="908">
        <f t="shared" si="111"/>
        <v>0</v>
      </c>
      <c r="BP39" s="908">
        <f t="shared" si="92"/>
        <v>0</v>
      </c>
      <c r="BQ39" s="908">
        <f t="shared" si="112"/>
        <v>0</v>
      </c>
      <c r="BR39" s="908" t="b">
        <f t="shared" si="113"/>
        <v>1</v>
      </c>
      <c r="BS39" s="1216">
        <f t="shared" si="114"/>
        <v>6</v>
      </c>
      <c r="BT39" s="909" t="str">
        <f t="shared" si="115"/>
        <v>No</v>
      </c>
      <c r="BU39" s="1216">
        <f t="shared" si="116"/>
        <v>6</v>
      </c>
      <c r="BV39" s="909" t="str">
        <f t="shared" si="117"/>
        <v>No</v>
      </c>
      <c r="BW39" s="910">
        <f t="shared" ca="1" si="33"/>
        <v>0</v>
      </c>
      <c r="BX39" s="911" t="str">
        <f t="shared" ca="1" si="40"/>
        <v/>
      </c>
      <c r="BY39" s="911" t="b">
        <f t="shared" ca="1" si="34"/>
        <v>0</v>
      </c>
      <c r="BZ39" s="1217" t="e">
        <f t="shared" si="41"/>
        <v>#REF!</v>
      </c>
      <c r="CB39" s="616"/>
      <c r="CC39" s="1567"/>
      <c r="CD39" s="645"/>
      <c r="CE39" s="646"/>
      <c r="CF39" s="1242"/>
      <c r="CG39" s="660"/>
      <c r="CH39" s="661"/>
      <c r="CI39" s="662"/>
      <c r="CJ39" s="661"/>
      <c r="CK39" s="662"/>
      <c r="CL39" s="663"/>
      <c r="CM39" s="692"/>
      <c r="CN39" s="687"/>
      <c r="CO39" s="1430"/>
      <c r="CP39" s="839"/>
      <c r="CQ39" s="660"/>
      <c r="CR39" s="661"/>
      <c r="CS39" s="662"/>
      <c r="CT39" s="661"/>
      <c r="CU39" s="662"/>
      <c r="CV39" s="663"/>
      <c r="CW39" s="692"/>
      <c r="CX39" s="687"/>
      <c r="CY39" s="1430"/>
      <c r="CZ39" s="839"/>
      <c r="DA39" s="665"/>
      <c r="DB39" s="648"/>
      <c r="DC39" s="649"/>
      <c r="DD39" s="1478"/>
      <c r="DE39" s="1479"/>
      <c r="DF39" s="58"/>
      <c r="DG39" s="58"/>
      <c r="DH39" s="616"/>
      <c r="DI39" s="617"/>
      <c r="DJ39" s="638"/>
      <c r="DK39" s="1245"/>
      <c r="DL39" s="618"/>
      <c r="DM39" s="639"/>
      <c r="DN39" s="1248"/>
      <c r="DO39" s="619"/>
      <c r="DP39" s="620"/>
      <c r="DQ39" s="1294"/>
      <c r="DR39" s="621"/>
      <c r="DS39" s="1491"/>
      <c r="DT39" s="1486"/>
      <c r="DU39" s="1487"/>
      <c r="DV39" s="622"/>
      <c r="DW39" s="1250"/>
      <c r="DX39" s="623"/>
      <c r="DY39" s="624"/>
      <c r="DZ39" s="622"/>
      <c r="EA39" s="1250"/>
      <c r="EB39" s="623"/>
      <c r="EC39" s="624"/>
      <c r="ED39" s="622"/>
      <c r="EE39" s="1250"/>
      <c r="EF39" s="623"/>
      <c r="EG39" s="624"/>
      <c r="EH39" s="622"/>
      <c r="EI39" s="1250"/>
      <c r="EJ39" s="623"/>
      <c r="EK39" s="625"/>
      <c r="EL39" s="58"/>
      <c r="EM39" s="1513" t="str">
        <f t="shared" si="118"/>
        <v/>
      </c>
      <c r="EN39" s="1514" t="str">
        <f t="shared" si="93"/>
        <v/>
      </c>
      <c r="EO39" s="591" t="str">
        <f t="shared" si="94"/>
        <v/>
      </c>
      <c r="EP39" s="592" t="str">
        <f t="shared" si="95"/>
        <v/>
      </c>
      <c r="EQ39" s="754" t="str">
        <f t="shared" si="96"/>
        <v/>
      </c>
      <c r="ER39" s="1465" t="str">
        <f t="shared" si="97"/>
        <v/>
      </c>
      <c r="ES39" s="1466" t="str">
        <f t="shared" si="98"/>
        <v/>
      </c>
      <c r="ET39" s="1467" t="str">
        <f t="shared" si="99"/>
        <v/>
      </c>
      <c r="EU39" s="1468" t="str">
        <f t="shared" si="100"/>
        <v/>
      </c>
      <c r="EX39" s="870" t="str">
        <f t="shared" ca="1" si="35"/>
        <v/>
      </c>
      <c r="EY39" s="872" t="str">
        <f t="shared" si="6"/>
        <v/>
      </c>
      <c r="EZ39" s="872" t="str">
        <f t="shared" si="36"/>
        <v/>
      </c>
      <c r="FA39" s="891" t="str">
        <f t="shared" ca="1" si="42"/>
        <v/>
      </c>
      <c r="FB39" s="892" t="str">
        <f t="shared" ca="1" si="37"/>
        <v/>
      </c>
      <c r="FC39" s="892">
        <f t="shared" ca="1" si="7"/>
        <v>0</v>
      </c>
      <c r="FD39" s="892">
        <f t="shared" ca="1" si="8"/>
        <v>0</v>
      </c>
      <c r="FE39" s="892">
        <f t="shared" ca="1" si="9"/>
        <v>0</v>
      </c>
      <c r="FF39" s="892">
        <f t="shared" ca="1" si="38"/>
        <v>0</v>
      </c>
      <c r="FN39" s="913" t="b">
        <v>0</v>
      </c>
      <c r="FO39" s="703" t="b">
        <f t="shared" si="119"/>
        <v>1</v>
      </c>
      <c r="FP39" s="703" t="b">
        <v>0</v>
      </c>
      <c r="FQ39" s="703" t="b">
        <f t="shared" si="39"/>
        <v>1</v>
      </c>
      <c r="FX39" s="103"/>
      <c r="FZ39" s="1"/>
      <c r="GA39" s="524" t="str">
        <f t="shared" si="101"/>
        <v/>
      </c>
      <c r="GB39" s="566" t="str">
        <f t="shared" si="102"/>
        <v/>
      </c>
      <c r="GC39" s="568" t="str">
        <f t="shared" si="103"/>
        <v/>
      </c>
      <c r="GD39" s="569" t="str">
        <f t="shared" si="104"/>
        <v/>
      </c>
      <c r="GE39" s="567" t="str">
        <f t="shared" si="105"/>
        <v/>
      </c>
      <c r="GF39" s="525" t="str">
        <f t="shared" si="106"/>
        <v/>
      </c>
      <c r="GG39" s="1056"/>
      <c r="GH39" s="1058"/>
      <c r="GI39" s="1056"/>
      <c r="GJ39" s="1058"/>
      <c r="GK39" s="1523">
        <f t="shared" si="107"/>
        <v>0</v>
      </c>
      <c r="GL39" s="1523" t="e">
        <f t="shared" si="108"/>
        <v>#VALUE!</v>
      </c>
      <c r="GM39" s="1524" t="e">
        <f>IF(ABS(GK39-GL39)&gt;=#REF!,ABS(GK39-GL39),0)</f>
        <v>#VALUE!</v>
      </c>
      <c r="HA39" s="1159"/>
      <c r="HB39" s="1160"/>
      <c r="HC39" s="1160"/>
      <c r="HD39" s="1161"/>
      <c r="HE39" s="1162"/>
      <c r="HF39" s="1160"/>
      <c r="HG39" s="1160"/>
      <c r="HH39" s="1160"/>
      <c r="HI39" s="1160"/>
      <c r="HJ39" s="1160"/>
      <c r="HK39" s="1160"/>
      <c r="HL39" s="1160"/>
      <c r="HM39" s="1160"/>
      <c r="HN39" s="1160"/>
      <c r="HO39" s="1160"/>
      <c r="HP39" s="1160"/>
      <c r="HQ39" s="1160"/>
      <c r="HR39" s="1160"/>
      <c r="HS39" s="1160"/>
      <c r="HT39" s="1160"/>
      <c r="HU39" s="1160"/>
      <c r="HV39" s="1160"/>
      <c r="HW39" s="1160"/>
      <c r="HX39" s="1160"/>
      <c r="HY39" s="1164"/>
      <c r="HZ39" s="1164"/>
      <c r="IA39" s="1164"/>
      <c r="IB39" s="1164"/>
      <c r="IC39" s="1164"/>
      <c r="ID39" s="1165"/>
      <c r="IE39" s="1159"/>
      <c r="IF39" s="1160"/>
      <c r="IG39" s="1161"/>
      <c r="IH39" s="1162"/>
      <c r="II39" s="1160"/>
      <c r="IJ39" s="1161"/>
      <c r="IK39" s="1162"/>
      <c r="IL39" s="1160"/>
      <c r="IM39" s="1160"/>
      <c r="IN39" s="1160"/>
      <c r="IO39" s="1160"/>
      <c r="IP39" s="1160"/>
      <c r="IQ39" s="1160"/>
      <c r="IR39" s="1160"/>
      <c r="IS39" s="1161"/>
      <c r="IT39" s="1162"/>
      <c r="IU39" s="1160"/>
      <c r="IV39" s="1160"/>
      <c r="IW39" s="1161"/>
      <c r="IX39" s="1162"/>
      <c r="IY39" s="1160"/>
      <c r="IZ39" s="1160"/>
      <c r="JA39" s="1161"/>
      <c r="JB39" s="1162"/>
      <c r="JC39" s="1160"/>
      <c r="JD39" s="1160"/>
      <c r="JE39" s="1161"/>
      <c r="JF39" s="1162"/>
      <c r="JG39" s="1160"/>
      <c r="JH39" s="1160"/>
      <c r="JI39" s="1160"/>
      <c r="JJ39" s="1163"/>
      <c r="JK39" s="1160"/>
      <c r="JL39" s="1103">
        <f t="shared" ca="1" si="43"/>
        <v>0</v>
      </c>
      <c r="JM39" s="56"/>
    </row>
    <row r="40" spans="1:273" ht="12.6" customHeight="1" x14ac:dyDescent="0.25">
      <c r="A40" s="1132" t="str">
        <f t="shared" si="65"/>
        <v/>
      </c>
      <c r="B40" s="1586" t="str">
        <f t="shared" si="66"/>
        <v/>
      </c>
      <c r="C40" s="1133" t="str">
        <f t="shared" si="67"/>
        <v/>
      </c>
      <c r="D40" s="1134" t="str">
        <f t="shared" si="68"/>
        <v/>
      </c>
      <c r="E40" s="1135" t="str">
        <f t="shared" si="69"/>
        <v/>
      </c>
      <c r="F40" s="1136" t="str">
        <f t="shared" si="70"/>
        <v/>
      </c>
      <c r="G40" s="1137" t="str">
        <f t="shared" si="71"/>
        <v/>
      </c>
      <c r="H40" s="1138" t="str">
        <f t="shared" si="72"/>
        <v/>
      </c>
      <c r="I40" s="1139" t="str">
        <f t="shared" si="73"/>
        <v/>
      </c>
      <c r="J40" s="1134" t="str">
        <f t="shared" si="74"/>
        <v/>
      </c>
      <c r="K40" s="1138" t="str">
        <f t="shared" si="75"/>
        <v/>
      </c>
      <c r="L40" s="1140" t="str">
        <f t="shared" si="76"/>
        <v/>
      </c>
      <c r="M40" s="1141" t="str">
        <f t="shared" si="77"/>
        <v/>
      </c>
      <c r="N40" s="1142" t="str">
        <f t="shared" si="78"/>
        <v/>
      </c>
      <c r="O40" s="1137" t="str">
        <f t="shared" si="79"/>
        <v/>
      </c>
      <c r="P40" s="1138" t="str">
        <f t="shared" si="80"/>
        <v/>
      </c>
      <c r="Q40" s="1134" t="str">
        <f t="shared" si="81"/>
        <v/>
      </c>
      <c r="R40" s="1135" t="str">
        <f t="shared" si="82"/>
        <v/>
      </c>
      <c r="S40" s="1143" t="str">
        <f t="shared" si="83"/>
        <v/>
      </c>
      <c r="T40" s="1138" t="str">
        <f t="shared" si="84"/>
        <v/>
      </c>
      <c r="U40" s="1134" t="str">
        <f t="shared" si="85"/>
        <v/>
      </c>
      <c r="V40" s="1138" t="str">
        <f t="shared" si="86"/>
        <v/>
      </c>
      <c r="W40" s="1142">
        <f t="shared" si="87"/>
        <v>0</v>
      </c>
      <c r="X40" s="1144" t="e">
        <f t="shared" si="88"/>
        <v>#REF!</v>
      </c>
      <c r="Y40" s="1145" t="e">
        <f t="shared" si="89"/>
        <v>#REF!</v>
      </c>
      <c r="Z40" s="1587" t="str">
        <f t="shared" si="90"/>
        <v/>
      </c>
      <c r="AA40" s="1206" t="str">
        <f t="shared" si="91"/>
        <v/>
      </c>
      <c r="AB40" s="1132" t="str">
        <f t="shared" si="64"/>
        <v/>
      </c>
      <c r="AC40" s="1139" t="str">
        <f t="shared" si="53"/>
        <v/>
      </c>
      <c r="AD40" s="1134" t="str">
        <f t="shared" ca="1" si="44"/>
        <v/>
      </c>
      <c r="AE40" s="1138" t="str">
        <f t="shared" ca="1" si="45"/>
        <v/>
      </c>
      <c r="AF40" s="1139" t="str">
        <f t="shared" ca="1" si="46"/>
        <v/>
      </c>
      <c r="AG40" s="1134" t="str">
        <f t="shared" ca="1" si="47"/>
        <v/>
      </c>
      <c r="AH40" s="1138" t="str">
        <f t="shared" ca="1" si="48"/>
        <v/>
      </c>
      <c r="AI40" s="1134" t="str">
        <f t="shared" ca="1" si="49"/>
        <v/>
      </c>
      <c r="AJ40" s="1138" t="str">
        <f t="shared" ca="1" si="50"/>
        <v/>
      </c>
      <c r="AK40" s="1619" t="str">
        <f t="shared" si="54"/>
        <v/>
      </c>
      <c r="AL40" s="1620" t="str">
        <f t="shared" si="55"/>
        <v/>
      </c>
      <c r="AM40" s="1621" t="str">
        <f t="shared" si="56"/>
        <v/>
      </c>
      <c r="AN40" s="1139" t="str">
        <f t="shared" si="57"/>
        <v/>
      </c>
      <c r="AO40" s="1622" t="str">
        <f t="shared" si="58"/>
        <v/>
      </c>
      <c r="AP40" s="1141" t="str">
        <f t="shared" si="4"/>
        <v/>
      </c>
      <c r="AQ40" s="1623" t="str">
        <f t="shared" si="5"/>
        <v/>
      </c>
      <c r="AR40" s="1137" t="str">
        <f t="shared" si="17"/>
        <v/>
      </c>
      <c r="AS40" s="1138" t="str">
        <f t="shared" si="18"/>
        <v/>
      </c>
      <c r="AT40" s="1624" t="str">
        <f t="shared" si="19"/>
        <v/>
      </c>
      <c r="AU40" s="1625" t="str">
        <f t="shared" si="20"/>
        <v/>
      </c>
      <c r="AV40" s="1143" t="str">
        <f t="shared" si="21"/>
        <v/>
      </c>
      <c r="AW40" s="1138" t="str">
        <f t="shared" si="22"/>
        <v/>
      </c>
      <c r="AX40" s="1624" t="str">
        <f t="shared" si="23"/>
        <v/>
      </c>
      <c r="AY40" s="1625" t="str">
        <f t="shared" si="24"/>
        <v/>
      </c>
      <c r="AZ40" s="1143" t="str">
        <f t="shared" si="25"/>
        <v/>
      </c>
      <c r="BA40" s="1138" t="str">
        <f t="shared" si="26"/>
        <v/>
      </c>
      <c r="BB40" s="1624" t="str">
        <f t="shared" si="27"/>
        <v/>
      </c>
      <c r="BC40" s="1625" t="str">
        <f t="shared" si="28"/>
        <v/>
      </c>
      <c r="BD40" s="1143" t="str">
        <f t="shared" si="29"/>
        <v/>
      </c>
      <c r="BE40" s="1138" t="str">
        <f t="shared" si="30"/>
        <v/>
      </c>
      <c r="BF40" s="1624" t="str">
        <f t="shared" si="59"/>
        <v/>
      </c>
      <c r="BG40" s="1625" t="str">
        <f t="shared" si="60"/>
        <v/>
      </c>
      <c r="BH40" s="180"/>
      <c r="BJ40" s="1215" t="str">
        <f t="shared" si="120"/>
        <v/>
      </c>
      <c r="BK40" s="913" t="e">
        <f t="shared" si="121"/>
        <v>#REF!</v>
      </c>
      <c r="BL40" s="908" t="b">
        <v>0</v>
      </c>
      <c r="BM40" s="908">
        <f t="shared" si="109"/>
        <v>0</v>
      </c>
      <c r="BN40" s="908">
        <f t="shared" si="110"/>
        <v>0</v>
      </c>
      <c r="BO40" s="908">
        <f t="shared" si="111"/>
        <v>0</v>
      </c>
      <c r="BP40" s="908">
        <f t="shared" si="92"/>
        <v>0</v>
      </c>
      <c r="BQ40" s="908">
        <f t="shared" si="112"/>
        <v>0</v>
      </c>
      <c r="BR40" s="908" t="b">
        <f t="shared" si="113"/>
        <v>1</v>
      </c>
      <c r="BS40" s="1216">
        <f t="shared" si="114"/>
        <v>6</v>
      </c>
      <c r="BT40" s="909" t="str">
        <f t="shared" si="115"/>
        <v>No</v>
      </c>
      <c r="BU40" s="1216">
        <f t="shared" si="116"/>
        <v>6</v>
      </c>
      <c r="BV40" s="909" t="str">
        <f t="shared" si="117"/>
        <v>No</v>
      </c>
      <c r="BW40" s="910">
        <f t="shared" ca="1" si="33"/>
        <v>0</v>
      </c>
      <c r="BX40" s="911" t="str">
        <f t="shared" ca="1" si="40"/>
        <v/>
      </c>
      <c r="BY40" s="911" t="b">
        <f t="shared" ca="1" si="34"/>
        <v>0</v>
      </c>
      <c r="BZ40" s="1217" t="e">
        <f t="shared" si="41"/>
        <v>#REF!</v>
      </c>
      <c r="CB40" s="616"/>
      <c r="CC40" s="1567"/>
      <c r="CD40" s="645"/>
      <c r="CE40" s="646"/>
      <c r="CF40" s="1242"/>
      <c r="CG40" s="660"/>
      <c r="CH40" s="661"/>
      <c r="CI40" s="662"/>
      <c r="CJ40" s="661"/>
      <c r="CK40" s="662"/>
      <c r="CL40" s="663"/>
      <c r="CM40" s="692"/>
      <c r="CN40" s="687"/>
      <c r="CO40" s="1430"/>
      <c r="CP40" s="839"/>
      <c r="CQ40" s="660"/>
      <c r="CR40" s="661"/>
      <c r="CS40" s="662"/>
      <c r="CT40" s="661"/>
      <c r="CU40" s="662"/>
      <c r="CV40" s="663"/>
      <c r="CW40" s="692"/>
      <c r="CX40" s="687"/>
      <c r="CY40" s="1430"/>
      <c r="CZ40" s="839"/>
      <c r="DA40" s="665"/>
      <c r="DB40" s="648"/>
      <c r="DC40" s="649"/>
      <c r="DD40" s="1478"/>
      <c r="DE40" s="1479"/>
      <c r="DF40" s="58"/>
      <c r="DG40" s="58"/>
      <c r="DH40" s="616"/>
      <c r="DI40" s="617"/>
      <c r="DJ40" s="638"/>
      <c r="DK40" s="1245"/>
      <c r="DL40" s="618"/>
      <c r="DM40" s="639"/>
      <c r="DN40" s="1248"/>
      <c r="DO40" s="619"/>
      <c r="DP40" s="620"/>
      <c r="DQ40" s="1294"/>
      <c r="DR40" s="621"/>
      <c r="DS40" s="1491"/>
      <c r="DT40" s="1486"/>
      <c r="DU40" s="1487"/>
      <c r="DV40" s="622"/>
      <c r="DW40" s="1250"/>
      <c r="DX40" s="623"/>
      <c r="DY40" s="624"/>
      <c r="DZ40" s="622"/>
      <c r="EA40" s="1250"/>
      <c r="EB40" s="623"/>
      <c r="EC40" s="624"/>
      <c r="ED40" s="622"/>
      <c r="EE40" s="1250"/>
      <c r="EF40" s="623"/>
      <c r="EG40" s="624"/>
      <c r="EH40" s="622"/>
      <c r="EI40" s="1250"/>
      <c r="EJ40" s="623"/>
      <c r="EK40" s="625"/>
      <c r="EL40" s="58"/>
      <c r="EM40" s="1513" t="str">
        <f t="shared" si="118"/>
        <v/>
      </c>
      <c r="EN40" s="1514" t="str">
        <f t="shared" si="93"/>
        <v/>
      </c>
      <c r="EO40" s="591" t="str">
        <f t="shared" si="94"/>
        <v/>
      </c>
      <c r="EP40" s="592" t="str">
        <f t="shared" si="95"/>
        <v/>
      </c>
      <c r="EQ40" s="754" t="str">
        <f t="shared" si="96"/>
        <v/>
      </c>
      <c r="ER40" s="1465" t="str">
        <f t="shared" si="97"/>
        <v/>
      </c>
      <c r="ES40" s="1466" t="str">
        <f t="shared" si="98"/>
        <v/>
      </c>
      <c r="ET40" s="1467" t="str">
        <f t="shared" si="99"/>
        <v/>
      </c>
      <c r="EU40" s="1468" t="str">
        <f t="shared" si="100"/>
        <v/>
      </c>
      <c r="EX40" s="870" t="str">
        <f t="shared" ca="1" si="35"/>
        <v/>
      </c>
      <c r="EY40" s="872" t="str">
        <f t="shared" si="6"/>
        <v/>
      </c>
      <c r="EZ40" s="872" t="str">
        <f t="shared" si="36"/>
        <v/>
      </c>
      <c r="FA40" s="891" t="str">
        <f t="shared" ca="1" si="42"/>
        <v/>
      </c>
      <c r="FB40" s="892" t="str">
        <f t="shared" ca="1" si="37"/>
        <v/>
      </c>
      <c r="FC40" s="892">
        <f t="shared" ca="1" si="7"/>
        <v>0</v>
      </c>
      <c r="FD40" s="892">
        <f t="shared" ca="1" si="8"/>
        <v>0</v>
      </c>
      <c r="FE40" s="892">
        <f t="shared" ca="1" si="9"/>
        <v>0</v>
      </c>
      <c r="FF40" s="892">
        <f t="shared" ca="1" si="38"/>
        <v>0</v>
      </c>
      <c r="FN40" s="913" t="b">
        <v>0</v>
      </c>
      <c r="FO40" s="703" t="b">
        <f t="shared" si="119"/>
        <v>1</v>
      </c>
      <c r="FP40" s="703" t="b">
        <v>0</v>
      </c>
      <c r="FQ40" s="703" t="b">
        <f t="shared" si="39"/>
        <v>1</v>
      </c>
      <c r="FX40" s="103"/>
      <c r="FZ40" s="1"/>
      <c r="GA40" s="524" t="str">
        <f t="shared" si="101"/>
        <v/>
      </c>
      <c r="GB40" s="566" t="str">
        <f t="shared" si="102"/>
        <v/>
      </c>
      <c r="GC40" s="568" t="str">
        <f t="shared" si="103"/>
        <v/>
      </c>
      <c r="GD40" s="569" t="str">
        <f t="shared" si="104"/>
        <v/>
      </c>
      <c r="GE40" s="567" t="str">
        <f t="shared" si="105"/>
        <v/>
      </c>
      <c r="GF40" s="525" t="str">
        <f t="shared" si="106"/>
        <v/>
      </c>
      <c r="GG40" s="1056"/>
      <c r="GH40" s="1058"/>
      <c r="GI40" s="1056"/>
      <c r="GJ40" s="1058"/>
      <c r="GK40" s="1523">
        <f t="shared" si="107"/>
        <v>0</v>
      </c>
      <c r="GL40" s="1523" t="e">
        <f t="shared" si="108"/>
        <v>#VALUE!</v>
      </c>
      <c r="GM40" s="1524" t="e">
        <f>IF(ABS(GK40-GL40)&gt;=#REF!,ABS(GK40-GL40),0)</f>
        <v>#VALUE!</v>
      </c>
      <c r="HA40" s="1159"/>
      <c r="HB40" s="1160"/>
      <c r="HC40" s="1160"/>
      <c r="HD40" s="1161"/>
      <c r="HE40" s="1162"/>
      <c r="HF40" s="1160"/>
      <c r="HG40" s="1160"/>
      <c r="HH40" s="1160"/>
      <c r="HI40" s="1160"/>
      <c r="HJ40" s="1160"/>
      <c r="HK40" s="1160"/>
      <c r="HL40" s="1160"/>
      <c r="HM40" s="1160"/>
      <c r="HN40" s="1160"/>
      <c r="HO40" s="1160"/>
      <c r="HP40" s="1160"/>
      <c r="HQ40" s="1160"/>
      <c r="HR40" s="1160"/>
      <c r="HS40" s="1160"/>
      <c r="HT40" s="1160"/>
      <c r="HU40" s="1160"/>
      <c r="HV40" s="1160"/>
      <c r="HW40" s="1160"/>
      <c r="HX40" s="1160"/>
      <c r="HY40" s="1164"/>
      <c r="HZ40" s="1164"/>
      <c r="IA40" s="1164"/>
      <c r="IB40" s="1164"/>
      <c r="IC40" s="1164"/>
      <c r="ID40" s="1165"/>
      <c r="IE40" s="1159"/>
      <c r="IF40" s="1160"/>
      <c r="IG40" s="1161"/>
      <c r="IH40" s="1162"/>
      <c r="II40" s="1160"/>
      <c r="IJ40" s="1161"/>
      <c r="IK40" s="1162"/>
      <c r="IL40" s="1160"/>
      <c r="IM40" s="1160"/>
      <c r="IN40" s="1160"/>
      <c r="IO40" s="1160"/>
      <c r="IP40" s="1160"/>
      <c r="IQ40" s="1160"/>
      <c r="IR40" s="1160"/>
      <c r="IS40" s="1161"/>
      <c r="IT40" s="1162"/>
      <c r="IU40" s="1160"/>
      <c r="IV40" s="1160"/>
      <c r="IW40" s="1161"/>
      <c r="IX40" s="1162"/>
      <c r="IY40" s="1160"/>
      <c r="IZ40" s="1160"/>
      <c r="JA40" s="1161"/>
      <c r="JB40" s="1162"/>
      <c r="JC40" s="1160"/>
      <c r="JD40" s="1160"/>
      <c r="JE40" s="1161"/>
      <c r="JF40" s="1162"/>
      <c r="JG40" s="1160"/>
      <c r="JH40" s="1160"/>
      <c r="JI40" s="1160"/>
      <c r="JJ40" s="1163"/>
      <c r="JK40" s="1160"/>
      <c r="JL40" s="1103">
        <f t="shared" ca="1" si="43"/>
        <v>0</v>
      </c>
      <c r="JM40" s="56"/>
    </row>
    <row r="41" spans="1:273" ht="12.6" customHeight="1" x14ac:dyDescent="0.25">
      <c r="A41" s="1132" t="str">
        <f t="shared" si="65"/>
        <v/>
      </c>
      <c r="B41" s="1586" t="str">
        <f t="shared" si="66"/>
        <v/>
      </c>
      <c r="C41" s="1133" t="str">
        <f t="shared" si="67"/>
        <v/>
      </c>
      <c r="D41" s="1134" t="str">
        <f t="shared" si="68"/>
        <v/>
      </c>
      <c r="E41" s="1135" t="str">
        <f t="shared" si="69"/>
        <v/>
      </c>
      <c r="F41" s="1136" t="str">
        <f t="shared" si="70"/>
        <v/>
      </c>
      <c r="G41" s="1137" t="str">
        <f t="shared" si="71"/>
        <v/>
      </c>
      <c r="H41" s="1138" t="str">
        <f t="shared" si="72"/>
        <v/>
      </c>
      <c r="I41" s="1139" t="str">
        <f t="shared" si="73"/>
        <v/>
      </c>
      <c r="J41" s="1134" t="str">
        <f t="shared" si="74"/>
        <v/>
      </c>
      <c r="K41" s="1138" t="str">
        <f t="shared" si="75"/>
        <v/>
      </c>
      <c r="L41" s="1140" t="str">
        <f t="shared" si="76"/>
        <v/>
      </c>
      <c r="M41" s="1141" t="str">
        <f t="shared" si="77"/>
        <v/>
      </c>
      <c r="N41" s="1142" t="str">
        <f t="shared" si="78"/>
        <v/>
      </c>
      <c r="O41" s="1137" t="str">
        <f t="shared" si="79"/>
        <v/>
      </c>
      <c r="P41" s="1138" t="str">
        <f t="shared" si="80"/>
        <v/>
      </c>
      <c r="Q41" s="1134" t="str">
        <f t="shared" si="81"/>
        <v/>
      </c>
      <c r="R41" s="1135" t="str">
        <f t="shared" si="82"/>
        <v/>
      </c>
      <c r="S41" s="1143" t="str">
        <f t="shared" si="83"/>
        <v/>
      </c>
      <c r="T41" s="1138" t="str">
        <f t="shared" si="84"/>
        <v/>
      </c>
      <c r="U41" s="1134" t="str">
        <f t="shared" si="85"/>
        <v/>
      </c>
      <c r="V41" s="1138" t="str">
        <f t="shared" si="86"/>
        <v/>
      </c>
      <c r="W41" s="1142">
        <f t="shared" si="87"/>
        <v>0</v>
      </c>
      <c r="X41" s="1144" t="e">
        <f t="shared" si="88"/>
        <v>#REF!</v>
      </c>
      <c r="Y41" s="1145" t="e">
        <f t="shared" si="89"/>
        <v>#REF!</v>
      </c>
      <c r="Z41" s="1587" t="str">
        <f t="shared" si="90"/>
        <v/>
      </c>
      <c r="AA41" s="1206" t="str">
        <f t="shared" si="91"/>
        <v/>
      </c>
      <c r="AB41" s="1132" t="str">
        <f t="shared" si="64"/>
        <v/>
      </c>
      <c r="AC41" s="1139" t="str">
        <f t="shared" si="53"/>
        <v/>
      </c>
      <c r="AD41" s="1134" t="str">
        <f t="shared" ca="1" si="44"/>
        <v/>
      </c>
      <c r="AE41" s="1138" t="str">
        <f t="shared" ca="1" si="45"/>
        <v/>
      </c>
      <c r="AF41" s="1139" t="str">
        <f t="shared" ca="1" si="46"/>
        <v/>
      </c>
      <c r="AG41" s="1134" t="str">
        <f t="shared" ca="1" si="47"/>
        <v/>
      </c>
      <c r="AH41" s="1138" t="str">
        <f t="shared" ca="1" si="48"/>
        <v/>
      </c>
      <c r="AI41" s="1134" t="str">
        <f t="shared" ca="1" si="49"/>
        <v/>
      </c>
      <c r="AJ41" s="1138" t="str">
        <f t="shared" ca="1" si="50"/>
        <v/>
      </c>
      <c r="AK41" s="1619" t="str">
        <f t="shared" si="54"/>
        <v/>
      </c>
      <c r="AL41" s="1620" t="str">
        <f t="shared" si="55"/>
        <v/>
      </c>
      <c r="AM41" s="1621" t="str">
        <f t="shared" si="56"/>
        <v/>
      </c>
      <c r="AN41" s="1139" t="str">
        <f t="shared" si="57"/>
        <v/>
      </c>
      <c r="AO41" s="1622" t="str">
        <f t="shared" si="58"/>
        <v/>
      </c>
      <c r="AP41" s="1141" t="str">
        <f t="shared" si="4"/>
        <v/>
      </c>
      <c r="AQ41" s="1623" t="str">
        <f t="shared" si="5"/>
        <v/>
      </c>
      <c r="AR41" s="1137" t="str">
        <f t="shared" si="17"/>
        <v/>
      </c>
      <c r="AS41" s="1138" t="str">
        <f t="shared" si="18"/>
        <v/>
      </c>
      <c r="AT41" s="1624" t="str">
        <f t="shared" si="19"/>
        <v/>
      </c>
      <c r="AU41" s="1625" t="str">
        <f t="shared" si="20"/>
        <v/>
      </c>
      <c r="AV41" s="1143" t="str">
        <f t="shared" si="21"/>
        <v/>
      </c>
      <c r="AW41" s="1138" t="str">
        <f t="shared" si="22"/>
        <v/>
      </c>
      <c r="AX41" s="1624" t="str">
        <f t="shared" si="23"/>
        <v/>
      </c>
      <c r="AY41" s="1625" t="str">
        <f t="shared" si="24"/>
        <v/>
      </c>
      <c r="AZ41" s="1143" t="str">
        <f t="shared" si="25"/>
        <v/>
      </c>
      <c r="BA41" s="1138" t="str">
        <f t="shared" si="26"/>
        <v/>
      </c>
      <c r="BB41" s="1624" t="str">
        <f t="shared" si="27"/>
        <v/>
      </c>
      <c r="BC41" s="1625" t="str">
        <f t="shared" si="28"/>
        <v/>
      </c>
      <c r="BD41" s="1143" t="str">
        <f t="shared" si="29"/>
        <v/>
      </c>
      <c r="BE41" s="1138" t="str">
        <f t="shared" si="30"/>
        <v/>
      </c>
      <c r="BF41" s="1624" t="str">
        <f t="shared" si="59"/>
        <v/>
      </c>
      <c r="BG41" s="1625" t="str">
        <f t="shared" si="60"/>
        <v/>
      </c>
      <c r="BH41" s="180"/>
      <c r="BJ41" s="1215" t="str">
        <f t="shared" si="120"/>
        <v/>
      </c>
      <c r="BK41" s="913" t="e">
        <f t="shared" si="121"/>
        <v>#REF!</v>
      </c>
      <c r="BL41" s="908" t="b">
        <v>0</v>
      </c>
      <c r="BM41" s="908">
        <f t="shared" si="109"/>
        <v>0</v>
      </c>
      <c r="BN41" s="908">
        <f t="shared" si="110"/>
        <v>0</v>
      </c>
      <c r="BO41" s="908">
        <f t="shared" si="111"/>
        <v>0</v>
      </c>
      <c r="BP41" s="908">
        <f t="shared" si="92"/>
        <v>0</v>
      </c>
      <c r="BQ41" s="908">
        <f t="shared" si="112"/>
        <v>0</v>
      </c>
      <c r="BR41" s="908" t="b">
        <f t="shared" si="113"/>
        <v>1</v>
      </c>
      <c r="BS41" s="1216">
        <f t="shared" si="114"/>
        <v>6</v>
      </c>
      <c r="BT41" s="909" t="str">
        <f t="shared" si="115"/>
        <v>No</v>
      </c>
      <c r="BU41" s="1216">
        <f t="shared" si="116"/>
        <v>6</v>
      </c>
      <c r="BV41" s="909" t="str">
        <f t="shared" si="117"/>
        <v>No</v>
      </c>
      <c r="BW41" s="910">
        <f t="shared" ca="1" si="33"/>
        <v>0</v>
      </c>
      <c r="BX41" s="911" t="str">
        <f t="shared" ca="1" si="40"/>
        <v/>
      </c>
      <c r="BY41" s="911" t="b">
        <f t="shared" ca="1" si="34"/>
        <v>0</v>
      </c>
      <c r="BZ41" s="1217" t="e">
        <f t="shared" si="41"/>
        <v>#REF!</v>
      </c>
      <c r="CB41" s="616"/>
      <c r="CC41" s="1567"/>
      <c r="CD41" s="645"/>
      <c r="CE41" s="646"/>
      <c r="CF41" s="1242"/>
      <c r="CG41" s="660"/>
      <c r="CH41" s="661"/>
      <c r="CI41" s="662"/>
      <c r="CJ41" s="661"/>
      <c r="CK41" s="662"/>
      <c r="CL41" s="663"/>
      <c r="CM41" s="692"/>
      <c r="CN41" s="687"/>
      <c r="CO41" s="1430"/>
      <c r="CP41" s="839"/>
      <c r="CQ41" s="660"/>
      <c r="CR41" s="661"/>
      <c r="CS41" s="662"/>
      <c r="CT41" s="661"/>
      <c r="CU41" s="662"/>
      <c r="CV41" s="663"/>
      <c r="CW41" s="692"/>
      <c r="CX41" s="687"/>
      <c r="CY41" s="1430"/>
      <c r="CZ41" s="839"/>
      <c r="DA41" s="665"/>
      <c r="DB41" s="648"/>
      <c r="DC41" s="649"/>
      <c r="DD41" s="1478"/>
      <c r="DE41" s="1479"/>
      <c r="DF41" s="58"/>
      <c r="DG41" s="58"/>
      <c r="DH41" s="616"/>
      <c r="DI41" s="617"/>
      <c r="DJ41" s="638"/>
      <c r="DK41" s="1245"/>
      <c r="DL41" s="618"/>
      <c r="DM41" s="639"/>
      <c r="DN41" s="1248"/>
      <c r="DO41" s="619"/>
      <c r="DP41" s="620"/>
      <c r="DQ41" s="1294"/>
      <c r="DR41" s="621"/>
      <c r="DS41" s="1491"/>
      <c r="DT41" s="1486"/>
      <c r="DU41" s="1487"/>
      <c r="DV41" s="622"/>
      <c r="DW41" s="1250"/>
      <c r="DX41" s="623"/>
      <c r="DY41" s="624"/>
      <c r="DZ41" s="622"/>
      <c r="EA41" s="1250"/>
      <c r="EB41" s="623"/>
      <c r="EC41" s="624"/>
      <c r="ED41" s="622"/>
      <c r="EE41" s="1250"/>
      <c r="EF41" s="623"/>
      <c r="EG41" s="624"/>
      <c r="EH41" s="622"/>
      <c r="EI41" s="1250"/>
      <c r="EJ41" s="623"/>
      <c r="EK41" s="625"/>
      <c r="EL41" s="58"/>
      <c r="EM41" s="1513" t="str">
        <f t="shared" si="118"/>
        <v/>
      </c>
      <c r="EN41" s="1514" t="str">
        <f t="shared" si="93"/>
        <v/>
      </c>
      <c r="EO41" s="591" t="str">
        <f t="shared" si="94"/>
        <v/>
      </c>
      <c r="EP41" s="592" t="str">
        <f t="shared" si="95"/>
        <v/>
      </c>
      <c r="EQ41" s="754" t="str">
        <f t="shared" si="96"/>
        <v/>
      </c>
      <c r="ER41" s="1465" t="str">
        <f t="shared" si="97"/>
        <v/>
      </c>
      <c r="ES41" s="1466" t="str">
        <f t="shared" si="98"/>
        <v/>
      </c>
      <c r="ET41" s="1467" t="str">
        <f t="shared" si="99"/>
        <v/>
      </c>
      <c r="EU41" s="1468" t="str">
        <f t="shared" si="100"/>
        <v/>
      </c>
      <c r="EX41" s="870" t="str">
        <f t="shared" ca="1" si="35"/>
        <v/>
      </c>
      <c r="EY41" s="872" t="str">
        <f t="shared" si="6"/>
        <v/>
      </c>
      <c r="EZ41" s="872" t="str">
        <f t="shared" si="36"/>
        <v/>
      </c>
      <c r="FA41" s="891" t="str">
        <f t="shared" ca="1" si="42"/>
        <v/>
      </c>
      <c r="FB41" s="892" t="str">
        <f t="shared" ca="1" si="37"/>
        <v/>
      </c>
      <c r="FC41" s="892">
        <f t="shared" ca="1" si="7"/>
        <v>0</v>
      </c>
      <c r="FD41" s="892">
        <f t="shared" ca="1" si="8"/>
        <v>0</v>
      </c>
      <c r="FE41" s="892">
        <f t="shared" ca="1" si="9"/>
        <v>0</v>
      </c>
      <c r="FF41" s="892">
        <f t="shared" ca="1" si="38"/>
        <v>0</v>
      </c>
      <c r="FN41" s="913" t="b">
        <v>0</v>
      </c>
      <c r="FO41" s="703" t="b">
        <f t="shared" si="119"/>
        <v>1</v>
      </c>
      <c r="FP41" s="703" t="b">
        <v>0</v>
      </c>
      <c r="FQ41" s="703" t="b">
        <f t="shared" si="39"/>
        <v>1</v>
      </c>
      <c r="FX41" s="103"/>
      <c r="FZ41" s="1"/>
      <c r="GA41" s="524" t="str">
        <f t="shared" si="101"/>
        <v/>
      </c>
      <c r="GB41" s="566" t="str">
        <f t="shared" si="102"/>
        <v/>
      </c>
      <c r="GC41" s="568" t="str">
        <f t="shared" si="103"/>
        <v/>
      </c>
      <c r="GD41" s="569" t="str">
        <f t="shared" si="104"/>
        <v/>
      </c>
      <c r="GE41" s="567" t="str">
        <f t="shared" si="105"/>
        <v/>
      </c>
      <c r="GF41" s="525" t="str">
        <f t="shared" si="106"/>
        <v/>
      </c>
      <c r="GG41" s="1056"/>
      <c r="GH41" s="1058"/>
      <c r="GI41" s="1056"/>
      <c r="GJ41" s="1058"/>
      <c r="GK41" s="1523">
        <f t="shared" si="107"/>
        <v>0</v>
      </c>
      <c r="GL41" s="1523" t="e">
        <f t="shared" si="108"/>
        <v>#VALUE!</v>
      </c>
      <c r="GM41" s="1524" t="e">
        <f>IF(ABS(GK41-GL41)&gt;=#REF!,ABS(GK41-GL41),0)</f>
        <v>#VALUE!</v>
      </c>
      <c r="HA41" s="1159"/>
      <c r="HB41" s="1160"/>
      <c r="HC41" s="1160"/>
      <c r="HD41" s="1161"/>
      <c r="HE41" s="1162"/>
      <c r="HF41" s="1160"/>
      <c r="HG41" s="1160"/>
      <c r="HH41" s="1160"/>
      <c r="HI41" s="1160"/>
      <c r="HJ41" s="1160"/>
      <c r="HK41" s="1160"/>
      <c r="HL41" s="1160"/>
      <c r="HM41" s="1160"/>
      <c r="HN41" s="1160"/>
      <c r="HO41" s="1160"/>
      <c r="HP41" s="1160"/>
      <c r="HQ41" s="1160"/>
      <c r="HR41" s="1160"/>
      <c r="HS41" s="1160"/>
      <c r="HT41" s="1160"/>
      <c r="HU41" s="1160"/>
      <c r="HV41" s="1160"/>
      <c r="HW41" s="1160"/>
      <c r="HX41" s="1160"/>
      <c r="HY41" s="1164"/>
      <c r="HZ41" s="1164"/>
      <c r="IA41" s="1164"/>
      <c r="IB41" s="1164"/>
      <c r="IC41" s="1164"/>
      <c r="ID41" s="1165"/>
      <c r="IE41" s="1159"/>
      <c r="IF41" s="1160"/>
      <c r="IG41" s="1161"/>
      <c r="IH41" s="1162"/>
      <c r="II41" s="1160"/>
      <c r="IJ41" s="1161"/>
      <c r="IK41" s="1162"/>
      <c r="IL41" s="1160"/>
      <c r="IM41" s="1160"/>
      <c r="IN41" s="1160"/>
      <c r="IO41" s="1160"/>
      <c r="IP41" s="1160"/>
      <c r="IQ41" s="1160"/>
      <c r="IR41" s="1160"/>
      <c r="IS41" s="1161"/>
      <c r="IT41" s="1162"/>
      <c r="IU41" s="1160"/>
      <c r="IV41" s="1160"/>
      <c r="IW41" s="1161"/>
      <c r="IX41" s="1162"/>
      <c r="IY41" s="1160"/>
      <c r="IZ41" s="1160"/>
      <c r="JA41" s="1161"/>
      <c r="JB41" s="1162"/>
      <c r="JC41" s="1160"/>
      <c r="JD41" s="1160"/>
      <c r="JE41" s="1161"/>
      <c r="JF41" s="1162"/>
      <c r="JG41" s="1160"/>
      <c r="JH41" s="1160"/>
      <c r="JI41" s="1160"/>
      <c r="JJ41" s="1163"/>
      <c r="JK41" s="1160"/>
      <c r="JL41" s="1103">
        <f t="shared" ca="1" si="43"/>
        <v>0</v>
      </c>
      <c r="JM41" s="56"/>
    </row>
    <row r="42" spans="1:273" ht="12.6" customHeight="1" x14ac:dyDescent="0.25">
      <c r="A42" s="1132" t="str">
        <f t="shared" si="65"/>
        <v/>
      </c>
      <c r="B42" s="1586" t="str">
        <f t="shared" si="66"/>
        <v/>
      </c>
      <c r="C42" s="1133" t="str">
        <f t="shared" si="67"/>
        <v/>
      </c>
      <c r="D42" s="1134" t="str">
        <f t="shared" si="68"/>
        <v/>
      </c>
      <c r="E42" s="1135" t="str">
        <f t="shared" si="69"/>
        <v/>
      </c>
      <c r="F42" s="1136" t="str">
        <f t="shared" si="70"/>
        <v/>
      </c>
      <c r="G42" s="1137" t="str">
        <f t="shared" si="71"/>
        <v/>
      </c>
      <c r="H42" s="1138" t="str">
        <f t="shared" si="72"/>
        <v/>
      </c>
      <c r="I42" s="1139" t="str">
        <f t="shared" si="73"/>
        <v/>
      </c>
      <c r="J42" s="1134" t="str">
        <f t="shared" si="74"/>
        <v/>
      </c>
      <c r="K42" s="1138" t="str">
        <f t="shared" si="75"/>
        <v/>
      </c>
      <c r="L42" s="1140" t="str">
        <f t="shared" si="76"/>
        <v/>
      </c>
      <c r="M42" s="1141" t="str">
        <f t="shared" si="77"/>
        <v/>
      </c>
      <c r="N42" s="1142" t="str">
        <f t="shared" si="78"/>
        <v/>
      </c>
      <c r="O42" s="1137" t="str">
        <f t="shared" si="79"/>
        <v/>
      </c>
      <c r="P42" s="1138" t="str">
        <f t="shared" si="80"/>
        <v/>
      </c>
      <c r="Q42" s="1134" t="str">
        <f t="shared" si="81"/>
        <v/>
      </c>
      <c r="R42" s="1135" t="str">
        <f t="shared" si="82"/>
        <v/>
      </c>
      <c r="S42" s="1143" t="str">
        <f t="shared" si="83"/>
        <v/>
      </c>
      <c r="T42" s="1138" t="str">
        <f t="shared" si="84"/>
        <v/>
      </c>
      <c r="U42" s="1134" t="str">
        <f t="shared" si="85"/>
        <v/>
      </c>
      <c r="V42" s="1138" t="str">
        <f t="shared" si="86"/>
        <v/>
      </c>
      <c r="W42" s="1142">
        <f t="shared" si="87"/>
        <v>0</v>
      </c>
      <c r="X42" s="1144" t="e">
        <f t="shared" si="88"/>
        <v>#REF!</v>
      </c>
      <c r="Y42" s="1145" t="e">
        <f t="shared" si="89"/>
        <v>#REF!</v>
      </c>
      <c r="Z42" s="1587" t="str">
        <f t="shared" si="90"/>
        <v/>
      </c>
      <c r="AA42" s="1206" t="str">
        <f t="shared" si="91"/>
        <v/>
      </c>
      <c r="AB42" s="1132" t="str">
        <f t="shared" si="64"/>
        <v/>
      </c>
      <c r="AC42" s="1139" t="str">
        <f t="shared" si="53"/>
        <v/>
      </c>
      <c r="AD42" s="1134" t="str">
        <f t="shared" ca="1" si="44"/>
        <v/>
      </c>
      <c r="AE42" s="1138" t="str">
        <f t="shared" ca="1" si="45"/>
        <v/>
      </c>
      <c r="AF42" s="1139" t="str">
        <f t="shared" ca="1" si="46"/>
        <v/>
      </c>
      <c r="AG42" s="1134" t="str">
        <f t="shared" ca="1" si="47"/>
        <v/>
      </c>
      <c r="AH42" s="1138" t="str">
        <f t="shared" ca="1" si="48"/>
        <v/>
      </c>
      <c r="AI42" s="1134" t="str">
        <f t="shared" ca="1" si="49"/>
        <v/>
      </c>
      <c r="AJ42" s="1138" t="str">
        <f t="shared" ca="1" si="50"/>
        <v/>
      </c>
      <c r="AK42" s="1619" t="str">
        <f t="shared" si="54"/>
        <v/>
      </c>
      <c r="AL42" s="1620" t="str">
        <f t="shared" si="55"/>
        <v/>
      </c>
      <c r="AM42" s="1621" t="str">
        <f t="shared" si="56"/>
        <v/>
      </c>
      <c r="AN42" s="1139" t="str">
        <f t="shared" si="57"/>
        <v/>
      </c>
      <c r="AO42" s="1622" t="str">
        <f t="shared" si="58"/>
        <v/>
      </c>
      <c r="AP42" s="1141" t="str">
        <f t="shared" si="4"/>
        <v/>
      </c>
      <c r="AQ42" s="1623" t="str">
        <f t="shared" si="5"/>
        <v/>
      </c>
      <c r="AR42" s="1137" t="str">
        <f t="shared" si="17"/>
        <v/>
      </c>
      <c r="AS42" s="1138" t="str">
        <f t="shared" si="18"/>
        <v/>
      </c>
      <c r="AT42" s="1624" t="str">
        <f t="shared" si="19"/>
        <v/>
      </c>
      <c r="AU42" s="1625" t="str">
        <f t="shared" si="20"/>
        <v/>
      </c>
      <c r="AV42" s="1143" t="str">
        <f t="shared" si="21"/>
        <v/>
      </c>
      <c r="AW42" s="1138" t="str">
        <f t="shared" si="22"/>
        <v/>
      </c>
      <c r="AX42" s="1624" t="str">
        <f t="shared" si="23"/>
        <v/>
      </c>
      <c r="AY42" s="1625" t="str">
        <f t="shared" si="24"/>
        <v/>
      </c>
      <c r="AZ42" s="1143" t="str">
        <f t="shared" si="25"/>
        <v/>
      </c>
      <c r="BA42" s="1138" t="str">
        <f t="shared" si="26"/>
        <v/>
      </c>
      <c r="BB42" s="1624" t="str">
        <f t="shared" si="27"/>
        <v/>
      </c>
      <c r="BC42" s="1625" t="str">
        <f t="shared" si="28"/>
        <v/>
      </c>
      <c r="BD42" s="1143" t="str">
        <f t="shared" si="29"/>
        <v/>
      </c>
      <c r="BE42" s="1138" t="str">
        <f t="shared" si="30"/>
        <v/>
      </c>
      <c r="BF42" s="1624" t="str">
        <f t="shared" si="59"/>
        <v/>
      </c>
      <c r="BG42" s="1625" t="str">
        <f t="shared" si="60"/>
        <v/>
      </c>
      <c r="BH42" s="180"/>
      <c r="BJ42" s="1215" t="str">
        <f t="shared" si="120"/>
        <v/>
      </c>
      <c r="BK42" s="913" t="e">
        <f t="shared" si="121"/>
        <v>#REF!</v>
      </c>
      <c r="BL42" s="908" t="b">
        <v>0</v>
      </c>
      <c r="BM42" s="908">
        <f t="shared" si="109"/>
        <v>0</v>
      </c>
      <c r="BN42" s="908">
        <f t="shared" si="110"/>
        <v>0</v>
      </c>
      <c r="BO42" s="908">
        <f t="shared" si="111"/>
        <v>0</v>
      </c>
      <c r="BP42" s="908">
        <f t="shared" si="92"/>
        <v>0</v>
      </c>
      <c r="BQ42" s="908">
        <f t="shared" si="112"/>
        <v>0</v>
      </c>
      <c r="BR42" s="908" t="b">
        <f t="shared" si="113"/>
        <v>1</v>
      </c>
      <c r="BS42" s="1216">
        <f t="shared" si="114"/>
        <v>6</v>
      </c>
      <c r="BT42" s="909" t="str">
        <f t="shared" si="115"/>
        <v>No</v>
      </c>
      <c r="BU42" s="1216">
        <f t="shared" si="116"/>
        <v>6</v>
      </c>
      <c r="BV42" s="909" t="str">
        <f t="shared" si="117"/>
        <v>No</v>
      </c>
      <c r="BW42" s="910">
        <f t="shared" ca="1" si="33"/>
        <v>0</v>
      </c>
      <c r="BX42" s="911" t="str">
        <f t="shared" ca="1" si="40"/>
        <v/>
      </c>
      <c r="BY42" s="911" t="b">
        <f t="shared" ca="1" si="34"/>
        <v>0</v>
      </c>
      <c r="BZ42" s="1217" t="e">
        <f t="shared" si="41"/>
        <v>#REF!</v>
      </c>
      <c r="CB42" s="616"/>
      <c r="CC42" s="1567"/>
      <c r="CD42" s="645"/>
      <c r="CE42" s="646"/>
      <c r="CF42" s="1242"/>
      <c r="CG42" s="660"/>
      <c r="CH42" s="661"/>
      <c r="CI42" s="662"/>
      <c r="CJ42" s="661"/>
      <c r="CK42" s="662"/>
      <c r="CL42" s="663"/>
      <c r="CM42" s="692"/>
      <c r="CN42" s="687"/>
      <c r="CO42" s="1430"/>
      <c r="CP42" s="839"/>
      <c r="CQ42" s="660"/>
      <c r="CR42" s="661"/>
      <c r="CS42" s="662"/>
      <c r="CT42" s="661"/>
      <c r="CU42" s="662"/>
      <c r="CV42" s="663"/>
      <c r="CW42" s="692"/>
      <c r="CX42" s="687"/>
      <c r="CY42" s="1430"/>
      <c r="CZ42" s="839"/>
      <c r="DA42" s="665"/>
      <c r="DB42" s="648"/>
      <c r="DC42" s="649"/>
      <c r="DD42" s="1478"/>
      <c r="DE42" s="1479"/>
      <c r="DF42" s="58"/>
      <c r="DG42" s="58"/>
      <c r="DH42" s="616"/>
      <c r="DI42" s="617"/>
      <c r="DJ42" s="638"/>
      <c r="DK42" s="1245"/>
      <c r="DL42" s="618"/>
      <c r="DM42" s="639"/>
      <c r="DN42" s="1248"/>
      <c r="DO42" s="619"/>
      <c r="DP42" s="620"/>
      <c r="DQ42" s="1294"/>
      <c r="DR42" s="621"/>
      <c r="DS42" s="1491"/>
      <c r="DT42" s="1486"/>
      <c r="DU42" s="1487"/>
      <c r="DV42" s="622"/>
      <c r="DW42" s="1250"/>
      <c r="DX42" s="623"/>
      <c r="DY42" s="624"/>
      <c r="DZ42" s="622"/>
      <c r="EA42" s="1250"/>
      <c r="EB42" s="623"/>
      <c r="EC42" s="624"/>
      <c r="ED42" s="622"/>
      <c r="EE42" s="1250"/>
      <c r="EF42" s="623"/>
      <c r="EG42" s="624"/>
      <c r="EH42" s="622"/>
      <c r="EI42" s="1250"/>
      <c r="EJ42" s="623"/>
      <c r="EK42" s="625"/>
      <c r="EL42" s="58"/>
      <c r="EM42" s="1513" t="str">
        <f t="shared" si="118"/>
        <v/>
      </c>
      <c r="EN42" s="1514" t="str">
        <f t="shared" si="93"/>
        <v/>
      </c>
      <c r="EO42" s="591" t="str">
        <f t="shared" si="94"/>
        <v/>
      </c>
      <c r="EP42" s="592" t="str">
        <f t="shared" si="95"/>
        <v/>
      </c>
      <c r="EQ42" s="754" t="str">
        <f t="shared" si="96"/>
        <v/>
      </c>
      <c r="ER42" s="1465" t="str">
        <f t="shared" si="97"/>
        <v/>
      </c>
      <c r="ES42" s="1466" t="str">
        <f t="shared" si="98"/>
        <v/>
      </c>
      <c r="ET42" s="1467" t="str">
        <f t="shared" si="99"/>
        <v/>
      </c>
      <c r="EU42" s="1468" t="str">
        <f t="shared" si="100"/>
        <v/>
      </c>
      <c r="EX42" s="870" t="str">
        <f t="shared" ca="1" si="35"/>
        <v/>
      </c>
      <c r="EY42" s="872" t="str">
        <f t="shared" si="6"/>
        <v/>
      </c>
      <c r="EZ42" s="872" t="str">
        <f t="shared" si="36"/>
        <v/>
      </c>
      <c r="FA42" s="891" t="str">
        <f t="shared" ca="1" si="42"/>
        <v/>
      </c>
      <c r="FB42" s="892" t="str">
        <f t="shared" ca="1" si="37"/>
        <v/>
      </c>
      <c r="FC42" s="892">
        <f t="shared" ca="1" si="7"/>
        <v>0</v>
      </c>
      <c r="FD42" s="892">
        <f t="shared" ca="1" si="8"/>
        <v>0</v>
      </c>
      <c r="FE42" s="892">
        <f t="shared" ca="1" si="9"/>
        <v>0</v>
      </c>
      <c r="FF42" s="892">
        <f t="shared" ca="1" si="38"/>
        <v>0</v>
      </c>
      <c r="FN42" s="913" t="b">
        <v>0</v>
      </c>
      <c r="FO42" s="703" t="b">
        <f t="shared" si="119"/>
        <v>1</v>
      </c>
      <c r="FP42" s="703" t="b">
        <v>0</v>
      </c>
      <c r="FQ42" s="703" t="b">
        <f t="shared" si="39"/>
        <v>1</v>
      </c>
      <c r="FX42" s="162"/>
      <c r="GA42" s="524" t="str">
        <f t="shared" si="101"/>
        <v/>
      </c>
      <c r="GB42" s="566" t="str">
        <f t="shared" si="102"/>
        <v/>
      </c>
      <c r="GC42" s="568" t="str">
        <f t="shared" si="103"/>
        <v/>
      </c>
      <c r="GD42" s="569" t="str">
        <f t="shared" si="104"/>
        <v/>
      </c>
      <c r="GE42" s="567" t="str">
        <f t="shared" si="105"/>
        <v/>
      </c>
      <c r="GF42" s="525" t="str">
        <f t="shared" si="106"/>
        <v/>
      </c>
      <c r="GG42" s="1056"/>
      <c r="GH42" s="1058"/>
      <c r="GI42" s="1056"/>
      <c r="GJ42" s="1058"/>
      <c r="GK42" s="1523">
        <f t="shared" si="107"/>
        <v>0</v>
      </c>
      <c r="GL42" s="1523" t="e">
        <f t="shared" si="108"/>
        <v>#VALUE!</v>
      </c>
      <c r="GM42" s="1524" t="e">
        <f>IF(ABS(GK42-GL42)&gt;=#REF!,ABS(GK42-GL42),0)</f>
        <v>#VALUE!</v>
      </c>
      <c r="HA42" s="1159"/>
      <c r="HB42" s="1160"/>
      <c r="HC42" s="1160"/>
      <c r="HD42" s="1161"/>
      <c r="HE42" s="1162"/>
      <c r="HF42" s="1160"/>
      <c r="HG42" s="1160"/>
      <c r="HH42" s="1160"/>
      <c r="HI42" s="1160"/>
      <c r="HJ42" s="1160"/>
      <c r="HK42" s="1160"/>
      <c r="HL42" s="1160"/>
      <c r="HM42" s="1160"/>
      <c r="HN42" s="1160"/>
      <c r="HO42" s="1160"/>
      <c r="HP42" s="1160"/>
      <c r="HQ42" s="1160"/>
      <c r="HR42" s="1160"/>
      <c r="HS42" s="1160"/>
      <c r="HT42" s="1160"/>
      <c r="HU42" s="1160"/>
      <c r="HV42" s="1160"/>
      <c r="HW42" s="1160"/>
      <c r="HX42" s="1160"/>
      <c r="HY42" s="1164"/>
      <c r="HZ42" s="1164"/>
      <c r="IA42" s="1164"/>
      <c r="IB42" s="1164"/>
      <c r="IC42" s="1164"/>
      <c r="ID42" s="1165"/>
      <c r="IE42" s="1159"/>
      <c r="IF42" s="1160"/>
      <c r="IG42" s="1161"/>
      <c r="IH42" s="1162"/>
      <c r="II42" s="1160"/>
      <c r="IJ42" s="1161"/>
      <c r="IK42" s="1162"/>
      <c r="IL42" s="1160"/>
      <c r="IM42" s="1160"/>
      <c r="IN42" s="1160"/>
      <c r="IO42" s="1160"/>
      <c r="IP42" s="1160"/>
      <c r="IQ42" s="1160"/>
      <c r="IR42" s="1160"/>
      <c r="IS42" s="1161"/>
      <c r="IT42" s="1162"/>
      <c r="IU42" s="1160"/>
      <c r="IV42" s="1160"/>
      <c r="IW42" s="1161"/>
      <c r="IX42" s="1162"/>
      <c r="IY42" s="1160"/>
      <c r="IZ42" s="1160"/>
      <c r="JA42" s="1161"/>
      <c r="JB42" s="1162"/>
      <c r="JC42" s="1160"/>
      <c r="JD42" s="1160"/>
      <c r="JE42" s="1161"/>
      <c r="JF42" s="1162"/>
      <c r="JG42" s="1160"/>
      <c r="JH42" s="1160"/>
      <c r="JI42" s="1160"/>
      <c r="JJ42" s="1163"/>
      <c r="JK42" s="1160"/>
      <c r="JL42" s="1103">
        <f t="shared" ca="1" si="43"/>
        <v>0</v>
      </c>
      <c r="JM42" s="56"/>
    </row>
    <row r="43" spans="1:273" ht="12.6" customHeight="1" x14ac:dyDescent="0.25">
      <c r="A43" s="1132" t="str">
        <f t="shared" si="65"/>
        <v/>
      </c>
      <c r="B43" s="1586" t="str">
        <f t="shared" si="66"/>
        <v/>
      </c>
      <c r="C43" s="1133" t="str">
        <f t="shared" si="67"/>
        <v/>
      </c>
      <c r="D43" s="1134" t="str">
        <f t="shared" si="68"/>
        <v/>
      </c>
      <c r="E43" s="1135" t="str">
        <f t="shared" si="69"/>
        <v/>
      </c>
      <c r="F43" s="1136" t="str">
        <f t="shared" si="70"/>
        <v/>
      </c>
      <c r="G43" s="1137" t="str">
        <f t="shared" si="71"/>
        <v/>
      </c>
      <c r="H43" s="1138" t="str">
        <f t="shared" si="72"/>
        <v/>
      </c>
      <c r="I43" s="1139" t="str">
        <f t="shared" si="73"/>
        <v/>
      </c>
      <c r="J43" s="1134" t="str">
        <f t="shared" si="74"/>
        <v/>
      </c>
      <c r="K43" s="1138" t="str">
        <f t="shared" si="75"/>
        <v/>
      </c>
      <c r="L43" s="1140" t="str">
        <f t="shared" si="76"/>
        <v/>
      </c>
      <c r="M43" s="1141" t="str">
        <f t="shared" si="77"/>
        <v/>
      </c>
      <c r="N43" s="1142" t="str">
        <f t="shared" si="78"/>
        <v/>
      </c>
      <c r="O43" s="1137" t="str">
        <f t="shared" si="79"/>
        <v/>
      </c>
      <c r="P43" s="1138" t="str">
        <f t="shared" si="80"/>
        <v/>
      </c>
      <c r="Q43" s="1134" t="str">
        <f t="shared" si="81"/>
        <v/>
      </c>
      <c r="R43" s="1135" t="str">
        <f t="shared" si="82"/>
        <v/>
      </c>
      <c r="S43" s="1143" t="str">
        <f t="shared" si="83"/>
        <v/>
      </c>
      <c r="T43" s="1138" t="str">
        <f t="shared" si="84"/>
        <v/>
      </c>
      <c r="U43" s="1134" t="str">
        <f t="shared" si="85"/>
        <v/>
      </c>
      <c r="V43" s="1138" t="str">
        <f t="shared" si="86"/>
        <v/>
      </c>
      <c r="W43" s="1142">
        <f t="shared" si="87"/>
        <v>0</v>
      </c>
      <c r="X43" s="1144" t="e">
        <f t="shared" si="88"/>
        <v>#REF!</v>
      </c>
      <c r="Y43" s="1145" t="e">
        <f t="shared" si="89"/>
        <v>#REF!</v>
      </c>
      <c r="Z43" s="1587" t="str">
        <f t="shared" si="90"/>
        <v/>
      </c>
      <c r="AA43" s="1206" t="str">
        <f t="shared" si="91"/>
        <v/>
      </c>
      <c r="AB43" s="1132" t="str">
        <f t="shared" si="64"/>
        <v/>
      </c>
      <c r="AC43" s="1139" t="str">
        <f t="shared" si="53"/>
        <v/>
      </c>
      <c r="AD43" s="1134" t="str">
        <f t="shared" ca="1" si="44"/>
        <v/>
      </c>
      <c r="AE43" s="1138" t="str">
        <f t="shared" ca="1" si="45"/>
        <v/>
      </c>
      <c r="AF43" s="1139" t="str">
        <f t="shared" ca="1" si="46"/>
        <v/>
      </c>
      <c r="AG43" s="1134" t="str">
        <f t="shared" ca="1" si="47"/>
        <v/>
      </c>
      <c r="AH43" s="1138" t="str">
        <f t="shared" ca="1" si="48"/>
        <v/>
      </c>
      <c r="AI43" s="1134" t="str">
        <f t="shared" ca="1" si="49"/>
        <v/>
      </c>
      <c r="AJ43" s="1138" t="str">
        <f t="shared" ca="1" si="50"/>
        <v/>
      </c>
      <c r="AK43" s="1619" t="str">
        <f t="shared" si="54"/>
        <v/>
      </c>
      <c r="AL43" s="1620" t="str">
        <f t="shared" si="55"/>
        <v/>
      </c>
      <c r="AM43" s="1621" t="str">
        <f t="shared" si="56"/>
        <v/>
      </c>
      <c r="AN43" s="1139" t="str">
        <f t="shared" si="57"/>
        <v/>
      </c>
      <c r="AO43" s="1622" t="str">
        <f t="shared" si="58"/>
        <v/>
      </c>
      <c r="AP43" s="1141" t="str">
        <f t="shared" si="4"/>
        <v/>
      </c>
      <c r="AQ43" s="1623" t="str">
        <f t="shared" si="5"/>
        <v/>
      </c>
      <c r="AR43" s="1137" t="str">
        <f t="shared" si="17"/>
        <v/>
      </c>
      <c r="AS43" s="1138" t="str">
        <f t="shared" si="18"/>
        <v/>
      </c>
      <c r="AT43" s="1624" t="str">
        <f t="shared" si="19"/>
        <v/>
      </c>
      <c r="AU43" s="1625" t="str">
        <f t="shared" si="20"/>
        <v/>
      </c>
      <c r="AV43" s="1143" t="str">
        <f t="shared" si="21"/>
        <v/>
      </c>
      <c r="AW43" s="1138" t="str">
        <f t="shared" si="22"/>
        <v/>
      </c>
      <c r="AX43" s="1624" t="str">
        <f t="shared" si="23"/>
        <v/>
      </c>
      <c r="AY43" s="1625" t="str">
        <f t="shared" si="24"/>
        <v/>
      </c>
      <c r="AZ43" s="1143" t="str">
        <f t="shared" si="25"/>
        <v/>
      </c>
      <c r="BA43" s="1138" t="str">
        <f t="shared" si="26"/>
        <v/>
      </c>
      <c r="BB43" s="1624" t="str">
        <f t="shared" si="27"/>
        <v/>
      </c>
      <c r="BC43" s="1625" t="str">
        <f t="shared" si="28"/>
        <v/>
      </c>
      <c r="BD43" s="1143" t="str">
        <f t="shared" si="29"/>
        <v/>
      </c>
      <c r="BE43" s="1138" t="str">
        <f t="shared" si="30"/>
        <v/>
      </c>
      <c r="BF43" s="1624" t="str">
        <f t="shared" si="59"/>
        <v/>
      </c>
      <c r="BG43" s="1625" t="str">
        <f t="shared" si="60"/>
        <v/>
      </c>
      <c r="BH43" s="180"/>
      <c r="BJ43" s="1215" t="str">
        <f t="shared" si="120"/>
        <v/>
      </c>
      <c r="BK43" s="913" t="e">
        <f t="shared" si="121"/>
        <v>#REF!</v>
      </c>
      <c r="BL43" s="908" t="b">
        <v>0</v>
      </c>
      <c r="BM43" s="908">
        <f t="shared" si="109"/>
        <v>0</v>
      </c>
      <c r="BN43" s="908">
        <f t="shared" si="110"/>
        <v>0</v>
      </c>
      <c r="BO43" s="908">
        <f t="shared" si="111"/>
        <v>0</v>
      </c>
      <c r="BP43" s="908">
        <f t="shared" si="92"/>
        <v>0</v>
      </c>
      <c r="BQ43" s="908">
        <f t="shared" si="112"/>
        <v>0</v>
      </c>
      <c r="BR43" s="908" t="b">
        <f t="shared" si="113"/>
        <v>1</v>
      </c>
      <c r="BS43" s="1216">
        <f t="shared" si="114"/>
        <v>6</v>
      </c>
      <c r="BT43" s="909" t="str">
        <f t="shared" si="115"/>
        <v>No</v>
      </c>
      <c r="BU43" s="1216">
        <f t="shared" si="116"/>
        <v>6</v>
      </c>
      <c r="BV43" s="909" t="str">
        <f t="shared" si="117"/>
        <v>No</v>
      </c>
      <c r="BW43" s="910">
        <f t="shared" ca="1" si="33"/>
        <v>0</v>
      </c>
      <c r="BX43" s="911" t="str">
        <f t="shared" ca="1" si="40"/>
        <v/>
      </c>
      <c r="BY43" s="911" t="b">
        <f t="shared" ca="1" si="34"/>
        <v>0</v>
      </c>
      <c r="BZ43" s="1217" t="e">
        <f t="shared" si="41"/>
        <v>#REF!</v>
      </c>
      <c r="CB43" s="616"/>
      <c r="CC43" s="1567"/>
      <c r="CD43" s="645"/>
      <c r="CE43" s="646"/>
      <c r="CF43" s="1242"/>
      <c r="CG43" s="660"/>
      <c r="CH43" s="661"/>
      <c r="CI43" s="662"/>
      <c r="CJ43" s="661"/>
      <c r="CK43" s="662"/>
      <c r="CL43" s="663"/>
      <c r="CM43" s="692"/>
      <c r="CN43" s="687"/>
      <c r="CO43" s="1430"/>
      <c r="CP43" s="839"/>
      <c r="CQ43" s="660"/>
      <c r="CR43" s="661"/>
      <c r="CS43" s="662"/>
      <c r="CT43" s="661"/>
      <c r="CU43" s="662"/>
      <c r="CV43" s="663"/>
      <c r="CW43" s="692"/>
      <c r="CX43" s="687"/>
      <c r="CY43" s="1430"/>
      <c r="CZ43" s="839"/>
      <c r="DA43" s="665"/>
      <c r="DB43" s="648"/>
      <c r="DC43" s="649"/>
      <c r="DD43" s="1478"/>
      <c r="DE43" s="1479"/>
      <c r="DF43" s="58"/>
      <c r="DG43" s="58"/>
      <c r="DH43" s="616"/>
      <c r="DI43" s="617"/>
      <c r="DJ43" s="638"/>
      <c r="DK43" s="1245"/>
      <c r="DL43" s="618"/>
      <c r="DM43" s="639"/>
      <c r="DN43" s="1248"/>
      <c r="DO43" s="619"/>
      <c r="DP43" s="620"/>
      <c r="DQ43" s="1294"/>
      <c r="DR43" s="621"/>
      <c r="DS43" s="1491"/>
      <c r="DT43" s="1486"/>
      <c r="DU43" s="1487"/>
      <c r="DV43" s="622"/>
      <c r="DW43" s="1250"/>
      <c r="DX43" s="623"/>
      <c r="DY43" s="624"/>
      <c r="DZ43" s="622"/>
      <c r="EA43" s="1250"/>
      <c r="EB43" s="623"/>
      <c r="EC43" s="624"/>
      <c r="ED43" s="622"/>
      <c r="EE43" s="1250"/>
      <c r="EF43" s="623"/>
      <c r="EG43" s="624"/>
      <c r="EH43" s="622"/>
      <c r="EI43" s="1250"/>
      <c r="EJ43" s="623"/>
      <c r="EK43" s="625"/>
      <c r="EL43" s="58"/>
      <c r="EM43" s="1513" t="str">
        <f t="shared" si="118"/>
        <v/>
      </c>
      <c r="EN43" s="1514" t="str">
        <f t="shared" si="93"/>
        <v/>
      </c>
      <c r="EO43" s="591" t="str">
        <f t="shared" si="94"/>
        <v/>
      </c>
      <c r="EP43" s="592" t="str">
        <f t="shared" si="95"/>
        <v/>
      </c>
      <c r="EQ43" s="754" t="str">
        <f t="shared" si="96"/>
        <v/>
      </c>
      <c r="ER43" s="1465" t="str">
        <f t="shared" si="97"/>
        <v/>
      </c>
      <c r="ES43" s="1466" t="str">
        <f t="shared" si="98"/>
        <v/>
      </c>
      <c r="ET43" s="1467" t="str">
        <f t="shared" si="99"/>
        <v/>
      </c>
      <c r="EU43" s="1468" t="str">
        <f t="shared" si="100"/>
        <v/>
      </c>
      <c r="EX43" s="870" t="str">
        <f t="shared" ca="1" si="35"/>
        <v/>
      </c>
      <c r="EY43" s="872" t="str">
        <f t="shared" si="6"/>
        <v/>
      </c>
      <c r="EZ43" s="872" t="str">
        <f t="shared" si="36"/>
        <v/>
      </c>
      <c r="FA43" s="891" t="str">
        <f t="shared" ca="1" si="42"/>
        <v/>
      </c>
      <c r="FB43" s="892" t="str">
        <f t="shared" ca="1" si="37"/>
        <v/>
      </c>
      <c r="FC43" s="892">
        <f t="shared" ca="1" si="7"/>
        <v>0</v>
      </c>
      <c r="FD43" s="892">
        <f t="shared" ca="1" si="8"/>
        <v>0</v>
      </c>
      <c r="FE43" s="892">
        <f t="shared" ca="1" si="9"/>
        <v>0</v>
      </c>
      <c r="FF43" s="892">
        <f t="shared" ca="1" si="38"/>
        <v>0</v>
      </c>
      <c r="FN43" s="913" t="b">
        <v>0</v>
      </c>
      <c r="FO43" s="703" t="b">
        <f t="shared" si="119"/>
        <v>1</v>
      </c>
      <c r="FP43" s="703" t="b">
        <v>0</v>
      </c>
      <c r="FQ43" s="703" t="b">
        <f t="shared" si="39"/>
        <v>1</v>
      </c>
      <c r="FX43" s="162"/>
      <c r="GA43" s="524" t="str">
        <f t="shared" si="101"/>
        <v/>
      </c>
      <c r="GB43" s="566" t="str">
        <f t="shared" si="102"/>
        <v/>
      </c>
      <c r="GC43" s="568" t="str">
        <f t="shared" si="103"/>
        <v/>
      </c>
      <c r="GD43" s="569" t="str">
        <f t="shared" si="104"/>
        <v/>
      </c>
      <c r="GE43" s="567" t="str">
        <f t="shared" si="105"/>
        <v/>
      </c>
      <c r="GF43" s="525" t="str">
        <f t="shared" si="106"/>
        <v/>
      </c>
      <c r="GG43" s="1056"/>
      <c r="GH43" s="1058"/>
      <c r="GI43" s="1056"/>
      <c r="GJ43" s="1058"/>
      <c r="GK43" s="1523">
        <f t="shared" si="107"/>
        <v>0</v>
      </c>
      <c r="GL43" s="1523" t="e">
        <f t="shared" si="108"/>
        <v>#VALUE!</v>
      </c>
      <c r="GM43" s="1524" t="e">
        <f>IF(ABS(GK43-GL43)&gt;=#REF!,ABS(GK43-GL43),0)</f>
        <v>#VALUE!</v>
      </c>
      <c r="HA43" s="1159"/>
      <c r="HB43" s="1160"/>
      <c r="HC43" s="1160"/>
      <c r="HD43" s="1161"/>
      <c r="HE43" s="1162"/>
      <c r="HF43" s="1160"/>
      <c r="HG43" s="1160"/>
      <c r="HH43" s="1160"/>
      <c r="HI43" s="1160"/>
      <c r="HJ43" s="1160"/>
      <c r="HK43" s="1160"/>
      <c r="HL43" s="1160"/>
      <c r="HM43" s="1160"/>
      <c r="HN43" s="1160"/>
      <c r="HO43" s="1160"/>
      <c r="HP43" s="1160"/>
      <c r="HQ43" s="1160"/>
      <c r="HR43" s="1160"/>
      <c r="HS43" s="1160"/>
      <c r="HT43" s="1160"/>
      <c r="HU43" s="1160"/>
      <c r="HV43" s="1160"/>
      <c r="HW43" s="1160"/>
      <c r="HX43" s="1160"/>
      <c r="HY43" s="1164"/>
      <c r="HZ43" s="1164"/>
      <c r="IA43" s="1164"/>
      <c r="IB43" s="1164"/>
      <c r="IC43" s="1164"/>
      <c r="ID43" s="1165"/>
      <c r="IE43" s="1159"/>
      <c r="IF43" s="1160"/>
      <c r="IG43" s="1161"/>
      <c r="IH43" s="1162"/>
      <c r="II43" s="1160"/>
      <c r="IJ43" s="1161"/>
      <c r="IK43" s="1162"/>
      <c r="IL43" s="1160"/>
      <c r="IM43" s="1160"/>
      <c r="IN43" s="1160"/>
      <c r="IO43" s="1160"/>
      <c r="IP43" s="1160"/>
      <c r="IQ43" s="1160"/>
      <c r="IR43" s="1160"/>
      <c r="IS43" s="1161"/>
      <c r="IT43" s="1162"/>
      <c r="IU43" s="1160"/>
      <c r="IV43" s="1160"/>
      <c r="IW43" s="1161"/>
      <c r="IX43" s="1162"/>
      <c r="IY43" s="1160"/>
      <c r="IZ43" s="1160"/>
      <c r="JA43" s="1161"/>
      <c r="JB43" s="1162"/>
      <c r="JC43" s="1160"/>
      <c r="JD43" s="1160"/>
      <c r="JE43" s="1161"/>
      <c r="JF43" s="1162"/>
      <c r="JG43" s="1160"/>
      <c r="JH43" s="1160"/>
      <c r="JI43" s="1160"/>
      <c r="JJ43" s="1163"/>
      <c r="JK43" s="1160"/>
      <c r="JL43" s="1103">
        <f t="shared" ca="1" si="43"/>
        <v>0</v>
      </c>
      <c r="JM43" s="56"/>
    </row>
    <row r="44" spans="1:273" ht="12.6" customHeight="1" x14ac:dyDescent="0.25">
      <c r="A44" s="1132" t="str">
        <f t="shared" si="65"/>
        <v/>
      </c>
      <c r="B44" s="1586" t="str">
        <f t="shared" si="66"/>
        <v/>
      </c>
      <c r="C44" s="1133" t="str">
        <f t="shared" si="67"/>
        <v/>
      </c>
      <c r="D44" s="1134" t="str">
        <f t="shared" si="68"/>
        <v/>
      </c>
      <c r="E44" s="1135" t="str">
        <f t="shared" si="69"/>
        <v/>
      </c>
      <c r="F44" s="1136" t="str">
        <f t="shared" si="70"/>
        <v/>
      </c>
      <c r="G44" s="1137" t="str">
        <f t="shared" si="71"/>
        <v/>
      </c>
      <c r="H44" s="1138" t="str">
        <f t="shared" si="72"/>
        <v/>
      </c>
      <c r="I44" s="1139" t="str">
        <f t="shared" si="73"/>
        <v/>
      </c>
      <c r="J44" s="1134" t="str">
        <f t="shared" si="74"/>
        <v/>
      </c>
      <c r="K44" s="1138" t="str">
        <f t="shared" si="75"/>
        <v/>
      </c>
      <c r="L44" s="1140" t="str">
        <f t="shared" si="76"/>
        <v/>
      </c>
      <c r="M44" s="1141" t="str">
        <f t="shared" si="77"/>
        <v/>
      </c>
      <c r="N44" s="1142" t="str">
        <f t="shared" si="78"/>
        <v/>
      </c>
      <c r="O44" s="1137" t="str">
        <f t="shared" si="79"/>
        <v/>
      </c>
      <c r="P44" s="1138" t="str">
        <f t="shared" si="80"/>
        <v/>
      </c>
      <c r="Q44" s="1134" t="str">
        <f t="shared" si="81"/>
        <v/>
      </c>
      <c r="R44" s="1135" t="str">
        <f t="shared" si="82"/>
        <v/>
      </c>
      <c r="S44" s="1143" t="str">
        <f t="shared" si="83"/>
        <v/>
      </c>
      <c r="T44" s="1138" t="str">
        <f t="shared" si="84"/>
        <v/>
      </c>
      <c r="U44" s="1134" t="str">
        <f t="shared" si="85"/>
        <v/>
      </c>
      <c r="V44" s="1138" t="str">
        <f t="shared" si="86"/>
        <v/>
      </c>
      <c r="W44" s="1142">
        <f t="shared" si="87"/>
        <v>0</v>
      </c>
      <c r="X44" s="1144" t="e">
        <f t="shared" si="88"/>
        <v>#REF!</v>
      </c>
      <c r="Y44" s="1145" t="e">
        <f t="shared" si="89"/>
        <v>#REF!</v>
      </c>
      <c r="Z44" s="1587" t="str">
        <f t="shared" si="90"/>
        <v/>
      </c>
      <c r="AA44" s="1206" t="str">
        <f t="shared" si="91"/>
        <v/>
      </c>
      <c r="AB44" s="1132" t="str">
        <f t="shared" si="64"/>
        <v/>
      </c>
      <c r="AC44" s="1139" t="str">
        <f t="shared" si="53"/>
        <v/>
      </c>
      <c r="AD44" s="1134" t="str">
        <f t="shared" ca="1" si="44"/>
        <v/>
      </c>
      <c r="AE44" s="1138" t="str">
        <f t="shared" ca="1" si="45"/>
        <v/>
      </c>
      <c r="AF44" s="1139" t="str">
        <f t="shared" ca="1" si="46"/>
        <v/>
      </c>
      <c r="AG44" s="1134" t="str">
        <f t="shared" ca="1" si="47"/>
        <v/>
      </c>
      <c r="AH44" s="1138" t="str">
        <f t="shared" ca="1" si="48"/>
        <v/>
      </c>
      <c r="AI44" s="1134" t="str">
        <f t="shared" ca="1" si="49"/>
        <v/>
      </c>
      <c r="AJ44" s="1138" t="str">
        <f t="shared" ca="1" si="50"/>
        <v/>
      </c>
      <c r="AK44" s="1619" t="str">
        <f t="shared" si="54"/>
        <v/>
      </c>
      <c r="AL44" s="1620" t="str">
        <f t="shared" si="55"/>
        <v/>
      </c>
      <c r="AM44" s="1621" t="str">
        <f t="shared" si="56"/>
        <v/>
      </c>
      <c r="AN44" s="1139" t="str">
        <f t="shared" si="57"/>
        <v/>
      </c>
      <c r="AO44" s="1622" t="str">
        <f t="shared" si="58"/>
        <v/>
      </c>
      <c r="AP44" s="1141" t="str">
        <f t="shared" si="4"/>
        <v/>
      </c>
      <c r="AQ44" s="1623" t="str">
        <f t="shared" si="5"/>
        <v/>
      </c>
      <c r="AR44" s="1137" t="str">
        <f t="shared" si="17"/>
        <v/>
      </c>
      <c r="AS44" s="1138" t="str">
        <f t="shared" si="18"/>
        <v/>
      </c>
      <c r="AT44" s="1624" t="str">
        <f t="shared" si="19"/>
        <v/>
      </c>
      <c r="AU44" s="1625" t="str">
        <f t="shared" si="20"/>
        <v/>
      </c>
      <c r="AV44" s="1143" t="str">
        <f t="shared" si="21"/>
        <v/>
      </c>
      <c r="AW44" s="1138" t="str">
        <f t="shared" si="22"/>
        <v/>
      </c>
      <c r="AX44" s="1624" t="str">
        <f t="shared" si="23"/>
        <v/>
      </c>
      <c r="AY44" s="1625" t="str">
        <f t="shared" si="24"/>
        <v/>
      </c>
      <c r="AZ44" s="1143" t="str">
        <f t="shared" si="25"/>
        <v/>
      </c>
      <c r="BA44" s="1138" t="str">
        <f t="shared" si="26"/>
        <v/>
      </c>
      <c r="BB44" s="1624" t="str">
        <f t="shared" si="27"/>
        <v/>
      </c>
      <c r="BC44" s="1625" t="str">
        <f t="shared" si="28"/>
        <v/>
      </c>
      <c r="BD44" s="1143" t="str">
        <f t="shared" si="29"/>
        <v/>
      </c>
      <c r="BE44" s="1138" t="str">
        <f t="shared" si="30"/>
        <v/>
      </c>
      <c r="BF44" s="1624" t="str">
        <f t="shared" si="59"/>
        <v/>
      </c>
      <c r="BG44" s="1625" t="str">
        <f t="shared" si="60"/>
        <v/>
      </c>
      <c r="BH44" s="180"/>
      <c r="BJ44" s="1215" t="str">
        <f t="shared" si="120"/>
        <v/>
      </c>
      <c r="BK44" s="913" t="e">
        <f t="shared" si="121"/>
        <v>#REF!</v>
      </c>
      <c r="BL44" s="908" t="b">
        <v>0</v>
      </c>
      <c r="BM44" s="908">
        <f t="shared" si="109"/>
        <v>0</v>
      </c>
      <c r="BN44" s="908">
        <f t="shared" si="110"/>
        <v>0</v>
      </c>
      <c r="BO44" s="908">
        <f t="shared" si="111"/>
        <v>0</v>
      </c>
      <c r="BP44" s="908">
        <f t="shared" si="92"/>
        <v>0</v>
      </c>
      <c r="BQ44" s="908">
        <f t="shared" si="112"/>
        <v>0</v>
      </c>
      <c r="BR44" s="908" t="b">
        <f t="shared" si="113"/>
        <v>1</v>
      </c>
      <c r="BS44" s="1216">
        <f t="shared" si="114"/>
        <v>6</v>
      </c>
      <c r="BT44" s="909" t="str">
        <f t="shared" si="115"/>
        <v>No</v>
      </c>
      <c r="BU44" s="1216">
        <f t="shared" si="116"/>
        <v>6</v>
      </c>
      <c r="BV44" s="909" t="str">
        <f t="shared" si="117"/>
        <v>No</v>
      </c>
      <c r="BW44" s="910">
        <f t="shared" ca="1" si="33"/>
        <v>0</v>
      </c>
      <c r="BX44" s="911" t="str">
        <f t="shared" ca="1" si="40"/>
        <v/>
      </c>
      <c r="BY44" s="911" t="b">
        <f t="shared" ca="1" si="34"/>
        <v>0</v>
      </c>
      <c r="BZ44" s="1217" t="e">
        <f t="shared" si="41"/>
        <v>#REF!</v>
      </c>
      <c r="CB44" s="616"/>
      <c r="CC44" s="1567"/>
      <c r="CD44" s="645"/>
      <c r="CE44" s="646"/>
      <c r="CF44" s="1242"/>
      <c r="CG44" s="660"/>
      <c r="CH44" s="661"/>
      <c r="CI44" s="662"/>
      <c r="CJ44" s="661"/>
      <c r="CK44" s="662"/>
      <c r="CL44" s="663"/>
      <c r="CM44" s="692"/>
      <c r="CN44" s="687"/>
      <c r="CO44" s="1430"/>
      <c r="CP44" s="839"/>
      <c r="CQ44" s="660"/>
      <c r="CR44" s="661"/>
      <c r="CS44" s="662"/>
      <c r="CT44" s="661"/>
      <c r="CU44" s="662"/>
      <c r="CV44" s="663"/>
      <c r="CW44" s="692"/>
      <c r="CX44" s="687"/>
      <c r="CY44" s="1430"/>
      <c r="CZ44" s="839"/>
      <c r="DA44" s="665"/>
      <c r="DB44" s="648"/>
      <c r="DC44" s="649"/>
      <c r="DD44" s="1478"/>
      <c r="DE44" s="1479"/>
      <c r="DF44" s="58"/>
      <c r="DG44" s="58"/>
      <c r="DH44" s="694"/>
      <c r="DI44" s="617"/>
      <c r="DJ44" s="638"/>
      <c r="DK44" s="1245"/>
      <c r="DL44" s="618"/>
      <c r="DM44" s="639"/>
      <c r="DN44" s="1248"/>
      <c r="DO44" s="619"/>
      <c r="DP44" s="620"/>
      <c r="DQ44" s="1294"/>
      <c r="DR44" s="621"/>
      <c r="DS44" s="1491"/>
      <c r="DT44" s="1486"/>
      <c r="DU44" s="1487"/>
      <c r="DV44" s="622"/>
      <c r="DW44" s="1250"/>
      <c r="DX44" s="623"/>
      <c r="DY44" s="624"/>
      <c r="DZ44" s="622"/>
      <c r="EA44" s="1250"/>
      <c r="EB44" s="623"/>
      <c r="EC44" s="624"/>
      <c r="ED44" s="622"/>
      <c r="EE44" s="1250"/>
      <c r="EF44" s="623"/>
      <c r="EG44" s="624"/>
      <c r="EH44" s="622"/>
      <c r="EI44" s="1250"/>
      <c r="EJ44" s="623"/>
      <c r="EK44" s="625"/>
      <c r="EL44" s="58"/>
      <c r="EM44" s="1513" t="str">
        <f t="shared" si="118"/>
        <v/>
      </c>
      <c r="EN44" s="1514" t="str">
        <f t="shared" si="93"/>
        <v/>
      </c>
      <c r="EO44" s="591" t="str">
        <f t="shared" si="94"/>
        <v/>
      </c>
      <c r="EP44" s="592" t="str">
        <f t="shared" si="95"/>
        <v/>
      </c>
      <c r="EQ44" s="754" t="str">
        <f t="shared" si="96"/>
        <v/>
      </c>
      <c r="ER44" s="1465" t="str">
        <f t="shared" si="97"/>
        <v/>
      </c>
      <c r="ES44" s="1466" t="str">
        <f t="shared" si="98"/>
        <v/>
      </c>
      <c r="ET44" s="1467" t="str">
        <f t="shared" si="99"/>
        <v/>
      </c>
      <c r="EU44" s="1468" t="str">
        <f t="shared" si="100"/>
        <v/>
      </c>
      <c r="EX44" s="870" t="str">
        <f t="shared" ca="1" si="35"/>
        <v/>
      </c>
      <c r="EY44" s="872" t="str">
        <f t="shared" si="6"/>
        <v/>
      </c>
      <c r="EZ44" s="872" t="str">
        <f t="shared" si="36"/>
        <v/>
      </c>
      <c r="FA44" s="891" t="str">
        <f t="shared" ca="1" si="42"/>
        <v/>
      </c>
      <c r="FB44" s="892" t="str">
        <f t="shared" ca="1" si="37"/>
        <v/>
      </c>
      <c r="FC44" s="892">
        <f t="shared" ca="1" si="7"/>
        <v>0</v>
      </c>
      <c r="FD44" s="892">
        <f t="shared" ca="1" si="8"/>
        <v>0</v>
      </c>
      <c r="FE44" s="892">
        <f t="shared" ca="1" si="9"/>
        <v>0</v>
      </c>
      <c r="FF44" s="892">
        <f t="shared" ca="1" si="38"/>
        <v>0</v>
      </c>
      <c r="FN44" s="913" t="b">
        <v>0</v>
      </c>
      <c r="FO44" s="703" t="b">
        <f t="shared" si="119"/>
        <v>1</v>
      </c>
      <c r="FP44" s="703" t="b">
        <v>0</v>
      </c>
      <c r="FQ44" s="703" t="b">
        <f t="shared" si="39"/>
        <v>1</v>
      </c>
      <c r="FX44" s="162"/>
      <c r="GA44" s="524" t="str">
        <f t="shared" si="101"/>
        <v/>
      </c>
      <c r="GB44" s="566" t="str">
        <f t="shared" si="102"/>
        <v/>
      </c>
      <c r="GC44" s="568" t="str">
        <f t="shared" si="103"/>
        <v/>
      </c>
      <c r="GD44" s="569" t="str">
        <f t="shared" si="104"/>
        <v/>
      </c>
      <c r="GE44" s="567" t="str">
        <f t="shared" si="105"/>
        <v/>
      </c>
      <c r="GF44" s="525" t="str">
        <f t="shared" si="106"/>
        <v/>
      </c>
      <c r="GG44" s="1056"/>
      <c r="GH44" s="1058"/>
      <c r="GI44" s="1056"/>
      <c r="GJ44" s="1058"/>
      <c r="GK44" s="1523">
        <f t="shared" si="107"/>
        <v>0</v>
      </c>
      <c r="GL44" s="1523" t="e">
        <f t="shared" si="108"/>
        <v>#VALUE!</v>
      </c>
      <c r="GM44" s="1524" t="e">
        <f>IF(ABS(GK44-GL44)&gt;=#REF!,ABS(GK44-GL44),0)</f>
        <v>#VALUE!</v>
      </c>
      <c r="GN44" s="56"/>
      <c r="GO44" s="57"/>
      <c r="HA44" s="1159"/>
      <c r="HB44" s="1160"/>
      <c r="HC44" s="1160"/>
      <c r="HD44" s="1161"/>
      <c r="HE44" s="1162"/>
      <c r="HF44" s="1160"/>
      <c r="HG44" s="1160"/>
      <c r="HH44" s="1160"/>
      <c r="HI44" s="1160"/>
      <c r="HJ44" s="1160"/>
      <c r="HK44" s="1160"/>
      <c r="HL44" s="1160"/>
      <c r="HM44" s="1160"/>
      <c r="HN44" s="1160"/>
      <c r="HO44" s="1160"/>
      <c r="HP44" s="1160"/>
      <c r="HQ44" s="1160"/>
      <c r="HR44" s="1160"/>
      <c r="HS44" s="1160"/>
      <c r="HT44" s="1160"/>
      <c r="HU44" s="1160"/>
      <c r="HV44" s="1160"/>
      <c r="HW44" s="1160"/>
      <c r="HX44" s="1160"/>
      <c r="HY44" s="1164"/>
      <c r="HZ44" s="1164"/>
      <c r="IA44" s="1164"/>
      <c r="IB44" s="1164"/>
      <c r="IC44" s="1164"/>
      <c r="ID44" s="1165"/>
      <c r="IE44" s="1159"/>
      <c r="IF44" s="1160"/>
      <c r="IG44" s="1161"/>
      <c r="IH44" s="1162"/>
      <c r="II44" s="1160"/>
      <c r="IJ44" s="1161"/>
      <c r="IK44" s="1162"/>
      <c r="IL44" s="1160"/>
      <c r="IM44" s="1160"/>
      <c r="IN44" s="1160"/>
      <c r="IO44" s="1160"/>
      <c r="IP44" s="1160"/>
      <c r="IQ44" s="1160"/>
      <c r="IR44" s="1160"/>
      <c r="IS44" s="1161"/>
      <c r="IT44" s="1162"/>
      <c r="IU44" s="1160"/>
      <c r="IV44" s="1160"/>
      <c r="IW44" s="1161"/>
      <c r="IX44" s="1162"/>
      <c r="IY44" s="1160"/>
      <c r="IZ44" s="1160"/>
      <c r="JA44" s="1161"/>
      <c r="JB44" s="1162"/>
      <c r="JC44" s="1160"/>
      <c r="JD44" s="1160"/>
      <c r="JE44" s="1161"/>
      <c r="JF44" s="1162"/>
      <c r="JG44" s="1160"/>
      <c r="JH44" s="1160"/>
      <c r="JI44" s="1160"/>
      <c r="JJ44" s="1163"/>
      <c r="JK44" s="1160"/>
      <c r="JL44" s="1103">
        <f t="shared" ca="1" si="43"/>
        <v>0</v>
      </c>
      <c r="JM44" s="56"/>
    </row>
    <row r="45" spans="1:273" ht="12.6" customHeight="1" thickBot="1" x14ac:dyDescent="0.35">
      <c r="A45" s="1588" t="str">
        <f t="shared" si="65"/>
        <v/>
      </c>
      <c r="B45" s="1589" t="str">
        <f t="shared" si="66"/>
        <v/>
      </c>
      <c r="C45" s="1590" t="str">
        <f t="shared" si="67"/>
        <v/>
      </c>
      <c r="D45" s="1591" t="str">
        <f>IF(CV85="","",TRUNC(CV85/12))</f>
        <v/>
      </c>
      <c r="E45" s="1592" t="str">
        <f>IF(CV85="","",CV85-(D45*12))</f>
        <v/>
      </c>
      <c r="F45" s="1593" t="str">
        <f t="shared" si="70"/>
        <v/>
      </c>
      <c r="G45" s="1594" t="str">
        <f>IF(DD85=0,"",TRUNC(DD85/12))</f>
        <v/>
      </c>
      <c r="H45" s="1595" t="str">
        <f>IF(DD85=0,"",DD85-(G45*12))</f>
        <v/>
      </c>
      <c r="I45" s="1596" t="str">
        <f>IF(DD85=0,"",CE85)</f>
        <v/>
      </c>
      <c r="J45" s="1591" t="str">
        <f>IF(DJ85=0,"",TRUNC(DJ85/12))</f>
        <v/>
      </c>
      <c r="K45" s="1595" t="str">
        <f>IF(DJ85=0,"",DJ85-(J45*12))</f>
        <v/>
      </c>
      <c r="L45" s="1597" t="str">
        <f>IF(DJ85=0,"",CN85)</f>
        <v/>
      </c>
      <c r="M45" s="1598" t="str">
        <f t="shared" si="77"/>
        <v/>
      </c>
      <c r="N45" s="1599" t="str">
        <f t="shared" si="78"/>
        <v/>
      </c>
      <c r="O45" s="1594" t="str">
        <f>IF(DZ85="","",IF(AND(DZ85&gt;-12,DZ85&lt;0),-0.000001,TRUNC(DZ85/12)))</f>
        <v/>
      </c>
      <c r="P45" s="1595" t="str">
        <f>IF(DZ85="","",IF(AND(DZ85&lt;0,DZ85-(O45*12)=0),-0.00001,DZ85-(O45*12)))</f>
        <v/>
      </c>
      <c r="Q45" s="1591" t="str">
        <f>IF(EA85="","",IF(AND(EA85&gt;-12,EA85&lt;0),-0.000001,TRUNC(EA85/12)))</f>
        <v/>
      </c>
      <c r="R45" s="1592" t="str">
        <f>IF(EA85="","",IF(AND(EA85&lt;0,EA85-(Q45*12)=0),-0.00001,EA85-(Q45*12)))</f>
        <v/>
      </c>
      <c r="S45" s="1600" t="str">
        <f>IF(DR85="","",IF(DR85="ERR",TRUNC(DQ85/12),TRUNC(DR85/12)))</f>
        <v/>
      </c>
      <c r="T45" s="1595" t="str">
        <f>IF(DR85="","",IF(DR85="ERR",DQ85-(S45*12),DR85-(S45*12)))</f>
        <v/>
      </c>
      <c r="U45" s="1591" t="str">
        <f>IF(DY85="","",IF(DY85="ERR",TRUNC(DX85/12),TRUNC(DY85/12)))</f>
        <v/>
      </c>
      <c r="V45" s="1595" t="str">
        <f>IF(DY85="","",IF(DY85="ERR",DX85-(U45*12),DY85-(U45*12)))</f>
        <v/>
      </c>
      <c r="W45" s="1599">
        <f>IF(EC85="",0,EC85)</f>
        <v>0</v>
      </c>
      <c r="X45" s="1601" t="e">
        <f>IF(EN85="","",EN85)</f>
        <v>#REF!</v>
      </c>
      <c r="Y45" s="1602" t="e">
        <f>IF(ES85="","",ES85)</f>
        <v>#REF!</v>
      </c>
      <c r="Z45" s="1603" t="str">
        <f t="shared" si="90"/>
        <v/>
      </c>
      <c r="AA45" s="1604" t="str">
        <f t="shared" si="91"/>
        <v/>
      </c>
      <c r="AB45" s="1588" t="str">
        <f t="shared" si="64"/>
        <v/>
      </c>
      <c r="AC45" s="1596" t="str">
        <f t="shared" si="53"/>
        <v/>
      </c>
      <c r="AD45" s="1591" t="str">
        <f t="shared" ca="1" si="44"/>
        <v/>
      </c>
      <c r="AE45" s="1595" t="str">
        <f t="shared" ca="1" si="45"/>
        <v/>
      </c>
      <c r="AF45" s="1596" t="str">
        <f t="shared" ca="1" si="46"/>
        <v/>
      </c>
      <c r="AG45" s="1591" t="str">
        <f t="shared" ca="1" si="47"/>
        <v/>
      </c>
      <c r="AH45" s="1595" t="str">
        <f t="shared" ca="1" si="48"/>
        <v/>
      </c>
      <c r="AI45" s="1591" t="str">
        <f t="shared" ca="1" si="49"/>
        <v/>
      </c>
      <c r="AJ45" s="1595" t="str">
        <f t="shared" ca="1" si="50"/>
        <v/>
      </c>
      <c r="AK45" s="1626" t="str">
        <f t="shared" si="54"/>
        <v/>
      </c>
      <c r="AL45" s="1627" t="str">
        <f t="shared" si="55"/>
        <v/>
      </c>
      <c r="AM45" s="1628" t="str">
        <f t="shared" si="56"/>
        <v/>
      </c>
      <c r="AN45" s="1596" t="str">
        <f t="shared" si="57"/>
        <v/>
      </c>
      <c r="AO45" s="1629" t="str">
        <f t="shared" si="58"/>
        <v/>
      </c>
      <c r="AP45" s="1598" t="str">
        <f t="shared" si="4"/>
        <v/>
      </c>
      <c r="AQ45" s="1630" t="str">
        <f t="shared" si="5"/>
        <v/>
      </c>
      <c r="AR45" s="1594" t="str">
        <f t="shared" si="17"/>
        <v/>
      </c>
      <c r="AS45" s="1595" t="str">
        <f t="shared" si="18"/>
        <v/>
      </c>
      <c r="AT45" s="1631" t="str">
        <f t="shared" si="19"/>
        <v/>
      </c>
      <c r="AU45" s="1632" t="str">
        <f t="shared" si="20"/>
        <v/>
      </c>
      <c r="AV45" s="1600" t="str">
        <f t="shared" si="21"/>
        <v/>
      </c>
      <c r="AW45" s="1595" t="str">
        <f t="shared" si="22"/>
        <v/>
      </c>
      <c r="AX45" s="1631" t="str">
        <f t="shared" si="23"/>
        <v/>
      </c>
      <c r="AY45" s="1632" t="str">
        <f t="shared" si="24"/>
        <v/>
      </c>
      <c r="AZ45" s="1600" t="str">
        <f t="shared" si="25"/>
        <v/>
      </c>
      <c r="BA45" s="1595" t="str">
        <f t="shared" si="26"/>
        <v/>
      </c>
      <c r="BB45" s="1631" t="str">
        <f t="shared" si="27"/>
        <v/>
      </c>
      <c r="BC45" s="1632" t="str">
        <f t="shared" si="28"/>
        <v/>
      </c>
      <c r="BD45" s="1600" t="str">
        <f t="shared" si="29"/>
        <v/>
      </c>
      <c r="BE45" s="1595" t="str">
        <f t="shared" si="30"/>
        <v/>
      </c>
      <c r="BF45" s="1631" t="str">
        <f t="shared" si="59"/>
        <v/>
      </c>
      <c r="BG45" s="1632" t="str">
        <f t="shared" si="60"/>
        <v/>
      </c>
      <c r="BH45" s="180"/>
      <c r="BJ45" s="1215" t="str">
        <f t="shared" si="120"/>
        <v/>
      </c>
      <c r="BK45" s="913" t="e">
        <f t="shared" si="121"/>
        <v>#REF!</v>
      </c>
      <c r="BL45" s="908" t="b">
        <v>0</v>
      </c>
      <c r="BM45" s="908">
        <f t="shared" si="109"/>
        <v>0</v>
      </c>
      <c r="BN45" s="908">
        <f t="shared" si="110"/>
        <v>0</v>
      </c>
      <c r="BO45" s="908">
        <f t="shared" si="111"/>
        <v>0</v>
      </c>
      <c r="BP45" s="908">
        <f t="shared" si="92"/>
        <v>0</v>
      </c>
      <c r="BQ45" s="908">
        <f t="shared" si="112"/>
        <v>0</v>
      </c>
      <c r="BR45" s="908" t="b">
        <f t="shared" si="113"/>
        <v>1</v>
      </c>
      <c r="BS45" s="1216">
        <f t="shared" si="114"/>
        <v>6</v>
      </c>
      <c r="BT45" s="909" t="str">
        <f t="shared" si="115"/>
        <v>No</v>
      </c>
      <c r="BU45" s="1216">
        <f t="shared" si="116"/>
        <v>6</v>
      </c>
      <c r="BV45" s="909" t="str">
        <f t="shared" si="117"/>
        <v>No</v>
      </c>
      <c r="BW45" s="910">
        <f t="shared" ca="1" si="33"/>
        <v>0</v>
      </c>
      <c r="BX45" s="911" t="str">
        <f t="shared" ca="1" si="40"/>
        <v/>
      </c>
      <c r="BY45" s="911" t="b">
        <f t="shared" ca="1" si="34"/>
        <v>0</v>
      </c>
      <c r="BZ45" s="1217" t="e">
        <f t="shared" si="41"/>
        <v>#REF!</v>
      </c>
      <c r="CB45" s="626"/>
      <c r="CC45" s="1568"/>
      <c r="CD45" s="650"/>
      <c r="CE45" s="651"/>
      <c r="CF45" s="1243"/>
      <c r="CG45" s="666"/>
      <c r="CH45" s="667"/>
      <c r="CI45" s="668"/>
      <c r="CJ45" s="667"/>
      <c r="CK45" s="668"/>
      <c r="CL45" s="669"/>
      <c r="CM45" s="693"/>
      <c r="CN45" s="690"/>
      <c r="CO45" s="1431"/>
      <c r="CP45" s="840"/>
      <c r="CQ45" s="666"/>
      <c r="CR45" s="667"/>
      <c r="CS45" s="668"/>
      <c r="CT45" s="667"/>
      <c r="CU45" s="668"/>
      <c r="CV45" s="669"/>
      <c r="CW45" s="693"/>
      <c r="CX45" s="690"/>
      <c r="CY45" s="1431"/>
      <c r="CZ45" s="840"/>
      <c r="DA45" s="671"/>
      <c r="DB45" s="653"/>
      <c r="DC45" s="654"/>
      <c r="DD45" s="1480"/>
      <c r="DE45" s="1481"/>
      <c r="DF45" s="58"/>
      <c r="DG45" s="58"/>
      <c r="DH45" s="626"/>
      <c r="DI45" s="627"/>
      <c r="DJ45" s="640"/>
      <c r="DK45" s="1246"/>
      <c r="DL45" s="628"/>
      <c r="DM45" s="641"/>
      <c r="DN45" s="1249"/>
      <c r="DO45" s="629"/>
      <c r="DP45" s="630"/>
      <c r="DQ45" s="1295"/>
      <c r="DR45" s="631"/>
      <c r="DS45" s="1492"/>
      <c r="DT45" s="1488"/>
      <c r="DU45" s="1489"/>
      <c r="DV45" s="632"/>
      <c r="DW45" s="1251"/>
      <c r="DX45" s="633"/>
      <c r="DY45" s="634"/>
      <c r="DZ45" s="632"/>
      <c r="EA45" s="1251"/>
      <c r="EB45" s="633"/>
      <c r="EC45" s="634"/>
      <c r="ED45" s="632"/>
      <c r="EE45" s="1251"/>
      <c r="EF45" s="633"/>
      <c r="EG45" s="634"/>
      <c r="EH45" s="632"/>
      <c r="EI45" s="1251"/>
      <c r="EJ45" s="633"/>
      <c r="EK45" s="635"/>
      <c r="EL45" s="58"/>
      <c r="EM45" s="1515" t="str">
        <f t="shared" si="118"/>
        <v/>
      </c>
      <c r="EN45" s="1516" t="str">
        <f t="shared" si="93"/>
        <v/>
      </c>
      <c r="EO45" s="593" t="str">
        <f t="shared" si="94"/>
        <v/>
      </c>
      <c r="EP45" s="594" t="str">
        <f t="shared" si="95"/>
        <v/>
      </c>
      <c r="EQ45" s="755" t="str">
        <f t="shared" si="96"/>
        <v/>
      </c>
      <c r="ER45" s="1471" t="str">
        <f t="shared" si="97"/>
        <v/>
      </c>
      <c r="ES45" s="1472" t="str">
        <f t="shared" si="98"/>
        <v/>
      </c>
      <c r="ET45" s="1473" t="str">
        <f t="shared" si="99"/>
        <v/>
      </c>
      <c r="EU45" s="1474" t="str">
        <f t="shared" si="100"/>
        <v/>
      </c>
      <c r="EX45" s="870" t="str">
        <f t="shared" ca="1" si="35"/>
        <v/>
      </c>
      <c r="EY45" s="872" t="str">
        <f t="shared" si="6"/>
        <v/>
      </c>
      <c r="EZ45" s="872" t="str">
        <f t="shared" si="36"/>
        <v/>
      </c>
      <c r="FA45" s="891" t="str">
        <f t="shared" ca="1" si="42"/>
        <v/>
      </c>
      <c r="FB45" s="892" t="str">
        <f t="shared" ca="1" si="37"/>
        <v/>
      </c>
      <c r="FC45" s="892">
        <f t="shared" ca="1" si="7"/>
        <v>0</v>
      </c>
      <c r="FD45" s="892">
        <f t="shared" ca="1" si="8"/>
        <v>0</v>
      </c>
      <c r="FE45" s="892">
        <f t="shared" ca="1" si="9"/>
        <v>0</v>
      </c>
      <c r="FF45" s="892">
        <f t="shared" ca="1" si="38"/>
        <v>0</v>
      </c>
      <c r="FN45" s="913" t="b">
        <v>0</v>
      </c>
      <c r="FO45" s="703" t="b">
        <f t="shared" si="119"/>
        <v>1</v>
      </c>
      <c r="FP45" s="703" t="b">
        <v>0</v>
      </c>
      <c r="FQ45" s="703" t="b">
        <f t="shared" si="39"/>
        <v>1</v>
      </c>
      <c r="FX45" s="162"/>
      <c r="FZ45" s="26"/>
      <c r="GA45" s="524" t="str">
        <f t="shared" si="101"/>
        <v/>
      </c>
      <c r="GB45" s="566" t="str">
        <f t="shared" si="102"/>
        <v/>
      </c>
      <c r="GC45" s="568" t="str">
        <f t="shared" si="103"/>
        <v/>
      </c>
      <c r="GD45" s="569" t="str">
        <f t="shared" si="104"/>
        <v/>
      </c>
      <c r="GE45" s="567" t="str">
        <f t="shared" si="105"/>
        <v/>
      </c>
      <c r="GF45" s="525" t="str">
        <f t="shared" si="106"/>
        <v/>
      </c>
      <c r="GG45" s="1059"/>
      <c r="GH45" s="1060"/>
      <c r="GI45" s="1059"/>
      <c r="GJ45" s="1060"/>
      <c r="GK45" s="1523">
        <f t="shared" si="107"/>
        <v>0</v>
      </c>
      <c r="GL45" s="1523" t="e">
        <f t="shared" si="108"/>
        <v>#VALUE!</v>
      </c>
      <c r="GM45" s="1524" t="e">
        <f>IF(ABS(GK45-GL45)&gt;=#REF!,ABS(GK45-GL45),0)</f>
        <v>#VALUE!</v>
      </c>
      <c r="GN45" s="56"/>
      <c r="GO45" s="56"/>
      <c r="GZ45" s="64"/>
      <c r="HA45" s="1167"/>
      <c r="HB45" s="1168"/>
      <c r="HC45" s="1168"/>
      <c r="HD45" s="1169"/>
      <c r="HE45" s="1170"/>
      <c r="HF45" s="1168"/>
      <c r="HG45" s="1168"/>
      <c r="HH45" s="1168"/>
      <c r="HI45" s="1168"/>
      <c r="HJ45" s="1168"/>
      <c r="HK45" s="1168"/>
      <c r="HL45" s="1168"/>
      <c r="HM45" s="1168"/>
      <c r="HN45" s="1168"/>
      <c r="HO45" s="1168"/>
      <c r="HP45" s="1168"/>
      <c r="HQ45" s="1168"/>
      <c r="HR45" s="1168"/>
      <c r="HS45" s="1168"/>
      <c r="HT45" s="1168"/>
      <c r="HU45" s="1168"/>
      <c r="HV45" s="1168"/>
      <c r="HW45" s="1168"/>
      <c r="HX45" s="1168"/>
      <c r="HY45" s="1171"/>
      <c r="HZ45" s="1171"/>
      <c r="IA45" s="1171"/>
      <c r="IB45" s="1171"/>
      <c r="IC45" s="1171"/>
      <c r="ID45" s="1172"/>
      <c r="IE45" s="1167"/>
      <c r="IF45" s="1168"/>
      <c r="IG45" s="1169"/>
      <c r="IH45" s="1170"/>
      <c r="II45" s="1168"/>
      <c r="IJ45" s="1169"/>
      <c r="IK45" s="1170"/>
      <c r="IL45" s="1168"/>
      <c r="IM45" s="1168"/>
      <c r="IN45" s="1168"/>
      <c r="IO45" s="1168"/>
      <c r="IP45" s="1168"/>
      <c r="IQ45" s="1168"/>
      <c r="IR45" s="1168"/>
      <c r="IS45" s="1169"/>
      <c r="IT45" s="1170"/>
      <c r="IU45" s="1168"/>
      <c r="IV45" s="1168"/>
      <c r="IW45" s="1169"/>
      <c r="IX45" s="1170"/>
      <c r="IY45" s="1168"/>
      <c r="IZ45" s="1168"/>
      <c r="JA45" s="1169"/>
      <c r="JB45" s="1170"/>
      <c r="JC45" s="1168"/>
      <c r="JD45" s="1168"/>
      <c r="JE45" s="1169"/>
      <c r="JF45" s="1170"/>
      <c r="JG45" s="1168"/>
      <c r="JH45" s="1168"/>
      <c r="JI45" s="1168"/>
      <c r="JJ45" s="1173"/>
      <c r="JK45" s="1168"/>
      <c r="JL45" s="1104">
        <f t="shared" ca="1" si="43"/>
        <v>0</v>
      </c>
      <c r="JM45" s="56"/>
    </row>
    <row r="46" spans="1:273" ht="20.100000000000001" customHeight="1" thickTop="1" x14ac:dyDescent="0.2">
      <c r="A46" s="1065"/>
      <c r="B46" s="1065"/>
      <c r="C46" s="1065"/>
      <c r="D46" s="1065"/>
      <c r="E46" s="1065"/>
      <c r="F46" s="1065"/>
      <c r="G46" s="1065"/>
      <c r="H46" s="1065"/>
      <c r="I46" s="1065"/>
      <c r="J46" s="1065"/>
      <c r="K46" s="1065"/>
      <c r="L46" s="1065"/>
      <c r="M46" s="1065"/>
      <c r="N46" s="1065"/>
      <c r="O46" s="1065"/>
      <c r="P46" s="1065"/>
      <c r="Q46" s="1065"/>
      <c r="R46" s="1065"/>
      <c r="S46" s="1065"/>
      <c r="T46" s="1065"/>
      <c r="U46" s="1065"/>
      <c r="V46" s="1065"/>
      <c r="W46" s="1065"/>
      <c r="X46" s="1065"/>
      <c r="Y46" s="1065"/>
      <c r="Z46" s="1062"/>
      <c r="AA46" s="1065"/>
      <c r="AB46" s="1065"/>
      <c r="AC46" s="1065"/>
      <c r="AD46" s="1065"/>
      <c r="AE46" s="1065"/>
      <c r="AF46" s="1065"/>
      <c r="AG46" s="1065"/>
      <c r="AH46" s="1065"/>
      <c r="AI46" s="1065"/>
      <c r="AJ46" s="1065"/>
      <c r="AK46" s="1065"/>
      <c r="AL46" s="1065"/>
      <c r="AM46" s="1065"/>
      <c r="AN46" s="1065"/>
      <c r="AO46" s="1065"/>
      <c r="AP46" s="1065"/>
      <c r="AQ46" s="1065"/>
      <c r="AR46" s="1065"/>
      <c r="AS46" s="1065"/>
      <c r="AT46" s="1065"/>
      <c r="AU46" s="1065"/>
      <c r="AV46" s="1065"/>
      <c r="AW46" s="1065"/>
      <c r="AX46" s="1065"/>
      <c r="AY46" s="1065"/>
      <c r="AZ46" s="1065"/>
      <c r="BA46" s="1065"/>
      <c r="BB46" s="1065"/>
      <c r="BC46" s="1065"/>
      <c r="BD46" s="1065"/>
      <c r="BE46" s="1065"/>
      <c r="BF46" s="1065"/>
      <c r="BG46" s="1065"/>
      <c r="BH46" s="178"/>
      <c r="CA46" s="40"/>
      <c r="CB46" s="27"/>
      <c r="CC46" s="27"/>
      <c r="CD46" s="27"/>
      <c r="CE46" s="27"/>
      <c r="CF46" s="27"/>
      <c r="CG46" s="27"/>
      <c r="CH46" s="27"/>
      <c r="CI46" s="27"/>
      <c r="CJ46" s="27"/>
      <c r="CK46" s="27"/>
      <c r="CL46" s="27"/>
      <c r="CM46" s="27"/>
      <c r="CN46" s="27"/>
      <c r="CO46" s="27"/>
      <c r="CP46" s="27"/>
      <c r="CQ46" s="27"/>
      <c r="CR46" s="27"/>
      <c r="CS46" s="27"/>
      <c r="CT46" s="27"/>
      <c r="CU46" s="27"/>
      <c r="CV46" s="27"/>
      <c r="CW46" s="27"/>
      <c r="CX46" s="27"/>
      <c r="CY46" s="27"/>
      <c r="CZ46" s="27"/>
      <c r="DA46" s="27"/>
      <c r="DB46" s="24"/>
      <c r="DC46" s="24"/>
      <c r="DD46" s="24"/>
      <c r="DE46" s="24"/>
      <c r="DF46" s="24"/>
      <c r="DG46" s="24"/>
      <c r="DH46" s="55"/>
      <c r="DI46" s="55"/>
      <c r="DJ46" s="55"/>
      <c r="DK46" s="55"/>
      <c r="DL46" s="55"/>
      <c r="DM46" s="55"/>
      <c r="DN46" s="55"/>
      <c r="DO46" s="55"/>
      <c r="DP46" s="55"/>
      <c r="DQ46" s="55"/>
      <c r="DR46" s="55"/>
      <c r="DS46" s="55"/>
      <c r="DT46" s="55"/>
      <c r="DU46" s="55"/>
      <c r="DV46" s="55"/>
      <c r="DW46" s="55"/>
      <c r="DX46" s="55"/>
      <c r="DY46" s="55"/>
      <c r="DZ46" s="55"/>
      <c r="EA46" s="55"/>
      <c r="EB46" s="55"/>
      <c r="EC46" s="55"/>
      <c r="ED46" s="55"/>
      <c r="EE46" s="55"/>
      <c r="EF46" s="55"/>
      <c r="EG46" s="55"/>
      <c r="EH46" s="55"/>
      <c r="EI46" s="55"/>
      <c r="EJ46" s="55"/>
      <c r="EK46" s="55"/>
      <c r="EL46" s="24"/>
      <c r="EM46" s="23"/>
      <c r="EN46" s="29"/>
      <c r="EO46" s="209"/>
      <c r="EP46" s="210"/>
      <c r="EQ46" s="210"/>
      <c r="ER46" s="210"/>
      <c r="ES46" s="211"/>
      <c r="ET46" s="212"/>
      <c r="EU46" s="212"/>
      <c r="EV46" s="212"/>
      <c r="EW46" s="212"/>
      <c r="EX46" s="212"/>
      <c r="EY46" s="212"/>
      <c r="EZ46" s="212"/>
      <c r="FA46" s="212"/>
      <c r="FB46" s="212"/>
      <c r="FC46" s="212"/>
      <c r="FD46" s="209"/>
      <c r="FE46" s="209"/>
      <c r="FF46" s="209"/>
      <c r="FG46" s="209"/>
      <c r="FH46" s="209"/>
      <c r="FI46" s="209"/>
      <c r="FJ46" s="209"/>
      <c r="FK46" s="209"/>
      <c r="FL46" s="209"/>
      <c r="FM46" s="209"/>
      <c r="FN46" s="24"/>
      <c r="FO46" s="24"/>
      <c r="FP46" s="24"/>
      <c r="FQ46" s="24"/>
      <c r="FR46" s="24"/>
      <c r="FS46" s="24"/>
      <c r="FT46" s="24"/>
      <c r="FU46" s="24"/>
      <c r="FV46" s="24"/>
      <c r="FW46" s="24"/>
      <c r="FX46" s="24"/>
      <c r="FY46" s="24"/>
      <c r="FZ46" s="26"/>
      <c r="GA46" s="49"/>
      <c r="GB46" s="1061"/>
      <c r="GC46" s="1061"/>
      <c r="GD46" s="1061"/>
      <c r="GE46" s="1061"/>
      <c r="GF46" s="1061"/>
      <c r="GG46" s="1061"/>
      <c r="GH46" s="1061"/>
      <c r="GI46" s="56"/>
      <c r="GJ46" s="56"/>
      <c r="GK46" s="56"/>
      <c r="GL46" s="56"/>
      <c r="GM46" s="56"/>
      <c r="GN46" s="56"/>
      <c r="GO46" s="56"/>
      <c r="GZ46" s="56"/>
      <c r="HA46" s="56"/>
      <c r="HB46" s="56"/>
      <c r="HC46" s="56"/>
      <c r="HD46" s="56"/>
      <c r="HE46" s="56"/>
      <c r="HF46" s="56"/>
      <c r="HG46" s="56"/>
      <c r="HH46" s="56"/>
      <c r="HI46" s="46"/>
      <c r="HM46" s="47"/>
      <c r="HN46" s="48"/>
      <c r="ID46" s="57"/>
      <c r="IE46" s="57"/>
      <c r="IF46" s="57"/>
      <c r="IG46" s="57"/>
      <c r="IH46" s="57"/>
      <c r="II46" s="57"/>
      <c r="IJ46" s="57"/>
      <c r="IK46" s="57"/>
      <c r="IL46" s="57"/>
    </row>
    <row r="47" spans="1:273" ht="12.75" customHeight="1" x14ac:dyDescent="0.2">
      <c r="B47" s="476" t="s">
        <v>373</v>
      </c>
      <c r="AL47" s="177"/>
      <c r="AM47" s="177"/>
      <c r="AN47" s="177"/>
      <c r="AO47" s="177"/>
      <c r="AP47" s="177"/>
      <c r="AQ47" s="177"/>
      <c r="CA47" s="40"/>
      <c r="CB47" s="27"/>
      <c r="CC47" s="27"/>
      <c r="CD47" s="27"/>
      <c r="CE47" s="27"/>
      <c r="CF47" s="27"/>
      <c r="CG47" s="27"/>
      <c r="CH47" s="27"/>
      <c r="CI47" s="27"/>
      <c r="CJ47" s="27"/>
      <c r="CK47" s="27"/>
      <c r="CL47" s="27"/>
      <c r="CM47" s="27"/>
      <c r="CN47" s="27"/>
      <c r="CO47" s="27"/>
      <c r="CP47" s="27"/>
      <c r="CQ47" s="27"/>
      <c r="CR47" s="27"/>
      <c r="CS47" s="27"/>
      <c r="CT47" s="27"/>
      <c r="CU47" s="27"/>
      <c r="CV47" s="27"/>
      <c r="CW47" s="27"/>
      <c r="CX47" s="27"/>
      <c r="CY47" s="27"/>
      <c r="CZ47" s="27"/>
      <c r="DC47" s="288"/>
      <c r="DD47" s="288"/>
      <c r="DE47" s="288"/>
      <c r="DF47" s="288"/>
      <c r="DG47" s="214"/>
      <c r="DH47" s="214"/>
      <c r="EL47" s="24"/>
      <c r="EM47" s="24"/>
      <c r="EN47" s="26"/>
      <c r="EO47" s="24"/>
      <c r="EP47" s="25"/>
      <c r="EQ47" s="25"/>
      <c r="ER47" s="25"/>
      <c r="ES47" s="28"/>
      <c r="ET47" s="24"/>
      <c r="EU47" s="24"/>
      <c r="EV47" s="24"/>
      <c r="EW47" s="24"/>
      <c r="EX47" s="24"/>
      <c r="EY47" s="24"/>
      <c r="EZ47" s="24"/>
      <c r="FA47" s="24"/>
      <c r="FB47" s="24"/>
      <c r="FC47" s="24"/>
      <c r="FD47" s="24"/>
      <c r="FE47" s="24"/>
      <c r="FF47" s="24"/>
      <c r="FG47" s="24"/>
      <c r="FH47" s="24"/>
      <c r="FI47" s="24"/>
      <c r="FJ47" s="24"/>
      <c r="FK47" s="24"/>
      <c r="FL47" s="24"/>
      <c r="FM47" s="24"/>
      <c r="FN47" s="24"/>
      <c r="FO47" s="24"/>
      <c r="FP47" s="24"/>
      <c r="FQ47" s="24"/>
      <c r="FR47" s="24"/>
      <c r="FS47" s="24"/>
      <c r="FT47" s="24"/>
      <c r="FU47" s="24"/>
      <c r="FV47" s="24"/>
      <c r="FW47" s="24"/>
      <c r="FX47" s="24"/>
      <c r="FY47" s="24"/>
      <c r="FZ47" s="26"/>
      <c r="GA47" s="24"/>
      <c r="GB47" s="56"/>
      <c r="GC47" s="56"/>
      <c r="GD47" s="56"/>
      <c r="GE47" s="56"/>
      <c r="GF47" s="56"/>
      <c r="GG47" s="56"/>
      <c r="GH47" s="56"/>
      <c r="GI47" s="56"/>
      <c r="GJ47" s="56"/>
      <c r="GK47" s="56"/>
      <c r="GL47" s="56"/>
      <c r="GM47" s="56"/>
      <c r="GN47" s="56"/>
      <c r="GO47" s="56"/>
      <c r="GP47" s="56"/>
      <c r="GQ47" s="56"/>
      <c r="GR47" s="27"/>
      <c r="GS47" s="27"/>
      <c r="GT47" s="27"/>
      <c r="GU47" s="27"/>
      <c r="GV47" s="27"/>
      <c r="GW47" s="27"/>
      <c r="GX47" s="27"/>
      <c r="GZ47" s="27"/>
      <c r="HA47" s="27"/>
      <c r="HB47" s="27"/>
      <c r="HC47" s="27"/>
      <c r="HD47" s="27"/>
      <c r="HE47" s="27"/>
      <c r="HF47" s="27"/>
      <c r="HG47" s="27"/>
      <c r="HH47" s="27"/>
      <c r="HI47" s="27"/>
      <c r="HJ47" s="27"/>
      <c r="HK47" s="27"/>
      <c r="HL47" s="27"/>
      <c r="HM47" s="27"/>
      <c r="HN47" s="27"/>
      <c r="HO47" s="27"/>
      <c r="HP47" s="55"/>
      <c r="HQ47" s="55"/>
      <c r="HR47" s="55"/>
      <c r="HS47" s="55"/>
      <c r="HT47" s="55"/>
      <c r="HU47" s="55"/>
      <c r="HV47" s="27"/>
      <c r="HW47" s="27"/>
      <c r="HX47" s="27"/>
      <c r="HY47" s="27"/>
      <c r="HZ47" s="55"/>
      <c r="IA47" s="27"/>
      <c r="IB47" s="27"/>
      <c r="IC47" s="27"/>
      <c r="ID47" s="27"/>
    </row>
    <row r="48" spans="1:273" ht="12.6" hidden="1" customHeight="1" thickTop="1" thickBot="1" x14ac:dyDescent="0.25">
      <c r="B48" s="66">
        <f>SUM(B28:B45)</f>
        <v>0</v>
      </c>
      <c r="CA48" s="40"/>
      <c r="CB48" s="27"/>
      <c r="CC48" s="27"/>
      <c r="CD48" s="27"/>
      <c r="CE48" s="27"/>
      <c r="CF48" s="27"/>
      <c r="CG48" s="27"/>
      <c r="CH48" s="27"/>
      <c r="CI48" s="27"/>
      <c r="CJ48" s="27"/>
      <c r="CK48" s="27"/>
      <c r="CL48" s="27"/>
      <c r="CM48" s="27"/>
      <c r="CN48" s="27"/>
      <c r="CO48" s="27"/>
      <c r="CP48" s="27"/>
      <c r="CQ48" s="27"/>
      <c r="CR48" s="27"/>
      <c r="CS48" s="27"/>
      <c r="CT48" s="27"/>
      <c r="CU48" s="27"/>
      <c r="CV48" s="27"/>
      <c r="CW48" s="27"/>
      <c r="CX48" s="27"/>
      <c r="CY48" s="27"/>
      <c r="CZ48" s="27"/>
      <c r="DC48" s="288"/>
      <c r="DD48" s="288"/>
      <c r="DE48" s="288"/>
      <c r="DF48" s="288"/>
      <c r="EL48" s="24"/>
      <c r="EM48" s="24"/>
      <c r="EN48" s="26"/>
      <c r="EO48" s="24"/>
      <c r="EP48" s="25"/>
      <c r="EQ48" s="25"/>
      <c r="ER48" s="25"/>
      <c r="ES48" s="28"/>
      <c r="ET48" s="24"/>
      <c r="EU48" s="24"/>
      <c r="EV48" s="24"/>
      <c r="EW48" s="24"/>
      <c r="EX48" s="24"/>
      <c r="EY48" s="24"/>
      <c r="EZ48" s="24"/>
      <c r="FA48" s="24"/>
      <c r="FB48" s="24"/>
      <c r="FC48" s="24"/>
      <c r="FD48" s="24"/>
      <c r="FE48" s="24"/>
      <c r="FF48" s="24"/>
      <c r="FG48" s="24"/>
      <c r="FH48" s="24"/>
      <c r="FI48" s="24"/>
      <c r="FJ48" s="24"/>
      <c r="FK48" s="24"/>
      <c r="FL48" s="24"/>
      <c r="FM48" s="24"/>
      <c r="FZ48" s="850" t="s">
        <v>653</v>
      </c>
      <c r="GA48" s="524" t="str">
        <f t="shared" ref="GA48" si="122">IF(GF48="","",CE48)</f>
        <v/>
      </c>
      <c r="GB48" s="566" t="str">
        <f t="shared" ref="GB48" si="123">IF(GF48="","",CF48)</f>
        <v/>
      </c>
      <c r="GC48" s="568" t="str">
        <f t="shared" ref="GC48" si="124">IF(GF48="","",IF(CD88="",0,CD88))</f>
        <v/>
      </c>
      <c r="GD48" s="569" t="str">
        <f t="shared" ref="GD48" si="125">IF(GF48="","",IF(CM88="",0,CM88))</f>
        <v/>
      </c>
      <c r="GE48" s="567"/>
      <c r="GF48" s="525"/>
      <c r="GG48" s="1522"/>
      <c r="GH48" s="1525"/>
      <c r="GI48" s="1522"/>
      <c r="GJ48" s="1525"/>
      <c r="GK48" s="56"/>
      <c r="GL48" s="56"/>
      <c r="GM48" s="56"/>
      <c r="GN48" s="56"/>
      <c r="GO48" s="56"/>
      <c r="GP48" s="56"/>
      <c r="GQ48" s="56"/>
      <c r="GR48" s="70" t="str">
        <f>IF(ISERROR(VLOOKUP($CB48,#REF!,HA$21,FALSE)),"",VLOOKUP($CB48,#REF!,HA$21,FALSE))</f>
        <v/>
      </c>
      <c r="GS48" s="71" t="str">
        <f>IF(ISERROR(VLOOKUP($CB48,#REF!,HB$21,FALSE)),"",IF(VLOOKUP($CB48,#REF!,HB$21,FALSE)="","",VLOOKUP($CB48,#REF!,HB$21,FALSE)))</f>
        <v/>
      </c>
      <c r="GT48" s="72" t="str">
        <f>IF(ISERROR(VLOOKUP($CB48,#REF!,HC$21,FALSE)),"",IF(VLOOKUP($CB48,#REF!,HC$21,FALSE)="","",VLOOKUP($CB48,#REF!,HC$21,FALSE)))</f>
        <v/>
      </c>
      <c r="GU48" s="73" t="str">
        <f>IF(ISERROR(VLOOKUP($CB48,#REF!,HD$21,FALSE)),"",IF(VLOOKUP($CB48,#REF!,HD$21,FALSE)="","",VLOOKUP($CB48,#REF!,HD$21,FALSE)))</f>
        <v/>
      </c>
      <c r="GV48" s="74" t="str">
        <f>IF(ISERROR(VLOOKUP($CB48,#REF!,HE$21,FALSE)),"",IF(VLOOKUP($CB48,#REF!,HE$21,FALSE)="","",VLOOKUP($CB48,#REF!,HE$21,FALSE)))</f>
        <v/>
      </c>
      <c r="GW48" s="75" t="str">
        <f>IF(ISERROR(VLOOKUP($CB48,#REF!,HF$21,FALSE)),"",IF(VLOOKUP($CB48,#REF!,HF$21,FALSE)="","",VLOOKUP($CB48,#REF!,HF$21,FALSE)))</f>
        <v/>
      </c>
      <c r="GX48" s="76" t="str">
        <f>IF(ISERROR(VLOOKUP($CB48,#REF!,HG$21,FALSE)),"",IF(VLOOKUP($CB48,#REF!,HG$21,FALSE)="","",VLOOKUP($CB48,#REF!,HG$21,FALSE)))</f>
        <v/>
      </c>
      <c r="GZ48" s="76" t="str">
        <f>IF(ISERROR(VLOOKUP($CB48,#REF!,HI$21,FALSE)),"",IF(VLOOKUP($CB48,#REF!,HI$21,FALSE)="","",VLOOKUP($CB48,#REF!,HI$21,FALSE)))</f>
        <v/>
      </c>
      <c r="HA48" s="77" t="str">
        <f>IF(ISERROR(VLOOKUP($CB48,#REF!,HJ$21,FALSE)),"",IF(VLOOKUP($CB48,#REF!,HJ$21,FALSE)="","",VLOOKUP($CB48,#REF!,HJ$21,FALSE)))</f>
        <v/>
      </c>
      <c r="HB48" s="78" t="str">
        <f>IF(ISERROR(VLOOKUP($CB48,#REF!,HK$21,FALSE)),"",IF(VLOOKUP($CB48,#REF!,HK$21,FALSE)="","",VLOOKUP($CB48,#REF!,HK$21,FALSE)))</f>
        <v/>
      </c>
      <c r="HC48" s="79" t="str">
        <f>IF(ISERROR(VLOOKUP($CB48,#REF!,HL$21,FALSE)),"",IF(VLOOKUP($CB48,#REF!,HL$21,FALSE)="","",VLOOKUP($CB48,#REF!,HL$21,FALSE)))</f>
        <v/>
      </c>
      <c r="HD48" s="75" t="str">
        <f>IF(ISERROR(VLOOKUP($CB48,#REF!,HM$21,FALSE)),"",IF(VLOOKUP($CB48,#REF!,HM$21,FALSE)="","",VLOOKUP($CB48,#REF!,HM$21,FALSE)))</f>
        <v/>
      </c>
      <c r="HE48" s="76" t="str">
        <f>IF(ISERROR(VLOOKUP($CB48,#REF!,HN$21,FALSE)),"",IF(VLOOKUP($CB48,#REF!,HN$21,FALSE)="","",VLOOKUP($CB48,#REF!,HN$21,FALSE)))</f>
        <v/>
      </c>
      <c r="HF48" s="77" t="str">
        <f>IF(ISERROR(VLOOKUP($CB48,#REF!,HO$21,FALSE)),"",IF(VLOOKUP($CB48,#REF!,HO$21,FALSE)="","",VLOOKUP($CB48,#REF!,HO$21,FALSE)))</f>
        <v/>
      </c>
      <c r="HG48" s="76" t="str">
        <f>IF(ISERROR(VLOOKUP($CB48,#REF!,HP$21,FALSE)),"",IF(VLOOKUP($CB48,#REF!,HP$21,FALSE)="","",VLOOKUP($CB48,#REF!,HP$21,FALSE)))</f>
        <v/>
      </c>
      <c r="HH48" s="77" t="str">
        <f>IF(ISERROR(VLOOKUP($CB48,#REF!,HQ$21,FALSE)),"",IF(VLOOKUP($CB48,#REF!,HQ$21,FALSE)="","",VLOOKUP($CB48,#REF!,HQ$21,FALSE)))</f>
        <v/>
      </c>
      <c r="HI48" s="78" t="str">
        <f>IF(ISERROR(VLOOKUP($CB48,#REF!,HR$21,FALSE)),"",IF(VLOOKUP($CB48,#REF!,HR$21,FALSE)="","",VLOOKUP($CB48,#REF!,HR$21,FALSE)))</f>
        <v/>
      </c>
      <c r="HJ48" s="79" t="str">
        <f>IF(ISERROR(VLOOKUP($CB48,#REF!,HS$21,FALSE)),"",IF(VLOOKUP($CB48,#REF!,HS$21,FALSE)="","",VLOOKUP($CB48,#REF!,HS$21,FALSE)))</f>
        <v/>
      </c>
      <c r="HK48" s="80" t="str">
        <f>IF(ISERROR(VLOOKUP($CB48,#REF!,HT$21,FALSE)),"",IF(VLOOKUP($CB48,#REF!,HT$21,FALSE)="","",VLOOKUP($CB48,#REF!,HT$21,FALSE)))</f>
        <v/>
      </c>
      <c r="HL48" s="70" t="str">
        <f>IF(ISERROR(VLOOKUP($CB48,#REF!,HU$21,FALSE)),"",IF(VLOOKUP($CB48,#REF!,HU$21,FALSE)="","",VLOOKUP($CB48,#REF!,HU$21,FALSE)))</f>
        <v/>
      </c>
      <c r="HM48" s="81" t="str">
        <f>IF(ISERROR(VLOOKUP($CB48,#REF!,HV$21,FALSE)),"",IF(VLOOKUP($CB48,#REF!,HV$21,FALSE)="","",VLOOKUP($CB48,#REF!,HV$21,FALSE)))</f>
        <v/>
      </c>
      <c r="HN48" s="82" t="str">
        <f>IF(ISERROR(VLOOKUP($CB48,#REF!,HW$21,FALSE)),"",IF(VLOOKUP($CB48,#REF!,HW$21,FALSE)="","",VLOOKUP($CB48,#REF!,HW$21,FALSE)))</f>
        <v/>
      </c>
      <c r="HO48" s="83" t="str">
        <f>IF(ISERROR(VLOOKUP($CB48,#REF!,HX$21,FALSE)),"",IF(VLOOKUP($CB48,#REF!,HX$21,FALSE)="","",VLOOKUP($CB48,#REF!,HX$21,FALSE)))</f>
        <v/>
      </c>
      <c r="HP48" s="68">
        <f>IF(IZ48="",0,1)</f>
        <v>0</v>
      </c>
      <c r="HQ48" s="68"/>
      <c r="HR48" s="68"/>
      <c r="HS48" s="68"/>
      <c r="HT48" s="68"/>
      <c r="HU48" s="68"/>
      <c r="HV48" s="70" t="str">
        <f ca="1">IF($HP48=0,"",IF(ISBLANK(OFFSET(#REF!,MATCH(OFFSET(#REF!,($HP48-1)*-1,0),#REF!,0)+($HP48-2),IE$9-1)),"",OFFSET(#REF!,MATCH(OFFSET(#REF!,($HP48-1)*-1,0),#REF!,0)+($HP48-2),IE$9-1)))</f>
        <v/>
      </c>
      <c r="HW48" s="84" t="str">
        <f ca="1">IF($HP48=0,"",IF(ISBLANK(OFFSET(#REF!,MATCH(OFFSET(#REF!,($HP48-1)*-1,0),#REF!,0)+($HP48-2),IF$9-1)),"",OFFSET(#REF!,MATCH(OFFSET(#REF!,($HP48-1)*-1,0),#REF!,0)+($HP48-2),IF$9-1)))</f>
        <v/>
      </c>
      <c r="HX48" s="85" t="str">
        <f ca="1">IF($HP48=0,"",IF(ISBLANK(OFFSET(#REF!,MATCH(OFFSET(#REF!,($HP48-1)*-1,0),#REF!,0)+($HP48-2),IG$9-1)),"",OFFSET(#REF!,MATCH(OFFSET(#REF!,($HP48-1)*-1,0),#REF!,0)+($HP48-2),IG$9-1)))</f>
        <v/>
      </c>
      <c r="HY48" s="86" t="str">
        <f ca="1">IF($HP48=0,"",IF(ISBLANK(OFFSET(#REF!,MATCH(OFFSET(#REF!,($HP48-1)*-1,0),#REF!,0)+($HP48-2),IH$9-1)),"",OFFSET(#REF!,MATCH(OFFSET(#REF!,($HP48-1)*-1,0),#REF!,0)+($HP48-2),IH$9-1)))</f>
        <v/>
      </c>
      <c r="HZ48" s="499" t="str">
        <f ca="1">IF($HP48=0,"",IF(ISBLANK(OFFSET(#REF!,MATCH(OFFSET(#REF!,($HP48-1)*-1,0),#REF!,0)+($HP48-2),II$9-1)),"",OFFSET(#REF!,MATCH(OFFSET(#REF!,($HP48-1)*-1,0),#REF!,0)+($HP48-2),II$9-1)))</f>
        <v/>
      </c>
      <c r="IA48" s="88" t="str">
        <f ca="1">IF($HP48=0,"",IF(ISBLANK(OFFSET(#REF!,MATCH(OFFSET(#REF!,($HP48-1)*-1,0),#REF!,0)+($HP48-2),IJ$9-1)),"",OFFSET(#REF!,MATCH(OFFSET(#REF!,($HP48-1)*-1,0),#REF!,0)+($HP48-2),IJ$9-1)))</f>
        <v/>
      </c>
      <c r="IB48" s="89" t="str">
        <f ca="1">IF($HP48=0,"",IF(ISBLANK(OFFSET(#REF!,MATCH(OFFSET(#REF!,($HP48-1)*-1,0),#REF!,0)+($HP48-2),IK$9-1)),"",OFFSET(#REF!,MATCH(OFFSET(#REF!,($HP48-1)*-1,0),#REF!,0)+($HP48-2),IK$9-1)))</f>
        <v/>
      </c>
      <c r="IC48" s="90" t="str">
        <f ca="1">IF($HP48=0,"",IF(ISBLANK(OFFSET(#REF!,MATCH(OFFSET(#REF!,($HP48-1)*-1,0),#REF!,0)+($HP48-2),IL$9-1)),"",OFFSET(#REF!,MATCH(OFFSET(#REF!,($HP48-1)*-1,0),#REF!,0)+($HP48-2),IL$9-1)))</f>
        <v/>
      </c>
      <c r="ID48" s="91" t="str">
        <f ca="1">IF($HP48=0,"",IF(ISBLANK(OFFSET(#REF!,MATCH(OFFSET(#REF!,($HP48-1)*-1,0),#REF!,0)+($HP48-2),IM$9-1)),"",OFFSET(#REF!,MATCH(OFFSET(#REF!,($HP48-1)*-1,0),#REF!,0)+($HP48-2),IM$9-1)))</f>
        <v/>
      </c>
    </row>
    <row r="49" spans="1:222" ht="12.6" hidden="1" customHeight="1" thickBot="1" x14ac:dyDescent="0.25">
      <c r="B49" s="142">
        <v>0</v>
      </c>
      <c r="C49" s="67"/>
      <c r="CI49" s="27"/>
      <c r="CJ49" s="27"/>
      <c r="CK49" s="27"/>
      <c r="CL49" s="27"/>
      <c r="CM49" s="27"/>
      <c r="CN49" s="27"/>
      <c r="CO49" s="27"/>
      <c r="DC49" s="288"/>
      <c r="DD49" s="288"/>
      <c r="DE49" s="288"/>
      <c r="DF49" s="288"/>
      <c r="GD49" s="56"/>
      <c r="GE49" s="56"/>
      <c r="GF49" s="56"/>
      <c r="GG49" s="56"/>
      <c r="GH49" s="56"/>
      <c r="GI49" s="56"/>
      <c r="GJ49" s="56"/>
      <c r="GK49" s="56"/>
      <c r="GL49" s="56"/>
      <c r="GM49" s="56"/>
      <c r="GN49" s="56"/>
      <c r="GO49" s="56"/>
      <c r="GP49" s="56"/>
      <c r="GQ49" s="56"/>
      <c r="GR49" s="56"/>
      <c r="GS49" s="56"/>
      <c r="GT49" s="56"/>
      <c r="GU49" s="56"/>
      <c r="GV49" s="56"/>
      <c r="GW49" s="56"/>
      <c r="GX49" s="56"/>
      <c r="GZ49" s="56"/>
      <c r="HB49" s="59"/>
      <c r="HC49" s="59"/>
      <c r="HD49" s="60"/>
      <c r="HE49" s="61"/>
      <c r="HF49" s="59"/>
      <c r="HG49" s="59"/>
      <c r="HH49" s="59"/>
      <c r="HI49" s="59"/>
      <c r="HJ49" s="59"/>
      <c r="HK49" s="59"/>
      <c r="HL49" s="59"/>
      <c r="HM49" s="59"/>
      <c r="HN49" s="59"/>
    </row>
    <row r="50" spans="1:222" ht="12.6" hidden="1" customHeight="1" thickBot="1" x14ac:dyDescent="0.25">
      <c r="A50" s="1233"/>
      <c r="B50" s="1233"/>
      <c r="C50" s="1233"/>
      <c r="D50" s="1233"/>
      <c r="E50" s="1233"/>
      <c r="F50" s="1233"/>
      <c r="G50" s="1233"/>
      <c r="H50" s="1233"/>
      <c r="I50" s="1233"/>
      <c r="J50" s="1233"/>
      <c r="K50" s="1233"/>
      <c r="L50" s="1233"/>
      <c r="M50" s="1233"/>
      <c r="N50" s="1233"/>
      <c r="O50" s="1235">
        <v>2.57</v>
      </c>
      <c r="P50" s="1235">
        <v>4.29</v>
      </c>
      <c r="Q50" s="1235">
        <v>2.57</v>
      </c>
      <c r="R50" s="1235">
        <v>4.29</v>
      </c>
      <c r="S50" s="1233"/>
      <c r="T50" s="1233"/>
      <c r="U50" s="1233"/>
      <c r="V50" s="1233"/>
      <c r="W50" s="1233"/>
      <c r="X50" s="1233"/>
      <c r="Y50" s="1233"/>
      <c r="Z50" s="1233"/>
      <c r="AA50" s="1233"/>
      <c r="BZ50" s="214"/>
      <c r="CA50" s="214"/>
      <c r="CB50" s="214"/>
      <c r="CC50" s="214"/>
      <c r="CD50" s="214"/>
      <c r="CE50" s="214"/>
      <c r="CF50" s="214"/>
      <c r="CG50" s="214"/>
      <c r="CH50" s="214"/>
      <c r="CI50" s="214"/>
      <c r="CJ50" s="214"/>
      <c r="CK50" s="214"/>
      <c r="CL50" s="214"/>
      <c r="CM50" s="214"/>
      <c r="CN50" s="214"/>
      <c r="CO50" s="214"/>
      <c r="CP50" s="214"/>
      <c r="CQ50" s="214"/>
      <c r="CR50" s="214"/>
      <c r="CS50" s="214"/>
      <c r="CT50" s="214"/>
      <c r="CU50" s="258"/>
      <c r="CV50" s="259"/>
      <c r="CW50" s="259"/>
      <c r="CX50" s="213"/>
      <c r="CY50" s="214"/>
      <c r="CZ50" s="214"/>
      <c r="DA50" s="214"/>
      <c r="DB50" s="214"/>
      <c r="DC50" s="288"/>
      <c r="DD50" s="288"/>
      <c r="DE50" s="288"/>
      <c r="DF50" s="288"/>
      <c r="DG50" s="214"/>
      <c r="DH50" s="214"/>
      <c r="DI50" s="231"/>
      <c r="DJ50" s="231"/>
      <c r="DK50" s="231"/>
      <c r="DL50" s="214"/>
      <c r="DM50" s="214"/>
      <c r="DN50" s="213"/>
      <c r="DO50" s="214"/>
      <c r="DP50" s="214"/>
      <c r="DQ50" s="214"/>
      <c r="DR50" s="214"/>
      <c r="DS50" s="214"/>
      <c r="DT50" s="214"/>
      <c r="DU50" s="214"/>
      <c r="DV50" s="214"/>
      <c r="DW50" s="214"/>
      <c r="DX50" s="214"/>
      <c r="DY50" s="214"/>
      <c r="DZ50" s="214"/>
      <c r="EA50" s="214"/>
      <c r="EB50" s="213"/>
      <c r="EC50" s="260"/>
      <c r="ED50" s="1890" t="s">
        <v>169</v>
      </c>
      <c r="EE50" s="1890" t="s">
        <v>222</v>
      </c>
      <c r="EF50" s="1890" t="s">
        <v>223</v>
      </c>
      <c r="EG50" s="1890" t="s">
        <v>224</v>
      </c>
      <c r="EH50" s="1890" t="s">
        <v>225</v>
      </c>
      <c r="EI50" s="1890" t="s">
        <v>226</v>
      </c>
      <c r="EJ50" s="1890" t="s">
        <v>227</v>
      </c>
      <c r="EK50" s="1890" t="s">
        <v>228</v>
      </c>
      <c r="EL50" s="1890" t="s">
        <v>170</v>
      </c>
      <c r="EM50" s="1890" t="s">
        <v>229</v>
      </c>
      <c r="EN50" s="1890" t="s">
        <v>261</v>
      </c>
      <c r="EO50" s="1890" t="s">
        <v>171</v>
      </c>
      <c r="EP50" s="1890" t="s">
        <v>230</v>
      </c>
      <c r="EQ50" s="1890" t="s">
        <v>172</v>
      </c>
      <c r="ER50" s="1890" t="s">
        <v>231</v>
      </c>
      <c r="ES50" s="1890" t="s">
        <v>262</v>
      </c>
      <c r="ET50" s="1890" t="s">
        <v>173</v>
      </c>
      <c r="EU50" s="1890" t="s">
        <v>174</v>
      </c>
      <c r="EV50" s="214"/>
      <c r="EW50" s="214"/>
      <c r="EX50" s="214"/>
      <c r="EY50" s="217"/>
      <c r="EZ50" s="217"/>
      <c r="FA50" s="217"/>
      <c r="FB50" s="214"/>
      <c r="FC50" s="214"/>
      <c r="FD50" s="214"/>
      <c r="FG50" s="41"/>
      <c r="FH50" s="41"/>
      <c r="FI50" s="41"/>
      <c r="FJ50" s="41"/>
      <c r="FK50" s="41"/>
      <c r="FL50" s="41"/>
      <c r="FM50" s="41"/>
      <c r="FN50" s="1907" t="s">
        <v>292</v>
      </c>
      <c r="FO50" s="1908"/>
      <c r="FP50" s="1908"/>
      <c r="FQ50" s="1908"/>
      <c r="FR50" s="1908"/>
      <c r="FS50" s="1909"/>
      <c r="FT50" s="1955" t="s">
        <v>293</v>
      </c>
      <c r="FU50" s="1956"/>
      <c r="FV50" s="1956"/>
      <c r="FW50" s="1956"/>
      <c r="FX50" s="1956"/>
      <c r="FY50" s="1956"/>
      <c r="FZ50" s="1957"/>
      <c r="GA50" s="155"/>
      <c r="GB50" s="155"/>
      <c r="GC50" s="41"/>
      <c r="GD50" s="155"/>
      <c r="GE50" s="155"/>
      <c r="GF50" s="155"/>
      <c r="GG50" s="155"/>
      <c r="GH50" s="155"/>
      <c r="GI50" s="157"/>
      <c r="GJ50" s="163"/>
      <c r="GK50" s="56"/>
      <c r="GL50" s="56"/>
      <c r="GM50" s="56"/>
      <c r="GN50" s="56"/>
      <c r="GO50" s="56"/>
      <c r="GP50" s="56"/>
      <c r="GQ50" s="56"/>
      <c r="GR50" s="56"/>
      <c r="GS50" s="56"/>
      <c r="GT50" s="56"/>
      <c r="GU50" s="56"/>
      <c r="GV50" s="56"/>
      <c r="GW50" s="56"/>
      <c r="GX50" s="56"/>
      <c r="GY50" s="56"/>
      <c r="GZ50" s="56"/>
      <c r="HB50" s="59"/>
      <c r="HC50" s="59"/>
      <c r="HD50" s="60"/>
      <c r="HE50" s="61"/>
      <c r="HF50" s="59"/>
      <c r="HG50" s="59"/>
      <c r="HH50" s="59"/>
      <c r="HI50" s="59"/>
      <c r="HJ50" s="59"/>
      <c r="HK50" s="59"/>
      <c r="HL50" s="59"/>
      <c r="HM50" s="59"/>
      <c r="HN50" s="59"/>
    </row>
    <row r="51" spans="1:222" ht="12.6" hidden="1" customHeight="1" thickTop="1" thickBot="1" x14ac:dyDescent="0.25">
      <c r="BZ51" s="214"/>
      <c r="CA51" s="214"/>
      <c r="CB51" s="214"/>
      <c r="CC51" s="2060" t="s">
        <v>290</v>
      </c>
      <c r="CD51" s="2061"/>
      <c r="CE51" s="2061"/>
      <c r="CF51" s="2061"/>
      <c r="CG51" s="2061"/>
      <c r="CH51" s="2061"/>
      <c r="CI51" s="2061"/>
      <c r="CJ51" s="2061"/>
      <c r="CK51" s="2062"/>
      <c r="CL51" s="2060" t="s">
        <v>167</v>
      </c>
      <c r="CM51" s="2061"/>
      <c r="CN51" s="2061"/>
      <c r="CO51" s="2061"/>
      <c r="CP51" s="2061"/>
      <c r="CQ51" s="2061"/>
      <c r="CR51" s="2061"/>
      <c r="CS51" s="2061"/>
      <c r="CT51" s="2062"/>
      <c r="CU51" s="261"/>
      <c r="CV51" s="262"/>
      <c r="CW51" s="262"/>
      <c r="CX51" s="262"/>
      <c r="CY51" s="262"/>
      <c r="CZ51" s="262"/>
      <c r="DA51" s="262"/>
      <c r="DB51" s="262"/>
      <c r="DC51" s="262"/>
      <c r="DD51" s="262"/>
      <c r="DE51" s="262"/>
      <c r="DF51" s="262"/>
      <c r="DG51" s="262"/>
      <c r="DH51" s="262"/>
      <c r="DI51" s="262"/>
      <c r="DJ51" s="262"/>
      <c r="DK51" s="262"/>
      <c r="DL51" s="262"/>
      <c r="DM51" s="262"/>
      <c r="DN51" s="263"/>
      <c r="DO51" s="262"/>
      <c r="DP51" s="262"/>
      <c r="DQ51" s="262"/>
      <c r="DR51" s="262"/>
      <c r="DS51" s="262"/>
      <c r="DT51" s="262"/>
      <c r="DU51" s="262"/>
      <c r="DV51" s="262"/>
      <c r="DW51" s="262"/>
      <c r="DX51" s="262"/>
      <c r="DY51" s="262"/>
      <c r="DZ51" s="262"/>
      <c r="EA51" s="262"/>
      <c r="EB51" s="264"/>
      <c r="EC51" s="265"/>
      <c r="ED51" s="1891"/>
      <c r="EE51" s="1919"/>
      <c r="EF51" s="1919"/>
      <c r="EG51" s="2003"/>
      <c r="EH51" s="1919"/>
      <c r="EI51" s="1919"/>
      <c r="EJ51" s="1919"/>
      <c r="EK51" s="1891"/>
      <c r="EL51" s="1891"/>
      <c r="EM51" s="1891"/>
      <c r="EN51" s="1919"/>
      <c r="EO51" s="1891"/>
      <c r="EP51" s="1898"/>
      <c r="EQ51" s="1891"/>
      <c r="ER51" s="1891"/>
      <c r="ES51" s="1891"/>
      <c r="ET51" s="1891"/>
      <c r="EU51" s="1898"/>
      <c r="EV51" s="214"/>
      <c r="EW51" s="214"/>
      <c r="EX51" s="1894" t="s">
        <v>294</v>
      </c>
      <c r="EY51" s="1892" t="s">
        <v>295</v>
      </c>
      <c r="EZ51" s="214"/>
      <c r="FA51" s="214"/>
      <c r="FB51" s="214"/>
      <c r="FC51" s="214"/>
      <c r="FD51" s="214"/>
      <c r="FF51" s="1985" t="s">
        <v>552</v>
      </c>
      <c r="FG51" s="1986"/>
      <c r="FH51" s="1986"/>
      <c r="FI51" s="1986"/>
      <c r="FN51" s="1910"/>
      <c r="FO51" s="1911"/>
      <c r="FP51" s="1911"/>
      <c r="FQ51" s="1911"/>
      <c r="FR51" s="1911"/>
      <c r="FS51" s="1912"/>
      <c r="FT51" s="1958"/>
      <c r="FU51" s="1959"/>
      <c r="FV51" s="1959"/>
      <c r="FW51" s="1959"/>
      <c r="FX51" s="1959"/>
      <c r="FY51" s="1959"/>
      <c r="FZ51" s="1960"/>
      <c r="GA51" s="24"/>
      <c r="GB51" s="24"/>
      <c r="GC51" s="24"/>
      <c r="GD51" s="24"/>
      <c r="GE51" s="24"/>
      <c r="GF51" s="24"/>
      <c r="GG51" s="26"/>
      <c r="GH51" s="26"/>
      <c r="GI51" s="56"/>
      <c r="GJ51" s="59"/>
      <c r="GK51" s="56"/>
      <c r="GL51" s="56"/>
      <c r="GM51" s="56"/>
      <c r="GN51" s="56"/>
      <c r="GO51" s="56"/>
      <c r="GP51" s="56"/>
      <c r="GQ51" s="56"/>
      <c r="GR51" s="56"/>
      <c r="GS51" s="56"/>
      <c r="GT51" s="56"/>
      <c r="GU51" s="56"/>
      <c r="GV51" s="56"/>
      <c r="GW51" s="56"/>
      <c r="GX51" s="56"/>
      <c r="GY51" s="56"/>
      <c r="GZ51" s="56"/>
      <c r="HB51" s="59"/>
      <c r="HC51" s="59"/>
      <c r="HD51" s="60"/>
      <c r="HE51" s="61"/>
      <c r="HF51" s="59"/>
      <c r="HG51" s="59"/>
      <c r="HH51" s="59"/>
      <c r="HI51" s="59"/>
      <c r="HJ51" s="59"/>
      <c r="HK51" s="59"/>
      <c r="HL51" s="59"/>
      <c r="HM51" s="59"/>
      <c r="HN51" s="59"/>
    </row>
    <row r="52" spans="1:222" ht="24.95" hidden="1" customHeight="1" thickTop="1" thickBot="1" x14ac:dyDescent="0.25">
      <c r="BZ52" s="214"/>
      <c r="CA52" s="214"/>
      <c r="CB52" s="1990" t="s">
        <v>289</v>
      </c>
      <c r="CC52" s="2057" t="s">
        <v>195</v>
      </c>
      <c r="CD52" s="1992" t="s">
        <v>196</v>
      </c>
      <c r="CE52" s="1992" t="s">
        <v>197</v>
      </c>
      <c r="CF52" s="1992" t="s">
        <v>198</v>
      </c>
      <c r="CG52" s="1992" t="s">
        <v>254</v>
      </c>
      <c r="CH52" s="1992" t="s">
        <v>199</v>
      </c>
      <c r="CI52" s="1992" t="s">
        <v>258</v>
      </c>
      <c r="CJ52" s="1992" t="s">
        <v>200</v>
      </c>
      <c r="CK52" s="2059" t="s">
        <v>201</v>
      </c>
      <c r="CL52" s="2057" t="s">
        <v>195</v>
      </c>
      <c r="CM52" s="1992" t="s">
        <v>196</v>
      </c>
      <c r="CN52" s="1992" t="s">
        <v>202</v>
      </c>
      <c r="CO52" s="1992" t="s">
        <v>198</v>
      </c>
      <c r="CP52" s="1992" t="s">
        <v>254</v>
      </c>
      <c r="CQ52" s="1992" t="s">
        <v>199</v>
      </c>
      <c r="CR52" s="1992" t="s">
        <v>258</v>
      </c>
      <c r="CS52" s="1992" t="s">
        <v>200</v>
      </c>
      <c r="CT52" s="2059" t="s">
        <v>201</v>
      </c>
      <c r="CU52" s="1998" t="s">
        <v>188</v>
      </c>
      <c r="CV52" s="1920" t="s">
        <v>203</v>
      </c>
      <c r="CW52" s="1920" t="s">
        <v>204</v>
      </c>
      <c r="CX52" s="1917" t="s">
        <v>205</v>
      </c>
      <c r="CY52" s="2056" t="s">
        <v>240</v>
      </c>
      <c r="CZ52" s="2001" t="s">
        <v>611</v>
      </c>
      <c r="DA52" s="2002"/>
      <c r="DB52" s="2056" t="s">
        <v>207</v>
      </c>
      <c r="DC52" s="1920" t="s">
        <v>210</v>
      </c>
      <c r="DD52" s="1920" t="s">
        <v>211</v>
      </c>
      <c r="DE52" s="2056" t="s">
        <v>241</v>
      </c>
      <c r="DF52" s="2001" t="s">
        <v>612</v>
      </c>
      <c r="DG52" s="2002"/>
      <c r="DH52" s="1920" t="s">
        <v>209</v>
      </c>
      <c r="DI52" s="1920" t="s">
        <v>212</v>
      </c>
      <c r="DJ52" s="1920" t="s">
        <v>213</v>
      </c>
      <c r="DK52" s="1920" t="s">
        <v>214</v>
      </c>
      <c r="DL52" s="1920" t="s">
        <v>242</v>
      </c>
      <c r="DM52" s="1915" t="s">
        <v>243</v>
      </c>
      <c r="DN52" s="2070"/>
      <c r="DO52" s="1915" t="s">
        <v>244</v>
      </c>
      <c r="DP52" s="1916"/>
      <c r="DQ52" s="1917" t="s">
        <v>245</v>
      </c>
      <c r="DR52" s="1918"/>
      <c r="DS52" s="1920" t="s">
        <v>255</v>
      </c>
      <c r="DT52" s="1915" t="s">
        <v>246</v>
      </c>
      <c r="DU52" s="2070"/>
      <c r="DV52" s="1915" t="s">
        <v>247</v>
      </c>
      <c r="DW52" s="1916"/>
      <c r="DX52" s="1917" t="s">
        <v>248</v>
      </c>
      <c r="DY52" s="1918"/>
      <c r="DZ52" s="1920" t="s">
        <v>12</v>
      </c>
      <c r="EA52" s="1920" t="s">
        <v>13</v>
      </c>
      <c r="EB52" s="1920" t="s">
        <v>260</v>
      </c>
      <c r="EC52" s="1920" t="s">
        <v>259</v>
      </c>
      <c r="ED52" s="1891"/>
      <c r="EE52" s="1919"/>
      <c r="EF52" s="1919"/>
      <c r="EG52" s="2003"/>
      <c r="EH52" s="1919"/>
      <c r="EI52" s="1919"/>
      <c r="EJ52" s="1919"/>
      <c r="EK52" s="1891"/>
      <c r="EL52" s="1891"/>
      <c r="EM52" s="1891"/>
      <c r="EN52" s="1919"/>
      <c r="EO52" s="1891"/>
      <c r="EP52" s="1898"/>
      <c r="EQ52" s="1891"/>
      <c r="ER52" s="1891"/>
      <c r="ES52" s="1891"/>
      <c r="ET52" s="1891"/>
      <c r="EU52" s="1898"/>
      <c r="EV52" s="1920" t="s">
        <v>268</v>
      </c>
      <c r="EW52" s="1920" t="s">
        <v>269</v>
      </c>
      <c r="EX52" s="1895"/>
      <c r="EY52" s="1892"/>
      <c r="EZ52" s="1979" t="s">
        <v>215</v>
      </c>
      <c r="FA52" s="1981" t="s">
        <v>216</v>
      </c>
      <c r="FB52" s="1896" t="s">
        <v>351</v>
      </c>
      <c r="FC52" s="1896" t="s">
        <v>352</v>
      </c>
      <c r="FD52" s="1977" t="s">
        <v>401</v>
      </c>
      <c r="FE52" s="1978"/>
      <c r="FF52" s="155" t="s">
        <v>553</v>
      </c>
      <c r="FK52" s="1963" t="s">
        <v>403</v>
      </c>
      <c r="FL52" s="1965" t="s">
        <v>296</v>
      </c>
      <c r="FM52" s="1967" t="s">
        <v>187</v>
      </c>
      <c r="FN52" s="1975" t="s">
        <v>189</v>
      </c>
      <c r="FO52" s="1983" t="s">
        <v>190</v>
      </c>
      <c r="FP52" s="1971" t="s">
        <v>191</v>
      </c>
      <c r="FQ52" s="1971" t="s">
        <v>192</v>
      </c>
      <c r="FR52" s="1973" t="s">
        <v>193</v>
      </c>
      <c r="FS52" s="1969" t="s">
        <v>194</v>
      </c>
      <c r="FT52" s="1961" t="s">
        <v>316</v>
      </c>
      <c r="FU52" s="1903" t="s">
        <v>181</v>
      </c>
      <c r="FV52" s="1903" t="s">
        <v>319</v>
      </c>
      <c r="FW52" s="1903" t="s">
        <v>318</v>
      </c>
      <c r="FX52" s="1903" t="s">
        <v>182</v>
      </c>
      <c r="FY52" s="1903" t="s">
        <v>317</v>
      </c>
      <c r="FZ52" s="1903" t="s">
        <v>320</v>
      </c>
      <c r="GA52" s="1903" t="s">
        <v>183</v>
      </c>
      <c r="GB52" s="1905" t="s">
        <v>184</v>
      </c>
      <c r="GC52" s="1901" t="s">
        <v>301</v>
      </c>
      <c r="GD52" s="116"/>
      <c r="GE52" s="49"/>
      <c r="GF52" s="49"/>
      <c r="GG52" s="53"/>
      <c r="GH52" s="53"/>
      <c r="GI52" s="54"/>
      <c r="GJ52" s="1899" t="s">
        <v>321</v>
      </c>
      <c r="GK52" s="56"/>
      <c r="GL52" s="56"/>
      <c r="GM52" s="56"/>
    </row>
    <row r="53" spans="1:222" ht="12.6" hidden="1" customHeight="1" thickTop="1" thickBot="1" x14ac:dyDescent="0.25">
      <c r="BZ53" s="214"/>
      <c r="CA53" s="214"/>
      <c r="CB53" s="1991"/>
      <c r="CC53" s="2058"/>
      <c r="CD53" s="1898"/>
      <c r="CE53" s="1898"/>
      <c r="CF53" s="1993"/>
      <c r="CG53" s="1993"/>
      <c r="CH53" s="1993"/>
      <c r="CI53" s="1993"/>
      <c r="CJ53" s="1993"/>
      <c r="CK53" s="1982"/>
      <c r="CL53" s="2058"/>
      <c r="CM53" s="1898"/>
      <c r="CN53" s="1898"/>
      <c r="CO53" s="1993"/>
      <c r="CP53" s="1993"/>
      <c r="CQ53" s="1993"/>
      <c r="CR53" s="1993"/>
      <c r="CS53" s="1993"/>
      <c r="CT53" s="1982"/>
      <c r="CU53" s="1999"/>
      <c r="CV53" s="1921"/>
      <c r="CW53" s="1997"/>
      <c r="CX53" s="2000"/>
      <c r="CY53" s="1891"/>
      <c r="CZ53" s="266" t="s">
        <v>251</v>
      </c>
      <c r="DA53" s="266" t="s">
        <v>252</v>
      </c>
      <c r="DB53" s="1891"/>
      <c r="DC53" s="1921"/>
      <c r="DD53" s="1921"/>
      <c r="DE53" s="1891"/>
      <c r="DF53" s="266" t="s">
        <v>251</v>
      </c>
      <c r="DG53" s="266" t="s">
        <v>252</v>
      </c>
      <c r="DH53" s="1921"/>
      <c r="DI53" s="1921"/>
      <c r="DJ53" s="1921"/>
      <c r="DK53" s="1921"/>
      <c r="DL53" s="1921"/>
      <c r="DM53" s="267" t="s">
        <v>218</v>
      </c>
      <c r="DN53" s="267" t="s">
        <v>219</v>
      </c>
      <c r="DO53" s="267" t="s">
        <v>218</v>
      </c>
      <c r="DP53" s="267" t="s">
        <v>219</v>
      </c>
      <c r="DQ53" s="267" t="s">
        <v>218</v>
      </c>
      <c r="DR53" s="267" t="s">
        <v>219</v>
      </c>
      <c r="DS53" s="1921"/>
      <c r="DT53" s="267" t="s">
        <v>218</v>
      </c>
      <c r="DU53" s="267" t="s">
        <v>219</v>
      </c>
      <c r="DV53" s="267" t="s">
        <v>218</v>
      </c>
      <c r="DW53" s="267" t="s">
        <v>219</v>
      </c>
      <c r="DX53" s="267" t="s">
        <v>218</v>
      </c>
      <c r="DY53" s="267" t="s">
        <v>219</v>
      </c>
      <c r="DZ53" s="1921"/>
      <c r="EA53" s="1921"/>
      <c r="EB53" s="1922"/>
      <c r="EC53" s="1922"/>
      <c r="ED53" s="1891"/>
      <c r="EE53" s="1919"/>
      <c r="EF53" s="1919"/>
      <c r="EG53" s="2003"/>
      <c r="EH53" s="1919"/>
      <c r="EI53" s="1919"/>
      <c r="EJ53" s="1919"/>
      <c r="EK53" s="1891"/>
      <c r="EL53" s="1891"/>
      <c r="EM53" s="1891"/>
      <c r="EN53" s="1919"/>
      <c r="EO53" s="1891"/>
      <c r="EP53" s="1898"/>
      <c r="EQ53" s="1891"/>
      <c r="ER53" s="1891"/>
      <c r="ES53" s="1891"/>
      <c r="ET53" s="1891"/>
      <c r="EU53" s="1898"/>
      <c r="EV53" s="1921"/>
      <c r="EW53" s="1921"/>
      <c r="EX53" s="1895"/>
      <c r="EY53" s="1893"/>
      <c r="EZ53" s="1980"/>
      <c r="FA53" s="1982"/>
      <c r="FB53" s="1897"/>
      <c r="FC53" s="1897"/>
      <c r="FD53" s="451" t="s">
        <v>282</v>
      </c>
      <c r="FE53" s="452" t="s">
        <v>283</v>
      </c>
      <c r="FF53" s="162" t="s">
        <v>554</v>
      </c>
      <c r="FG53" s="162" t="s">
        <v>555</v>
      </c>
      <c r="FH53" s="162" t="s">
        <v>556</v>
      </c>
      <c r="FI53" s="162" t="s">
        <v>557</v>
      </c>
      <c r="FK53" s="1964"/>
      <c r="FL53" s="1966"/>
      <c r="FM53" s="1968"/>
      <c r="FN53" s="1976"/>
      <c r="FO53" s="1984"/>
      <c r="FP53" s="1972"/>
      <c r="FQ53" s="1972"/>
      <c r="FR53" s="1974"/>
      <c r="FS53" s="1970"/>
      <c r="FT53" s="1962"/>
      <c r="FU53" s="1904"/>
      <c r="FV53" s="1904"/>
      <c r="FW53" s="1904"/>
      <c r="FX53" s="1904"/>
      <c r="FY53" s="1904"/>
      <c r="FZ53" s="1904"/>
      <c r="GA53" s="1904"/>
      <c r="GB53" s="1906"/>
      <c r="GC53" s="1902"/>
      <c r="GD53" s="117" t="s">
        <v>299</v>
      </c>
      <c r="GE53" s="62" t="s">
        <v>300</v>
      </c>
      <c r="GF53" s="51" t="s">
        <v>302</v>
      </c>
      <c r="GG53" s="51" t="s">
        <v>303</v>
      </c>
      <c r="GH53" s="51" t="s">
        <v>304</v>
      </c>
      <c r="GI53" s="52" t="s">
        <v>305</v>
      </c>
      <c r="GJ53" s="1900"/>
      <c r="GK53" s="844" t="s">
        <v>558</v>
      </c>
      <c r="GL53" s="56"/>
      <c r="GM53" s="56"/>
    </row>
    <row r="54" spans="1:222" ht="12.6" hidden="1" customHeight="1" thickTop="1" x14ac:dyDescent="0.2">
      <c r="BZ54" s="214"/>
      <c r="CA54" s="214"/>
      <c r="CB54" s="268"/>
      <c r="CC54" s="269"/>
      <c r="CD54" s="270"/>
      <c r="CE54" s="270"/>
      <c r="CF54" s="270"/>
      <c r="CG54" s="270"/>
      <c r="CH54" s="270"/>
      <c r="CI54" s="270"/>
      <c r="CJ54" s="270"/>
      <c r="CK54" s="271"/>
      <c r="CL54" s="269"/>
      <c r="CM54" s="270"/>
      <c r="CN54" s="270"/>
      <c r="CO54" s="270"/>
      <c r="CP54" s="270"/>
      <c r="CQ54" s="270"/>
      <c r="CR54" s="270"/>
      <c r="CS54" s="270"/>
      <c r="CT54" s="271"/>
      <c r="CU54" s="272"/>
      <c r="CV54" s="273"/>
      <c r="CW54" s="273"/>
      <c r="CX54" s="273"/>
      <c r="CY54" s="274"/>
      <c r="CZ54" s="274"/>
      <c r="DA54" s="274"/>
      <c r="DB54" s="273"/>
      <c r="DC54" s="273"/>
      <c r="DD54" s="275"/>
      <c r="DE54" s="273"/>
      <c r="DF54" s="274"/>
      <c r="DG54" s="274"/>
      <c r="DH54" s="273"/>
      <c r="DI54" s="273"/>
      <c r="DJ54" s="275"/>
      <c r="DK54" s="273"/>
      <c r="DL54" s="273"/>
      <c r="DM54" s="273"/>
      <c r="DN54" s="273"/>
      <c r="DO54" s="273"/>
      <c r="DP54" s="273"/>
      <c r="DQ54" s="273"/>
      <c r="DR54" s="273"/>
      <c r="DS54" s="273"/>
      <c r="DT54" s="273"/>
      <c r="DU54" s="273"/>
      <c r="DV54" s="273"/>
      <c r="DW54" s="273"/>
      <c r="DX54" s="273"/>
      <c r="DY54" s="273"/>
      <c r="DZ54" s="273"/>
      <c r="EA54" s="273"/>
      <c r="EB54" s="276"/>
      <c r="EC54" s="277"/>
      <c r="ED54" s="276"/>
      <c r="EE54" s="276"/>
      <c r="EF54" s="276"/>
      <c r="EG54" s="276"/>
      <c r="EH54" s="276"/>
      <c r="EI54" s="276"/>
      <c r="EJ54" s="276"/>
      <c r="EK54" s="274"/>
      <c r="EL54" s="274"/>
      <c r="EM54" s="274"/>
      <c r="EN54" s="274"/>
      <c r="EO54" s="273"/>
      <c r="EP54" s="274"/>
      <c r="EQ54" s="274"/>
      <c r="ER54" s="274"/>
      <c r="ES54" s="274"/>
      <c r="ET54" s="273"/>
      <c r="EU54" s="273"/>
      <c r="EV54" s="276"/>
      <c r="EW54" s="278"/>
      <c r="EX54" s="279"/>
      <c r="EY54" s="280"/>
      <c r="EZ54" s="281"/>
      <c r="FA54" s="282"/>
      <c r="FB54" s="283"/>
      <c r="FC54" s="284"/>
      <c r="FD54" s="466"/>
      <c r="FE54" s="467"/>
      <c r="FF54" s="703" t="b">
        <f t="shared" ref="FF54:FF85" si="126">IF(ISERROR(AR14),TRUE,IF(OR(AR14="",ISBLANK(AR14)),FALSE,IF(ISTEXT(AR14),IF(AND(AR14="P",LEFT(AS14,1)="#"),FALSE,TRUE),IF(ISTEXT(AS14),TRUE,FALSE))))</f>
        <v>0</v>
      </c>
      <c r="FG54" s="703" t="b">
        <f t="shared" ref="FG54:FG85" si="127">IF(ISERROR(AV14),TRUE,IF(OR(AV14="",ISBLANK(AV14)),FALSE,IF(ISTEXT(AV14),IF(AND(AV14="P",LEFT(AW14,1)="#"),FALSE,TRUE),IF(ISTEXT(AW14),TRUE,FALSE))))</f>
        <v>0</v>
      </c>
      <c r="FH54" s="703" t="b">
        <f t="shared" ref="FH54:FH85" si="128">IF(ISERROR(AZ14),TRUE,IF(OR(AZ14="",ISBLANK(AZ14)),FALSE,IF(ISTEXT(AZ14),IF(AND(AZ14="P",LEFT(BA14,1)="#"),FALSE,TRUE),IF(ISTEXT(BA14),TRUE,FALSE))))</f>
        <v>0</v>
      </c>
      <c r="FI54" s="703" t="b">
        <f t="shared" ref="FI54:FI85" si="129">IF(ISERROR(BD14),TRUE,IF(OR(BD14="",ISBLANK(BD14)),FALSE,IF(ISTEXT(BD14),IF(AND(BD14="P",LEFT(BE14,1)="#"),FALSE,TRUE),IF(ISTEXT(BE14),TRUE,FALSE))))</f>
        <v>0</v>
      </c>
      <c r="FJ54" s="724"/>
      <c r="FK54" s="462" t="str">
        <f>IF(ISBLANK(DH14),"",DH14)</f>
        <v/>
      </c>
      <c r="FL54" s="233" t="e">
        <f>VLOOKUP(DH14,$CB$54:$DK$85,36,FALSE)</f>
        <v>#N/A</v>
      </c>
      <c r="FM54" s="234" t="str">
        <f t="shared" ref="FM54:FM85" si="130">IF(ISBLANK(DH15),IF(SUM(DJ15:DN15)=0,"",IF(ISBLANK(DI15),"X","")),"")</f>
        <v/>
      </c>
      <c r="FN54" s="182" t="str">
        <f>IF(SUM(DJ14:DN14)=0,"",IF(OR(FS54=0,DL14=""),"",CEILING(IF(AND(DJ14="",DK14=""),IF(AND(DM14="",DN14=""),(FS54-FO54*FP54)/2,(DJ14*12+DK14+(DL14*(DM14*12+DN14)))-FO54*FP54),(DJ14*12+DK14))-0.0625,0.125)))</f>
        <v/>
      </c>
      <c r="FO54" s="183" t="str">
        <f>IF(SUM(DJ14:DN14)=0,"",IF(OR(FS54=0,DL14=""),"",DL14-IF(AND(DJ14="",DK14=""),1,0)-IF(AND(DM14="",DN14="",FM54=""),1,0)))</f>
        <v/>
      </c>
      <c r="FP54" s="184" t="str">
        <f>IF(SUM(DJ14:DN14)=0,"",IF(OR(FS54=0,DL14=""),"",CEILING(IF(AND(DM14="",DN14=""),IF(DL14=FO54,(FS54-FN54-FQ54)/FO54,(FS54-IF(AND(DJ14="",DK14=""),0,FN54)-IF(FM54="",0,FQ54))/DL14),DM14*12+DN14)-0.0625,0.125)))</f>
        <v/>
      </c>
      <c r="FQ54" s="184" t="str">
        <f>IF(SUM(DJ14:DN14)=0,"",IF(OR(FS54=0,DL14=""),"",IF(UPPER(FM54)="X",0,FS54-FN54-FO54*FP54)))</f>
        <v/>
      </c>
      <c r="FR54" s="235">
        <f>IF(FS54="",0,IF(OR(FS54=0,DL14=""),0,FS54-(FN54+FO54*FP54+FQ54)))</f>
        <v>0</v>
      </c>
      <c r="FS54" s="236" t="str">
        <f>IF(SUM(DJ14:DN14)=0,"",VLOOKUP(DH14,CB28:CF45,4,FALSE)*12+VLOOKUP(DH14,CB28:CF45,5,FALSE))</f>
        <v/>
      </c>
      <c r="FT54" s="182" t="str">
        <f>IF(SUM(DJ14:DN14)=0,"",IF(FU54="","",FL54))</f>
        <v/>
      </c>
      <c r="FU54" s="185" t="str">
        <f>IF(SUM(DJ14:DN14)=0,"",1)</f>
        <v/>
      </c>
      <c r="FV54" s="237" t="str">
        <f>IF(FW54="","",CEILING(FW54+GJ54-0.0625,0.125))</f>
        <v/>
      </c>
      <c r="FW54" s="186" t="str">
        <f>IF(SUM(DJ14:DN14)=0,"",IF(OR(FN54=0,FN54=""),"",(FN54+VLOOKUP(DH14,CB54:CD85,3,FALSE)-VLOOKUP(DH14,CB54:DD85,29,FALSE))/COS(VLOOKUP(DH14,$CB$54:$EU$85,72,FALSE))))</f>
        <v/>
      </c>
      <c r="FX54" s="186" t="str">
        <f>IF(SUM(DJ14:DN14)=0,"",IF(FO54=0,0,IF(FP54="","",CEILING(FP54/COS(VLOOKUP(FK54,$CB$54:$EU$85,72,FALSE))-0.0625,0.125))))</f>
        <v/>
      </c>
      <c r="FY54" s="186" t="str">
        <f>IF(SUM(DJ14:DN14)=0,"",IF(OR(FQ54=0,FQ54=""),"",FT54-IF(FW54="",0,FW54)-FO54*FX54))</f>
        <v/>
      </c>
      <c r="FZ54" s="186" t="str">
        <f>IF(FY54="","",CEILING(FT54-IF(FV54="",0,FV54)-(FO54*FX54)-0.0625,0.125))</f>
        <v/>
      </c>
      <c r="GA54" s="186" t="str">
        <f>IF(SUM(DJ14:DN14)=0,"",IF(FW54="",0,FW54)+FO54*FX54+IF(FY54="",0,FY54))</f>
        <v/>
      </c>
      <c r="GB54" s="187" t="str">
        <f ca="1">IF(SUM(DJ14:DN14)=0,"",IF(FY54="","",2+SUM(FO54:OFFSET(FO54,(FU54-1)*-1,0))))</f>
        <v/>
      </c>
      <c r="GC54" s="238" t="e">
        <f>VLOOKUP(DH14,$CB$54:$CD$85,3,FALSE)</f>
        <v>#N/A</v>
      </c>
      <c r="GD54" s="239" t="str">
        <f t="shared" ref="GD54:GD85" si="131">IF(ISBLANK(DT14),"",MAX(0,DT14+VLOOKUP(FK54,$CB$54:$CD$85,3,FALSE)))</f>
        <v/>
      </c>
      <c r="GE54" s="240" t="str">
        <f t="shared" ref="GE54:GE85" si="132">IF(ISBLANK(DU14),"",MAX(0,DU14+VLOOKUP(FK54,$CB$54:$CM$85,12,FALSE)))</f>
        <v/>
      </c>
      <c r="GF54" s="188" t="str">
        <f t="shared" ref="GF54:GF85" si="133">IF(AND(ISBLANK(DV14),ISBLANK(DW14)),"",IF(DV14="P",IF(ISNUMBER(DW14),CONCATENATE("#", DW14),DW14),CEILING((DV14*12+DW14+GC54)/COS(VLOOKUP(FK54,$CB$54:$EU$85,72,FALSE))-0.0625,0.125)))</f>
        <v/>
      </c>
      <c r="GG54" s="189" t="str">
        <f t="shared" ref="GG54:GG85" si="134">IF(AND(ISBLANK(DZ14),ISBLANK(EA14)),"",IF(DZ14="P",IF(ISNUMBER(EA14),CONCATENATE("#", EA14),EA14),CEILING((DZ14*12+EA14+GC54)/COS(VLOOKUP(FK54,$CB$54:$EU$85,72,FALSE))-0.0625,0.125)))</f>
        <v/>
      </c>
      <c r="GH54" s="189" t="str">
        <f t="shared" ref="GH54:GH85" si="135">IF(AND(ISBLANK(ED14),ISBLANK(EE14)),"",IF(ED14="P",IF(ISNUMBER(EE14),CONCATENATE("#", EE14),EE14),CEILING((ED14*12+EE14+GC54)/COS(VLOOKUP(FK54,$CB$54:$EU$85,72,FALSE))-0.0625,0.125)))</f>
        <v/>
      </c>
      <c r="GI54" s="190" t="str">
        <f t="shared" ref="GI54:GI85" si="136">IF(AND(ISBLANK(EH14),ISBLANK(EI14)),"",IF(EH14="P",IF(ISNUMBER(EI14),CONCATENATE("#", EI14),EI14),CEILING((EH14*12+EI14+GC54)/COS(VLOOKUP(FK54,$CB$54:$EU$85,72,FALSE))-0.0625,0.125)))</f>
        <v/>
      </c>
      <c r="GJ54" s="241">
        <f t="shared" ref="GJ54:GJ84" ca="1" si="137">IF(FY54="",GJ55,(FY54-(FQ54+VLOOKUP(FK54,$CB$54:$EU$85,12,FALSE)-VLOOKUP(FK54,$CB$54:$EU$85,34,FALSE))/COS(VLOOKUP(FK54,$CB$54:$EU$85,72,FALSE)))/2)</f>
        <v>0</v>
      </c>
      <c r="GK54" s="845" t="str">
        <f t="shared" ref="GK54:GK85" si="138">CONCATENATE(IF(AND(AD14&lt;&gt;"",AE14&lt;&gt;""),IF(AD14*12+AE14+IF(VLOOKUP(BX14,$BJ$14:$BN$45,5,FALSE)="BG",AG14*12+AH14,0)&lt;VLOOKUP(BX14,$BJ$14:$BM$45,4,FALSE)/$EX$5,"A",""),""),IF(AND(AI14&lt;&gt;"",AJ14&lt;&gt;""),IF(AI14*12+AJ14+IF(VLOOKUP(BX14,$BJ$14:$BN$45,5,FALSE)="BG",AG14*12+AH14,0)&lt;VLOOKUP(BX14,$BJ$14:$BM$45,4,FALSE)/$EX$5,"B",""),""))</f>
        <v/>
      </c>
      <c r="GL54" s="56"/>
      <c r="GM54" s="56"/>
    </row>
    <row r="55" spans="1:222" ht="12.6" hidden="1" customHeight="1" x14ac:dyDescent="0.2">
      <c r="BZ55" s="214"/>
      <c r="CA55" s="214"/>
      <c r="CB55" s="268"/>
      <c r="CC55" s="269"/>
      <c r="CD55" s="270"/>
      <c r="CE55" s="270"/>
      <c r="CF55" s="270"/>
      <c r="CG55" s="270"/>
      <c r="CH55" s="270"/>
      <c r="CI55" s="270"/>
      <c r="CJ55" s="270"/>
      <c r="CK55" s="271"/>
      <c r="CL55" s="269"/>
      <c r="CM55" s="270"/>
      <c r="CN55" s="270"/>
      <c r="CO55" s="270"/>
      <c r="CP55" s="270"/>
      <c r="CQ55" s="270"/>
      <c r="CR55" s="270"/>
      <c r="CS55" s="270"/>
      <c r="CT55" s="271"/>
      <c r="CU55" s="272"/>
      <c r="CV55" s="273"/>
      <c r="CW55" s="273"/>
      <c r="CX55" s="273"/>
      <c r="CY55" s="274"/>
      <c r="CZ55" s="274"/>
      <c r="DA55" s="274"/>
      <c r="DB55" s="273"/>
      <c r="DC55" s="273"/>
      <c r="DD55" s="275"/>
      <c r="DE55" s="273"/>
      <c r="DF55" s="274"/>
      <c r="DG55" s="274"/>
      <c r="DH55" s="273"/>
      <c r="DI55" s="273"/>
      <c r="DJ55" s="275"/>
      <c r="DK55" s="273"/>
      <c r="DL55" s="273"/>
      <c r="DM55" s="273"/>
      <c r="DN55" s="273"/>
      <c r="DO55" s="273"/>
      <c r="DP55" s="273"/>
      <c r="DQ55" s="273"/>
      <c r="DR55" s="273"/>
      <c r="DS55" s="273"/>
      <c r="DT55" s="273"/>
      <c r="DU55" s="273"/>
      <c r="DV55" s="273"/>
      <c r="DW55" s="273"/>
      <c r="DX55" s="273"/>
      <c r="DY55" s="273"/>
      <c r="DZ55" s="273"/>
      <c r="EA55" s="273"/>
      <c r="EB55" s="276"/>
      <c r="EC55" s="277"/>
      <c r="ED55" s="276"/>
      <c r="EE55" s="276"/>
      <c r="EF55" s="276"/>
      <c r="EG55" s="276"/>
      <c r="EH55" s="276"/>
      <c r="EI55" s="276"/>
      <c r="EJ55" s="276"/>
      <c r="EK55" s="274"/>
      <c r="EL55" s="274"/>
      <c r="EM55" s="274"/>
      <c r="EN55" s="274"/>
      <c r="EO55" s="273"/>
      <c r="EP55" s="274"/>
      <c r="EQ55" s="274"/>
      <c r="ER55" s="274"/>
      <c r="ES55" s="274"/>
      <c r="ET55" s="273"/>
      <c r="EU55" s="273"/>
      <c r="EV55" s="276"/>
      <c r="EW55" s="276"/>
      <c r="EX55" s="279"/>
      <c r="EY55" s="285"/>
      <c r="EZ55" s="269"/>
      <c r="FA55" s="282"/>
      <c r="FB55" s="286"/>
      <c r="FC55" s="287"/>
      <c r="FD55" s="468"/>
      <c r="FE55" s="469"/>
      <c r="FF55" s="703" t="b">
        <f t="shared" si="126"/>
        <v>0</v>
      </c>
      <c r="FG55" s="703" t="b">
        <f t="shared" si="127"/>
        <v>0</v>
      </c>
      <c r="FH55" s="703" t="b">
        <f t="shared" si="128"/>
        <v>0</v>
      </c>
      <c r="FI55" s="846" t="b">
        <f t="shared" si="129"/>
        <v>0</v>
      </c>
      <c r="FJ55" s="849" t="str">
        <f t="shared" ref="FJ55:FJ85" si="139">IF(AND(COUNTA(DH15:EK15)&gt;0,FK55=FK54,FK55&lt;&gt;""),"G","")</f>
        <v/>
      </c>
      <c r="FK55" s="848" t="str">
        <f t="shared" ref="FK55:FK85" si="140">IF(ISBLANK(DH15),FK54,DH15)</f>
        <v/>
      </c>
      <c r="FL55" s="242" t="e">
        <f t="shared" ref="FL55:FL85" si="141">IF(ISERROR(VLOOKUP(DH15,$CB$54:$DK$85,36,FALSE)),FL54,VLOOKUP(DH15,$CB$54:$DK$85,36,FALSE))</f>
        <v>#N/A</v>
      </c>
      <c r="FM55" s="234" t="str">
        <f t="shared" si="130"/>
        <v/>
      </c>
      <c r="FN55" s="191" t="str">
        <f t="shared" ref="FN55:FN85" ca="1" si="142">IF(OR(FS55=0,DL15=""),"",IF(UPPER(FM54)="X",0,CEILING(IF(AND(DJ15="",DK15=""),IF(UPPER(FM55)="X",FP55,IF(AND(DM15="",DN15=""),(FS55-FO55*FP55)/2,(DJ15*12+DK15+(DL15*(DM15*12+DN15)))-FO55*FP55)),(DJ15*12+DK15))-0.0625,0.125)))</f>
        <v/>
      </c>
      <c r="FO55" s="192" t="str">
        <f t="shared" ref="FO55:FO85" ca="1" si="143">IF(OR(FS55=0,DL15=""),"",DL15-IF(AND(DJ15="",DK15="",FM54&lt;&gt;"X"),1,0)-IF(AND(DM15="",DN15="",FM55=""),1,0))</f>
        <v/>
      </c>
      <c r="FP55" s="193" t="str">
        <f t="shared" ref="FP55:FP85" ca="1" si="144">IF(OR(FS55=0,DL15=""),"",CEILING(IF(AND(DM15="",DN15=""),IF(DL15=FO55,(FS55-FN55-FQ55)/FO55,(FS55-IF(AND(DJ15="",DK15=""),0,FN55)-IF(FM55="",0,FQ55))/DL15),DM15*12+DN15)-0.0625,0.125))</f>
        <v/>
      </c>
      <c r="FQ55" s="193" t="str">
        <f t="shared" ref="FQ55:FQ85" ca="1" si="145">IF(OR(FS55=0,DL15=""),"",IF(UPPER(FM55)="X",0,FS55-FN55-FO55*FP55))</f>
        <v/>
      </c>
      <c r="FR55" s="243">
        <f t="shared" ref="FR55:FR85" ca="1" si="146">IF(OR(FS55=0,DL15=""),0,FS55-(FN55+FO55*FP55+FQ55))</f>
        <v>0</v>
      </c>
      <c r="FS55" s="244">
        <f t="shared" ref="FS55:FS85" ca="1" si="147">IF(ISBLANK(DH15),IF(FR54=0,IF(OR(DI15="F",DI15="N"),OFFSET(FS54,(-1*(FU54-1)),0),0),FR54),VLOOKUP(DH15,$CB$28:$CF$45,4,FALSE)*12+VLOOKUP(DH15,$CB$28:$CF$45,5,FALSE))</f>
        <v>0</v>
      </c>
      <c r="FT55" s="191" t="str">
        <f ca="1">IF(FU55="","",IF(FU55=1,IF(FL55="",OFFSET(FL55,(-1*FU54),0),FL55),FT54-GA54))</f>
        <v/>
      </c>
      <c r="FU55" s="194" t="str">
        <f ca="1">IF(FS55=0,"",IF(FR54=0,1,FU54+1))</f>
        <v/>
      </c>
      <c r="FV55" s="245" t="str">
        <f ca="1">IF(FW55="","",CEILING(FW55+GJ55-0.0625,0.125))</f>
        <v/>
      </c>
      <c r="FW55" s="195" t="str">
        <f t="shared" ref="FW55:FW85" ca="1" si="148">IF(OR(FN55=0,FN55=""),"",(FN55+VLOOKUP(FK55,$CB$54:$CD$85,3,FALSE)-VLOOKUP(FK55,$CB$54:$DD$85,29,FALSE))/COS(VLOOKUP(FK55,$CB$54:$EU$85,72,FALSE)))</f>
        <v/>
      </c>
      <c r="FX55" s="195" t="str">
        <f t="shared" ref="FX55:FX85" ca="1" si="149">IF(FO55=0,0,IF(FP55="","",CEILING(FP55/COS(VLOOKUP(FK55,$CB$54:$EU$85,72,FALSE))-0.0625,0.125)))</f>
        <v/>
      </c>
      <c r="FY55" s="195" t="str">
        <f ca="1">IF(OR(FQ55=0,FQ55=""),"",FT55-IF(FW55="",0,FW55)-FO55*FX55)</f>
        <v/>
      </c>
      <c r="FZ55" s="195" t="str">
        <f t="shared" ref="FZ55:FZ85" ca="1" si="150">IF(FY55="","",CEILING(FT55-IF(FV55="",0,FV55)-(FO55*FX55)-0.0625,0.125))</f>
        <v/>
      </c>
      <c r="GA55" s="195" t="str">
        <f ca="1">IF(FP55="","",IF(FW55="",0,FW55)+FO55*FX55+IF(FY55="",0,FY55))</f>
        <v/>
      </c>
      <c r="GB55" s="196" t="str">
        <f ca="1">IF(FY55="","",2+SUM(FO55:OFFSET(FO55,(FU55-1)*-1,0)))</f>
        <v/>
      </c>
      <c r="GC55" s="238" t="e">
        <f t="shared" ref="GC55:GC85" si="151">IF(ISERROR(VLOOKUP(DH15,$CB$54:$CD$85,3,FALSE)),GC54,VLOOKUP(DH15,$CB$54:$CD$85,3,FALSE))</f>
        <v>#N/A</v>
      </c>
      <c r="GD55" s="246" t="str">
        <f t="shared" si="131"/>
        <v/>
      </c>
      <c r="GE55" s="247" t="str">
        <f t="shared" si="132"/>
        <v/>
      </c>
      <c r="GF55" s="197" t="str">
        <f t="shared" si="133"/>
        <v/>
      </c>
      <c r="GG55" s="198" t="str">
        <f t="shared" si="134"/>
        <v/>
      </c>
      <c r="GH55" s="198" t="str">
        <f t="shared" si="135"/>
        <v/>
      </c>
      <c r="GI55" s="199" t="str">
        <f t="shared" si="136"/>
        <v/>
      </c>
      <c r="GJ55" s="248">
        <f t="shared" ca="1" si="137"/>
        <v>0</v>
      </c>
      <c r="GK55" s="842" t="str">
        <f t="shared" ca="1" si="138"/>
        <v/>
      </c>
      <c r="GL55" s="56"/>
      <c r="GM55" s="56"/>
    </row>
    <row r="56" spans="1:222" ht="12.6" hidden="1" customHeight="1" x14ac:dyDescent="0.2">
      <c r="BZ56" s="214"/>
      <c r="CA56" s="214"/>
      <c r="CB56" s="268"/>
      <c r="CC56" s="269"/>
      <c r="CD56" s="270"/>
      <c r="CE56" s="270"/>
      <c r="CF56" s="270"/>
      <c r="CG56" s="270"/>
      <c r="CH56" s="270"/>
      <c r="CI56" s="270"/>
      <c r="CJ56" s="270"/>
      <c r="CK56" s="271"/>
      <c r="CL56" s="269"/>
      <c r="CM56" s="270"/>
      <c r="CN56" s="270"/>
      <c r="CO56" s="270"/>
      <c r="CP56" s="270"/>
      <c r="CQ56" s="270"/>
      <c r="CR56" s="270"/>
      <c r="CS56" s="270"/>
      <c r="CT56" s="271"/>
      <c r="CU56" s="272"/>
      <c r="CV56" s="273"/>
      <c r="CW56" s="273"/>
      <c r="CX56" s="273"/>
      <c r="CY56" s="274"/>
      <c r="CZ56" s="274"/>
      <c r="DA56" s="274"/>
      <c r="DB56" s="273"/>
      <c r="DC56" s="273"/>
      <c r="DD56" s="275"/>
      <c r="DE56" s="273"/>
      <c r="DF56" s="274"/>
      <c r="DG56" s="274"/>
      <c r="DH56" s="273"/>
      <c r="DI56" s="273"/>
      <c r="DJ56" s="275"/>
      <c r="DK56" s="273"/>
      <c r="DL56" s="273"/>
      <c r="DM56" s="273"/>
      <c r="DN56" s="273"/>
      <c r="DO56" s="273"/>
      <c r="DP56" s="273"/>
      <c r="DQ56" s="273"/>
      <c r="DR56" s="273"/>
      <c r="DS56" s="273"/>
      <c r="DT56" s="273"/>
      <c r="DU56" s="273"/>
      <c r="DV56" s="273"/>
      <c r="DW56" s="273"/>
      <c r="DX56" s="273"/>
      <c r="DY56" s="273"/>
      <c r="DZ56" s="273"/>
      <c r="EA56" s="273"/>
      <c r="EB56" s="276"/>
      <c r="EC56" s="277"/>
      <c r="ED56" s="276"/>
      <c r="EE56" s="276"/>
      <c r="EF56" s="276"/>
      <c r="EG56" s="276"/>
      <c r="EH56" s="276"/>
      <c r="EI56" s="276"/>
      <c r="EJ56" s="276"/>
      <c r="EK56" s="274"/>
      <c r="EL56" s="274"/>
      <c r="EM56" s="274"/>
      <c r="EN56" s="274"/>
      <c r="EO56" s="273"/>
      <c r="EP56" s="274"/>
      <c r="EQ56" s="274"/>
      <c r="ER56" s="274"/>
      <c r="ES56" s="274"/>
      <c r="ET56" s="273"/>
      <c r="EU56" s="273"/>
      <c r="EV56" s="276"/>
      <c r="EW56" s="276"/>
      <c r="EX56" s="279"/>
      <c r="EY56" s="285"/>
      <c r="EZ56" s="269"/>
      <c r="FA56" s="282"/>
      <c r="FB56" s="286"/>
      <c r="FC56" s="287"/>
      <c r="FD56" s="468"/>
      <c r="FE56" s="469"/>
      <c r="FF56" s="703" t="b">
        <f t="shared" si="126"/>
        <v>0</v>
      </c>
      <c r="FG56" s="703" t="b">
        <f t="shared" si="127"/>
        <v>0</v>
      </c>
      <c r="FH56" s="703" t="b">
        <f t="shared" si="128"/>
        <v>0</v>
      </c>
      <c r="FI56" s="846" t="b">
        <f t="shared" si="129"/>
        <v>0</v>
      </c>
      <c r="FJ56" s="849" t="str">
        <f t="shared" si="139"/>
        <v/>
      </c>
      <c r="FK56" s="848" t="str">
        <f t="shared" si="140"/>
        <v/>
      </c>
      <c r="FL56" s="242" t="e">
        <f t="shared" si="141"/>
        <v>#N/A</v>
      </c>
      <c r="FM56" s="234" t="str">
        <f t="shared" si="130"/>
        <v/>
      </c>
      <c r="FN56" s="191" t="str">
        <f t="shared" ca="1" si="142"/>
        <v/>
      </c>
      <c r="FO56" s="192" t="str">
        <f t="shared" ca="1" si="143"/>
        <v/>
      </c>
      <c r="FP56" s="193" t="str">
        <f t="shared" ca="1" si="144"/>
        <v/>
      </c>
      <c r="FQ56" s="193" t="str">
        <f t="shared" ca="1" si="145"/>
        <v/>
      </c>
      <c r="FR56" s="243">
        <f t="shared" ca="1" si="146"/>
        <v>0</v>
      </c>
      <c r="FS56" s="244">
        <f t="shared" ca="1" si="147"/>
        <v>0</v>
      </c>
      <c r="FT56" s="191" t="str">
        <f t="shared" ref="FT56:FT85" ca="1" si="152">IF(FU56="","",IF(FU56=1,IF(FL56="",OFFSET(FL56,(-1*FU55),0),FL56),FT55-GA55))</f>
        <v/>
      </c>
      <c r="FU56" s="1259" t="str">
        <f t="shared" ref="FU56:FU85" ca="1" si="153">IF(FS56=0,"",IF(FR55=0,1,FU55+1))</f>
        <v/>
      </c>
      <c r="FV56" s="245" t="str">
        <f t="shared" ref="FV56:FV85" ca="1" si="154">IF(FW56="","",CEILING(FW56+GJ56-0.0625,0.125))</f>
        <v/>
      </c>
      <c r="FW56" s="195" t="str">
        <f t="shared" ca="1" si="148"/>
        <v/>
      </c>
      <c r="FX56" s="195" t="str">
        <f t="shared" ca="1" si="149"/>
        <v/>
      </c>
      <c r="FY56" s="195" t="str">
        <f t="shared" ref="FY56:FY85" ca="1" si="155">IF(OR(FQ56=0,FQ56=""),"",FT56-IF(FW56="",0,FW56)-FO56*FX56)</f>
        <v/>
      </c>
      <c r="FZ56" s="195" t="str">
        <f t="shared" ca="1" si="150"/>
        <v/>
      </c>
      <c r="GA56" s="195" t="str">
        <f t="shared" ref="GA56:GA85" ca="1" si="156">IF(FP56="","",IF(FW56="",0,FW56)+FO56*FX56+IF(FY56="",0,FY56))</f>
        <v/>
      </c>
      <c r="GB56" s="196" t="str">
        <f ca="1">IF(FY56="","",2+SUM(FO56:OFFSET(FO56,(FU56-1)*-1,0)))</f>
        <v/>
      </c>
      <c r="GC56" s="238" t="e">
        <f t="shared" si="151"/>
        <v>#N/A</v>
      </c>
      <c r="GD56" s="246" t="str">
        <f t="shared" si="131"/>
        <v/>
      </c>
      <c r="GE56" s="247" t="str">
        <f t="shared" si="132"/>
        <v/>
      </c>
      <c r="GF56" s="197" t="str">
        <f t="shared" si="133"/>
        <v/>
      </c>
      <c r="GG56" s="198" t="str">
        <f t="shared" si="134"/>
        <v/>
      </c>
      <c r="GH56" s="198" t="str">
        <f t="shared" si="135"/>
        <v/>
      </c>
      <c r="GI56" s="199" t="str">
        <f t="shared" si="136"/>
        <v/>
      </c>
      <c r="GJ56" s="248">
        <f t="shared" ca="1" si="137"/>
        <v>0</v>
      </c>
      <c r="GK56" s="842" t="str">
        <f t="shared" ca="1" si="138"/>
        <v/>
      </c>
      <c r="GL56" s="56"/>
      <c r="GM56" s="56"/>
    </row>
    <row r="57" spans="1:222" ht="12.6" hidden="1" customHeight="1" x14ac:dyDescent="0.2">
      <c r="BZ57" s="214"/>
      <c r="CA57" s="214"/>
      <c r="CB57" s="268"/>
      <c r="CC57" s="269"/>
      <c r="CD57" s="270"/>
      <c r="CE57" s="270"/>
      <c r="CF57" s="270"/>
      <c r="CG57" s="270"/>
      <c r="CH57" s="270"/>
      <c r="CI57" s="270"/>
      <c r="CJ57" s="270"/>
      <c r="CK57" s="271"/>
      <c r="CL57" s="269"/>
      <c r="CM57" s="270"/>
      <c r="CN57" s="270"/>
      <c r="CO57" s="270"/>
      <c r="CP57" s="270"/>
      <c r="CQ57" s="270"/>
      <c r="CR57" s="270"/>
      <c r="CS57" s="270"/>
      <c r="CT57" s="271"/>
      <c r="CU57" s="272"/>
      <c r="CV57" s="273"/>
      <c r="CW57" s="273"/>
      <c r="CX57" s="273"/>
      <c r="CY57" s="274"/>
      <c r="CZ57" s="274"/>
      <c r="DA57" s="274"/>
      <c r="DB57" s="273"/>
      <c r="DC57" s="273"/>
      <c r="DD57" s="275"/>
      <c r="DE57" s="273"/>
      <c r="DF57" s="274"/>
      <c r="DG57" s="274"/>
      <c r="DH57" s="273"/>
      <c r="DI57" s="273"/>
      <c r="DJ57" s="275"/>
      <c r="DK57" s="273"/>
      <c r="DL57" s="273"/>
      <c r="DM57" s="273"/>
      <c r="DN57" s="273"/>
      <c r="DO57" s="273"/>
      <c r="DP57" s="273"/>
      <c r="DQ57" s="273"/>
      <c r="DR57" s="273"/>
      <c r="DS57" s="273"/>
      <c r="DT57" s="273"/>
      <c r="DU57" s="273"/>
      <c r="DV57" s="273"/>
      <c r="DW57" s="273"/>
      <c r="DX57" s="273"/>
      <c r="DY57" s="273"/>
      <c r="DZ57" s="273"/>
      <c r="EA57" s="273"/>
      <c r="EB57" s="276"/>
      <c r="EC57" s="277"/>
      <c r="ED57" s="276"/>
      <c r="EE57" s="276"/>
      <c r="EF57" s="276"/>
      <c r="EG57" s="276"/>
      <c r="EH57" s="276"/>
      <c r="EI57" s="276"/>
      <c r="EJ57" s="276"/>
      <c r="EK57" s="274"/>
      <c r="EL57" s="274"/>
      <c r="EM57" s="274"/>
      <c r="EN57" s="274"/>
      <c r="EO57" s="273"/>
      <c r="EP57" s="274"/>
      <c r="EQ57" s="274"/>
      <c r="ER57" s="274"/>
      <c r="ES57" s="274"/>
      <c r="ET57" s="273"/>
      <c r="EU57" s="273"/>
      <c r="EV57" s="276"/>
      <c r="EW57" s="276"/>
      <c r="EX57" s="279"/>
      <c r="EY57" s="285"/>
      <c r="EZ57" s="269"/>
      <c r="FA57" s="282"/>
      <c r="FB57" s="286"/>
      <c r="FC57" s="287"/>
      <c r="FD57" s="468"/>
      <c r="FE57" s="469"/>
      <c r="FF57" s="703" t="b">
        <f t="shared" si="126"/>
        <v>0</v>
      </c>
      <c r="FG57" s="703" t="b">
        <f t="shared" si="127"/>
        <v>0</v>
      </c>
      <c r="FH57" s="703" t="b">
        <f t="shared" si="128"/>
        <v>0</v>
      </c>
      <c r="FI57" s="846" t="b">
        <f t="shared" si="129"/>
        <v>0</v>
      </c>
      <c r="FJ57" s="849" t="str">
        <f t="shared" si="139"/>
        <v/>
      </c>
      <c r="FK57" s="848" t="str">
        <f t="shared" si="140"/>
        <v/>
      </c>
      <c r="FL57" s="242" t="e">
        <f t="shared" si="141"/>
        <v>#N/A</v>
      </c>
      <c r="FM57" s="234" t="str">
        <f t="shared" si="130"/>
        <v/>
      </c>
      <c r="FN57" s="191" t="str">
        <f t="shared" ca="1" si="142"/>
        <v/>
      </c>
      <c r="FO57" s="192" t="str">
        <f t="shared" ca="1" si="143"/>
        <v/>
      </c>
      <c r="FP57" s="193" t="str">
        <f t="shared" ca="1" si="144"/>
        <v/>
      </c>
      <c r="FQ57" s="193" t="str">
        <f t="shared" ca="1" si="145"/>
        <v/>
      </c>
      <c r="FR57" s="243">
        <f t="shared" ca="1" si="146"/>
        <v>0</v>
      </c>
      <c r="FS57" s="244">
        <f t="shared" ca="1" si="147"/>
        <v>0</v>
      </c>
      <c r="FT57" s="191" t="str">
        <f t="shared" ca="1" si="152"/>
        <v/>
      </c>
      <c r="FU57" s="1259" t="str">
        <f t="shared" ca="1" si="153"/>
        <v/>
      </c>
      <c r="FV57" s="245" t="str">
        <f t="shared" ca="1" si="154"/>
        <v/>
      </c>
      <c r="FW57" s="195" t="str">
        <f t="shared" ca="1" si="148"/>
        <v/>
      </c>
      <c r="FX57" s="195" t="str">
        <f t="shared" ca="1" si="149"/>
        <v/>
      </c>
      <c r="FY57" s="195" t="str">
        <f t="shared" ca="1" si="155"/>
        <v/>
      </c>
      <c r="FZ57" s="195" t="str">
        <f t="shared" ca="1" si="150"/>
        <v/>
      </c>
      <c r="GA57" s="195" t="str">
        <f t="shared" ca="1" si="156"/>
        <v/>
      </c>
      <c r="GB57" s="196" t="str">
        <f ca="1">IF(FY57="","",2+SUM(FO57:OFFSET(FO57,(FU57-1)*-1,0)))</f>
        <v/>
      </c>
      <c r="GC57" s="238" t="e">
        <f t="shared" si="151"/>
        <v>#N/A</v>
      </c>
      <c r="GD57" s="246" t="str">
        <f t="shared" si="131"/>
        <v/>
      </c>
      <c r="GE57" s="247" t="str">
        <f t="shared" si="132"/>
        <v/>
      </c>
      <c r="GF57" s="197" t="str">
        <f t="shared" si="133"/>
        <v/>
      </c>
      <c r="GG57" s="198" t="str">
        <f t="shared" si="134"/>
        <v/>
      </c>
      <c r="GH57" s="198" t="str">
        <f t="shared" si="135"/>
        <v/>
      </c>
      <c r="GI57" s="199" t="str">
        <f t="shared" si="136"/>
        <v/>
      </c>
      <c r="GJ57" s="248">
        <f t="shared" ca="1" si="137"/>
        <v>0</v>
      </c>
      <c r="GK57" s="842" t="str">
        <f t="shared" ca="1" si="138"/>
        <v/>
      </c>
      <c r="GL57" s="56"/>
      <c r="GM57" s="56"/>
    </row>
    <row r="58" spans="1:222" ht="12.6" hidden="1" customHeight="1" x14ac:dyDescent="0.2">
      <c r="BZ58" s="214"/>
      <c r="CA58" s="214"/>
      <c r="CB58" s="268"/>
      <c r="CC58" s="269"/>
      <c r="CD58" s="270"/>
      <c r="CE58" s="270"/>
      <c r="CF58" s="270"/>
      <c r="CG58" s="270"/>
      <c r="CH58" s="270"/>
      <c r="CI58" s="270"/>
      <c r="CJ58" s="270"/>
      <c r="CK58" s="271"/>
      <c r="CL58" s="269"/>
      <c r="CM58" s="270"/>
      <c r="CN58" s="270"/>
      <c r="CO58" s="270"/>
      <c r="CP58" s="270"/>
      <c r="CQ58" s="270"/>
      <c r="CR58" s="270"/>
      <c r="CS58" s="270"/>
      <c r="CT58" s="271"/>
      <c r="CU58" s="272"/>
      <c r="CV58" s="273"/>
      <c r="CW58" s="273"/>
      <c r="CX58" s="273"/>
      <c r="CY58" s="274"/>
      <c r="CZ58" s="274"/>
      <c r="DA58" s="274"/>
      <c r="DB58" s="273"/>
      <c r="DC58" s="273"/>
      <c r="DD58" s="275"/>
      <c r="DE58" s="273"/>
      <c r="DF58" s="274"/>
      <c r="DG58" s="274"/>
      <c r="DH58" s="273"/>
      <c r="DI58" s="273"/>
      <c r="DJ58" s="275"/>
      <c r="DK58" s="273"/>
      <c r="DL58" s="273"/>
      <c r="DM58" s="273"/>
      <c r="DN58" s="273"/>
      <c r="DO58" s="273"/>
      <c r="DP58" s="273"/>
      <c r="DQ58" s="273"/>
      <c r="DR58" s="273"/>
      <c r="DS58" s="273"/>
      <c r="DT58" s="273"/>
      <c r="DU58" s="273"/>
      <c r="DV58" s="273"/>
      <c r="DW58" s="273"/>
      <c r="DX58" s="273"/>
      <c r="DY58" s="273"/>
      <c r="DZ58" s="273"/>
      <c r="EA58" s="273"/>
      <c r="EB58" s="276"/>
      <c r="EC58" s="277"/>
      <c r="ED58" s="276"/>
      <c r="EE58" s="276"/>
      <c r="EF58" s="276"/>
      <c r="EG58" s="276"/>
      <c r="EH58" s="276"/>
      <c r="EI58" s="276"/>
      <c r="EJ58" s="276"/>
      <c r="EK58" s="274"/>
      <c r="EL58" s="274"/>
      <c r="EM58" s="274"/>
      <c r="EN58" s="274"/>
      <c r="EO58" s="273"/>
      <c r="EP58" s="274"/>
      <c r="EQ58" s="274"/>
      <c r="ER58" s="274"/>
      <c r="ES58" s="274"/>
      <c r="ET58" s="273"/>
      <c r="EU58" s="273"/>
      <c r="EV58" s="276"/>
      <c r="EW58" s="276"/>
      <c r="EX58" s="279"/>
      <c r="EY58" s="285"/>
      <c r="EZ58" s="269"/>
      <c r="FA58" s="282"/>
      <c r="FB58" s="286"/>
      <c r="FC58" s="287"/>
      <c r="FD58" s="468"/>
      <c r="FE58" s="469"/>
      <c r="FF58" s="703" t="b">
        <f t="shared" si="126"/>
        <v>0</v>
      </c>
      <c r="FG58" s="703" t="b">
        <f t="shared" si="127"/>
        <v>0</v>
      </c>
      <c r="FH58" s="703" t="b">
        <f t="shared" si="128"/>
        <v>0</v>
      </c>
      <c r="FI58" s="846" t="b">
        <f t="shared" si="129"/>
        <v>0</v>
      </c>
      <c r="FJ58" s="849" t="str">
        <f t="shared" si="139"/>
        <v/>
      </c>
      <c r="FK58" s="848" t="str">
        <f t="shared" si="140"/>
        <v/>
      </c>
      <c r="FL58" s="242" t="e">
        <f t="shared" si="141"/>
        <v>#N/A</v>
      </c>
      <c r="FM58" s="234" t="str">
        <f t="shared" si="130"/>
        <v/>
      </c>
      <c r="FN58" s="191" t="str">
        <f t="shared" ca="1" si="142"/>
        <v/>
      </c>
      <c r="FO58" s="192" t="str">
        <f t="shared" ca="1" si="143"/>
        <v/>
      </c>
      <c r="FP58" s="193" t="str">
        <f t="shared" ca="1" si="144"/>
        <v/>
      </c>
      <c r="FQ58" s="193" t="str">
        <f t="shared" ca="1" si="145"/>
        <v/>
      </c>
      <c r="FR58" s="243">
        <f t="shared" ca="1" si="146"/>
        <v>0</v>
      </c>
      <c r="FS58" s="244">
        <f t="shared" ca="1" si="147"/>
        <v>0</v>
      </c>
      <c r="FT58" s="191" t="str">
        <f t="shared" ca="1" si="152"/>
        <v/>
      </c>
      <c r="FU58" s="194" t="str">
        <f t="shared" ca="1" si="153"/>
        <v/>
      </c>
      <c r="FV58" s="245" t="str">
        <f t="shared" ca="1" si="154"/>
        <v/>
      </c>
      <c r="FW58" s="195" t="str">
        <f t="shared" ca="1" si="148"/>
        <v/>
      </c>
      <c r="FX58" s="195" t="str">
        <f t="shared" ca="1" si="149"/>
        <v/>
      </c>
      <c r="FY58" s="195" t="str">
        <f t="shared" ca="1" si="155"/>
        <v/>
      </c>
      <c r="FZ58" s="195" t="str">
        <f t="shared" ca="1" si="150"/>
        <v/>
      </c>
      <c r="GA58" s="195" t="str">
        <f t="shared" ca="1" si="156"/>
        <v/>
      </c>
      <c r="GB58" s="196" t="str">
        <f ca="1">IF(FY58="","",2+SUM(FO58:OFFSET(FO58,(FU58-1)*-1,0)))</f>
        <v/>
      </c>
      <c r="GC58" s="238" t="e">
        <f t="shared" si="151"/>
        <v>#N/A</v>
      </c>
      <c r="GD58" s="246" t="str">
        <f t="shared" si="131"/>
        <v/>
      </c>
      <c r="GE58" s="247" t="str">
        <f t="shared" si="132"/>
        <v/>
      </c>
      <c r="GF58" s="197" t="str">
        <f t="shared" si="133"/>
        <v/>
      </c>
      <c r="GG58" s="198" t="str">
        <f t="shared" si="134"/>
        <v/>
      </c>
      <c r="GH58" s="198" t="str">
        <f t="shared" si="135"/>
        <v/>
      </c>
      <c r="GI58" s="199" t="str">
        <f t="shared" si="136"/>
        <v/>
      </c>
      <c r="GJ58" s="248">
        <f t="shared" ca="1" si="137"/>
        <v>0</v>
      </c>
      <c r="GK58" s="842" t="str">
        <f t="shared" ca="1" si="138"/>
        <v/>
      </c>
    </row>
    <row r="59" spans="1:222" ht="12.6" hidden="1" customHeight="1" x14ac:dyDescent="0.2">
      <c r="BZ59" s="214"/>
      <c r="CA59" s="214"/>
      <c r="CB59" s="268"/>
      <c r="CC59" s="269"/>
      <c r="CD59" s="270"/>
      <c r="CE59" s="270"/>
      <c r="CF59" s="270"/>
      <c r="CG59" s="270"/>
      <c r="CH59" s="270"/>
      <c r="CI59" s="270"/>
      <c r="CJ59" s="270"/>
      <c r="CK59" s="271"/>
      <c r="CL59" s="269"/>
      <c r="CM59" s="270"/>
      <c r="CN59" s="270"/>
      <c r="CO59" s="270"/>
      <c r="CP59" s="270"/>
      <c r="CQ59" s="270"/>
      <c r="CR59" s="270"/>
      <c r="CS59" s="270"/>
      <c r="CT59" s="271"/>
      <c r="CU59" s="272"/>
      <c r="CV59" s="273"/>
      <c r="CW59" s="273"/>
      <c r="CX59" s="273"/>
      <c r="CY59" s="274"/>
      <c r="CZ59" s="274"/>
      <c r="DA59" s="274"/>
      <c r="DB59" s="273"/>
      <c r="DC59" s="273"/>
      <c r="DD59" s="275"/>
      <c r="DE59" s="273"/>
      <c r="DF59" s="274"/>
      <c r="DG59" s="274"/>
      <c r="DH59" s="273"/>
      <c r="DI59" s="273"/>
      <c r="DJ59" s="275"/>
      <c r="DK59" s="273"/>
      <c r="DL59" s="273"/>
      <c r="DM59" s="273"/>
      <c r="DN59" s="273"/>
      <c r="DO59" s="273"/>
      <c r="DP59" s="273"/>
      <c r="DQ59" s="273"/>
      <c r="DR59" s="273"/>
      <c r="DS59" s="273"/>
      <c r="DT59" s="273"/>
      <c r="DU59" s="273"/>
      <c r="DV59" s="273"/>
      <c r="DW59" s="273"/>
      <c r="DX59" s="273"/>
      <c r="DY59" s="273"/>
      <c r="DZ59" s="273"/>
      <c r="EA59" s="273"/>
      <c r="EB59" s="276"/>
      <c r="EC59" s="277"/>
      <c r="ED59" s="276"/>
      <c r="EE59" s="276"/>
      <c r="EF59" s="276"/>
      <c r="EG59" s="276"/>
      <c r="EH59" s="276"/>
      <c r="EI59" s="276"/>
      <c r="EJ59" s="276"/>
      <c r="EK59" s="274"/>
      <c r="EL59" s="274"/>
      <c r="EM59" s="274"/>
      <c r="EN59" s="274"/>
      <c r="EO59" s="273"/>
      <c r="EP59" s="274"/>
      <c r="EQ59" s="274"/>
      <c r="ER59" s="274"/>
      <c r="ES59" s="274"/>
      <c r="ET59" s="273"/>
      <c r="EU59" s="273"/>
      <c r="EV59" s="276"/>
      <c r="EW59" s="276"/>
      <c r="EX59" s="279"/>
      <c r="EY59" s="285"/>
      <c r="EZ59" s="269"/>
      <c r="FA59" s="282"/>
      <c r="FB59" s="286"/>
      <c r="FC59" s="287"/>
      <c r="FD59" s="468"/>
      <c r="FE59" s="469"/>
      <c r="FF59" s="703" t="b">
        <f t="shared" si="126"/>
        <v>0</v>
      </c>
      <c r="FG59" s="703" t="b">
        <f t="shared" si="127"/>
        <v>0</v>
      </c>
      <c r="FH59" s="703" t="b">
        <f t="shared" si="128"/>
        <v>0</v>
      </c>
      <c r="FI59" s="846" t="b">
        <f t="shared" si="129"/>
        <v>0</v>
      </c>
      <c r="FJ59" s="849" t="str">
        <f t="shared" si="139"/>
        <v/>
      </c>
      <c r="FK59" s="848" t="str">
        <f t="shared" si="140"/>
        <v/>
      </c>
      <c r="FL59" s="242" t="e">
        <f t="shared" si="141"/>
        <v>#N/A</v>
      </c>
      <c r="FM59" s="234" t="str">
        <f t="shared" si="130"/>
        <v/>
      </c>
      <c r="FN59" s="191" t="str">
        <f t="shared" ca="1" si="142"/>
        <v/>
      </c>
      <c r="FO59" s="192" t="str">
        <f t="shared" ca="1" si="143"/>
        <v/>
      </c>
      <c r="FP59" s="193" t="str">
        <f t="shared" ca="1" si="144"/>
        <v/>
      </c>
      <c r="FQ59" s="193" t="str">
        <f t="shared" ca="1" si="145"/>
        <v/>
      </c>
      <c r="FR59" s="243">
        <f t="shared" ca="1" si="146"/>
        <v>0</v>
      </c>
      <c r="FS59" s="244">
        <f t="shared" ca="1" si="147"/>
        <v>0</v>
      </c>
      <c r="FT59" s="191" t="str">
        <f t="shared" ca="1" si="152"/>
        <v/>
      </c>
      <c r="FU59" s="194" t="str">
        <f t="shared" ca="1" si="153"/>
        <v/>
      </c>
      <c r="FV59" s="245" t="str">
        <f t="shared" ca="1" si="154"/>
        <v/>
      </c>
      <c r="FW59" s="195" t="str">
        <f t="shared" ca="1" si="148"/>
        <v/>
      </c>
      <c r="FX59" s="195" t="str">
        <f t="shared" ca="1" si="149"/>
        <v/>
      </c>
      <c r="FY59" s="195" t="str">
        <f t="shared" ca="1" si="155"/>
        <v/>
      </c>
      <c r="FZ59" s="195" t="str">
        <f t="shared" ca="1" si="150"/>
        <v/>
      </c>
      <c r="GA59" s="195" t="str">
        <f t="shared" ca="1" si="156"/>
        <v/>
      </c>
      <c r="GB59" s="196" t="str">
        <f ca="1">IF(FY59="","",2+SUM(FO59:OFFSET(FO59,(FU59-1)*-1,0)))</f>
        <v/>
      </c>
      <c r="GC59" s="238" t="e">
        <f t="shared" si="151"/>
        <v>#N/A</v>
      </c>
      <c r="GD59" s="246" t="str">
        <f t="shared" si="131"/>
        <v/>
      </c>
      <c r="GE59" s="247" t="str">
        <f t="shared" si="132"/>
        <v/>
      </c>
      <c r="GF59" s="197" t="str">
        <f t="shared" si="133"/>
        <v/>
      </c>
      <c r="GG59" s="198" t="str">
        <f t="shared" si="134"/>
        <v/>
      </c>
      <c r="GH59" s="198" t="str">
        <f t="shared" si="135"/>
        <v/>
      </c>
      <c r="GI59" s="199" t="str">
        <f t="shared" si="136"/>
        <v/>
      </c>
      <c r="GJ59" s="248">
        <f t="shared" ca="1" si="137"/>
        <v>0</v>
      </c>
      <c r="GK59" s="842" t="str">
        <f t="shared" ca="1" si="138"/>
        <v/>
      </c>
    </row>
    <row r="60" spans="1:222" ht="12.6" hidden="1" customHeight="1" x14ac:dyDescent="0.2">
      <c r="A60" s="831" t="s">
        <v>747</v>
      </c>
      <c r="BZ60" s="214"/>
      <c r="CA60" s="214"/>
      <c r="CB60" s="268"/>
      <c r="CC60" s="269"/>
      <c r="CD60" s="270"/>
      <c r="CE60" s="270"/>
      <c r="CF60" s="270"/>
      <c r="CG60" s="270"/>
      <c r="CH60" s="270"/>
      <c r="CI60" s="270"/>
      <c r="CJ60" s="270"/>
      <c r="CK60" s="271"/>
      <c r="CL60" s="269"/>
      <c r="CM60" s="270"/>
      <c r="CN60" s="270"/>
      <c r="CO60" s="270"/>
      <c r="CP60" s="270"/>
      <c r="CQ60" s="270"/>
      <c r="CR60" s="270"/>
      <c r="CS60" s="270"/>
      <c r="CT60" s="271"/>
      <c r="CU60" s="272"/>
      <c r="CV60" s="273"/>
      <c r="CW60" s="273"/>
      <c r="CX60" s="273"/>
      <c r="CY60" s="274"/>
      <c r="CZ60" s="274"/>
      <c r="DA60" s="274"/>
      <c r="DB60" s="273"/>
      <c r="DC60" s="273"/>
      <c r="DD60" s="275"/>
      <c r="DE60" s="273"/>
      <c r="DF60" s="274"/>
      <c r="DG60" s="274"/>
      <c r="DH60" s="273"/>
      <c r="DI60" s="273"/>
      <c r="DJ60" s="275"/>
      <c r="DK60" s="273"/>
      <c r="DL60" s="273"/>
      <c r="DM60" s="273"/>
      <c r="DN60" s="273"/>
      <c r="DO60" s="273"/>
      <c r="DP60" s="273"/>
      <c r="DQ60" s="273"/>
      <c r="DR60" s="273"/>
      <c r="DS60" s="273"/>
      <c r="DT60" s="273"/>
      <c r="DU60" s="273"/>
      <c r="DV60" s="273"/>
      <c r="DW60" s="273"/>
      <c r="DX60" s="273"/>
      <c r="DY60" s="273"/>
      <c r="DZ60" s="273"/>
      <c r="EA60" s="273"/>
      <c r="EB60" s="276"/>
      <c r="EC60" s="277"/>
      <c r="ED60" s="276"/>
      <c r="EE60" s="276"/>
      <c r="EF60" s="276"/>
      <c r="EG60" s="276"/>
      <c r="EH60" s="276"/>
      <c r="EI60" s="276"/>
      <c r="EJ60" s="276"/>
      <c r="EK60" s="274"/>
      <c r="EL60" s="274"/>
      <c r="EM60" s="274"/>
      <c r="EN60" s="274"/>
      <c r="EO60" s="273"/>
      <c r="EP60" s="274"/>
      <c r="EQ60" s="274"/>
      <c r="ER60" s="274"/>
      <c r="ES60" s="274"/>
      <c r="ET60" s="273"/>
      <c r="EU60" s="273"/>
      <c r="EV60" s="276"/>
      <c r="EW60" s="276"/>
      <c r="EX60" s="279"/>
      <c r="EY60" s="285"/>
      <c r="EZ60" s="269"/>
      <c r="FA60" s="282"/>
      <c r="FB60" s="286"/>
      <c r="FC60" s="287"/>
      <c r="FD60" s="468"/>
      <c r="FE60" s="469"/>
      <c r="FF60" s="703" t="b">
        <f t="shared" si="126"/>
        <v>0</v>
      </c>
      <c r="FG60" s="703" t="b">
        <f t="shared" si="127"/>
        <v>0</v>
      </c>
      <c r="FH60" s="703" t="b">
        <f t="shared" si="128"/>
        <v>0</v>
      </c>
      <c r="FI60" s="846" t="b">
        <f t="shared" si="129"/>
        <v>0</v>
      </c>
      <c r="FJ60" s="849" t="str">
        <f t="shared" si="139"/>
        <v/>
      </c>
      <c r="FK60" s="848" t="str">
        <f t="shared" si="140"/>
        <v/>
      </c>
      <c r="FL60" s="242" t="e">
        <f t="shared" si="141"/>
        <v>#N/A</v>
      </c>
      <c r="FM60" s="234" t="str">
        <f t="shared" si="130"/>
        <v/>
      </c>
      <c r="FN60" s="191" t="str">
        <f t="shared" ca="1" si="142"/>
        <v/>
      </c>
      <c r="FO60" s="192" t="str">
        <f t="shared" ca="1" si="143"/>
        <v/>
      </c>
      <c r="FP60" s="193" t="str">
        <f t="shared" ca="1" si="144"/>
        <v/>
      </c>
      <c r="FQ60" s="193" t="str">
        <f t="shared" ca="1" si="145"/>
        <v/>
      </c>
      <c r="FR60" s="243">
        <f t="shared" ca="1" si="146"/>
        <v>0</v>
      </c>
      <c r="FS60" s="244">
        <f t="shared" ca="1" si="147"/>
        <v>0</v>
      </c>
      <c r="FT60" s="191" t="str">
        <f t="shared" ca="1" si="152"/>
        <v/>
      </c>
      <c r="FU60" s="194" t="str">
        <f t="shared" ca="1" si="153"/>
        <v/>
      </c>
      <c r="FV60" s="245" t="str">
        <f t="shared" ca="1" si="154"/>
        <v/>
      </c>
      <c r="FW60" s="195" t="str">
        <f t="shared" ca="1" si="148"/>
        <v/>
      </c>
      <c r="FX60" s="195" t="str">
        <f t="shared" ca="1" si="149"/>
        <v/>
      </c>
      <c r="FY60" s="195" t="str">
        <f t="shared" ca="1" si="155"/>
        <v/>
      </c>
      <c r="FZ60" s="195" t="str">
        <f t="shared" ca="1" si="150"/>
        <v/>
      </c>
      <c r="GA60" s="195" t="str">
        <f t="shared" ca="1" si="156"/>
        <v/>
      </c>
      <c r="GB60" s="196" t="str">
        <f ca="1">IF(FY60="","",2+SUM(FO60:OFFSET(FO60,(FU60-1)*-1,0)))</f>
        <v/>
      </c>
      <c r="GC60" s="238" t="e">
        <f t="shared" si="151"/>
        <v>#N/A</v>
      </c>
      <c r="GD60" s="246" t="str">
        <f t="shared" si="131"/>
        <v/>
      </c>
      <c r="GE60" s="247" t="str">
        <f t="shared" si="132"/>
        <v/>
      </c>
      <c r="GF60" s="197" t="str">
        <f t="shared" si="133"/>
        <v/>
      </c>
      <c r="GG60" s="198" t="str">
        <f t="shared" si="134"/>
        <v/>
      </c>
      <c r="GH60" s="198" t="str">
        <f t="shared" si="135"/>
        <v/>
      </c>
      <c r="GI60" s="199" t="str">
        <f t="shared" si="136"/>
        <v/>
      </c>
      <c r="GJ60" s="248">
        <f t="shared" ca="1" si="137"/>
        <v>0</v>
      </c>
      <c r="GK60" s="842" t="str">
        <f t="shared" ca="1" si="138"/>
        <v/>
      </c>
    </row>
    <row r="61" spans="1:222" ht="12.6" hidden="1" customHeight="1" x14ac:dyDescent="0.2">
      <c r="A61" s="833"/>
      <c r="BZ61" s="214"/>
      <c r="CA61" s="288"/>
      <c r="CB61" s="268"/>
      <c r="CC61" s="269"/>
      <c r="CD61" s="270"/>
      <c r="CE61" s="270"/>
      <c r="CF61" s="270"/>
      <c r="CG61" s="270"/>
      <c r="CH61" s="270"/>
      <c r="CI61" s="270"/>
      <c r="CJ61" s="270"/>
      <c r="CK61" s="271"/>
      <c r="CL61" s="269"/>
      <c r="CM61" s="270"/>
      <c r="CN61" s="270"/>
      <c r="CO61" s="270"/>
      <c r="CP61" s="270"/>
      <c r="CQ61" s="270"/>
      <c r="CR61" s="270"/>
      <c r="CS61" s="270"/>
      <c r="CT61" s="271"/>
      <c r="CU61" s="272"/>
      <c r="CV61" s="273"/>
      <c r="CW61" s="273"/>
      <c r="CX61" s="273"/>
      <c r="CY61" s="274"/>
      <c r="CZ61" s="274"/>
      <c r="DA61" s="274"/>
      <c r="DB61" s="273"/>
      <c r="DC61" s="273"/>
      <c r="DD61" s="275"/>
      <c r="DE61" s="273"/>
      <c r="DF61" s="274"/>
      <c r="DG61" s="274"/>
      <c r="DH61" s="273"/>
      <c r="DI61" s="273"/>
      <c r="DJ61" s="275"/>
      <c r="DK61" s="273"/>
      <c r="DL61" s="273"/>
      <c r="DM61" s="273"/>
      <c r="DN61" s="273"/>
      <c r="DO61" s="273"/>
      <c r="DP61" s="273"/>
      <c r="DQ61" s="273"/>
      <c r="DR61" s="273"/>
      <c r="DS61" s="273"/>
      <c r="DT61" s="273"/>
      <c r="DU61" s="273"/>
      <c r="DV61" s="273"/>
      <c r="DW61" s="273"/>
      <c r="DX61" s="273"/>
      <c r="DY61" s="273"/>
      <c r="DZ61" s="273"/>
      <c r="EA61" s="273"/>
      <c r="EB61" s="276"/>
      <c r="EC61" s="277"/>
      <c r="ED61" s="276"/>
      <c r="EE61" s="276"/>
      <c r="EF61" s="276"/>
      <c r="EG61" s="276"/>
      <c r="EH61" s="276"/>
      <c r="EI61" s="276"/>
      <c r="EJ61" s="276"/>
      <c r="EK61" s="274"/>
      <c r="EL61" s="274"/>
      <c r="EM61" s="274"/>
      <c r="EN61" s="274"/>
      <c r="EO61" s="273"/>
      <c r="EP61" s="274"/>
      <c r="EQ61" s="274"/>
      <c r="ER61" s="274"/>
      <c r="ES61" s="274"/>
      <c r="ET61" s="273"/>
      <c r="EU61" s="273"/>
      <c r="EV61" s="276"/>
      <c r="EW61" s="276"/>
      <c r="EX61" s="279"/>
      <c r="EY61" s="285"/>
      <c r="EZ61" s="269"/>
      <c r="FA61" s="282"/>
      <c r="FB61" s="286"/>
      <c r="FC61" s="287"/>
      <c r="FD61" s="468"/>
      <c r="FE61" s="469"/>
      <c r="FF61" s="703" t="b">
        <f t="shared" si="126"/>
        <v>0</v>
      </c>
      <c r="FG61" s="703" t="b">
        <f t="shared" si="127"/>
        <v>0</v>
      </c>
      <c r="FH61" s="703" t="b">
        <f t="shared" si="128"/>
        <v>0</v>
      </c>
      <c r="FI61" s="846" t="b">
        <f t="shared" si="129"/>
        <v>0</v>
      </c>
      <c r="FJ61" s="849" t="str">
        <f t="shared" si="139"/>
        <v/>
      </c>
      <c r="FK61" s="848" t="str">
        <f t="shared" si="140"/>
        <v/>
      </c>
      <c r="FL61" s="242" t="e">
        <f t="shared" si="141"/>
        <v>#N/A</v>
      </c>
      <c r="FM61" s="234" t="str">
        <f t="shared" si="130"/>
        <v/>
      </c>
      <c r="FN61" s="191" t="str">
        <f t="shared" ca="1" si="142"/>
        <v/>
      </c>
      <c r="FO61" s="192" t="str">
        <f t="shared" ca="1" si="143"/>
        <v/>
      </c>
      <c r="FP61" s="193" t="str">
        <f t="shared" ca="1" si="144"/>
        <v/>
      </c>
      <c r="FQ61" s="193" t="str">
        <f t="shared" ca="1" si="145"/>
        <v/>
      </c>
      <c r="FR61" s="243">
        <f t="shared" ca="1" si="146"/>
        <v>0</v>
      </c>
      <c r="FS61" s="244">
        <f t="shared" ca="1" si="147"/>
        <v>0</v>
      </c>
      <c r="FT61" s="191" t="str">
        <f t="shared" ca="1" si="152"/>
        <v/>
      </c>
      <c r="FU61" s="194" t="str">
        <f t="shared" ca="1" si="153"/>
        <v/>
      </c>
      <c r="FV61" s="245" t="str">
        <f t="shared" ca="1" si="154"/>
        <v/>
      </c>
      <c r="FW61" s="195" t="str">
        <f t="shared" ca="1" si="148"/>
        <v/>
      </c>
      <c r="FX61" s="195" t="str">
        <f t="shared" ca="1" si="149"/>
        <v/>
      </c>
      <c r="FY61" s="195" t="str">
        <f t="shared" ca="1" si="155"/>
        <v/>
      </c>
      <c r="FZ61" s="195" t="str">
        <f t="shared" ca="1" si="150"/>
        <v/>
      </c>
      <c r="GA61" s="195" t="str">
        <f t="shared" ca="1" si="156"/>
        <v/>
      </c>
      <c r="GB61" s="196" t="str">
        <f ca="1">IF(FY61="","",2+SUM(FO61:OFFSET(FO61,(FU61-1)*-1,0)))</f>
        <v/>
      </c>
      <c r="GC61" s="238" t="e">
        <f t="shared" si="151"/>
        <v>#N/A</v>
      </c>
      <c r="GD61" s="246" t="str">
        <f t="shared" si="131"/>
        <v/>
      </c>
      <c r="GE61" s="247" t="str">
        <f t="shared" si="132"/>
        <v/>
      </c>
      <c r="GF61" s="197" t="str">
        <f t="shared" si="133"/>
        <v/>
      </c>
      <c r="GG61" s="198" t="str">
        <f t="shared" si="134"/>
        <v/>
      </c>
      <c r="GH61" s="198" t="str">
        <f t="shared" si="135"/>
        <v/>
      </c>
      <c r="GI61" s="199" t="str">
        <f t="shared" si="136"/>
        <v/>
      </c>
      <c r="GJ61" s="248">
        <f t="shared" ca="1" si="137"/>
        <v>0</v>
      </c>
      <c r="GK61" s="842" t="str">
        <f t="shared" ca="1" si="138"/>
        <v/>
      </c>
    </row>
    <row r="62" spans="1:222" ht="12.6" hidden="1" customHeight="1" x14ac:dyDescent="0.2">
      <c r="BZ62" s="214"/>
      <c r="CA62" s="288"/>
      <c r="CB62" s="268"/>
      <c r="CC62" s="269"/>
      <c r="CD62" s="270"/>
      <c r="CE62" s="270"/>
      <c r="CF62" s="270"/>
      <c r="CG62" s="270"/>
      <c r="CH62" s="270"/>
      <c r="CI62" s="270"/>
      <c r="CJ62" s="270"/>
      <c r="CK62" s="271"/>
      <c r="CL62" s="269"/>
      <c r="CM62" s="270"/>
      <c r="CN62" s="270"/>
      <c r="CO62" s="270"/>
      <c r="CP62" s="270"/>
      <c r="CQ62" s="270"/>
      <c r="CR62" s="270"/>
      <c r="CS62" s="270"/>
      <c r="CT62" s="271"/>
      <c r="CU62" s="272"/>
      <c r="CV62" s="273"/>
      <c r="CW62" s="273"/>
      <c r="CX62" s="273"/>
      <c r="CY62" s="274"/>
      <c r="CZ62" s="274"/>
      <c r="DA62" s="274"/>
      <c r="DB62" s="273"/>
      <c r="DC62" s="273"/>
      <c r="DD62" s="275"/>
      <c r="DE62" s="273"/>
      <c r="DF62" s="274"/>
      <c r="DG62" s="274"/>
      <c r="DH62" s="273"/>
      <c r="DI62" s="273"/>
      <c r="DJ62" s="275"/>
      <c r="DK62" s="273"/>
      <c r="DL62" s="273"/>
      <c r="DM62" s="273"/>
      <c r="DN62" s="273"/>
      <c r="DO62" s="273"/>
      <c r="DP62" s="273"/>
      <c r="DQ62" s="273"/>
      <c r="DR62" s="273"/>
      <c r="DS62" s="273"/>
      <c r="DT62" s="273"/>
      <c r="DU62" s="273"/>
      <c r="DV62" s="273"/>
      <c r="DW62" s="273"/>
      <c r="DX62" s="273"/>
      <c r="DY62" s="273"/>
      <c r="DZ62" s="273"/>
      <c r="EA62" s="273"/>
      <c r="EB62" s="276"/>
      <c r="EC62" s="277"/>
      <c r="ED62" s="276"/>
      <c r="EE62" s="276"/>
      <c r="EF62" s="276"/>
      <c r="EG62" s="276"/>
      <c r="EH62" s="276"/>
      <c r="EI62" s="276"/>
      <c r="EJ62" s="276"/>
      <c r="EK62" s="274"/>
      <c r="EL62" s="274"/>
      <c r="EM62" s="274"/>
      <c r="EN62" s="274"/>
      <c r="EO62" s="273"/>
      <c r="EP62" s="274"/>
      <c r="EQ62" s="274"/>
      <c r="ER62" s="274"/>
      <c r="ES62" s="274"/>
      <c r="ET62" s="273"/>
      <c r="EU62" s="273"/>
      <c r="EV62" s="276"/>
      <c r="EW62" s="276"/>
      <c r="EX62" s="279"/>
      <c r="EY62" s="285"/>
      <c r="EZ62" s="269"/>
      <c r="FA62" s="282"/>
      <c r="FB62" s="286"/>
      <c r="FC62" s="287"/>
      <c r="FD62" s="468"/>
      <c r="FE62" s="469"/>
      <c r="FF62" s="703" t="b">
        <f t="shared" si="126"/>
        <v>0</v>
      </c>
      <c r="FG62" s="703" t="b">
        <f t="shared" si="127"/>
        <v>0</v>
      </c>
      <c r="FH62" s="703" t="b">
        <f t="shared" si="128"/>
        <v>0</v>
      </c>
      <c r="FI62" s="846" t="b">
        <f t="shared" si="129"/>
        <v>0</v>
      </c>
      <c r="FJ62" s="849" t="str">
        <f t="shared" si="139"/>
        <v/>
      </c>
      <c r="FK62" s="848" t="str">
        <f t="shared" si="140"/>
        <v/>
      </c>
      <c r="FL62" s="242" t="e">
        <f t="shared" si="141"/>
        <v>#N/A</v>
      </c>
      <c r="FM62" s="234" t="str">
        <f t="shared" si="130"/>
        <v/>
      </c>
      <c r="FN62" s="191" t="str">
        <f t="shared" ca="1" si="142"/>
        <v/>
      </c>
      <c r="FO62" s="192" t="str">
        <f t="shared" ca="1" si="143"/>
        <v/>
      </c>
      <c r="FP62" s="193" t="str">
        <f t="shared" ca="1" si="144"/>
        <v/>
      </c>
      <c r="FQ62" s="193" t="str">
        <f t="shared" ca="1" si="145"/>
        <v/>
      </c>
      <c r="FR62" s="243">
        <f t="shared" ca="1" si="146"/>
        <v>0</v>
      </c>
      <c r="FS62" s="244">
        <f t="shared" ca="1" si="147"/>
        <v>0</v>
      </c>
      <c r="FT62" s="191" t="str">
        <f t="shared" ca="1" si="152"/>
        <v/>
      </c>
      <c r="FU62" s="194" t="str">
        <f t="shared" ca="1" si="153"/>
        <v/>
      </c>
      <c r="FV62" s="245" t="str">
        <f t="shared" ca="1" si="154"/>
        <v/>
      </c>
      <c r="FW62" s="195" t="str">
        <f t="shared" ca="1" si="148"/>
        <v/>
      </c>
      <c r="FX62" s="195" t="str">
        <f t="shared" ca="1" si="149"/>
        <v/>
      </c>
      <c r="FY62" s="195" t="str">
        <f t="shared" ca="1" si="155"/>
        <v/>
      </c>
      <c r="FZ62" s="195" t="str">
        <f t="shared" ca="1" si="150"/>
        <v/>
      </c>
      <c r="GA62" s="195" t="str">
        <f t="shared" ca="1" si="156"/>
        <v/>
      </c>
      <c r="GB62" s="196" t="str">
        <f ca="1">IF(FY62="","",2+SUM(FO62:OFFSET(FO62,(FU62-1)*-1,0)))</f>
        <v/>
      </c>
      <c r="GC62" s="238" t="e">
        <f t="shared" si="151"/>
        <v>#N/A</v>
      </c>
      <c r="GD62" s="246" t="str">
        <f t="shared" si="131"/>
        <v/>
      </c>
      <c r="GE62" s="247" t="str">
        <f t="shared" si="132"/>
        <v/>
      </c>
      <c r="GF62" s="197" t="str">
        <f t="shared" si="133"/>
        <v/>
      </c>
      <c r="GG62" s="198" t="str">
        <f t="shared" si="134"/>
        <v/>
      </c>
      <c r="GH62" s="198" t="str">
        <f t="shared" si="135"/>
        <v/>
      </c>
      <c r="GI62" s="199" t="str">
        <f t="shared" si="136"/>
        <v/>
      </c>
      <c r="GJ62" s="248">
        <f t="shared" ca="1" si="137"/>
        <v>0</v>
      </c>
      <c r="GK62" s="842" t="str">
        <f t="shared" ca="1" si="138"/>
        <v/>
      </c>
    </row>
    <row r="63" spans="1:222" ht="12.6" hidden="1" customHeight="1" x14ac:dyDescent="0.2">
      <c r="BZ63" s="214"/>
      <c r="CA63" s="288"/>
      <c r="CB63" s="268"/>
      <c r="CC63" s="269"/>
      <c r="CD63" s="270"/>
      <c r="CE63" s="270"/>
      <c r="CF63" s="270"/>
      <c r="CG63" s="270"/>
      <c r="CH63" s="270"/>
      <c r="CI63" s="270"/>
      <c r="CJ63" s="270"/>
      <c r="CK63" s="271"/>
      <c r="CL63" s="269"/>
      <c r="CM63" s="270"/>
      <c r="CN63" s="270"/>
      <c r="CO63" s="270"/>
      <c r="CP63" s="270"/>
      <c r="CQ63" s="270"/>
      <c r="CR63" s="270"/>
      <c r="CS63" s="270"/>
      <c r="CT63" s="271"/>
      <c r="CU63" s="272"/>
      <c r="CV63" s="273"/>
      <c r="CW63" s="273"/>
      <c r="CX63" s="273"/>
      <c r="CY63" s="274"/>
      <c r="CZ63" s="274"/>
      <c r="DA63" s="274"/>
      <c r="DB63" s="273"/>
      <c r="DC63" s="273"/>
      <c r="DD63" s="275"/>
      <c r="DE63" s="273"/>
      <c r="DF63" s="274"/>
      <c r="DG63" s="274"/>
      <c r="DH63" s="273"/>
      <c r="DI63" s="273"/>
      <c r="DJ63" s="275"/>
      <c r="DK63" s="273"/>
      <c r="DL63" s="273"/>
      <c r="DM63" s="273"/>
      <c r="DN63" s="273"/>
      <c r="DO63" s="273"/>
      <c r="DP63" s="273"/>
      <c r="DQ63" s="273"/>
      <c r="DR63" s="273"/>
      <c r="DS63" s="273"/>
      <c r="DT63" s="273"/>
      <c r="DU63" s="273"/>
      <c r="DV63" s="273"/>
      <c r="DW63" s="273"/>
      <c r="DX63" s="273"/>
      <c r="DY63" s="273"/>
      <c r="DZ63" s="273"/>
      <c r="EA63" s="273"/>
      <c r="EB63" s="276"/>
      <c r="EC63" s="277"/>
      <c r="ED63" s="276"/>
      <c r="EE63" s="276"/>
      <c r="EF63" s="276"/>
      <c r="EG63" s="276"/>
      <c r="EH63" s="276"/>
      <c r="EI63" s="276"/>
      <c r="EJ63" s="276"/>
      <c r="EK63" s="274"/>
      <c r="EL63" s="274"/>
      <c r="EM63" s="274"/>
      <c r="EN63" s="274"/>
      <c r="EO63" s="273"/>
      <c r="EP63" s="274"/>
      <c r="EQ63" s="274"/>
      <c r="ER63" s="274"/>
      <c r="ES63" s="274"/>
      <c r="ET63" s="273"/>
      <c r="EU63" s="273"/>
      <c r="EV63" s="276"/>
      <c r="EW63" s="276"/>
      <c r="EX63" s="279"/>
      <c r="EY63" s="285"/>
      <c r="EZ63" s="269"/>
      <c r="FA63" s="282"/>
      <c r="FB63" s="286"/>
      <c r="FC63" s="287"/>
      <c r="FD63" s="468"/>
      <c r="FE63" s="469"/>
      <c r="FF63" s="703" t="b">
        <f t="shared" si="126"/>
        <v>0</v>
      </c>
      <c r="FG63" s="703" t="b">
        <f t="shared" si="127"/>
        <v>0</v>
      </c>
      <c r="FH63" s="703" t="b">
        <f t="shared" si="128"/>
        <v>0</v>
      </c>
      <c r="FI63" s="846" t="b">
        <f t="shared" si="129"/>
        <v>0</v>
      </c>
      <c r="FJ63" s="849" t="str">
        <f t="shared" si="139"/>
        <v/>
      </c>
      <c r="FK63" s="848" t="str">
        <f t="shared" si="140"/>
        <v/>
      </c>
      <c r="FL63" s="242" t="e">
        <f t="shared" si="141"/>
        <v>#N/A</v>
      </c>
      <c r="FM63" s="234" t="str">
        <f t="shared" si="130"/>
        <v/>
      </c>
      <c r="FN63" s="191" t="str">
        <f t="shared" ca="1" si="142"/>
        <v/>
      </c>
      <c r="FO63" s="192" t="str">
        <f t="shared" ca="1" si="143"/>
        <v/>
      </c>
      <c r="FP63" s="193" t="str">
        <f t="shared" ca="1" si="144"/>
        <v/>
      </c>
      <c r="FQ63" s="193" t="str">
        <f t="shared" ca="1" si="145"/>
        <v/>
      </c>
      <c r="FR63" s="243">
        <f t="shared" ca="1" si="146"/>
        <v>0</v>
      </c>
      <c r="FS63" s="244">
        <f t="shared" ca="1" si="147"/>
        <v>0</v>
      </c>
      <c r="FT63" s="191" t="str">
        <f t="shared" ca="1" si="152"/>
        <v/>
      </c>
      <c r="FU63" s="194" t="str">
        <f t="shared" ca="1" si="153"/>
        <v/>
      </c>
      <c r="FV63" s="245" t="str">
        <f t="shared" ca="1" si="154"/>
        <v/>
      </c>
      <c r="FW63" s="195" t="str">
        <f t="shared" ca="1" si="148"/>
        <v/>
      </c>
      <c r="FX63" s="195" t="str">
        <f t="shared" ca="1" si="149"/>
        <v/>
      </c>
      <c r="FY63" s="195" t="str">
        <f t="shared" ca="1" si="155"/>
        <v/>
      </c>
      <c r="FZ63" s="195" t="str">
        <f t="shared" ca="1" si="150"/>
        <v/>
      </c>
      <c r="GA63" s="195" t="str">
        <f t="shared" ca="1" si="156"/>
        <v/>
      </c>
      <c r="GB63" s="196" t="str">
        <f ca="1">IF(FY63="","",2+SUM(FO63:OFFSET(FO63,(FU63-1)*-1,0)))</f>
        <v/>
      </c>
      <c r="GC63" s="238" t="e">
        <f t="shared" si="151"/>
        <v>#N/A</v>
      </c>
      <c r="GD63" s="246" t="str">
        <f t="shared" si="131"/>
        <v/>
      </c>
      <c r="GE63" s="247" t="str">
        <f t="shared" si="132"/>
        <v/>
      </c>
      <c r="GF63" s="197" t="str">
        <f t="shared" si="133"/>
        <v/>
      </c>
      <c r="GG63" s="198" t="str">
        <f t="shared" si="134"/>
        <v/>
      </c>
      <c r="GH63" s="198" t="str">
        <f t="shared" si="135"/>
        <v/>
      </c>
      <c r="GI63" s="199" t="str">
        <f t="shared" si="136"/>
        <v/>
      </c>
      <c r="GJ63" s="248">
        <f t="shared" ca="1" si="137"/>
        <v>0</v>
      </c>
      <c r="GK63" s="842" t="str">
        <f t="shared" ca="1" si="138"/>
        <v/>
      </c>
    </row>
    <row r="64" spans="1:222" ht="12.6" hidden="1" customHeight="1" x14ac:dyDescent="0.2">
      <c r="BZ64" s="214"/>
      <c r="CA64" s="288"/>
      <c r="CB64" s="268"/>
      <c r="CC64" s="269"/>
      <c r="CD64" s="270"/>
      <c r="CE64" s="270"/>
      <c r="CF64" s="270"/>
      <c r="CG64" s="270"/>
      <c r="CH64" s="270"/>
      <c r="CI64" s="270"/>
      <c r="CJ64" s="270"/>
      <c r="CK64" s="271"/>
      <c r="CL64" s="269"/>
      <c r="CM64" s="270"/>
      <c r="CN64" s="270"/>
      <c r="CO64" s="270"/>
      <c r="CP64" s="270"/>
      <c r="CQ64" s="270"/>
      <c r="CR64" s="270"/>
      <c r="CS64" s="270"/>
      <c r="CT64" s="271"/>
      <c r="CU64" s="272"/>
      <c r="CV64" s="273"/>
      <c r="CW64" s="273"/>
      <c r="CX64" s="273"/>
      <c r="CY64" s="274"/>
      <c r="CZ64" s="274"/>
      <c r="DA64" s="274"/>
      <c r="DB64" s="273"/>
      <c r="DC64" s="273"/>
      <c r="DD64" s="275"/>
      <c r="DE64" s="273"/>
      <c r="DF64" s="274"/>
      <c r="DG64" s="274"/>
      <c r="DH64" s="273"/>
      <c r="DI64" s="273"/>
      <c r="DJ64" s="275"/>
      <c r="DK64" s="273"/>
      <c r="DL64" s="273"/>
      <c r="DM64" s="273"/>
      <c r="DN64" s="273"/>
      <c r="DO64" s="273"/>
      <c r="DP64" s="273"/>
      <c r="DQ64" s="273"/>
      <c r="DR64" s="273"/>
      <c r="DS64" s="273"/>
      <c r="DT64" s="273"/>
      <c r="DU64" s="273"/>
      <c r="DV64" s="273"/>
      <c r="DW64" s="273"/>
      <c r="DX64" s="273"/>
      <c r="DY64" s="273"/>
      <c r="DZ64" s="273"/>
      <c r="EA64" s="273"/>
      <c r="EB64" s="276"/>
      <c r="EC64" s="277"/>
      <c r="ED64" s="276"/>
      <c r="EE64" s="276"/>
      <c r="EF64" s="276"/>
      <c r="EG64" s="276"/>
      <c r="EH64" s="276"/>
      <c r="EI64" s="276"/>
      <c r="EJ64" s="276"/>
      <c r="EK64" s="274"/>
      <c r="EL64" s="274"/>
      <c r="EM64" s="274"/>
      <c r="EN64" s="274"/>
      <c r="EO64" s="273"/>
      <c r="EP64" s="274"/>
      <c r="EQ64" s="274"/>
      <c r="ER64" s="274"/>
      <c r="ES64" s="274"/>
      <c r="ET64" s="273"/>
      <c r="EU64" s="273"/>
      <c r="EV64" s="276"/>
      <c r="EW64" s="276"/>
      <c r="EX64" s="279"/>
      <c r="EY64" s="285"/>
      <c r="EZ64" s="269"/>
      <c r="FA64" s="282"/>
      <c r="FB64" s="286"/>
      <c r="FC64" s="287"/>
      <c r="FD64" s="468"/>
      <c r="FE64" s="469"/>
      <c r="FF64" s="703" t="b">
        <f t="shared" si="126"/>
        <v>0</v>
      </c>
      <c r="FG64" s="703" t="b">
        <f t="shared" si="127"/>
        <v>0</v>
      </c>
      <c r="FH64" s="703" t="b">
        <f t="shared" si="128"/>
        <v>0</v>
      </c>
      <c r="FI64" s="846" t="b">
        <f t="shared" si="129"/>
        <v>0</v>
      </c>
      <c r="FJ64" s="849" t="str">
        <f t="shared" si="139"/>
        <v/>
      </c>
      <c r="FK64" s="848" t="str">
        <f t="shared" si="140"/>
        <v/>
      </c>
      <c r="FL64" s="242" t="e">
        <f t="shared" si="141"/>
        <v>#N/A</v>
      </c>
      <c r="FM64" s="234" t="str">
        <f t="shared" si="130"/>
        <v/>
      </c>
      <c r="FN64" s="191" t="str">
        <f t="shared" ca="1" si="142"/>
        <v/>
      </c>
      <c r="FO64" s="192" t="str">
        <f t="shared" ca="1" si="143"/>
        <v/>
      </c>
      <c r="FP64" s="193" t="str">
        <f t="shared" ca="1" si="144"/>
        <v/>
      </c>
      <c r="FQ64" s="193" t="str">
        <f t="shared" ca="1" si="145"/>
        <v/>
      </c>
      <c r="FR64" s="243">
        <f t="shared" ca="1" si="146"/>
        <v>0</v>
      </c>
      <c r="FS64" s="244">
        <f t="shared" ca="1" si="147"/>
        <v>0</v>
      </c>
      <c r="FT64" s="191" t="str">
        <f t="shared" ca="1" si="152"/>
        <v/>
      </c>
      <c r="FU64" s="194" t="str">
        <f t="shared" ca="1" si="153"/>
        <v/>
      </c>
      <c r="FV64" s="245" t="str">
        <f t="shared" ca="1" si="154"/>
        <v/>
      </c>
      <c r="FW64" s="195" t="str">
        <f t="shared" ca="1" si="148"/>
        <v/>
      </c>
      <c r="FX64" s="195" t="str">
        <f t="shared" ca="1" si="149"/>
        <v/>
      </c>
      <c r="FY64" s="195" t="str">
        <f t="shared" ca="1" si="155"/>
        <v/>
      </c>
      <c r="FZ64" s="195" t="str">
        <f t="shared" ca="1" si="150"/>
        <v/>
      </c>
      <c r="GA64" s="195" t="str">
        <f t="shared" ca="1" si="156"/>
        <v/>
      </c>
      <c r="GB64" s="196" t="str">
        <f ca="1">IF(FY64="","",2+SUM(FO64:OFFSET(FO64,(FU64-1)*-1,0)))</f>
        <v/>
      </c>
      <c r="GC64" s="238" t="e">
        <f t="shared" si="151"/>
        <v>#N/A</v>
      </c>
      <c r="GD64" s="246" t="str">
        <f t="shared" si="131"/>
        <v/>
      </c>
      <c r="GE64" s="247" t="str">
        <f t="shared" si="132"/>
        <v/>
      </c>
      <c r="GF64" s="197" t="str">
        <f t="shared" si="133"/>
        <v/>
      </c>
      <c r="GG64" s="198" t="str">
        <f t="shared" si="134"/>
        <v/>
      </c>
      <c r="GH64" s="198" t="str">
        <f t="shared" si="135"/>
        <v/>
      </c>
      <c r="GI64" s="199" t="str">
        <f t="shared" si="136"/>
        <v/>
      </c>
      <c r="GJ64" s="248">
        <f t="shared" ca="1" si="137"/>
        <v>0</v>
      </c>
      <c r="GK64" s="842" t="str">
        <f t="shared" ca="1" si="138"/>
        <v/>
      </c>
    </row>
    <row r="65" spans="78:196" ht="12.6" hidden="1" customHeight="1" x14ac:dyDescent="0.2">
      <c r="BZ65" s="214"/>
      <c r="CA65" s="288"/>
      <c r="CB65" s="268"/>
      <c r="CC65" s="269"/>
      <c r="CD65" s="270"/>
      <c r="CE65" s="270"/>
      <c r="CF65" s="270"/>
      <c r="CG65" s="270"/>
      <c r="CH65" s="270"/>
      <c r="CI65" s="270"/>
      <c r="CJ65" s="270"/>
      <c r="CK65" s="271"/>
      <c r="CL65" s="269"/>
      <c r="CM65" s="270"/>
      <c r="CN65" s="270"/>
      <c r="CO65" s="270"/>
      <c r="CP65" s="270"/>
      <c r="CQ65" s="270"/>
      <c r="CR65" s="270"/>
      <c r="CS65" s="270"/>
      <c r="CT65" s="271"/>
      <c r="CU65" s="272"/>
      <c r="CV65" s="273"/>
      <c r="CW65" s="273"/>
      <c r="CX65" s="273"/>
      <c r="CY65" s="274"/>
      <c r="CZ65" s="274"/>
      <c r="DA65" s="274"/>
      <c r="DB65" s="273"/>
      <c r="DC65" s="273"/>
      <c r="DD65" s="275"/>
      <c r="DE65" s="273"/>
      <c r="DF65" s="274"/>
      <c r="DG65" s="274"/>
      <c r="DH65" s="273"/>
      <c r="DI65" s="273"/>
      <c r="DJ65" s="275"/>
      <c r="DK65" s="273"/>
      <c r="DL65" s="273"/>
      <c r="DM65" s="273"/>
      <c r="DN65" s="273"/>
      <c r="DO65" s="273"/>
      <c r="DP65" s="273"/>
      <c r="DQ65" s="273"/>
      <c r="DR65" s="273"/>
      <c r="DS65" s="273"/>
      <c r="DT65" s="273"/>
      <c r="DU65" s="273"/>
      <c r="DV65" s="273"/>
      <c r="DW65" s="273"/>
      <c r="DX65" s="273"/>
      <c r="DY65" s="273"/>
      <c r="DZ65" s="273"/>
      <c r="EA65" s="273"/>
      <c r="EB65" s="276"/>
      <c r="EC65" s="277"/>
      <c r="ED65" s="276"/>
      <c r="EE65" s="276"/>
      <c r="EF65" s="276"/>
      <c r="EG65" s="276"/>
      <c r="EH65" s="276"/>
      <c r="EI65" s="276"/>
      <c r="EJ65" s="276"/>
      <c r="EK65" s="274"/>
      <c r="EL65" s="274"/>
      <c r="EM65" s="274"/>
      <c r="EN65" s="274"/>
      <c r="EO65" s="273"/>
      <c r="EP65" s="274"/>
      <c r="EQ65" s="274"/>
      <c r="ER65" s="274"/>
      <c r="ES65" s="274"/>
      <c r="ET65" s="273"/>
      <c r="EU65" s="273"/>
      <c r="EV65" s="276"/>
      <c r="EW65" s="276"/>
      <c r="EX65" s="279"/>
      <c r="EY65" s="285"/>
      <c r="EZ65" s="269"/>
      <c r="FA65" s="282"/>
      <c r="FB65" s="286"/>
      <c r="FC65" s="287"/>
      <c r="FD65" s="468"/>
      <c r="FE65" s="469"/>
      <c r="FF65" s="703" t="b">
        <f t="shared" si="126"/>
        <v>0</v>
      </c>
      <c r="FG65" s="703" t="b">
        <f t="shared" si="127"/>
        <v>0</v>
      </c>
      <c r="FH65" s="703" t="b">
        <f t="shared" si="128"/>
        <v>0</v>
      </c>
      <c r="FI65" s="846" t="b">
        <f t="shared" si="129"/>
        <v>0</v>
      </c>
      <c r="FJ65" s="849" t="str">
        <f t="shared" si="139"/>
        <v/>
      </c>
      <c r="FK65" s="848" t="str">
        <f t="shared" si="140"/>
        <v/>
      </c>
      <c r="FL65" s="242" t="e">
        <f t="shared" si="141"/>
        <v>#N/A</v>
      </c>
      <c r="FM65" s="234" t="str">
        <f t="shared" si="130"/>
        <v/>
      </c>
      <c r="FN65" s="191" t="str">
        <f t="shared" ca="1" si="142"/>
        <v/>
      </c>
      <c r="FO65" s="192" t="str">
        <f t="shared" ca="1" si="143"/>
        <v/>
      </c>
      <c r="FP65" s="193" t="str">
        <f t="shared" ca="1" si="144"/>
        <v/>
      </c>
      <c r="FQ65" s="193" t="str">
        <f t="shared" ca="1" si="145"/>
        <v/>
      </c>
      <c r="FR65" s="243">
        <f t="shared" ca="1" si="146"/>
        <v>0</v>
      </c>
      <c r="FS65" s="244">
        <f t="shared" ca="1" si="147"/>
        <v>0</v>
      </c>
      <c r="FT65" s="191" t="str">
        <f t="shared" ca="1" si="152"/>
        <v/>
      </c>
      <c r="FU65" s="194" t="str">
        <f t="shared" ca="1" si="153"/>
        <v/>
      </c>
      <c r="FV65" s="245" t="str">
        <f t="shared" ca="1" si="154"/>
        <v/>
      </c>
      <c r="FW65" s="195" t="str">
        <f t="shared" ca="1" si="148"/>
        <v/>
      </c>
      <c r="FX65" s="195" t="str">
        <f t="shared" ca="1" si="149"/>
        <v/>
      </c>
      <c r="FY65" s="195" t="str">
        <f t="shared" ca="1" si="155"/>
        <v/>
      </c>
      <c r="FZ65" s="195" t="str">
        <f t="shared" ca="1" si="150"/>
        <v/>
      </c>
      <c r="GA65" s="195" t="str">
        <f t="shared" ca="1" si="156"/>
        <v/>
      </c>
      <c r="GB65" s="196" t="str">
        <f ca="1">IF(FY65="","",2+SUM(FO65:OFFSET(FO65,(FU65-1)*-1,0)))</f>
        <v/>
      </c>
      <c r="GC65" s="238" t="e">
        <f t="shared" si="151"/>
        <v>#N/A</v>
      </c>
      <c r="GD65" s="246" t="str">
        <f t="shared" si="131"/>
        <v/>
      </c>
      <c r="GE65" s="247" t="str">
        <f t="shared" si="132"/>
        <v/>
      </c>
      <c r="GF65" s="197" t="str">
        <f t="shared" si="133"/>
        <v/>
      </c>
      <c r="GG65" s="198" t="str">
        <f t="shared" si="134"/>
        <v/>
      </c>
      <c r="GH65" s="198" t="str">
        <f t="shared" si="135"/>
        <v/>
      </c>
      <c r="GI65" s="199" t="str">
        <f t="shared" si="136"/>
        <v/>
      </c>
      <c r="GJ65" s="248">
        <f t="shared" ca="1" si="137"/>
        <v>0</v>
      </c>
      <c r="GK65" s="842" t="str">
        <f t="shared" ca="1" si="138"/>
        <v/>
      </c>
    </row>
    <row r="66" spans="78:196" ht="12.6" hidden="1" customHeight="1" x14ac:dyDescent="0.2">
      <c r="BZ66" s="214"/>
      <c r="CA66" s="288"/>
      <c r="CB66" s="268"/>
      <c r="CC66" s="269"/>
      <c r="CD66" s="270"/>
      <c r="CE66" s="270"/>
      <c r="CF66" s="270"/>
      <c r="CG66" s="270"/>
      <c r="CH66" s="270"/>
      <c r="CI66" s="270"/>
      <c r="CJ66" s="270"/>
      <c r="CK66" s="271"/>
      <c r="CL66" s="269"/>
      <c r="CM66" s="270"/>
      <c r="CN66" s="270"/>
      <c r="CO66" s="270"/>
      <c r="CP66" s="270"/>
      <c r="CQ66" s="270"/>
      <c r="CR66" s="270"/>
      <c r="CS66" s="270"/>
      <c r="CT66" s="271"/>
      <c r="CU66" s="272"/>
      <c r="CV66" s="273"/>
      <c r="CW66" s="273"/>
      <c r="CX66" s="273"/>
      <c r="CY66" s="274"/>
      <c r="CZ66" s="274"/>
      <c r="DA66" s="274"/>
      <c r="DB66" s="273"/>
      <c r="DC66" s="273"/>
      <c r="DD66" s="275"/>
      <c r="DE66" s="273"/>
      <c r="DF66" s="274"/>
      <c r="DG66" s="274"/>
      <c r="DH66" s="273"/>
      <c r="DI66" s="273"/>
      <c r="DJ66" s="275"/>
      <c r="DK66" s="273"/>
      <c r="DL66" s="273"/>
      <c r="DM66" s="273"/>
      <c r="DN66" s="273"/>
      <c r="DO66" s="273"/>
      <c r="DP66" s="273"/>
      <c r="DQ66" s="273"/>
      <c r="DR66" s="273"/>
      <c r="DS66" s="273"/>
      <c r="DT66" s="273"/>
      <c r="DU66" s="273"/>
      <c r="DV66" s="273"/>
      <c r="DW66" s="273"/>
      <c r="DX66" s="273"/>
      <c r="DY66" s="273"/>
      <c r="DZ66" s="273"/>
      <c r="EA66" s="273"/>
      <c r="EB66" s="276"/>
      <c r="EC66" s="277"/>
      <c r="ED66" s="276"/>
      <c r="EE66" s="276"/>
      <c r="EF66" s="276"/>
      <c r="EG66" s="276"/>
      <c r="EH66" s="276"/>
      <c r="EI66" s="276"/>
      <c r="EJ66" s="276"/>
      <c r="EK66" s="274"/>
      <c r="EL66" s="274"/>
      <c r="EM66" s="274"/>
      <c r="EN66" s="274"/>
      <c r="EO66" s="273"/>
      <c r="EP66" s="274"/>
      <c r="EQ66" s="274"/>
      <c r="ER66" s="274"/>
      <c r="ES66" s="274"/>
      <c r="ET66" s="273"/>
      <c r="EU66" s="273"/>
      <c r="EV66" s="276"/>
      <c r="EW66" s="276"/>
      <c r="EX66" s="279"/>
      <c r="EY66" s="285"/>
      <c r="EZ66" s="269"/>
      <c r="FA66" s="282"/>
      <c r="FB66" s="286"/>
      <c r="FC66" s="287"/>
      <c r="FD66" s="468"/>
      <c r="FE66" s="469"/>
      <c r="FF66" s="703" t="b">
        <f t="shared" si="126"/>
        <v>0</v>
      </c>
      <c r="FG66" s="703" t="b">
        <f t="shared" si="127"/>
        <v>0</v>
      </c>
      <c r="FH66" s="703" t="b">
        <f t="shared" si="128"/>
        <v>0</v>
      </c>
      <c r="FI66" s="846" t="b">
        <f t="shared" si="129"/>
        <v>0</v>
      </c>
      <c r="FJ66" s="849" t="str">
        <f t="shared" si="139"/>
        <v/>
      </c>
      <c r="FK66" s="848" t="str">
        <f t="shared" si="140"/>
        <v/>
      </c>
      <c r="FL66" s="242" t="e">
        <f t="shared" si="141"/>
        <v>#N/A</v>
      </c>
      <c r="FM66" s="234" t="str">
        <f t="shared" si="130"/>
        <v/>
      </c>
      <c r="FN66" s="191" t="str">
        <f t="shared" ca="1" si="142"/>
        <v/>
      </c>
      <c r="FO66" s="192" t="str">
        <f t="shared" ca="1" si="143"/>
        <v/>
      </c>
      <c r="FP66" s="193" t="str">
        <f t="shared" ca="1" si="144"/>
        <v/>
      </c>
      <c r="FQ66" s="193" t="str">
        <f t="shared" ca="1" si="145"/>
        <v/>
      </c>
      <c r="FR66" s="243">
        <f t="shared" ca="1" si="146"/>
        <v>0</v>
      </c>
      <c r="FS66" s="244">
        <f t="shared" ca="1" si="147"/>
        <v>0</v>
      </c>
      <c r="FT66" s="191" t="str">
        <f t="shared" ca="1" si="152"/>
        <v/>
      </c>
      <c r="FU66" s="194" t="str">
        <f t="shared" ca="1" si="153"/>
        <v/>
      </c>
      <c r="FV66" s="245" t="str">
        <f t="shared" ca="1" si="154"/>
        <v/>
      </c>
      <c r="FW66" s="195" t="str">
        <f t="shared" ca="1" si="148"/>
        <v/>
      </c>
      <c r="FX66" s="195" t="str">
        <f t="shared" ca="1" si="149"/>
        <v/>
      </c>
      <c r="FY66" s="195" t="str">
        <f t="shared" ca="1" si="155"/>
        <v/>
      </c>
      <c r="FZ66" s="195" t="str">
        <f t="shared" ca="1" si="150"/>
        <v/>
      </c>
      <c r="GA66" s="195" t="str">
        <f t="shared" ca="1" si="156"/>
        <v/>
      </c>
      <c r="GB66" s="196" t="str">
        <f ca="1">IF(FY66="","",2+SUM(FO66:OFFSET(FO66,(FU66-1)*-1,0)))</f>
        <v/>
      </c>
      <c r="GC66" s="238" t="e">
        <f t="shared" si="151"/>
        <v>#N/A</v>
      </c>
      <c r="GD66" s="246" t="str">
        <f t="shared" si="131"/>
        <v/>
      </c>
      <c r="GE66" s="247" t="str">
        <f t="shared" si="132"/>
        <v/>
      </c>
      <c r="GF66" s="197" t="str">
        <f t="shared" si="133"/>
        <v/>
      </c>
      <c r="GG66" s="198" t="str">
        <f t="shared" si="134"/>
        <v/>
      </c>
      <c r="GH66" s="198" t="str">
        <f t="shared" si="135"/>
        <v/>
      </c>
      <c r="GI66" s="199" t="str">
        <f t="shared" si="136"/>
        <v/>
      </c>
      <c r="GJ66" s="248">
        <f t="shared" ca="1" si="137"/>
        <v>0</v>
      </c>
      <c r="GK66" s="842" t="str">
        <f t="shared" ca="1" si="138"/>
        <v/>
      </c>
    </row>
    <row r="67" spans="78:196" ht="12.6" hidden="1" customHeight="1" x14ac:dyDescent="0.2">
      <c r="BZ67" s="214"/>
      <c r="CA67" s="214"/>
      <c r="CB67" s="268"/>
      <c r="CC67" s="269"/>
      <c r="CD67" s="270"/>
      <c r="CE67" s="270"/>
      <c r="CF67" s="270"/>
      <c r="CG67" s="270"/>
      <c r="CH67" s="270"/>
      <c r="CI67" s="270"/>
      <c r="CJ67" s="270"/>
      <c r="CK67" s="271"/>
      <c r="CL67" s="269"/>
      <c r="CM67" s="270"/>
      <c r="CN67" s="270"/>
      <c r="CO67" s="270"/>
      <c r="CP67" s="270"/>
      <c r="CQ67" s="270"/>
      <c r="CR67" s="270"/>
      <c r="CS67" s="270"/>
      <c r="CT67" s="271"/>
      <c r="CU67" s="272"/>
      <c r="CV67" s="273"/>
      <c r="CW67" s="273"/>
      <c r="CX67" s="273"/>
      <c r="CY67" s="274"/>
      <c r="CZ67" s="274"/>
      <c r="DA67" s="274"/>
      <c r="DB67" s="273"/>
      <c r="DC67" s="273"/>
      <c r="DD67" s="275"/>
      <c r="DE67" s="273"/>
      <c r="DF67" s="274"/>
      <c r="DG67" s="274"/>
      <c r="DH67" s="273"/>
      <c r="DI67" s="273"/>
      <c r="DJ67" s="275"/>
      <c r="DK67" s="273"/>
      <c r="DL67" s="273"/>
      <c r="DM67" s="273"/>
      <c r="DN67" s="273"/>
      <c r="DO67" s="273"/>
      <c r="DP67" s="273"/>
      <c r="DQ67" s="273"/>
      <c r="DR67" s="273"/>
      <c r="DS67" s="273"/>
      <c r="DT67" s="273"/>
      <c r="DU67" s="273"/>
      <c r="DV67" s="273"/>
      <c r="DW67" s="273"/>
      <c r="DX67" s="273"/>
      <c r="DY67" s="273"/>
      <c r="DZ67" s="273"/>
      <c r="EA67" s="273"/>
      <c r="EB67" s="276"/>
      <c r="EC67" s="277"/>
      <c r="ED67" s="276"/>
      <c r="EE67" s="276"/>
      <c r="EF67" s="276"/>
      <c r="EG67" s="276"/>
      <c r="EH67" s="276"/>
      <c r="EI67" s="276"/>
      <c r="EJ67" s="276"/>
      <c r="EK67" s="274"/>
      <c r="EL67" s="274"/>
      <c r="EM67" s="274"/>
      <c r="EN67" s="274"/>
      <c r="EO67" s="273"/>
      <c r="EP67" s="274"/>
      <c r="EQ67" s="274"/>
      <c r="ER67" s="274"/>
      <c r="ES67" s="274"/>
      <c r="ET67" s="273"/>
      <c r="EU67" s="273"/>
      <c r="EV67" s="276"/>
      <c r="EW67" s="276"/>
      <c r="EX67" s="279"/>
      <c r="EY67" s="285"/>
      <c r="EZ67" s="269"/>
      <c r="FA67" s="282"/>
      <c r="FB67" s="286"/>
      <c r="FC67" s="287"/>
      <c r="FD67" s="468"/>
      <c r="FE67" s="469"/>
      <c r="FF67" s="703" t="b">
        <f t="shared" si="126"/>
        <v>0</v>
      </c>
      <c r="FG67" s="703" t="b">
        <f t="shared" si="127"/>
        <v>0</v>
      </c>
      <c r="FH67" s="703" t="b">
        <f t="shared" si="128"/>
        <v>0</v>
      </c>
      <c r="FI67" s="846" t="b">
        <f t="shared" si="129"/>
        <v>0</v>
      </c>
      <c r="FJ67" s="849" t="str">
        <f t="shared" si="139"/>
        <v/>
      </c>
      <c r="FK67" s="848" t="str">
        <f t="shared" si="140"/>
        <v/>
      </c>
      <c r="FL67" s="242" t="e">
        <f t="shared" si="141"/>
        <v>#N/A</v>
      </c>
      <c r="FM67" s="234" t="str">
        <f t="shared" si="130"/>
        <v/>
      </c>
      <c r="FN67" s="191" t="str">
        <f t="shared" ca="1" si="142"/>
        <v/>
      </c>
      <c r="FO67" s="192" t="str">
        <f t="shared" ca="1" si="143"/>
        <v/>
      </c>
      <c r="FP67" s="193" t="str">
        <f t="shared" ca="1" si="144"/>
        <v/>
      </c>
      <c r="FQ67" s="193" t="str">
        <f t="shared" ca="1" si="145"/>
        <v/>
      </c>
      <c r="FR67" s="243">
        <f t="shared" ca="1" si="146"/>
        <v>0</v>
      </c>
      <c r="FS67" s="244">
        <f t="shared" ca="1" si="147"/>
        <v>0</v>
      </c>
      <c r="FT67" s="191" t="str">
        <f t="shared" ca="1" si="152"/>
        <v/>
      </c>
      <c r="FU67" s="194" t="str">
        <f t="shared" ca="1" si="153"/>
        <v/>
      </c>
      <c r="FV67" s="245" t="str">
        <f t="shared" ca="1" si="154"/>
        <v/>
      </c>
      <c r="FW67" s="195" t="str">
        <f t="shared" ca="1" si="148"/>
        <v/>
      </c>
      <c r="FX67" s="195" t="str">
        <f t="shared" ca="1" si="149"/>
        <v/>
      </c>
      <c r="FY67" s="195" t="str">
        <f t="shared" ca="1" si="155"/>
        <v/>
      </c>
      <c r="FZ67" s="195" t="str">
        <f t="shared" ca="1" si="150"/>
        <v/>
      </c>
      <c r="GA67" s="195" t="str">
        <f t="shared" ca="1" si="156"/>
        <v/>
      </c>
      <c r="GB67" s="196" t="str">
        <f ca="1">IF(FY67="","",2+SUM(FO67:OFFSET(FO67,(FU67-1)*-1,0)))</f>
        <v/>
      </c>
      <c r="GC67" s="238" t="e">
        <f t="shared" si="151"/>
        <v>#N/A</v>
      </c>
      <c r="GD67" s="246" t="str">
        <f t="shared" si="131"/>
        <v/>
      </c>
      <c r="GE67" s="247" t="str">
        <f t="shared" si="132"/>
        <v/>
      </c>
      <c r="GF67" s="197" t="str">
        <f t="shared" si="133"/>
        <v/>
      </c>
      <c r="GG67" s="198" t="str">
        <f t="shared" si="134"/>
        <v/>
      </c>
      <c r="GH67" s="198" t="str">
        <f t="shared" si="135"/>
        <v/>
      </c>
      <c r="GI67" s="199" t="str">
        <f t="shared" si="136"/>
        <v/>
      </c>
      <c r="GJ67" s="248">
        <f t="shared" ca="1" si="137"/>
        <v>0</v>
      </c>
      <c r="GK67" s="842" t="str">
        <f t="shared" ca="1" si="138"/>
        <v/>
      </c>
    </row>
    <row r="68" spans="78:196" ht="12.6" hidden="1" customHeight="1" x14ac:dyDescent="0.2">
      <c r="BZ68" s="214"/>
      <c r="CA68" s="214"/>
      <c r="CB68" s="289" t="str">
        <f t="shared" ref="CB68:CB85" si="157">IF(CB28="","",CB28)</f>
        <v/>
      </c>
      <c r="CC68" s="1218" t="str">
        <f>IF(CG28="","",VLOOKUP(CG28,#REF!,12,FALSE))</f>
        <v/>
      </c>
      <c r="CD68" s="1219" t="str">
        <f>IF(ISBLANK(CN28),IF(CG28="","",VLOOKUP(CG28,#REF!,13,FALSE)),CN28)</f>
        <v/>
      </c>
      <c r="CE68" s="1219" t="str">
        <f>IF(CG28="","",IF(VLOOKUP(CG28,#REF!,5,FALSE)="","R",UPPER(VLOOKUP(CG28,#REF!,5,FALSE))))</f>
        <v/>
      </c>
      <c r="CF68" s="1219" t="str">
        <f>IF(ISBLANK(CP28),IF(CG28="","",VLOOKUP(CG28,#REF!,6,FALSE)),CP28)</f>
        <v/>
      </c>
      <c r="CG68" s="1219" t="str">
        <f>IF(CG28="","",IF(VLOOKUP(CG28,#REF!,10,FALSE)="","",(VLOOKUP(CG28,#REF!,10,FALSE)*-1)))</f>
        <v/>
      </c>
      <c r="CH68" s="1219" t="str">
        <f>IF(CG28="","",IF(VLOOKUP(CG28,#REF!,7,FALSE)="","",(VLOOKUP(CG28,#REF!,7,FALSE)*-1)))</f>
        <v/>
      </c>
      <c r="CI68" s="1219" t="str">
        <f>IF(CG28="","",IF(VLOOKUP(CG28,#REF!,8,FALSE)="",$FC$4,(VLOOKUP(CG28,#REF!,8,FALSE))))</f>
        <v/>
      </c>
      <c r="CJ68" s="1219" t="str">
        <f>IF(CG28="","",VLOOKUP(CG28,#REF!,9,FALSE))</f>
        <v/>
      </c>
      <c r="CK68" s="1220">
        <f t="shared" ref="CK68:CK85" si="158">CM28*-1</f>
        <v>0</v>
      </c>
      <c r="CL68" s="1218" t="str">
        <f>IF(CQ28="","",VLOOKUP(CQ28,#REF!,12,FALSE))</f>
        <v/>
      </c>
      <c r="CM68" s="1219" t="str">
        <f>IF(ISBLANK(CX28),IF(CQ28="","",VLOOKUP(CQ28,#REF!,13,FALSE)),CX28)</f>
        <v/>
      </c>
      <c r="CN68" s="1219" t="str">
        <f>IF(CQ28="","",IF(VLOOKUP(CQ28,#REF!,5,FALSE)="","R",UPPER(VLOOKUP(CQ28,#REF!,5,FALSE))))</f>
        <v/>
      </c>
      <c r="CO68" s="1219" t="str">
        <f>IF(ISBLANK(CZ28),IF(CQ28="","",VLOOKUP(CQ28,#REF!,6,FALSE)),CZ28)</f>
        <v/>
      </c>
      <c r="CP68" s="1219" t="str">
        <f>IF(CQ28="","",IF(VLOOKUP(CQ28,#REF!,10,FALSE)="","",(VLOOKUP(CQ28,#REF!,10,FALSE)*-1)))</f>
        <v/>
      </c>
      <c r="CQ68" s="291" t="str">
        <f>IF(CQ28="","",IF(VLOOKUP(CQ28,#REF!,7,FALSE)="","",(VLOOKUP(CQ28,#REF!,7,FALSE)*-1)))</f>
        <v/>
      </c>
      <c r="CR68" s="291" t="str">
        <f>IF(CQ28="","",IF(VLOOKUP(CQ28,#REF!,8,FALSE)="",$FC$4,(VLOOKUP(CQ28,#REF!,8,FALSE))))</f>
        <v/>
      </c>
      <c r="CS68" s="291" t="str">
        <f>IF(CQ28="","",VLOOKUP(CQ28,#REF!,9,FALSE))</f>
        <v/>
      </c>
      <c r="CT68" s="292">
        <f t="shared" ref="CT68:CT85" si="159">CW28*-1</f>
        <v>0</v>
      </c>
      <c r="CU68" s="293">
        <f t="shared" ref="CU68:CU85" si="160">IF(DA28="",0,ATAN(DA28/12))</f>
        <v>0</v>
      </c>
      <c r="CV68" s="193" t="str">
        <f t="shared" ref="CV68:CV85" si="161">IF(OR(CD68="",CE28="",CM68=""),"",CEILING(IF(AND(CE28="",CF28=""),"",((CE28*12+CF28)+CD68+CM68)/COS(EU68))-0.0625,0.125))</f>
        <v/>
      </c>
      <c r="CW68" s="193" t="str">
        <f t="shared" ref="CW68:CW85" si="162">IF(CF68="","",IF(ABS(EM68)&lt;ABS($FA$2),CF68,IF(EM68=0,CF68,CEILING((CF68+((DC68-CD68)/12)*EM68)-0.0625,0.125))))</f>
        <v/>
      </c>
      <c r="CX68" s="812" t="str">
        <f t="shared" ref="CX68:CX85" si="163">IF(CO68="","",IF(ABS(ER68)&lt;ABS($FA$2),CO68,IF(ER68=0,CO68,CEILING((CO68+((DI68-CM68)/12)*ER68)-0.0625,0.125))))</f>
        <v/>
      </c>
      <c r="CY68" s="813">
        <f t="shared" ref="CY68:CY85" si="164">RADIANS(ABS(CL28))</f>
        <v>0</v>
      </c>
      <c r="CZ68" s="813" t="e">
        <f t="shared" ref="CZ68:CZ85" si="165">MIN(IF(CH28&gt;0,CH28/2,MAX(CI28/2,CJ68)),IF(CI28&gt;0,CI28/2,MAX(CH28/2,CJ68)),IF(CJ68&gt;0,CJ68,MAX(CI28/2,CH28/2)))/IF(OR(CC68="C",AND(CC68="M",$FG$1="N")),1,COS(CY68))</f>
        <v>#REF!</v>
      </c>
      <c r="DA68" s="813" t="str">
        <f t="shared" ref="DA68:DA85" si="166">IF(CD68="","",IF(CJ68&gt;=0,MAX(CH28/2,CI28/2,CJ68),CJ68)/IF(OR(CC68="C",AND(CC68="M",$FG$1="N")),1,COS(CY68)))</f>
        <v/>
      </c>
      <c r="DB68" s="1224" t="str">
        <f>IF(CD68="","",CD68+DA68+($EY$4*TAN(CY68)))</f>
        <v/>
      </c>
      <c r="DC68" s="1224" t="str">
        <f t="shared" ref="DC68:DC85" si="167">IF(CD68="","",IF(NOT(ISBLANK(CO28)),CD68-CO28,MAX(IF(AND(CZ68&gt;=$FB$4,DA68&lt;=$FA$4,OR($FA$1=1,$FA$1=4)),CD68,IF(OR($FA$1=3,$FA$1=4),DB68-$FA$4,DB68+MAX(($FA$4-$FB$4)-(DA68-CZ68)-$EY$4/2*TAN(CY68),0)-$FA$4))-EO68,0)))</f>
        <v/>
      </c>
      <c r="DD68" s="1225">
        <f>IF(CD68="",0,IF(DC68/COS(EU68)&lt;0.0625,0,CEILING(DC68/COS(EU68)-0.03125,0.125)))</f>
        <v>0</v>
      </c>
      <c r="DE68" s="1224">
        <f t="shared" ref="DE68:DE85" si="168">RADIANS(ABS(CV28))</f>
        <v>0</v>
      </c>
      <c r="DF68" s="1226" t="e">
        <f t="shared" ref="DF68:DF85" si="169">MIN(IF(CR28&gt;0,CR28/2,MAX(CS28/2,CS68)),IF(CS28&gt;0,CS28/2,MAX(CR28/2,CS68)),IF(CS68&gt;0,CS68,MAX(CS28/2,CR28/2)))/IF(OR(CL68="C",AND(CL68="M",$FG$1="N")),1,COS(DE68))</f>
        <v>#REF!</v>
      </c>
      <c r="DG68" s="1226" t="str">
        <f t="shared" ref="DG68:DG85" si="170">IF(CM68="","",IF(CS68&gt;=0,MAX(CR28/2,CS28/2,CS68),CS68)/IF(OR(CL68="C",AND(CL68="M",$FG$1="N")),1,COS(DE68)))</f>
        <v/>
      </c>
      <c r="DH68" s="1224" t="str">
        <f>IF(CM68="","",CM68+DG68+($EY$4*TAN(DE68)))</f>
        <v/>
      </c>
      <c r="DI68" s="1224" t="str">
        <f t="shared" ref="DI68:DI85" si="171">IF(CM68="","",IF(NOT(ISBLANK(CY28)),CM68-CY28,MAX(IF(AND(DF68&gt;=$FB$4,DG68&lt;=$FA$4,OR($FA$1=1,$FA$1=4)),CM68,IF(OR($FA$1=3,$FA$1=4),DH68-$FA$4,DH68+MAX(($FA$4-$FB$4)-(DG68-DF68)-$EY$4/2*TAN(DE68),0)-$FA$4))-ET68,0)-CY28))</f>
        <v/>
      </c>
      <c r="DJ68" s="1225">
        <f>IF(CM68="",0,IF(DI68/COS(EU68)&lt;0.0625,0,CEILING(DI68/COS(EU68)-0.03125,0.125)))</f>
        <v>0</v>
      </c>
      <c r="DK68" s="1224" t="str">
        <f>IF(CV68="","",CEILING(CV68-DD68-DJ68-0.0625,0.125))</f>
        <v/>
      </c>
      <c r="DL68" s="1224" t="str">
        <f>IF(AND(EG68="",CH68=""),"",IF(EG68="ERR","ERR",IF(ISNUMBER(EG68),(EG68/2)*-1,CH68)))</f>
        <v/>
      </c>
      <c r="DM68" s="1224" t="str">
        <f t="shared" ref="DM68:DM85" si="172">IF(DL68="ERR","ERR",IF(DL68="","",IF(CR68*TAN(CY68)&lt;=($FE$4-($FD$4-0.0625)),CD68-(DL68-EO68)/IF(OR(CC68="C",AND(CC68="M",$FG$1="N")),1,COS(CY68))-IF(MID(CE68,1,1)="R",0,DC68),(ABS(DL68-EO68)/IF(OR(CC68="C",AND(CC68="M",$FG$1="N")),1,COS(CY68))+CD68)-((CR68/2)*TAN(CY68))-IF(MID(CE68,1,1)="R",0,DC68))))</f>
        <v/>
      </c>
      <c r="DN68" s="1224" t="str">
        <f t="shared" ref="DN68:DN85" si="173">IF(DL68="ERR","ERR",IF(DL68="","",IF(CI68*TAN(CY68)&lt;=($FE$4-($FD$4-0.0625)),CD68-(DL68-EO68)/IF(OR(CC68="C",AND(CC68="M",$FG$1="N")),1,COS(CY68))-IF(MID(CE68,1,1)="R",0,DC68),(ABS(DL68-EO68)/IF(OR(CC68="C",AND(CC68="M",$FG$1="N")),1,COS(CY68))+CD68)+((CI68/2)*TAN(CY68))-IF(MID(CE68,1,1)="R",0,DC68))))</f>
        <v/>
      </c>
      <c r="DO68" s="828" t="e">
        <f t="shared" ref="DO68:DO85" si="174">IF(ISBLANK(CO28),IF(DM68&lt;$EX$6+($FD$4-0.0625)/2,"ERR",IF(DM68&lt;$EX$6+$FE$4/2,($FE$4/2+$EX$6),IF(DM68&lt;$FA$4+IF(MID(CE68,1,1)="R",DC68+CO28,0)-$FE$4/2-$EX$6,DM68,IF(DM68&lt;=$FA$4+IF(MID(CE68,1,1)="R",DC68,0)-($FD$4-0.0625)/2-$EX$6,$FA$4+IF(MID(CE68,1,1)="R",DC68,0)-($FE$4/2+$EX$6),"ERR")))),DM68)</f>
        <v>#REF!</v>
      </c>
      <c r="DP68" s="828" t="e">
        <f t="shared" ref="DP68:DP85" si="175">IF(ISBLANK(CO28),IF(DN68&lt;$EX$6+($FD$4-0.0625)/2,"ERR",IF(DN68&lt;0.5+$FE$4/2,($FE$4/2+$EX$6),IF(DN68&lt;$FA$4+IF(MID(CE68,1,1)="R",DC68+CO28,0)-$FE$4/2-$EX$6,DN68,IF(DN68&lt;=$FA$4+IF(MID(CE68,1,1)="R",DC68,0)-($FD$4-0.0625)/2-$EX$6,$FA$4+IF(MID(CE68,1,1)="R",DC68,0)-($FE$4/2+$EX$6),"ERR")))),DN68)</f>
        <v>#REF!</v>
      </c>
      <c r="DQ68" s="1224" t="str">
        <f>IF(ISERROR(DM68),"ERR",IF(DM68="","",IF(DO68="ERR","ERR",CEILING(DO68-0.0625,0.125))))</f>
        <v/>
      </c>
      <c r="DR68" s="1224" t="str">
        <f>IF(ISERROR(DN68),"ERR",IF(DN68="","",IF(DP68="ERR","ERR",CEILING(DP68-0.0625,0.125))))</f>
        <v/>
      </c>
      <c r="DS68" s="1224" t="str">
        <f>IF(AND(EJ68="",CQ68=""),"",IF(EJ68="ERR","ERR",IF(ISNUMBER(EJ68),(EJ68/2)*-1,CQ68)))</f>
        <v/>
      </c>
      <c r="DT68" s="1224" t="str">
        <f t="shared" ref="DT68:DT85" si="176">IF(DS68="ERR","ERR",IF(DS68="","",IF(CR68*TAN(DE68)&lt;=($FE$4-($FD$4-0.0625)),CM68-(DS68-ET68)/IF(OR(CL68="C",AND(CL68="M",$FG$1="N")),1,COS(DE68))-IF(MID(CN68,1,1)="R",0,DI68),(ABS(DS68-ET68)/IF(OR(CL68="C",AND(CL68="M",$FG$1="N")),1,COS(DE68))+CM68)-((CR68/2)*TAN(DE68))-IF(MID(CN68,1,1)="R",0,DI68))))</f>
        <v/>
      </c>
      <c r="DU68" s="1224" t="str">
        <f t="shared" ref="DU68:DU85" si="177">IF(DS68="ERR","ERR",IF(DS68="","",IF(CR68*TAN(DE68)&lt;=($FE$4-($FD$4-0.0625)),CM68-(DS68-ET68)/IF(OR(CL68="C",AND(CL68="M",$FG$1="N")),1,COS(DE68))-IF(MID(CN68,1,1)="R",0,DI68),(ABS(DS68-ET68)/IF(OR(CL68="C",AND(CL68="M",$FG$1="N")),1,COS(DE68))+CM68)+((CR68/2)*TAN(DE68))-IF(MID(CN68,1,1)="R",0,DI68))))</f>
        <v/>
      </c>
      <c r="DV68" s="828" t="e">
        <f t="shared" ref="DV68:DV85" si="178">IF(ISBLANK(CY28),IF(DT68&lt;$EX$6+($FD$4-0.0625)/2,"ERR",IF(DT68&lt;$EX$6+$FE$4/2,($FE$4/2+$EX$6),IF(DT68&lt;$FA$4+IF(MID(CN68,1,1)="R",DI68+CY28,0)-$FE$4/2-$EX$6,DT68,IF(DT68&lt;=$FA$4+IF(MID(CN68,1,1)="R",DI68,0)-($FD$4-0.0625)/2-$EX$6,$FA$4+IF(MID(CN68,1,1)="R",DI68,0)-($FE$4/2+$EX$6),"ERR")))),DT68)</f>
        <v>#REF!</v>
      </c>
      <c r="DW68" s="828" t="e">
        <f t="shared" ref="DW68:DW85" si="179">IF(ISBLANK(CY28),IF(DU68&lt;$EX$6+($FD$4-0.0625)/2,"ERR",IF(DU68&lt;0.5+$FE$4/2,($FE$4/2+$EX$6),IF(DU68&lt;$FA$4+IF(MID(CN68,1,1)="R",DI68+CY28,0)-$FE$4/2-$EX$6,DU68,IF(DU68&lt;=$FA$4+IF(MID(CN68,1,1)="R",DI68,0)-($FD$4-0.0625)/2-$EX$6,$FA$4+IF(MID(CN68,1,1)="R",DI68,0)-($FE$4/2+$EX$6),"ERR")))),DU68)</f>
        <v>#REF!</v>
      </c>
      <c r="DX68" s="812" t="str">
        <f>IF(ISERROR(DT68),"ERR",IF(DT68="","",IF(DV68="ERR","ERR",CEILING(DV68-0.0625,0.125))))</f>
        <v/>
      </c>
      <c r="DY68" s="812" t="str">
        <f>IF(ISERROR(DU68),"ERR",IF(DU68="","",IF(DW68="ERR","ERR",CEILING(DW68-0.0625,0.125))))</f>
        <v/>
      </c>
      <c r="DZ68" s="812" t="str">
        <f>IF(CG68="","",IF((CD68-CG68)/COS(CU68)-FB68&lt;=-0.0625,CEILING((CD68-CG68)/COS(CU68)-FB68+0.0625,-0.125),IF((CD68-CG68)/COS(CU68)-FB68&gt;=0.0625,CEILING((CD68-CG68)/COS(CU68)-FB68-0.0625,0.125),0)))</f>
        <v/>
      </c>
      <c r="EA68" s="812" t="str">
        <f>IF(CP68="","",IF((CM68-CP68)/COS(CU68)-FC68&lt;=-0.0625,CEILING((CM68-CP68)/COS(CU68)-FC68+0.0625,-0.125),IF((CM68-CP68)/COS(CU68)-FC68&gt;=0.0625,CEILING((CM68-CP68)/COS(CU68)-FC68-0.0625,0.125),0)))</f>
        <v/>
      </c>
      <c r="EB68" s="815" t="str">
        <f t="shared" ref="EB68:EB85" si="180">IF(CD28="","",$FC$4)</f>
        <v/>
      </c>
      <c r="EC68" s="816" t="str">
        <f>IF(AND(DR68="",DY68=""),"",IF(OR(CI68=EB68,CR68=EB68),EB68,CI68))</f>
        <v/>
      </c>
      <c r="ED68" s="815" t="str">
        <f t="shared" ref="ED68:ED85" si="181">IF(DA28="","",CEILING(($EZ$4/COS(CU68)+$FA$4/12*ABS(DA28)+0.5),0.125))</f>
        <v/>
      </c>
      <c r="EE68" s="815" t="str">
        <f t="shared" ref="EE68:EE85" si="182">(IF(CC68="B",MIN(CJ28:CK28),""))</f>
        <v/>
      </c>
      <c r="EF68" s="815" t="str">
        <f t="shared" ref="EF68:EF85" si="183">(IF(CC68="B",MAX(CJ28:CK28),""))</f>
        <v/>
      </c>
      <c r="EG68" s="815" t="str">
        <f t="shared" ref="EG68:EG85" si="184">IF(EE68="","",IF((EF68-EE68)/2&lt;=($FE$4-($FD$4-0.0625)),(EE68+EF68)/2,"ERR"))</f>
        <v/>
      </c>
      <c r="EH68" s="815" t="str">
        <f t="shared" ref="EH68:EH85" si="185">IF(CL68="B",MIN(CT28:CU28),"")</f>
        <v/>
      </c>
      <c r="EI68" s="815" t="str">
        <f t="shared" ref="EI68:EI85" si="186">IF(CL68="B",MAX(CT28:CU28),"")</f>
        <v/>
      </c>
      <c r="EJ68" s="815" t="str">
        <f t="shared" ref="EJ68:EJ85" si="187">IF(EH68="","",IF((EI68-EH68)/2&lt;=($FE$4-($FD$4-0.0625)),(EH68+EI68)/2,"ERR"))</f>
        <v/>
      </c>
      <c r="EK68" s="813">
        <f>IF(CK68="",0,ATAN(CK68/12))</f>
        <v>0</v>
      </c>
      <c r="EL68" s="813">
        <f>CU68-EK68</f>
        <v>0</v>
      </c>
      <c r="EM68" s="813">
        <f t="shared" ref="EM68:EM85" si="188">TAN(EL68)*12</f>
        <v>0</v>
      </c>
      <c r="EN68" s="813" t="e">
        <f t="shared" ref="EN68:EN85" si="189">IF(ABS(EM68)&lt;$FA$2,"",IF(EM68&gt;0,CEILING(EM68-0.0625,0.125),CEILING(EM68+0.0625,-0.125)))</f>
        <v>#REF!</v>
      </c>
      <c r="EO68" s="812" t="str">
        <f>IF(CF68="","",CF68*TAN(EK68))</f>
        <v/>
      </c>
      <c r="EP68" s="813">
        <f>IF(CT68="",0,ATAN(CT68/12))</f>
        <v>0</v>
      </c>
      <c r="EQ68" s="813">
        <f>CU68+EP68</f>
        <v>0</v>
      </c>
      <c r="ER68" s="813">
        <f t="shared" ref="ER68:ER85" si="190">TAN(EQ68)*-12</f>
        <v>0</v>
      </c>
      <c r="ES68" s="813" t="e">
        <f t="shared" ref="ES68:ES85" si="191">IF(ABS(ER68)&lt;$FA$2,"",IF(ER68&gt;0,CEILING(ER68-0.0625,0.125),CEILING(ER68+0.0625,-0.125)))</f>
        <v>#REF!</v>
      </c>
      <c r="ET68" s="812" t="str">
        <f>IF(CO68="","",CO68*TAN(EP68))</f>
        <v/>
      </c>
      <c r="EU68" s="812" t="e">
        <f t="shared" ref="EU68:EU85" si="192">IF((CE28*12+CF28)/COS(CU68)-(CE28*12+CF28)&lt;$FE$2,0,CU68)</f>
        <v>#REF!</v>
      </c>
      <c r="EV68" s="815" t="e">
        <f t="shared" ref="EV68:EV85" si="193">MIN(IF(CH28&gt;0,CH28/2,MAX(CI28/2,CJ68)),IF(CI28&gt;0,CI28/2,MAX(CH28/2,CJ68)),IF(CJ68&gt;0,CJ68,MAX(CI28/2,CH28/2)))/COS(CY68)+CD68-DC68</f>
        <v>#VALUE!</v>
      </c>
      <c r="EW68" s="815" t="e">
        <f t="shared" ref="EW68:EW85" si="194">MIN(IF(CR28&gt;0,CR28/2,MAX(CS28/2,CS68)),IF(CS28&gt;0,CS28/2,MAX(CR28/2,CS68)),IF(CS68&gt;0,CS68,MAX(CS28/2,CR28/2)))/COS(DE68)+CM68-DI68</f>
        <v>#VALUE!</v>
      </c>
      <c r="EX68" s="874" t="str">
        <f t="shared" ref="EX68:EX85" si="195">IF(CD28="","",IF(EZ68&lt;1.2,5+$EX$4,IF(EZ68&lt;1.79,6+$EX$4,IF(EZ68&lt;2.3,7+$EX$4,IF(EZ68&lt;3.76,8+$EX$4,IF(EZ68&lt;4.76,10+$EY$4,IF(EZ68&lt;8.45,12+$EY$4,"ERR")))))))</f>
        <v/>
      </c>
      <c r="EY68" s="818" t="e">
        <f>TRUNC(IF(FA68&lt;1.03,25.667,IF(FA68&lt;1.2,29.667,IF(FA68&lt;1.79,33.583,IF(FA68&lt;2.3,37.75,IF(FA68&lt;3.76,42,IF(FA68&lt;4.76,50.167,IF(FA68&lt;8.45,58.167,"ERR"))))))))</f>
        <v>#DIV/0!</v>
      </c>
      <c r="EZ68" s="893" t="e">
        <f t="shared" ref="EZ68:EZ85" si="196">(0.03*BP28*((CE28+CF28/12)/BO28)*(BO28^2-IF(ISEVEN(BO28),0,1)))/BM28</f>
        <v>#DIV/0!</v>
      </c>
      <c r="FA68" s="894" t="e">
        <f t="shared" ref="FA68:FA85" si="197">(0.026*BP28*((CE28+CF28/12)/BO28)*(BO28^2-IF(ISEVEN(BO28),0,1)))/BM28</f>
        <v>#DIV/0!</v>
      </c>
      <c r="FB68" s="819" t="str">
        <f t="shared" ref="FB68:FB85" si="198">IF(CG68="","",IF(ABS(DA28*((BM28-IF(DA28&gt;0,$FF$4,0))/12))&gt;$CX$2,DA28*((BM28-IF(DA28&gt;0,$FF$4,0))/12),0))</f>
        <v/>
      </c>
      <c r="FC68" s="820" t="str">
        <f t="shared" ref="FC68:FC85" si="199">IF(CP68="","",IF(ABS(DA28*((BM28-IF(DA28&lt;0,$FF$4,0))/12))&gt;$CX$2,DA28*((BM28-IF(DA28&lt;0,$FF$4,0))/12)*-1,0))</f>
        <v/>
      </c>
      <c r="FD68" s="455">
        <f t="shared" ref="FD68:FD85" si="200">IF(CF68="",0,MAX(0,DB68-$FA$4))</f>
        <v>0</v>
      </c>
      <c r="FE68" s="456">
        <f t="shared" ref="FE68:FE85" si="201">IF(CO68="",0,MAX(0,DH68-$FA$4))</f>
        <v>0</v>
      </c>
      <c r="FF68" s="703" t="b">
        <f t="shared" si="126"/>
        <v>0</v>
      </c>
      <c r="FG68" s="703" t="b">
        <f t="shared" si="127"/>
        <v>0</v>
      </c>
      <c r="FH68" s="703" t="b">
        <f t="shared" si="128"/>
        <v>0</v>
      </c>
      <c r="FI68" s="846" t="b">
        <f t="shared" si="129"/>
        <v>0</v>
      </c>
      <c r="FJ68" s="849" t="str">
        <f t="shared" si="139"/>
        <v/>
      </c>
      <c r="FK68" s="848" t="str">
        <f t="shared" si="140"/>
        <v/>
      </c>
      <c r="FL68" s="242" t="e">
        <f t="shared" si="141"/>
        <v>#N/A</v>
      </c>
      <c r="FM68" s="234" t="str">
        <f t="shared" si="130"/>
        <v/>
      </c>
      <c r="FN68" s="191" t="str">
        <f t="shared" ca="1" si="142"/>
        <v/>
      </c>
      <c r="FO68" s="192" t="str">
        <f t="shared" ca="1" si="143"/>
        <v/>
      </c>
      <c r="FP68" s="193" t="str">
        <f t="shared" ca="1" si="144"/>
        <v/>
      </c>
      <c r="FQ68" s="193" t="str">
        <f t="shared" ca="1" si="145"/>
        <v/>
      </c>
      <c r="FR68" s="243">
        <f t="shared" ca="1" si="146"/>
        <v>0</v>
      </c>
      <c r="FS68" s="244">
        <f t="shared" ca="1" si="147"/>
        <v>0</v>
      </c>
      <c r="FT68" s="191" t="str">
        <f t="shared" ca="1" si="152"/>
        <v/>
      </c>
      <c r="FU68" s="194" t="str">
        <f t="shared" ca="1" si="153"/>
        <v/>
      </c>
      <c r="FV68" s="245" t="str">
        <f t="shared" ca="1" si="154"/>
        <v/>
      </c>
      <c r="FW68" s="195" t="str">
        <f t="shared" ca="1" si="148"/>
        <v/>
      </c>
      <c r="FX68" s="195" t="str">
        <f t="shared" ca="1" si="149"/>
        <v/>
      </c>
      <c r="FY68" s="195" t="str">
        <f t="shared" ca="1" si="155"/>
        <v/>
      </c>
      <c r="FZ68" s="195" t="str">
        <f t="shared" ca="1" si="150"/>
        <v/>
      </c>
      <c r="GA68" s="195" t="str">
        <f t="shared" ca="1" si="156"/>
        <v/>
      </c>
      <c r="GB68" s="196" t="str">
        <f ca="1">IF(FY68="","",2+SUM(FO68:OFFSET(FO68,(FU68-1)*-1,0)))</f>
        <v/>
      </c>
      <c r="GC68" s="238" t="e">
        <f t="shared" si="151"/>
        <v>#N/A</v>
      </c>
      <c r="GD68" s="246" t="str">
        <f t="shared" si="131"/>
        <v/>
      </c>
      <c r="GE68" s="247" t="str">
        <f t="shared" si="132"/>
        <v/>
      </c>
      <c r="GF68" s="197" t="str">
        <f t="shared" si="133"/>
        <v/>
      </c>
      <c r="GG68" s="198" t="str">
        <f t="shared" si="134"/>
        <v/>
      </c>
      <c r="GH68" s="198" t="str">
        <f t="shared" si="135"/>
        <v/>
      </c>
      <c r="GI68" s="199" t="str">
        <f t="shared" si="136"/>
        <v/>
      </c>
      <c r="GJ68" s="248">
        <f t="shared" ca="1" si="137"/>
        <v>0</v>
      </c>
      <c r="GK68" s="842" t="str">
        <f t="shared" ca="1" si="138"/>
        <v/>
      </c>
    </row>
    <row r="69" spans="78:196" ht="12.6" hidden="1" customHeight="1" x14ac:dyDescent="0.2">
      <c r="BZ69" s="214"/>
      <c r="CA69" s="214"/>
      <c r="CB69" s="289" t="str">
        <f t="shared" si="157"/>
        <v/>
      </c>
      <c r="CC69" s="1218" t="str">
        <f>IF(CG29="","",VLOOKUP(CG29,#REF!,12,FALSE))</f>
        <v/>
      </c>
      <c r="CD69" s="1219" t="str">
        <f>IF(ISBLANK(CN29),IF(CG29="","",VLOOKUP(CG29,#REF!,13,FALSE)),CN29)</f>
        <v/>
      </c>
      <c r="CE69" s="1219" t="str">
        <f>IF(CG29="","",IF(VLOOKUP(CG29,#REF!,5,FALSE)="","R",UPPER(VLOOKUP(CG29,#REF!,5,FALSE))))</f>
        <v/>
      </c>
      <c r="CF69" s="1219" t="str">
        <f>IF(ISBLANK(CP29),IF(CG29="","",VLOOKUP(CG29,#REF!,6,FALSE)),CP29)</f>
        <v/>
      </c>
      <c r="CG69" s="1219" t="str">
        <f>IF(CG29="","",IF(VLOOKUP(CG29,#REF!,10,FALSE)="","",(VLOOKUP(CG29,#REF!,10,FALSE)*-1)))</f>
        <v/>
      </c>
      <c r="CH69" s="1219" t="str">
        <f>IF(CG29="","",IF(VLOOKUP(CG29,#REF!,7,FALSE)="","",(VLOOKUP(CG29,#REF!,7,FALSE)*-1)))</f>
        <v/>
      </c>
      <c r="CI69" s="1219" t="str">
        <f>IF(CG29="","",IF(VLOOKUP(CG29,#REF!,8,FALSE)="",$FC$4,(VLOOKUP(CG29,#REF!,8,FALSE))))</f>
        <v/>
      </c>
      <c r="CJ69" s="1219" t="str">
        <f>IF(CG29="","",VLOOKUP(CG29,#REF!,9,FALSE))</f>
        <v/>
      </c>
      <c r="CK69" s="1220">
        <f t="shared" si="158"/>
        <v>0</v>
      </c>
      <c r="CL69" s="1218" t="str">
        <f>IF(CQ29="","",VLOOKUP(CQ29,#REF!,12,FALSE))</f>
        <v/>
      </c>
      <c r="CM69" s="1219" t="str">
        <f>IF(ISBLANK(CX29),IF(CQ29="","",VLOOKUP(CQ29,#REF!,13,FALSE)),CX29)</f>
        <v/>
      </c>
      <c r="CN69" s="1219" t="str">
        <f>IF(CQ29="","",IF(VLOOKUP(CQ29,#REF!,5,FALSE)="","R",UPPER(VLOOKUP(CQ29,#REF!,5,FALSE))))</f>
        <v/>
      </c>
      <c r="CO69" s="1219" t="str">
        <f>IF(ISBLANK(CZ29),IF(CQ29="","",VLOOKUP(CQ29,#REF!,6,FALSE)),CZ29)</f>
        <v/>
      </c>
      <c r="CP69" s="1219" t="str">
        <f>IF(CQ29="","",IF(VLOOKUP(CQ29,#REF!,10,FALSE)="","",(VLOOKUP(CQ29,#REF!,10,FALSE)*-1)))</f>
        <v/>
      </c>
      <c r="CQ69" s="291" t="str">
        <f>IF(CQ29="","",IF(VLOOKUP(CQ29,#REF!,7,FALSE)="","",(VLOOKUP(CQ29,#REF!,7,FALSE)*-1)))</f>
        <v/>
      </c>
      <c r="CR69" s="291" t="str">
        <f>IF(CQ29="","",IF(VLOOKUP(CQ29,#REF!,8,FALSE)="",$FC$4,(VLOOKUP(CQ29,#REF!,8,FALSE))))</f>
        <v/>
      </c>
      <c r="CS69" s="291" t="str">
        <f>IF(CQ29="","",VLOOKUP(CQ29,#REF!,9,FALSE))</f>
        <v/>
      </c>
      <c r="CT69" s="292">
        <f t="shared" si="159"/>
        <v>0</v>
      </c>
      <c r="CU69" s="293">
        <f t="shared" si="160"/>
        <v>0</v>
      </c>
      <c r="CV69" s="193" t="str">
        <f t="shared" si="161"/>
        <v/>
      </c>
      <c r="CW69" s="193" t="str">
        <f t="shared" si="162"/>
        <v/>
      </c>
      <c r="CX69" s="812" t="str">
        <f t="shared" si="163"/>
        <v/>
      </c>
      <c r="CY69" s="813">
        <f t="shared" si="164"/>
        <v>0</v>
      </c>
      <c r="CZ69" s="813" t="e">
        <f t="shared" si="165"/>
        <v>#REF!</v>
      </c>
      <c r="DA69" s="813" t="str">
        <f t="shared" si="166"/>
        <v/>
      </c>
      <c r="DB69" s="1224" t="str">
        <f t="shared" ref="DB69:DB85" si="202">IF(CD69="","",CD69+DA69+($EY$4*TAN(CY69)))</f>
        <v/>
      </c>
      <c r="DC69" s="1224" t="str">
        <f t="shared" si="167"/>
        <v/>
      </c>
      <c r="DD69" s="1225">
        <f t="shared" ref="DD69:DD85" si="203">IF(CD69="",0,IF(DC69/COS(EU69)&lt;0.0625,0,CEILING(DC69/COS(EU69)-0.03125,0.125)))</f>
        <v>0</v>
      </c>
      <c r="DE69" s="1224">
        <f t="shared" si="168"/>
        <v>0</v>
      </c>
      <c r="DF69" s="1226" t="e">
        <f t="shared" si="169"/>
        <v>#REF!</v>
      </c>
      <c r="DG69" s="1226" t="str">
        <f t="shared" si="170"/>
        <v/>
      </c>
      <c r="DH69" s="1224" t="str">
        <f t="shared" ref="DH69:DH85" si="204">IF(CM69="","",CM69+DG69+($EY$4*TAN(DE69)))</f>
        <v/>
      </c>
      <c r="DI69" s="1224" t="str">
        <f t="shared" si="171"/>
        <v/>
      </c>
      <c r="DJ69" s="1225">
        <f t="shared" ref="DJ69:DJ85" si="205">IF(CM69="",0,IF(DI69/COS(EU69)&lt;0.0625,0,CEILING(DI69/COS(EU69)-0.03125,0.125)))</f>
        <v>0</v>
      </c>
      <c r="DK69" s="1224" t="str">
        <f t="shared" ref="DK69:DK85" si="206">IF(CV69="","",CEILING(CV69-DD69-DJ69-0.0625,0.125))</f>
        <v/>
      </c>
      <c r="DL69" s="1224" t="str">
        <f t="shared" ref="DL69:DL85" si="207">IF(AND(EG69="",CH69=""),"",IF(EG69="ERR","ERR",IF(ISNUMBER(EG69),(EG69/2)*-1,CH69)))</f>
        <v/>
      </c>
      <c r="DM69" s="1224" t="str">
        <f t="shared" si="172"/>
        <v/>
      </c>
      <c r="DN69" s="1224" t="str">
        <f t="shared" si="173"/>
        <v/>
      </c>
      <c r="DO69" s="828" t="e">
        <f t="shared" si="174"/>
        <v>#REF!</v>
      </c>
      <c r="DP69" s="828" t="e">
        <f t="shared" si="175"/>
        <v>#REF!</v>
      </c>
      <c r="DQ69" s="1224" t="str">
        <f t="shared" ref="DQ69:DQ85" si="208">IF(ISERROR(DM69),"ERR",IF(DM69="","",IF(DO69="ERR","ERR",CEILING(DO69-0.0625,0.125))))</f>
        <v/>
      </c>
      <c r="DR69" s="1224" t="str">
        <f t="shared" ref="DR69:DR85" si="209">IF(ISERROR(DN69),"ERR",IF(DN69="","",IF(DP69="ERR","ERR",CEILING(DP69-0.0625,0.125))))</f>
        <v/>
      </c>
      <c r="DS69" s="1224" t="str">
        <f t="shared" ref="DS69:DS85" si="210">IF(AND(EJ69="",CQ69=""),"",IF(EJ69="ERR","ERR",IF(ISNUMBER(EJ69),(EJ69/2)*-1,CQ69)))</f>
        <v/>
      </c>
      <c r="DT69" s="1224" t="str">
        <f t="shared" si="176"/>
        <v/>
      </c>
      <c r="DU69" s="1224" t="str">
        <f t="shared" si="177"/>
        <v/>
      </c>
      <c r="DV69" s="828" t="e">
        <f t="shared" si="178"/>
        <v>#REF!</v>
      </c>
      <c r="DW69" s="828" t="e">
        <f t="shared" si="179"/>
        <v>#REF!</v>
      </c>
      <c r="DX69" s="812" t="str">
        <f t="shared" ref="DX69:DX85" si="211">IF(ISERROR(DT69),"ERR",IF(DT69="","",IF(DV69="ERR","ERR",CEILING(DV69-0.0625,0.125))))</f>
        <v/>
      </c>
      <c r="DY69" s="812" t="str">
        <f t="shared" ref="DY69:DY85" si="212">IF(ISERROR(DU69),"ERR",IF(DU69="","",IF(DW69="ERR","ERR",CEILING(DW69-0.0625,0.125))))</f>
        <v/>
      </c>
      <c r="DZ69" s="812" t="str">
        <f>IF(CG69="","",IF((CD69-CG69)/COS(CU69)-FB69&lt;=-0.0625,CEILING((CD69-CG69)/COS(CU69)-FB69+0.0625,-0.125),IF((CD69-CG69)/COS(CU69)-FB69&gt;=0.0625,CEILING((CD69-CG69)/COS(CU69)-FB69-0.0625,0.125),0)))</f>
        <v/>
      </c>
      <c r="EA69" s="812" t="str">
        <f>IF(CP69="","",IF((CM69-CP69)/COS(CU69)-FC69&lt;=-0.0625,CEILING((CM69-CP69)/COS(CU69)-FC69+0.0625,-0.125),IF((CM69-CP69)/COS(CU69)-FC69&gt;=0.0625,CEILING((CM69-CP69)/COS(CU69)-FC69-0.0625,0.125),0)))</f>
        <v/>
      </c>
      <c r="EB69" s="815" t="str">
        <f t="shared" si="180"/>
        <v/>
      </c>
      <c r="EC69" s="816" t="str">
        <f t="shared" ref="EC69:EC85" si="213">IF(AND(DR69="",DY69=""),"",IF(OR(CI69=EB69,CR69=EB69),EB69,CI69))</f>
        <v/>
      </c>
      <c r="ED69" s="815" t="str">
        <f t="shared" si="181"/>
        <v/>
      </c>
      <c r="EE69" s="815" t="str">
        <f t="shared" si="182"/>
        <v/>
      </c>
      <c r="EF69" s="815" t="str">
        <f t="shared" si="183"/>
        <v/>
      </c>
      <c r="EG69" s="815" t="str">
        <f t="shared" si="184"/>
        <v/>
      </c>
      <c r="EH69" s="815" t="str">
        <f t="shared" si="185"/>
        <v/>
      </c>
      <c r="EI69" s="815" t="str">
        <f t="shared" si="186"/>
        <v/>
      </c>
      <c r="EJ69" s="815" t="str">
        <f t="shared" si="187"/>
        <v/>
      </c>
      <c r="EK69" s="813">
        <f t="shared" ref="EK69:EK85" si="214">IF(CK69="",0,ATAN(CK69/12))</f>
        <v>0</v>
      </c>
      <c r="EL69" s="813">
        <f t="shared" ref="EL69:EL85" si="215">CU69-EK69</f>
        <v>0</v>
      </c>
      <c r="EM69" s="813">
        <f t="shared" si="188"/>
        <v>0</v>
      </c>
      <c r="EN69" s="813" t="e">
        <f t="shared" si="189"/>
        <v>#REF!</v>
      </c>
      <c r="EO69" s="812" t="str">
        <f t="shared" ref="EO69:EO85" si="216">IF(CF69="","",CF69*TAN(EK69))</f>
        <v/>
      </c>
      <c r="EP69" s="813">
        <f t="shared" ref="EP69:EP85" si="217">IF(CT69="",0,ATAN(CT69/12))</f>
        <v>0</v>
      </c>
      <c r="EQ69" s="813">
        <f t="shared" ref="EQ69:EQ85" si="218">CU69+EP69</f>
        <v>0</v>
      </c>
      <c r="ER69" s="813">
        <f t="shared" si="190"/>
        <v>0</v>
      </c>
      <c r="ES69" s="813" t="e">
        <f t="shared" si="191"/>
        <v>#REF!</v>
      </c>
      <c r="ET69" s="812" t="str">
        <f t="shared" ref="ET69:ET85" si="219">IF(CO69="","",CO69*TAN(EP69))</f>
        <v/>
      </c>
      <c r="EU69" s="812" t="e">
        <f t="shared" si="192"/>
        <v>#REF!</v>
      </c>
      <c r="EV69" s="815" t="e">
        <f t="shared" si="193"/>
        <v>#VALUE!</v>
      </c>
      <c r="EW69" s="815" t="e">
        <f t="shared" si="194"/>
        <v>#VALUE!</v>
      </c>
      <c r="EX69" s="874" t="str">
        <f t="shared" si="195"/>
        <v/>
      </c>
      <c r="EY69" s="818" t="e">
        <f t="shared" ref="EY69:EY85" si="220">TRUNC(IF(FA69&lt;1.03,25.667,IF(FA69&lt;1.2,29.667,IF(FA69&lt;1.79,33.583,IF(FA69&lt;2.3,37.75,IF(FA69&lt;3.76,42,IF(FA69&lt;4.76,50.167,IF(FA69&lt;8.45,58.167,"ERR"))))))))</f>
        <v>#DIV/0!</v>
      </c>
      <c r="EZ69" s="893" t="e">
        <f t="shared" si="196"/>
        <v>#DIV/0!</v>
      </c>
      <c r="FA69" s="894" t="e">
        <f t="shared" si="197"/>
        <v>#DIV/0!</v>
      </c>
      <c r="FB69" s="819" t="str">
        <f t="shared" si="198"/>
        <v/>
      </c>
      <c r="FC69" s="820" t="str">
        <f t="shared" si="199"/>
        <v/>
      </c>
      <c r="FD69" s="455">
        <f t="shared" si="200"/>
        <v>0</v>
      </c>
      <c r="FE69" s="456">
        <f t="shared" si="201"/>
        <v>0</v>
      </c>
      <c r="FF69" s="703" t="b">
        <f t="shared" si="126"/>
        <v>0</v>
      </c>
      <c r="FG69" s="703" t="b">
        <f t="shared" si="127"/>
        <v>0</v>
      </c>
      <c r="FH69" s="703" t="b">
        <f t="shared" si="128"/>
        <v>0</v>
      </c>
      <c r="FI69" s="846" t="b">
        <f t="shared" si="129"/>
        <v>0</v>
      </c>
      <c r="FJ69" s="849" t="str">
        <f t="shared" si="139"/>
        <v/>
      </c>
      <c r="FK69" s="848" t="str">
        <f t="shared" si="140"/>
        <v/>
      </c>
      <c r="FL69" s="242" t="e">
        <f t="shared" si="141"/>
        <v>#N/A</v>
      </c>
      <c r="FM69" s="234" t="str">
        <f t="shared" si="130"/>
        <v/>
      </c>
      <c r="FN69" s="191" t="str">
        <f t="shared" ca="1" si="142"/>
        <v/>
      </c>
      <c r="FO69" s="192" t="str">
        <f t="shared" ca="1" si="143"/>
        <v/>
      </c>
      <c r="FP69" s="193" t="str">
        <f t="shared" ca="1" si="144"/>
        <v/>
      </c>
      <c r="FQ69" s="193" t="str">
        <f t="shared" ca="1" si="145"/>
        <v/>
      </c>
      <c r="FR69" s="243">
        <f t="shared" ca="1" si="146"/>
        <v>0</v>
      </c>
      <c r="FS69" s="244">
        <f t="shared" ca="1" si="147"/>
        <v>0</v>
      </c>
      <c r="FT69" s="191" t="str">
        <f t="shared" ca="1" si="152"/>
        <v/>
      </c>
      <c r="FU69" s="194" t="str">
        <f t="shared" ca="1" si="153"/>
        <v/>
      </c>
      <c r="FV69" s="245" t="str">
        <f t="shared" ca="1" si="154"/>
        <v/>
      </c>
      <c r="FW69" s="195" t="str">
        <f t="shared" ca="1" si="148"/>
        <v/>
      </c>
      <c r="FX69" s="195" t="str">
        <f t="shared" ca="1" si="149"/>
        <v/>
      </c>
      <c r="FY69" s="195" t="str">
        <f t="shared" ca="1" si="155"/>
        <v/>
      </c>
      <c r="FZ69" s="195" t="str">
        <f t="shared" ca="1" si="150"/>
        <v/>
      </c>
      <c r="GA69" s="195" t="str">
        <f t="shared" ca="1" si="156"/>
        <v/>
      </c>
      <c r="GB69" s="196" t="str">
        <f ca="1">IF(FY69="","",2+SUM(FO69:OFFSET(FO69,(FU69-1)*-1,0)))</f>
        <v/>
      </c>
      <c r="GC69" s="238" t="e">
        <f t="shared" si="151"/>
        <v>#N/A</v>
      </c>
      <c r="GD69" s="246" t="str">
        <f t="shared" si="131"/>
        <v/>
      </c>
      <c r="GE69" s="247" t="str">
        <f t="shared" si="132"/>
        <v/>
      </c>
      <c r="GF69" s="197" t="str">
        <f t="shared" si="133"/>
        <v/>
      </c>
      <c r="GG69" s="198" t="str">
        <f t="shared" si="134"/>
        <v/>
      </c>
      <c r="GH69" s="198" t="str">
        <f t="shared" si="135"/>
        <v/>
      </c>
      <c r="GI69" s="199" t="str">
        <f t="shared" si="136"/>
        <v/>
      </c>
      <c r="GJ69" s="248">
        <f t="shared" ca="1" si="137"/>
        <v>0</v>
      </c>
      <c r="GK69" s="842" t="str">
        <f t="shared" ca="1" si="138"/>
        <v/>
      </c>
    </row>
    <row r="70" spans="78:196" ht="12.6" hidden="1" customHeight="1" x14ac:dyDescent="0.2">
      <c r="BZ70" s="214"/>
      <c r="CA70" s="214"/>
      <c r="CB70" s="289" t="str">
        <f t="shared" si="157"/>
        <v/>
      </c>
      <c r="CC70" s="1218" t="str">
        <f>IF(CG30="","",VLOOKUP(CG30,#REF!,12,FALSE))</f>
        <v/>
      </c>
      <c r="CD70" s="1219" t="str">
        <f>IF(ISBLANK(CN30),IF(CG30="","",VLOOKUP(CG30,#REF!,13,FALSE)),CN30)</f>
        <v/>
      </c>
      <c r="CE70" s="1219" t="str">
        <f>IF(CG30="","",IF(VLOOKUP(CG30,#REF!,5,FALSE)="","R",UPPER(VLOOKUP(CG30,#REF!,5,FALSE))))</f>
        <v/>
      </c>
      <c r="CF70" s="1219" t="str">
        <f>IF(ISBLANK(CP30),IF(CG30="","",VLOOKUP(CG30,#REF!,6,FALSE)),CP30)</f>
        <v/>
      </c>
      <c r="CG70" s="1219" t="str">
        <f>IF(CG30="","",IF(VLOOKUP(CG30,#REF!,10,FALSE)="","",(VLOOKUP(CG30,#REF!,10,FALSE)*-1)))</f>
        <v/>
      </c>
      <c r="CH70" s="1219" t="str">
        <f>IF(CG30="","",IF(VLOOKUP(CG30,#REF!,7,FALSE)="","",(VLOOKUP(CG30,#REF!,7,FALSE)*-1)))</f>
        <v/>
      </c>
      <c r="CI70" s="1219" t="str">
        <f>IF(CG30="","",IF(VLOOKUP(CG30,#REF!,8,FALSE)="",$FC$4,(VLOOKUP(CG30,#REF!,8,FALSE))))</f>
        <v/>
      </c>
      <c r="CJ70" s="1219" t="str">
        <f>IF(CG30="","",VLOOKUP(CG30,#REF!,9,FALSE))</f>
        <v/>
      </c>
      <c r="CK70" s="1220">
        <f t="shared" si="158"/>
        <v>0</v>
      </c>
      <c r="CL70" s="1218" t="str">
        <f>IF(CQ30="","",VLOOKUP(CQ30,#REF!,12,FALSE))</f>
        <v/>
      </c>
      <c r="CM70" s="1219" t="str">
        <f>IF(ISBLANK(CX30),IF(CQ30="","",VLOOKUP(CQ30,#REF!,13,FALSE)),CX30)</f>
        <v/>
      </c>
      <c r="CN70" s="1219" t="str">
        <f>IF(CQ30="","",IF(VLOOKUP(CQ30,#REF!,5,FALSE)="","R",UPPER(VLOOKUP(CQ30,#REF!,5,FALSE))))</f>
        <v/>
      </c>
      <c r="CO70" s="1219" t="str">
        <f>IF(ISBLANK(CZ30),IF(CQ30="","",VLOOKUP(CQ30,#REF!,6,FALSE)),CZ30)</f>
        <v/>
      </c>
      <c r="CP70" s="1219" t="str">
        <f>IF(CQ30="","",IF(VLOOKUP(CQ30,#REF!,10,FALSE)="","",(VLOOKUP(CQ30,#REF!,10,FALSE)*-1)))</f>
        <v/>
      </c>
      <c r="CQ70" s="291" t="str">
        <f>IF(CQ30="","",IF(VLOOKUP(CQ30,#REF!,7,FALSE)="","",(VLOOKUP(CQ30,#REF!,7,FALSE)*-1)))</f>
        <v/>
      </c>
      <c r="CR70" s="291" t="str">
        <f>IF(CQ30="","",IF(VLOOKUP(CQ30,#REF!,8,FALSE)="",$FC$4,(VLOOKUP(CQ30,#REF!,8,FALSE))))</f>
        <v/>
      </c>
      <c r="CS70" s="291" t="str">
        <f>IF(CQ30="","",VLOOKUP(CQ30,#REF!,9,FALSE))</f>
        <v/>
      </c>
      <c r="CT70" s="292">
        <f t="shared" si="159"/>
        <v>0</v>
      </c>
      <c r="CU70" s="293">
        <f t="shared" si="160"/>
        <v>0</v>
      </c>
      <c r="CV70" s="193" t="str">
        <f t="shared" si="161"/>
        <v/>
      </c>
      <c r="CW70" s="193" t="str">
        <f t="shared" si="162"/>
        <v/>
      </c>
      <c r="CX70" s="812" t="str">
        <f t="shared" si="163"/>
        <v/>
      </c>
      <c r="CY70" s="813">
        <f t="shared" si="164"/>
        <v>0</v>
      </c>
      <c r="CZ70" s="813" t="e">
        <f t="shared" si="165"/>
        <v>#REF!</v>
      </c>
      <c r="DA70" s="813" t="str">
        <f t="shared" si="166"/>
        <v/>
      </c>
      <c r="DB70" s="1224" t="str">
        <f t="shared" si="202"/>
        <v/>
      </c>
      <c r="DC70" s="1224" t="str">
        <f t="shared" si="167"/>
        <v/>
      </c>
      <c r="DD70" s="1225">
        <f t="shared" si="203"/>
        <v>0</v>
      </c>
      <c r="DE70" s="1224">
        <f t="shared" si="168"/>
        <v>0</v>
      </c>
      <c r="DF70" s="1226" t="e">
        <f t="shared" si="169"/>
        <v>#REF!</v>
      </c>
      <c r="DG70" s="1226" t="str">
        <f t="shared" si="170"/>
        <v/>
      </c>
      <c r="DH70" s="1224" t="str">
        <f t="shared" si="204"/>
        <v/>
      </c>
      <c r="DI70" s="1224" t="str">
        <f t="shared" si="171"/>
        <v/>
      </c>
      <c r="DJ70" s="1225">
        <f t="shared" si="205"/>
        <v>0</v>
      </c>
      <c r="DK70" s="1224" t="str">
        <f t="shared" si="206"/>
        <v/>
      </c>
      <c r="DL70" s="1224" t="str">
        <f t="shared" si="207"/>
        <v/>
      </c>
      <c r="DM70" s="1224" t="str">
        <f t="shared" si="172"/>
        <v/>
      </c>
      <c r="DN70" s="1224" t="str">
        <f t="shared" si="173"/>
        <v/>
      </c>
      <c r="DO70" s="828" t="e">
        <f t="shared" si="174"/>
        <v>#REF!</v>
      </c>
      <c r="DP70" s="828" t="e">
        <f t="shared" si="175"/>
        <v>#REF!</v>
      </c>
      <c r="DQ70" s="1224" t="str">
        <f t="shared" si="208"/>
        <v/>
      </c>
      <c r="DR70" s="1224" t="str">
        <f t="shared" si="209"/>
        <v/>
      </c>
      <c r="DS70" s="1224" t="str">
        <f t="shared" si="210"/>
        <v/>
      </c>
      <c r="DT70" s="1224" t="str">
        <f t="shared" si="176"/>
        <v/>
      </c>
      <c r="DU70" s="1224" t="str">
        <f t="shared" si="177"/>
        <v/>
      </c>
      <c r="DV70" s="828" t="e">
        <f t="shared" si="178"/>
        <v>#REF!</v>
      </c>
      <c r="DW70" s="828" t="e">
        <f t="shared" si="179"/>
        <v>#REF!</v>
      </c>
      <c r="DX70" s="812" t="str">
        <f t="shared" si="211"/>
        <v/>
      </c>
      <c r="DY70" s="812" t="str">
        <f t="shared" si="212"/>
        <v/>
      </c>
      <c r="DZ70" s="812" t="str">
        <f>IF(CG70="","",IF((CD70-CG70)/COS(CU70)-FB70&lt;=-0.0625,CEILING((CD70-CG70)/COS(CU70)-FB70+0.0625,-0.125),IF((CD70-CG70)/COS(CU70)-FB70&gt;=0.0625,CEILING((CD70-CG70)/COS(CU70)-FB70-0.0625,0.125),0)))</f>
        <v/>
      </c>
      <c r="EA70" s="812" t="str">
        <f>IF(CP70="","",IF((CM70-CP70)/COS(CU70)-FC70&lt;=-0.0625,CEILING((CM70-CP70)/COS(CU70)-FC70+0.0625,-0.125),IF((CM70-CP70)/COS(CU70)-FC70&gt;=0.0625,CEILING((CM70-CP70)/COS(CU70)-FC70-0.0625,0.125),0)))</f>
        <v/>
      </c>
      <c r="EB70" s="815" t="str">
        <f t="shared" si="180"/>
        <v/>
      </c>
      <c r="EC70" s="816" t="str">
        <f t="shared" si="213"/>
        <v/>
      </c>
      <c r="ED70" s="815" t="str">
        <f t="shared" si="181"/>
        <v/>
      </c>
      <c r="EE70" s="815" t="str">
        <f t="shared" si="182"/>
        <v/>
      </c>
      <c r="EF70" s="815" t="str">
        <f t="shared" si="183"/>
        <v/>
      </c>
      <c r="EG70" s="815" t="str">
        <f t="shared" si="184"/>
        <v/>
      </c>
      <c r="EH70" s="815" t="str">
        <f t="shared" si="185"/>
        <v/>
      </c>
      <c r="EI70" s="815" t="str">
        <f t="shared" si="186"/>
        <v/>
      </c>
      <c r="EJ70" s="815" t="str">
        <f t="shared" si="187"/>
        <v/>
      </c>
      <c r="EK70" s="813">
        <f>IF(CK70="",0,ATAN(CK70/12))</f>
        <v>0</v>
      </c>
      <c r="EL70" s="813">
        <f t="shared" si="215"/>
        <v>0</v>
      </c>
      <c r="EM70" s="813">
        <f t="shared" si="188"/>
        <v>0</v>
      </c>
      <c r="EN70" s="813" t="e">
        <f t="shared" si="189"/>
        <v>#REF!</v>
      </c>
      <c r="EO70" s="812" t="str">
        <f t="shared" si="216"/>
        <v/>
      </c>
      <c r="EP70" s="813">
        <f t="shared" si="217"/>
        <v>0</v>
      </c>
      <c r="EQ70" s="813">
        <f t="shared" si="218"/>
        <v>0</v>
      </c>
      <c r="ER70" s="813">
        <f t="shared" si="190"/>
        <v>0</v>
      </c>
      <c r="ES70" s="813" t="e">
        <f t="shared" si="191"/>
        <v>#REF!</v>
      </c>
      <c r="ET70" s="812" t="str">
        <f t="shared" si="219"/>
        <v/>
      </c>
      <c r="EU70" s="812" t="e">
        <f t="shared" si="192"/>
        <v>#REF!</v>
      </c>
      <c r="EV70" s="815" t="e">
        <f t="shared" si="193"/>
        <v>#VALUE!</v>
      </c>
      <c r="EW70" s="815" t="e">
        <f t="shared" si="194"/>
        <v>#VALUE!</v>
      </c>
      <c r="EX70" s="874" t="str">
        <f t="shared" si="195"/>
        <v/>
      </c>
      <c r="EY70" s="818" t="e">
        <f t="shared" si="220"/>
        <v>#DIV/0!</v>
      </c>
      <c r="EZ70" s="893" t="e">
        <f t="shared" si="196"/>
        <v>#DIV/0!</v>
      </c>
      <c r="FA70" s="894" t="e">
        <f t="shared" si="197"/>
        <v>#DIV/0!</v>
      </c>
      <c r="FB70" s="819" t="str">
        <f t="shared" si="198"/>
        <v/>
      </c>
      <c r="FC70" s="820" t="str">
        <f t="shared" si="199"/>
        <v/>
      </c>
      <c r="FD70" s="455">
        <f t="shared" si="200"/>
        <v>0</v>
      </c>
      <c r="FE70" s="456">
        <f t="shared" si="201"/>
        <v>0</v>
      </c>
      <c r="FF70" s="704" t="b">
        <f t="shared" si="126"/>
        <v>0</v>
      </c>
      <c r="FG70" s="704" t="b">
        <f t="shared" si="127"/>
        <v>0</v>
      </c>
      <c r="FH70" s="704" t="b">
        <f t="shared" si="128"/>
        <v>0</v>
      </c>
      <c r="FI70" s="847" t="b">
        <f t="shared" si="129"/>
        <v>0</v>
      </c>
      <c r="FJ70" s="849" t="str">
        <f t="shared" si="139"/>
        <v/>
      </c>
      <c r="FK70" s="848" t="str">
        <f t="shared" si="140"/>
        <v/>
      </c>
      <c r="FL70" s="242" t="e">
        <f t="shared" si="141"/>
        <v>#N/A</v>
      </c>
      <c r="FM70" s="234" t="str">
        <f t="shared" si="130"/>
        <v/>
      </c>
      <c r="FN70" s="191" t="str">
        <f t="shared" ca="1" si="142"/>
        <v/>
      </c>
      <c r="FO70" s="192" t="str">
        <f t="shared" ca="1" si="143"/>
        <v/>
      </c>
      <c r="FP70" s="193" t="str">
        <f t="shared" ca="1" si="144"/>
        <v/>
      </c>
      <c r="FQ70" s="193" t="str">
        <f t="shared" ca="1" si="145"/>
        <v/>
      </c>
      <c r="FR70" s="243">
        <f t="shared" ca="1" si="146"/>
        <v>0</v>
      </c>
      <c r="FS70" s="244">
        <f t="shared" ca="1" si="147"/>
        <v>0</v>
      </c>
      <c r="FT70" s="191" t="str">
        <f t="shared" ca="1" si="152"/>
        <v/>
      </c>
      <c r="FU70" s="194" t="str">
        <f t="shared" ca="1" si="153"/>
        <v/>
      </c>
      <c r="FV70" s="245" t="str">
        <f t="shared" ca="1" si="154"/>
        <v/>
      </c>
      <c r="FW70" s="195" t="str">
        <f t="shared" ca="1" si="148"/>
        <v/>
      </c>
      <c r="FX70" s="195" t="str">
        <f t="shared" ca="1" si="149"/>
        <v/>
      </c>
      <c r="FY70" s="195" t="str">
        <f t="shared" ca="1" si="155"/>
        <v/>
      </c>
      <c r="FZ70" s="195" t="str">
        <f t="shared" ca="1" si="150"/>
        <v/>
      </c>
      <c r="GA70" s="195" t="str">
        <f t="shared" ca="1" si="156"/>
        <v/>
      </c>
      <c r="GB70" s="196" t="str">
        <f ca="1">IF(FY70="","",2+SUM(FO70:OFFSET(FO70,(FU70-1)*-1,0)))</f>
        <v/>
      </c>
      <c r="GC70" s="238" t="e">
        <f t="shared" si="151"/>
        <v>#N/A</v>
      </c>
      <c r="GD70" s="246" t="str">
        <f>IF(ISBLANK(DT30),"",MAX(0,DT30+VLOOKUP(FK70,$CB$54:$CD$85,3,FALSE)))</f>
        <v/>
      </c>
      <c r="GE70" s="247" t="str">
        <f>IF(ISBLANK(DU30),"",MAX(0,DU30+VLOOKUP(FK70,$CB$54:$CM$85,12,FALSE)))</f>
        <v/>
      </c>
      <c r="GF70" s="197" t="str">
        <f t="shared" si="133"/>
        <v/>
      </c>
      <c r="GG70" s="198" t="str">
        <f t="shared" si="134"/>
        <v/>
      </c>
      <c r="GH70" s="198" t="str">
        <f t="shared" si="135"/>
        <v/>
      </c>
      <c r="GI70" s="199" t="str">
        <f t="shared" si="136"/>
        <v/>
      </c>
      <c r="GJ70" s="248">
        <f t="shared" ca="1" si="137"/>
        <v>0</v>
      </c>
      <c r="GK70" s="842" t="str">
        <f t="shared" ca="1" si="138"/>
        <v/>
      </c>
      <c r="GN70" s="1278" t="s">
        <v>787</v>
      </c>
    </row>
    <row r="71" spans="78:196" ht="12.6" hidden="1" customHeight="1" x14ac:dyDescent="0.2">
      <c r="BZ71" s="214"/>
      <c r="CA71" s="214"/>
      <c r="CB71" s="289" t="str">
        <f t="shared" si="157"/>
        <v/>
      </c>
      <c r="CC71" s="1218" t="str">
        <f>IF(CG31="","",VLOOKUP(CG31,#REF!,12,FALSE))</f>
        <v/>
      </c>
      <c r="CD71" s="1219" t="str">
        <f>IF(ISBLANK(CN31),IF(CG31="","",VLOOKUP(CG31,#REF!,13,FALSE)),CN31)</f>
        <v/>
      </c>
      <c r="CE71" s="1219" t="str">
        <f>IF(CG31="","",IF(VLOOKUP(CG31,#REF!,5,FALSE)="","R",UPPER(VLOOKUP(CG31,#REF!,5,FALSE))))</f>
        <v/>
      </c>
      <c r="CF71" s="1219" t="str">
        <f>IF(ISBLANK(CP31),IF(CG31="","",VLOOKUP(CG31,#REF!,6,FALSE)),CP31)</f>
        <v/>
      </c>
      <c r="CG71" s="1219" t="str">
        <f>IF(CG31="","",IF(VLOOKUP(CG31,#REF!,10,FALSE)="","",(VLOOKUP(CG31,#REF!,10,FALSE)*-1)))</f>
        <v/>
      </c>
      <c r="CH71" s="1219" t="str">
        <f>IF(CG31="","",IF(VLOOKUP(CG31,#REF!,7,FALSE)="","",(VLOOKUP(CG31,#REF!,7,FALSE)*-1)))</f>
        <v/>
      </c>
      <c r="CI71" s="1219" t="str">
        <f>IF(CG31="","",IF(VLOOKUP(CG31,#REF!,8,FALSE)="",$FC$4,(VLOOKUP(CG31,#REF!,8,FALSE))))</f>
        <v/>
      </c>
      <c r="CJ71" s="1219" t="str">
        <f>IF(CG31="","",VLOOKUP(CG31,#REF!,9,FALSE))</f>
        <v/>
      </c>
      <c r="CK71" s="1220">
        <f t="shared" si="158"/>
        <v>0</v>
      </c>
      <c r="CL71" s="1218" t="str">
        <f>IF(CQ31="","",VLOOKUP(CQ31,#REF!,12,FALSE))</f>
        <v/>
      </c>
      <c r="CM71" s="1219" t="str">
        <f>IF(ISBLANK(CX31),IF(CQ31="","",VLOOKUP(CQ31,#REF!,13,FALSE)),CX31)</f>
        <v/>
      </c>
      <c r="CN71" s="1219" t="str">
        <f>IF(CQ31="","",IF(VLOOKUP(CQ31,#REF!,5,FALSE)="","R",UPPER(VLOOKUP(CQ31,#REF!,5,FALSE))))</f>
        <v/>
      </c>
      <c r="CO71" s="1219" t="str">
        <f>IF(ISBLANK(CZ31),IF(CQ31="","",VLOOKUP(CQ31,#REF!,6,FALSE)),CZ31)</f>
        <v/>
      </c>
      <c r="CP71" s="1219" t="str">
        <f>IF(CQ31="","",IF(VLOOKUP(CQ31,#REF!,10,FALSE)="","",(VLOOKUP(CQ31,#REF!,10,FALSE)*-1)))</f>
        <v/>
      </c>
      <c r="CQ71" s="291" t="str">
        <f>IF(CQ31="","",IF(VLOOKUP(CQ31,#REF!,7,FALSE)="","",(VLOOKUP(CQ31,#REF!,7,FALSE)*-1)))</f>
        <v/>
      </c>
      <c r="CR71" s="291" t="str">
        <f>IF(CQ31="","",IF(VLOOKUP(CQ31,#REF!,8,FALSE)="",$FC$4,(VLOOKUP(CQ31,#REF!,8,FALSE))))</f>
        <v/>
      </c>
      <c r="CS71" s="291" t="str">
        <f>IF(CQ31="","",VLOOKUP(CQ31,#REF!,9,FALSE))</f>
        <v/>
      </c>
      <c r="CT71" s="292">
        <f t="shared" si="159"/>
        <v>0</v>
      </c>
      <c r="CU71" s="293">
        <f t="shared" si="160"/>
        <v>0</v>
      </c>
      <c r="CV71" s="193" t="str">
        <f t="shared" si="161"/>
        <v/>
      </c>
      <c r="CW71" s="193" t="str">
        <f t="shared" si="162"/>
        <v/>
      </c>
      <c r="CX71" s="812" t="str">
        <f t="shared" si="163"/>
        <v/>
      </c>
      <c r="CY71" s="813">
        <f t="shared" si="164"/>
        <v>0</v>
      </c>
      <c r="CZ71" s="813" t="e">
        <f t="shared" si="165"/>
        <v>#REF!</v>
      </c>
      <c r="DA71" s="813" t="str">
        <f t="shared" si="166"/>
        <v/>
      </c>
      <c r="DB71" s="1224" t="str">
        <f t="shared" si="202"/>
        <v/>
      </c>
      <c r="DC71" s="1224" t="str">
        <f t="shared" si="167"/>
        <v/>
      </c>
      <c r="DD71" s="1225">
        <f t="shared" si="203"/>
        <v>0</v>
      </c>
      <c r="DE71" s="1224">
        <f t="shared" si="168"/>
        <v>0</v>
      </c>
      <c r="DF71" s="1226" t="e">
        <f t="shared" si="169"/>
        <v>#REF!</v>
      </c>
      <c r="DG71" s="1226" t="str">
        <f t="shared" si="170"/>
        <v/>
      </c>
      <c r="DH71" s="1224" t="str">
        <f t="shared" si="204"/>
        <v/>
      </c>
      <c r="DI71" s="1224" t="str">
        <f t="shared" si="171"/>
        <v/>
      </c>
      <c r="DJ71" s="1225">
        <f t="shared" si="205"/>
        <v>0</v>
      </c>
      <c r="DK71" s="1224" t="str">
        <f t="shared" si="206"/>
        <v/>
      </c>
      <c r="DL71" s="1224" t="str">
        <f t="shared" si="207"/>
        <v/>
      </c>
      <c r="DM71" s="1224" t="str">
        <f t="shared" si="172"/>
        <v/>
      </c>
      <c r="DN71" s="1224" t="str">
        <f t="shared" si="173"/>
        <v/>
      </c>
      <c r="DO71" s="828" t="e">
        <f t="shared" si="174"/>
        <v>#REF!</v>
      </c>
      <c r="DP71" s="828" t="e">
        <f t="shared" si="175"/>
        <v>#REF!</v>
      </c>
      <c r="DQ71" s="1224" t="str">
        <f t="shared" si="208"/>
        <v/>
      </c>
      <c r="DR71" s="1224" t="str">
        <f t="shared" si="209"/>
        <v/>
      </c>
      <c r="DS71" s="1224" t="str">
        <f t="shared" si="210"/>
        <v/>
      </c>
      <c r="DT71" s="1224" t="str">
        <f t="shared" si="176"/>
        <v/>
      </c>
      <c r="DU71" s="1224" t="str">
        <f t="shared" si="177"/>
        <v/>
      </c>
      <c r="DV71" s="828" t="e">
        <f t="shared" si="178"/>
        <v>#REF!</v>
      </c>
      <c r="DW71" s="828" t="e">
        <f t="shared" si="179"/>
        <v>#REF!</v>
      </c>
      <c r="DX71" s="812" t="str">
        <f t="shared" si="211"/>
        <v/>
      </c>
      <c r="DY71" s="812" t="str">
        <f t="shared" si="212"/>
        <v/>
      </c>
      <c r="DZ71" s="812" t="str">
        <f>IF(CG71="","",IF((CD71-CG71)/COS(CU71)-FB71&lt;=-0.0625,CEILING((CD71-CG71)/COS(CU71)-FB71+0.0625,-0.125),IF((CD71-CG71)/COS(CU71)-FB71&gt;=0.0625,CEILING((CD71-CG71)/COS(CU71)-FB71-0.0625,0.125),0)))</f>
        <v/>
      </c>
      <c r="EA71" s="812" t="str">
        <f>IF(CP71="","",IF((CM71-CP71)/COS(CU71)-FC71&lt;=-0.0625,CEILING((CM71-CP71)/COS(CU71)-FC71+0.0625,-0.125),IF((CM71-CP71)/COS(CU71)-FC71&gt;=0.0625,CEILING((CM71-CP71)/COS(CU71)-FC71-0.0625,0.125),0)))</f>
        <v/>
      </c>
      <c r="EB71" s="815" t="str">
        <f t="shared" si="180"/>
        <v/>
      </c>
      <c r="EC71" s="816" t="str">
        <f t="shared" si="213"/>
        <v/>
      </c>
      <c r="ED71" s="815" t="str">
        <f t="shared" si="181"/>
        <v/>
      </c>
      <c r="EE71" s="815" t="str">
        <f t="shared" si="182"/>
        <v/>
      </c>
      <c r="EF71" s="815" t="str">
        <f t="shared" si="183"/>
        <v/>
      </c>
      <c r="EG71" s="815" t="str">
        <f t="shared" si="184"/>
        <v/>
      </c>
      <c r="EH71" s="815" t="str">
        <f t="shared" si="185"/>
        <v/>
      </c>
      <c r="EI71" s="815" t="str">
        <f t="shared" si="186"/>
        <v/>
      </c>
      <c r="EJ71" s="815" t="str">
        <f t="shared" si="187"/>
        <v/>
      </c>
      <c r="EK71" s="813">
        <f t="shared" si="214"/>
        <v>0</v>
      </c>
      <c r="EL71" s="813">
        <f t="shared" si="215"/>
        <v>0</v>
      </c>
      <c r="EM71" s="813">
        <f t="shared" si="188"/>
        <v>0</v>
      </c>
      <c r="EN71" s="813" t="e">
        <f t="shared" si="189"/>
        <v>#REF!</v>
      </c>
      <c r="EO71" s="812" t="str">
        <f t="shared" si="216"/>
        <v/>
      </c>
      <c r="EP71" s="813">
        <f t="shared" si="217"/>
        <v>0</v>
      </c>
      <c r="EQ71" s="813">
        <f t="shared" si="218"/>
        <v>0</v>
      </c>
      <c r="ER71" s="813">
        <f t="shared" si="190"/>
        <v>0</v>
      </c>
      <c r="ES71" s="813" t="e">
        <f t="shared" si="191"/>
        <v>#REF!</v>
      </c>
      <c r="ET71" s="812" t="str">
        <f t="shared" si="219"/>
        <v/>
      </c>
      <c r="EU71" s="812" t="e">
        <f t="shared" si="192"/>
        <v>#REF!</v>
      </c>
      <c r="EV71" s="815" t="e">
        <f t="shared" si="193"/>
        <v>#VALUE!</v>
      </c>
      <c r="EW71" s="815" t="e">
        <f t="shared" si="194"/>
        <v>#VALUE!</v>
      </c>
      <c r="EX71" s="874" t="str">
        <f t="shared" si="195"/>
        <v/>
      </c>
      <c r="EY71" s="818" t="e">
        <f t="shared" si="220"/>
        <v>#DIV/0!</v>
      </c>
      <c r="EZ71" s="893" t="e">
        <f t="shared" si="196"/>
        <v>#DIV/0!</v>
      </c>
      <c r="FA71" s="894" t="e">
        <f t="shared" si="197"/>
        <v>#DIV/0!</v>
      </c>
      <c r="FB71" s="819" t="str">
        <f t="shared" si="198"/>
        <v/>
      </c>
      <c r="FC71" s="820" t="str">
        <f t="shared" si="199"/>
        <v/>
      </c>
      <c r="FD71" s="455">
        <f t="shared" si="200"/>
        <v>0</v>
      </c>
      <c r="FE71" s="456">
        <f t="shared" si="201"/>
        <v>0</v>
      </c>
      <c r="FF71" s="704" t="b">
        <f t="shared" si="126"/>
        <v>0</v>
      </c>
      <c r="FG71" s="704" t="b">
        <f t="shared" si="127"/>
        <v>0</v>
      </c>
      <c r="FH71" s="704" t="b">
        <f t="shared" si="128"/>
        <v>0</v>
      </c>
      <c r="FI71" s="847" t="b">
        <f t="shared" si="129"/>
        <v>0</v>
      </c>
      <c r="FJ71" s="849" t="str">
        <f t="shared" si="139"/>
        <v/>
      </c>
      <c r="FK71" s="848" t="str">
        <f t="shared" si="140"/>
        <v/>
      </c>
      <c r="FL71" s="242" t="e">
        <f t="shared" si="141"/>
        <v>#N/A</v>
      </c>
      <c r="FM71" s="234" t="str">
        <f t="shared" si="130"/>
        <v/>
      </c>
      <c r="FN71" s="191" t="str">
        <f t="shared" ca="1" si="142"/>
        <v/>
      </c>
      <c r="FO71" s="192" t="str">
        <f t="shared" ca="1" si="143"/>
        <v/>
      </c>
      <c r="FP71" s="193" t="str">
        <f t="shared" ca="1" si="144"/>
        <v/>
      </c>
      <c r="FQ71" s="193" t="str">
        <f t="shared" ca="1" si="145"/>
        <v/>
      </c>
      <c r="FR71" s="243">
        <f t="shared" ca="1" si="146"/>
        <v>0</v>
      </c>
      <c r="FS71" s="244">
        <f t="shared" ca="1" si="147"/>
        <v>0</v>
      </c>
      <c r="FT71" s="191" t="str">
        <f t="shared" ca="1" si="152"/>
        <v/>
      </c>
      <c r="FU71" s="194" t="str">
        <f t="shared" ca="1" si="153"/>
        <v/>
      </c>
      <c r="FV71" s="245" t="str">
        <f t="shared" ca="1" si="154"/>
        <v/>
      </c>
      <c r="FW71" s="195" t="str">
        <f t="shared" ca="1" si="148"/>
        <v/>
      </c>
      <c r="FX71" s="195" t="str">
        <f t="shared" ca="1" si="149"/>
        <v/>
      </c>
      <c r="FY71" s="195" t="str">
        <f t="shared" ca="1" si="155"/>
        <v/>
      </c>
      <c r="FZ71" s="195" t="str">
        <f t="shared" ca="1" si="150"/>
        <v/>
      </c>
      <c r="GA71" s="195" t="str">
        <f t="shared" ca="1" si="156"/>
        <v/>
      </c>
      <c r="GB71" s="196" t="str">
        <f ca="1">IF(FY71="","",2+SUM(FO71:OFFSET(FO71,(FU71-1)*-1,0)))</f>
        <v/>
      </c>
      <c r="GC71" s="238" t="e">
        <f t="shared" si="151"/>
        <v>#N/A</v>
      </c>
      <c r="GD71" s="246" t="str">
        <f t="shared" si="131"/>
        <v/>
      </c>
      <c r="GE71" s="247" t="str">
        <f t="shared" si="132"/>
        <v/>
      </c>
      <c r="GF71" s="197" t="str">
        <f t="shared" si="133"/>
        <v/>
      </c>
      <c r="GG71" s="198" t="str">
        <f t="shared" si="134"/>
        <v/>
      </c>
      <c r="GH71" s="198" t="str">
        <f t="shared" si="135"/>
        <v/>
      </c>
      <c r="GI71" s="199" t="str">
        <f t="shared" si="136"/>
        <v/>
      </c>
      <c r="GJ71" s="248">
        <f t="shared" ca="1" si="137"/>
        <v>0</v>
      </c>
      <c r="GK71" s="842" t="str">
        <f t="shared" ca="1" si="138"/>
        <v/>
      </c>
    </row>
    <row r="72" spans="78:196" ht="12.6" hidden="1" customHeight="1" x14ac:dyDescent="0.2">
      <c r="BZ72" s="214"/>
      <c r="CA72" s="214"/>
      <c r="CB72" s="289" t="str">
        <f t="shared" si="157"/>
        <v/>
      </c>
      <c r="CC72" s="1218" t="str">
        <f>IF(CG32="","",VLOOKUP(CG32,#REF!,12,FALSE))</f>
        <v/>
      </c>
      <c r="CD72" s="1219" t="str">
        <f>IF(ISBLANK(CN32),IF(CG32="","",VLOOKUP(CG32,#REF!,13,FALSE)),CN32)</f>
        <v/>
      </c>
      <c r="CE72" s="1219" t="str">
        <f>IF(CG32="","",IF(VLOOKUP(CG32,#REF!,5,FALSE)="","R",UPPER(VLOOKUP(CG32,#REF!,5,FALSE))))</f>
        <v/>
      </c>
      <c r="CF72" s="1219" t="str">
        <f>IF(ISBLANK(CP32),IF(CG32="","",VLOOKUP(CG32,#REF!,6,FALSE)),CP32)</f>
        <v/>
      </c>
      <c r="CG72" s="1219" t="str">
        <f>IF(CG32="","",IF(VLOOKUP(CG32,#REF!,10,FALSE)="","",(VLOOKUP(CG32,#REF!,10,FALSE)*-1)))</f>
        <v/>
      </c>
      <c r="CH72" s="1219" t="str">
        <f>IF(CG32="","",IF(VLOOKUP(CG32,#REF!,7,FALSE)="","",(VLOOKUP(CG32,#REF!,7,FALSE)*-1)))</f>
        <v/>
      </c>
      <c r="CI72" s="1219" t="str">
        <f>IF(CG32="","",IF(VLOOKUP(CG32,#REF!,8,FALSE)="",$FC$4,(VLOOKUP(CG32,#REF!,8,FALSE))))</f>
        <v/>
      </c>
      <c r="CJ72" s="1219" t="str">
        <f>IF(CG32="","",VLOOKUP(CG32,#REF!,9,FALSE))</f>
        <v/>
      </c>
      <c r="CK72" s="1220">
        <f t="shared" si="158"/>
        <v>0</v>
      </c>
      <c r="CL72" s="1218" t="str">
        <f>IF(CQ32="","",VLOOKUP(CQ32,#REF!,12,FALSE))</f>
        <v/>
      </c>
      <c r="CM72" s="1219" t="str">
        <f>IF(ISBLANK(CX32),IF(CQ32="","",VLOOKUP(CQ32,#REF!,13,FALSE)),CX32)</f>
        <v/>
      </c>
      <c r="CN72" s="1219" t="str">
        <f>IF(CQ32="","",IF(VLOOKUP(CQ32,#REF!,5,FALSE)="","R",UPPER(VLOOKUP(CQ32,#REF!,5,FALSE))))</f>
        <v/>
      </c>
      <c r="CO72" s="1219" t="str">
        <f>IF(ISBLANK(CZ32),IF(CQ32="","",VLOOKUP(CQ32,#REF!,6,FALSE)),CZ32)</f>
        <v/>
      </c>
      <c r="CP72" s="1219" t="str">
        <f>IF(CQ32="","",IF(VLOOKUP(CQ32,#REF!,10,FALSE)="","",(VLOOKUP(CQ32,#REF!,10,FALSE)*-1)))</f>
        <v/>
      </c>
      <c r="CQ72" s="291" t="str">
        <f>IF(CQ32="","",IF(VLOOKUP(CQ32,#REF!,7,FALSE)="","",(VLOOKUP(CQ32,#REF!,7,FALSE)*-1)))</f>
        <v/>
      </c>
      <c r="CR72" s="291" t="str">
        <f>IF(CQ32="","",IF(VLOOKUP(CQ32,#REF!,8,FALSE)="",$FC$4,(VLOOKUP(CQ32,#REF!,8,FALSE))))</f>
        <v/>
      </c>
      <c r="CS72" s="291" t="str">
        <f>IF(CQ32="","",VLOOKUP(CQ32,#REF!,9,FALSE))</f>
        <v/>
      </c>
      <c r="CT72" s="292">
        <f t="shared" si="159"/>
        <v>0</v>
      </c>
      <c r="CU72" s="293">
        <f t="shared" si="160"/>
        <v>0</v>
      </c>
      <c r="CV72" s="193" t="str">
        <f t="shared" si="161"/>
        <v/>
      </c>
      <c r="CW72" s="193" t="str">
        <f t="shared" si="162"/>
        <v/>
      </c>
      <c r="CX72" s="812" t="str">
        <f t="shared" si="163"/>
        <v/>
      </c>
      <c r="CY72" s="813">
        <f t="shared" si="164"/>
        <v>0</v>
      </c>
      <c r="CZ72" s="813" t="e">
        <f t="shared" si="165"/>
        <v>#REF!</v>
      </c>
      <c r="DA72" s="813" t="str">
        <f t="shared" si="166"/>
        <v/>
      </c>
      <c r="DB72" s="1224" t="str">
        <f t="shared" si="202"/>
        <v/>
      </c>
      <c r="DC72" s="1224" t="str">
        <f t="shared" si="167"/>
        <v/>
      </c>
      <c r="DD72" s="1225">
        <f t="shared" si="203"/>
        <v>0</v>
      </c>
      <c r="DE72" s="1224">
        <f t="shared" si="168"/>
        <v>0</v>
      </c>
      <c r="DF72" s="1226" t="e">
        <f t="shared" si="169"/>
        <v>#REF!</v>
      </c>
      <c r="DG72" s="1226" t="str">
        <f t="shared" si="170"/>
        <v/>
      </c>
      <c r="DH72" s="1224" t="str">
        <f t="shared" si="204"/>
        <v/>
      </c>
      <c r="DI72" s="1224" t="str">
        <f t="shared" si="171"/>
        <v/>
      </c>
      <c r="DJ72" s="1225">
        <f t="shared" si="205"/>
        <v>0</v>
      </c>
      <c r="DK72" s="1224" t="str">
        <f t="shared" si="206"/>
        <v/>
      </c>
      <c r="DL72" s="1224" t="str">
        <f t="shared" si="207"/>
        <v/>
      </c>
      <c r="DM72" s="1224" t="str">
        <f t="shared" si="172"/>
        <v/>
      </c>
      <c r="DN72" s="1224" t="str">
        <f t="shared" si="173"/>
        <v/>
      </c>
      <c r="DO72" s="828" t="e">
        <f t="shared" si="174"/>
        <v>#REF!</v>
      </c>
      <c r="DP72" s="828" t="e">
        <f t="shared" si="175"/>
        <v>#REF!</v>
      </c>
      <c r="DQ72" s="1224" t="str">
        <f t="shared" si="208"/>
        <v/>
      </c>
      <c r="DR72" s="1224" t="str">
        <f t="shared" si="209"/>
        <v/>
      </c>
      <c r="DS72" s="1224" t="str">
        <f t="shared" si="210"/>
        <v/>
      </c>
      <c r="DT72" s="1224" t="str">
        <f t="shared" si="176"/>
        <v/>
      </c>
      <c r="DU72" s="1224" t="str">
        <f t="shared" si="177"/>
        <v/>
      </c>
      <c r="DV72" s="828" t="e">
        <f t="shared" si="178"/>
        <v>#REF!</v>
      </c>
      <c r="DW72" s="828" t="e">
        <f t="shared" si="179"/>
        <v>#REF!</v>
      </c>
      <c r="DX72" s="812" t="str">
        <f t="shared" si="211"/>
        <v/>
      </c>
      <c r="DY72" s="812" t="str">
        <f t="shared" si="212"/>
        <v/>
      </c>
      <c r="DZ72" s="812" t="str">
        <f>IF(CG72="","",IF((CD72-CG72)/COS(CU72)-FB72&lt;=-0.0625,CEILING((CD72-CG72)/COS(CU72)-FB72+0.0625,-0.125),IF((CD72-CG72)/COS(CU72)-FB72&gt;=0.0625,CEILING((CD72-CG72)/COS(CU72)-FB72-0.0625,0.125),0)))</f>
        <v/>
      </c>
      <c r="EA72" s="812" t="str">
        <f>IF(CP72="","",IF((CM72-CP72)/COS(CU72)-FC72&lt;=-0.0625,CEILING((CM72-CP72)/COS(CU72)-FC72+0.0625,-0.125),IF((CM72-CP72)/COS(CU72)-FC72&gt;=0.0625,CEILING((CM72-CP72)/COS(CU72)-FC72-0.0625,0.125),0)))</f>
        <v/>
      </c>
      <c r="EB72" s="815" t="str">
        <f t="shared" si="180"/>
        <v/>
      </c>
      <c r="EC72" s="816" t="str">
        <f t="shared" si="213"/>
        <v/>
      </c>
      <c r="ED72" s="815" t="str">
        <f t="shared" si="181"/>
        <v/>
      </c>
      <c r="EE72" s="815" t="str">
        <f t="shared" si="182"/>
        <v/>
      </c>
      <c r="EF72" s="815" t="str">
        <f t="shared" si="183"/>
        <v/>
      </c>
      <c r="EG72" s="815" t="str">
        <f t="shared" si="184"/>
        <v/>
      </c>
      <c r="EH72" s="815" t="str">
        <f t="shared" si="185"/>
        <v/>
      </c>
      <c r="EI72" s="815" t="str">
        <f t="shared" si="186"/>
        <v/>
      </c>
      <c r="EJ72" s="815" t="str">
        <f t="shared" si="187"/>
        <v/>
      </c>
      <c r="EK72" s="813">
        <f t="shared" si="214"/>
        <v>0</v>
      </c>
      <c r="EL72" s="813">
        <f t="shared" si="215"/>
        <v>0</v>
      </c>
      <c r="EM72" s="813">
        <f t="shared" si="188"/>
        <v>0</v>
      </c>
      <c r="EN72" s="813" t="e">
        <f t="shared" si="189"/>
        <v>#REF!</v>
      </c>
      <c r="EO72" s="812" t="str">
        <f t="shared" si="216"/>
        <v/>
      </c>
      <c r="EP72" s="813">
        <f t="shared" si="217"/>
        <v>0</v>
      </c>
      <c r="EQ72" s="813">
        <f t="shared" si="218"/>
        <v>0</v>
      </c>
      <c r="ER72" s="813">
        <f t="shared" si="190"/>
        <v>0</v>
      </c>
      <c r="ES72" s="813" t="e">
        <f t="shared" si="191"/>
        <v>#REF!</v>
      </c>
      <c r="ET72" s="812" t="str">
        <f t="shared" si="219"/>
        <v/>
      </c>
      <c r="EU72" s="812" t="e">
        <f t="shared" si="192"/>
        <v>#REF!</v>
      </c>
      <c r="EV72" s="815" t="e">
        <f t="shared" si="193"/>
        <v>#VALUE!</v>
      </c>
      <c r="EW72" s="815" t="e">
        <f t="shared" si="194"/>
        <v>#VALUE!</v>
      </c>
      <c r="EX72" s="874" t="str">
        <f t="shared" si="195"/>
        <v/>
      </c>
      <c r="EY72" s="818" t="e">
        <f t="shared" si="220"/>
        <v>#DIV/0!</v>
      </c>
      <c r="EZ72" s="893" t="e">
        <f t="shared" si="196"/>
        <v>#DIV/0!</v>
      </c>
      <c r="FA72" s="894" t="e">
        <f t="shared" si="197"/>
        <v>#DIV/0!</v>
      </c>
      <c r="FB72" s="819" t="str">
        <f t="shared" si="198"/>
        <v/>
      </c>
      <c r="FC72" s="820" t="str">
        <f t="shared" si="199"/>
        <v/>
      </c>
      <c r="FD72" s="455">
        <f t="shared" si="200"/>
        <v>0</v>
      </c>
      <c r="FE72" s="456">
        <f t="shared" si="201"/>
        <v>0</v>
      </c>
      <c r="FF72" s="703" t="b">
        <f t="shared" si="126"/>
        <v>0</v>
      </c>
      <c r="FG72" s="703" t="b">
        <f t="shared" si="127"/>
        <v>0</v>
      </c>
      <c r="FH72" s="703" t="b">
        <f t="shared" si="128"/>
        <v>0</v>
      </c>
      <c r="FI72" s="846" t="b">
        <f t="shared" si="129"/>
        <v>0</v>
      </c>
      <c r="FJ72" s="849" t="str">
        <f t="shared" si="139"/>
        <v/>
      </c>
      <c r="FK72" s="848" t="str">
        <f t="shared" si="140"/>
        <v/>
      </c>
      <c r="FL72" s="242" t="e">
        <f t="shared" si="141"/>
        <v>#N/A</v>
      </c>
      <c r="FM72" s="234" t="str">
        <f t="shared" si="130"/>
        <v/>
      </c>
      <c r="FN72" s="191" t="str">
        <f t="shared" ca="1" si="142"/>
        <v/>
      </c>
      <c r="FO72" s="192" t="str">
        <f t="shared" ca="1" si="143"/>
        <v/>
      </c>
      <c r="FP72" s="193" t="str">
        <f t="shared" ca="1" si="144"/>
        <v/>
      </c>
      <c r="FQ72" s="193" t="str">
        <f t="shared" ca="1" si="145"/>
        <v/>
      </c>
      <c r="FR72" s="243">
        <f t="shared" ca="1" si="146"/>
        <v>0</v>
      </c>
      <c r="FS72" s="244">
        <f t="shared" ca="1" si="147"/>
        <v>0</v>
      </c>
      <c r="FT72" s="191" t="str">
        <f t="shared" ca="1" si="152"/>
        <v/>
      </c>
      <c r="FU72" s="194" t="str">
        <f t="shared" ca="1" si="153"/>
        <v/>
      </c>
      <c r="FV72" s="245" t="str">
        <f t="shared" ca="1" si="154"/>
        <v/>
      </c>
      <c r="FW72" s="195" t="str">
        <f t="shared" ca="1" si="148"/>
        <v/>
      </c>
      <c r="FX72" s="195" t="str">
        <f t="shared" ca="1" si="149"/>
        <v/>
      </c>
      <c r="FY72" s="195" t="str">
        <f t="shared" ca="1" si="155"/>
        <v/>
      </c>
      <c r="FZ72" s="195" t="str">
        <f t="shared" ca="1" si="150"/>
        <v/>
      </c>
      <c r="GA72" s="195" t="str">
        <f t="shared" ca="1" si="156"/>
        <v/>
      </c>
      <c r="GB72" s="196" t="str">
        <f ca="1">IF(FY72="","",2+SUM(FO72:OFFSET(FO72,(FU72-1)*-1,0)))</f>
        <v/>
      </c>
      <c r="GC72" s="238" t="e">
        <f t="shared" si="151"/>
        <v>#N/A</v>
      </c>
      <c r="GD72" s="246" t="str">
        <f t="shared" si="131"/>
        <v/>
      </c>
      <c r="GE72" s="247" t="str">
        <f t="shared" si="132"/>
        <v/>
      </c>
      <c r="GF72" s="197" t="str">
        <f t="shared" si="133"/>
        <v/>
      </c>
      <c r="GG72" s="198" t="str">
        <f t="shared" si="134"/>
        <v/>
      </c>
      <c r="GH72" s="198" t="str">
        <f t="shared" si="135"/>
        <v/>
      </c>
      <c r="GI72" s="199" t="str">
        <f t="shared" si="136"/>
        <v/>
      </c>
      <c r="GJ72" s="248">
        <f t="shared" ca="1" si="137"/>
        <v>0</v>
      </c>
      <c r="GK72" s="842" t="str">
        <f t="shared" ca="1" si="138"/>
        <v/>
      </c>
    </row>
    <row r="73" spans="78:196" ht="12.6" hidden="1" customHeight="1" x14ac:dyDescent="0.2">
      <c r="BZ73" s="214"/>
      <c r="CA73" s="214"/>
      <c r="CB73" s="289" t="str">
        <f t="shared" si="157"/>
        <v/>
      </c>
      <c r="CC73" s="1218" t="str">
        <f>IF(CG33="","",VLOOKUP(CG33,#REF!,12,FALSE))</f>
        <v/>
      </c>
      <c r="CD73" s="1219" t="str">
        <f>IF(ISBLANK(CN33),IF(CG33="","",VLOOKUP(CG33,#REF!,13,FALSE)),CN33)</f>
        <v/>
      </c>
      <c r="CE73" s="1219" t="str">
        <f>IF(CG33="","",IF(VLOOKUP(CG33,#REF!,5,FALSE)="","R",UPPER(VLOOKUP(CG33,#REF!,5,FALSE))))</f>
        <v/>
      </c>
      <c r="CF73" s="1219" t="str">
        <f>IF(ISBLANK(CP33),IF(CG33="","",VLOOKUP(CG33,#REF!,6,FALSE)),CP33)</f>
        <v/>
      </c>
      <c r="CG73" s="1219" t="str">
        <f>IF(CG33="","",IF(VLOOKUP(CG33,#REF!,10,FALSE)="","",(VLOOKUP(CG33,#REF!,10,FALSE)*-1)))</f>
        <v/>
      </c>
      <c r="CH73" s="1219" t="str">
        <f>IF(CG33="","",IF(VLOOKUP(CG33,#REF!,7,FALSE)="","",(VLOOKUP(CG33,#REF!,7,FALSE)*-1)))</f>
        <v/>
      </c>
      <c r="CI73" s="1219" t="str">
        <f>IF(CG33="","",IF(VLOOKUP(CG33,#REF!,8,FALSE)="",$FC$4,(VLOOKUP(CG33,#REF!,8,FALSE))))</f>
        <v/>
      </c>
      <c r="CJ73" s="1219" t="str">
        <f>IF(CG33="","",VLOOKUP(CG33,#REF!,9,FALSE))</f>
        <v/>
      </c>
      <c r="CK73" s="1220">
        <f t="shared" si="158"/>
        <v>0</v>
      </c>
      <c r="CL73" s="1218" t="str">
        <f>IF(CQ33="","",VLOOKUP(CQ33,#REF!,12,FALSE))</f>
        <v/>
      </c>
      <c r="CM73" s="1219" t="str">
        <f>IF(ISBLANK(CX33),IF(CQ33="","",VLOOKUP(CQ33,#REF!,13,FALSE)),CX33)</f>
        <v/>
      </c>
      <c r="CN73" s="1219" t="str">
        <f>IF(CQ33="","",IF(VLOOKUP(CQ33,#REF!,5,FALSE)="","R",UPPER(VLOOKUP(CQ33,#REF!,5,FALSE))))</f>
        <v/>
      </c>
      <c r="CO73" s="1219" t="str">
        <f>IF(ISBLANK(CZ33),IF(CQ33="","",VLOOKUP(CQ33,#REF!,6,FALSE)),CZ33)</f>
        <v/>
      </c>
      <c r="CP73" s="1219" t="str">
        <f>IF(CQ33="","",IF(VLOOKUP(CQ33,#REF!,10,FALSE)="","",(VLOOKUP(CQ33,#REF!,10,FALSE)*-1)))</f>
        <v/>
      </c>
      <c r="CQ73" s="291" t="str">
        <f>IF(CQ33="","",IF(VLOOKUP(CQ33,#REF!,7,FALSE)="","",(VLOOKUP(CQ33,#REF!,7,FALSE)*-1)))</f>
        <v/>
      </c>
      <c r="CR73" s="291" t="str">
        <f>IF(CQ33="","",IF(VLOOKUP(CQ33,#REF!,8,FALSE)="",$FC$4,(VLOOKUP(CQ33,#REF!,8,FALSE))))</f>
        <v/>
      </c>
      <c r="CS73" s="291" t="str">
        <f>IF(CQ33="","",VLOOKUP(CQ33,#REF!,9,FALSE))</f>
        <v/>
      </c>
      <c r="CT73" s="292">
        <f t="shared" si="159"/>
        <v>0</v>
      </c>
      <c r="CU73" s="293">
        <f t="shared" si="160"/>
        <v>0</v>
      </c>
      <c r="CV73" s="193" t="str">
        <f t="shared" si="161"/>
        <v/>
      </c>
      <c r="CW73" s="193" t="str">
        <f t="shared" si="162"/>
        <v/>
      </c>
      <c r="CX73" s="812" t="str">
        <f t="shared" si="163"/>
        <v/>
      </c>
      <c r="CY73" s="813">
        <f t="shared" si="164"/>
        <v>0</v>
      </c>
      <c r="CZ73" s="813" t="e">
        <f t="shared" si="165"/>
        <v>#REF!</v>
      </c>
      <c r="DA73" s="813" t="str">
        <f t="shared" si="166"/>
        <v/>
      </c>
      <c r="DB73" s="1224" t="str">
        <f t="shared" si="202"/>
        <v/>
      </c>
      <c r="DC73" s="1224" t="str">
        <f t="shared" si="167"/>
        <v/>
      </c>
      <c r="DD73" s="1225">
        <f t="shared" si="203"/>
        <v>0</v>
      </c>
      <c r="DE73" s="1224">
        <f t="shared" si="168"/>
        <v>0</v>
      </c>
      <c r="DF73" s="1226" t="e">
        <f t="shared" si="169"/>
        <v>#REF!</v>
      </c>
      <c r="DG73" s="1226" t="str">
        <f t="shared" si="170"/>
        <v/>
      </c>
      <c r="DH73" s="1224" t="str">
        <f t="shared" si="204"/>
        <v/>
      </c>
      <c r="DI73" s="1224" t="str">
        <f t="shared" si="171"/>
        <v/>
      </c>
      <c r="DJ73" s="1225">
        <f t="shared" si="205"/>
        <v>0</v>
      </c>
      <c r="DK73" s="1224" t="str">
        <f t="shared" si="206"/>
        <v/>
      </c>
      <c r="DL73" s="1224" t="str">
        <f t="shared" si="207"/>
        <v/>
      </c>
      <c r="DM73" s="1224" t="str">
        <f t="shared" si="172"/>
        <v/>
      </c>
      <c r="DN73" s="1224" t="str">
        <f t="shared" si="173"/>
        <v/>
      </c>
      <c r="DO73" s="828" t="e">
        <f t="shared" si="174"/>
        <v>#REF!</v>
      </c>
      <c r="DP73" s="828" t="e">
        <f t="shared" si="175"/>
        <v>#REF!</v>
      </c>
      <c r="DQ73" s="1224" t="str">
        <f t="shared" si="208"/>
        <v/>
      </c>
      <c r="DR73" s="1224" t="str">
        <f t="shared" si="209"/>
        <v/>
      </c>
      <c r="DS73" s="1224" t="str">
        <f t="shared" si="210"/>
        <v/>
      </c>
      <c r="DT73" s="1224" t="str">
        <f t="shared" si="176"/>
        <v/>
      </c>
      <c r="DU73" s="1224" t="str">
        <f t="shared" si="177"/>
        <v/>
      </c>
      <c r="DV73" s="828" t="e">
        <f t="shared" si="178"/>
        <v>#REF!</v>
      </c>
      <c r="DW73" s="828" t="e">
        <f t="shared" si="179"/>
        <v>#REF!</v>
      </c>
      <c r="DX73" s="812" t="str">
        <f t="shared" si="211"/>
        <v/>
      </c>
      <c r="DY73" s="812" t="str">
        <f t="shared" si="212"/>
        <v/>
      </c>
      <c r="DZ73" s="812" t="str">
        <f t="shared" ref="DZ73:DZ85" si="221">IF(CG73="","",IF((CD73-CG73)/COS(CU73)-FB73&lt;=-0.0625,CEILING((CD73-CG73)/COS(CU73)-FB73+0.0625,-0.125),IF((CD73-CG73)/COS(CU73)-FB73&gt;=0.0625,CEILING((CD73-CG73)/COS(CU73)-FB73-0.0625,0.125),0)))</f>
        <v/>
      </c>
      <c r="EA73" s="812" t="str">
        <f t="shared" ref="EA73:EA85" si="222">IF(CP73="","",IF((CM73-CP73)/COS(CU73)-FC73&lt;=-0.0625,CEILING((CM73-CP73)/COS(CU73)-FC73+0.0625,-0.125),IF((CM73-CP73)/COS(CU73)-FC73&gt;=0.0625,CEILING((CM73-CP73)/COS(CU73)-FC73-0.0625,0.125),0)))</f>
        <v/>
      </c>
      <c r="EB73" s="815" t="str">
        <f t="shared" si="180"/>
        <v/>
      </c>
      <c r="EC73" s="816" t="str">
        <f t="shared" si="213"/>
        <v/>
      </c>
      <c r="ED73" s="815" t="str">
        <f t="shared" si="181"/>
        <v/>
      </c>
      <c r="EE73" s="815" t="str">
        <f t="shared" si="182"/>
        <v/>
      </c>
      <c r="EF73" s="815" t="str">
        <f t="shared" si="183"/>
        <v/>
      </c>
      <c r="EG73" s="815" t="str">
        <f t="shared" si="184"/>
        <v/>
      </c>
      <c r="EH73" s="815" t="str">
        <f t="shared" si="185"/>
        <v/>
      </c>
      <c r="EI73" s="815" t="str">
        <f t="shared" si="186"/>
        <v/>
      </c>
      <c r="EJ73" s="815" t="str">
        <f t="shared" si="187"/>
        <v/>
      </c>
      <c r="EK73" s="813">
        <f t="shared" si="214"/>
        <v>0</v>
      </c>
      <c r="EL73" s="813">
        <f t="shared" si="215"/>
        <v>0</v>
      </c>
      <c r="EM73" s="813">
        <f t="shared" si="188"/>
        <v>0</v>
      </c>
      <c r="EN73" s="813" t="e">
        <f t="shared" si="189"/>
        <v>#REF!</v>
      </c>
      <c r="EO73" s="812" t="str">
        <f t="shared" si="216"/>
        <v/>
      </c>
      <c r="EP73" s="813">
        <f t="shared" si="217"/>
        <v>0</v>
      </c>
      <c r="EQ73" s="813">
        <f t="shared" si="218"/>
        <v>0</v>
      </c>
      <c r="ER73" s="813">
        <f t="shared" si="190"/>
        <v>0</v>
      </c>
      <c r="ES73" s="813" t="e">
        <f t="shared" si="191"/>
        <v>#REF!</v>
      </c>
      <c r="ET73" s="812" t="str">
        <f t="shared" si="219"/>
        <v/>
      </c>
      <c r="EU73" s="812" t="e">
        <f t="shared" si="192"/>
        <v>#REF!</v>
      </c>
      <c r="EV73" s="815" t="e">
        <f t="shared" si="193"/>
        <v>#VALUE!</v>
      </c>
      <c r="EW73" s="815" t="e">
        <f t="shared" si="194"/>
        <v>#VALUE!</v>
      </c>
      <c r="EX73" s="874" t="str">
        <f t="shared" si="195"/>
        <v/>
      </c>
      <c r="EY73" s="818" t="e">
        <f t="shared" si="220"/>
        <v>#DIV/0!</v>
      </c>
      <c r="EZ73" s="893" t="e">
        <f t="shared" si="196"/>
        <v>#DIV/0!</v>
      </c>
      <c r="FA73" s="894" t="e">
        <f t="shared" si="197"/>
        <v>#DIV/0!</v>
      </c>
      <c r="FB73" s="819" t="str">
        <f t="shared" si="198"/>
        <v/>
      </c>
      <c r="FC73" s="820" t="str">
        <f t="shared" si="199"/>
        <v/>
      </c>
      <c r="FD73" s="470">
        <f t="shared" si="200"/>
        <v>0</v>
      </c>
      <c r="FE73" s="471">
        <f t="shared" si="201"/>
        <v>0</v>
      </c>
      <c r="FF73" s="703" t="b">
        <f t="shared" si="126"/>
        <v>0</v>
      </c>
      <c r="FG73" s="703" t="b">
        <f t="shared" si="127"/>
        <v>0</v>
      </c>
      <c r="FH73" s="703" t="b">
        <f t="shared" si="128"/>
        <v>0</v>
      </c>
      <c r="FI73" s="846" t="b">
        <f t="shared" si="129"/>
        <v>0</v>
      </c>
      <c r="FJ73" s="849" t="str">
        <f t="shared" si="139"/>
        <v/>
      </c>
      <c r="FK73" s="848" t="str">
        <f t="shared" si="140"/>
        <v/>
      </c>
      <c r="FL73" s="242" t="e">
        <f t="shared" si="141"/>
        <v>#N/A</v>
      </c>
      <c r="FM73" s="234" t="str">
        <f t="shared" si="130"/>
        <v/>
      </c>
      <c r="FN73" s="191" t="str">
        <f t="shared" ca="1" si="142"/>
        <v/>
      </c>
      <c r="FO73" s="192" t="str">
        <f t="shared" ca="1" si="143"/>
        <v/>
      </c>
      <c r="FP73" s="193" t="str">
        <f t="shared" ca="1" si="144"/>
        <v/>
      </c>
      <c r="FQ73" s="193" t="str">
        <f t="shared" ca="1" si="145"/>
        <v/>
      </c>
      <c r="FR73" s="243">
        <f t="shared" ca="1" si="146"/>
        <v>0</v>
      </c>
      <c r="FS73" s="244">
        <f t="shared" ca="1" si="147"/>
        <v>0</v>
      </c>
      <c r="FT73" s="191" t="str">
        <f t="shared" ca="1" si="152"/>
        <v/>
      </c>
      <c r="FU73" s="194" t="str">
        <f t="shared" ca="1" si="153"/>
        <v/>
      </c>
      <c r="FV73" s="245" t="str">
        <f t="shared" ca="1" si="154"/>
        <v/>
      </c>
      <c r="FW73" s="195" t="str">
        <f t="shared" ca="1" si="148"/>
        <v/>
      </c>
      <c r="FX73" s="195" t="str">
        <f t="shared" ca="1" si="149"/>
        <v/>
      </c>
      <c r="FY73" s="195" t="str">
        <f t="shared" ca="1" si="155"/>
        <v/>
      </c>
      <c r="FZ73" s="195" t="str">
        <f t="shared" ca="1" si="150"/>
        <v/>
      </c>
      <c r="GA73" s="195" t="str">
        <f t="shared" ca="1" si="156"/>
        <v/>
      </c>
      <c r="GB73" s="196" t="str">
        <f ca="1">IF(FY73="","",2+SUM(FO73:OFFSET(FO73,(FU73-1)*-1,0)))</f>
        <v/>
      </c>
      <c r="GC73" s="238" t="e">
        <f t="shared" si="151"/>
        <v>#N/A</v>
      </c>
      <c r="GD73" s="246" t="str">
        <f t="shared" si="131"/>
        <v/>
      </c>
      <c r="GE73" s="247" t="str">
        <f t="shared" si="132"/>
        <v/>
      </c>
      <c r="GF73" s="197" t="str">
        <f t="shared" si="133"/>
        <v/>
      </c>
      <c r="GG73" s="198" t="str">
        <f t="shared" si="134"/>
        <v/>
      </c>
      <c r="GH73" s="198" t="str">
        <f t="shared" si="135"/>
        <v/>
      </c>
      <c r="GI73" s="199" t="str">
        <f t="shared" si="136"/>
        <v/>
      </c>
      <c r="GJ73" s="248">
        <f t="shared" ca="1" si="137"/>
        <v>0</v>
      </c>
      <c r="GK73" s="842" t="str">
        <f t="shared" ca="1" si="138"/>
        <v/>
      </c>
    </row>
    <row r="74" spans="78:196" ht="12.6" hidden="1" customHeight="1" x14ac:dyDescent="0.2">
      <c r="BZ74" s="214"/>
      <c r="CA74" s="214"/>
      <c r="CB74" s="289" t="str">
        <f t="shared" si="157"/>
        <v/>
      </c>
      <c r="CC74" s="1218" t="str">
        <f>IF(CG34="","",VLOOKUP(CG34,#REF!,12,FALSE))</f>
        <v/>
      </c>
      <c r="CD74" s="1219" t="str">
        <f>IF(ISBLANK(CN34),IF(CG34="","",VLOOKUP(CG34,#REF!,13,FALSE)),CN34)</f>
        <v/>
      </c>
      <c r="CE74" s="1219" t="str">
        <f>IF(CG34="","",IF(VLOOKUP(CG34,#REF!,5,FALSE)="","R",UPPER(VLOOKUP(CG34,#REF!,5,FALSE))))</f>
        <v/>
      </c>
      <c r="CF74" s="1219" t="str">
        <f>IF(ISBLANK(CP34),IF(CG34="","",VLOOKUP(CG34,#REF!,6,FALSE)),CP34)</f>
        <v/>
      </c>
      <c r="CG74" s="1219" t="str">
        <f>IF(CG34="","",IF(VLOOKUP(CG34,#REF!,10,FALSE)="","",(VLOOKUP(CG34,#REF!,10,FALSE)*-1)))</f>
        <v/>
      </c>
      <c r="CH74" s="1219" t="str">
        <f>IF(CG34="","",IF(VLOOKUP(CG34,#REF!,7,FALSE)="","",(VLOOKUP(CG34,#REF!,7,FALSE)*-1)))</f>
        <v/>
      </c>
      <c r="CI74" s="1219" t="str">
        <f>IF(CG34="","",IF(VLOOKUP(CG34,#REF!,8,FALSE)="",$FC$4,(VLOOKUP(CG34,#REF!,8,FALSE))))</f>
        <v/>
      </c>
      <c r="CJ74" s="1219" t="str">
        <f>IF(CG34="","",VLOOKUP(CG34,#REF!,9,FALSE))</f>
        <v/>
      </c>
      <c r="CK74" s="1220">
        <f t="shared" si="158"/>
        <v>0</v>
      </c>
      <c r="CL74" s="1218" t="str">
        <f>IF(CQ34="","",VLOOKUP(CQ34,#REF!,12,FALSE))</f>
        <v/>
      </c>
      <c r="CM74" s="1219" t="str">
        <f>IF(ISBLANK(CX34),IF(CQ34="","",VLOOKUP(CQ34,#REF!,13,FALSE)),CX34)</f>
        <v/>
      </c>
      <c r="CN74" s="1219" t="str">
        <f>IF(CQ34="","",IF(VLOOKUP(CQ34,#REF!,5,FALSE)="","R",UPPER(VLOOKUP(CQ34,#REF!,5,FALSE))))</f>
        <v/>
      </c>
      <c r="CO74" s="1219" t="str">
        <f>IF(ISBLANK(CZ34),IF(CQ34="","",VLOOKUP(CQ34,#REF!,6,FALSE)),CZ34)</f>
        <v/>
      </c>
      <c r="CP74" s="1219" t="str">
        <f>IF(CQ34="","",IF(VLOOKUP(CQ34,#REF!,10,FALSE)="","",(VLOOKUP(CQ34,#REF!,10,FALSE)*-1)))</f>
        <v/>
      </c>
      <c r="CQ74" s="291" t="str">
        <f>IF(CQ34="","",IF(VLOOKUP(CQ34,#REF!,7,FALSE)="","",(VLOOKUP(CQ34,#REF!,7,FALSE)*-1)))</f>
        <v/>
      </c>
      <c r="CR74" s="291" t="str">
        <f>IF(CQ34="","",IF(VLOOKUP(CQ34,#REF!,8,FALSE)="",$FC$4,(VLOOKUP(CQ34,#REF!,8,FALSE))))</f>
        <v/>
      </c>
      <c r="CS74" s="291" t="str">
        <f>IF(CQ34="","",VLOOKUP(CQ34,#REF!,9,FALSE))</f>
        <v/>
      </c>
      <c r="CT74" s="292">
        <f t="shared" si="159"/>
        <v>0</v>
      </c>
      <c r="CU74" s="293">
        <f t="shared" si="160"/>
        <v>0</v>
      </c>
      <c r="CV74" s="193" t="str">
        <f t="shared" si="161"/>
        <v/>
      </c>
      <c r="CW74" s="193" t="str">
        <f t="shared" si="162"/>
        <v/>
      </c>
      <c r="CX74" s="812" t="str">
        <f t="shared" si="163"/>
        <v/>
      </c>
      <c r="CY74" s="813">
        <f t="shared" si="164"/>
        <v>0</v>
      </c>
      <c r="CZ74" s="813" t="e">
        <f t="shared" si="165"/>
        <v>#REF!</v>
      </c>
      <c r="DA74" s="813" t="str">
        <f t="shared" si="166"/>
        <v/>
      </c>
      <c r="DB74" s="1224" t="str">
        <f t="shared" si="202"/>
        <v/>
      </c>
      <c r="DC74" s="1224" t="str">
        <f t="shared" si="167"/>
        <v/>
      </c>
      <c r="DD74" s="1225">
        <f t="shared" si="203"/>
        <v>0</v>
      </c>
      <c r="DE74" s="1224">
        <f t="shared" si="168"/>
        <v>0</v>
      </c>
      <c r="DF74" s="1226" t="e">
        <f t="shared" si="169"/>
        <v>#REF!</v>
      </c>
      <c r="DG74" s="1226" t="str">
        <f t="shared" si="170"/>
        <v/>
      </c>
      <c r="DH74" s="1224" t="str">
        <f t="shared" si="204"/>
        <v/>
      </c>
      <c r="DI74" s="1224" t="str">
        <f t="shared" si="171"/>
        <v/>
      </c>
      <c r="DJ74" s="1225">
        <f t="shared" si="205"/>
        <v>0</v>
      </c>
      <c r="DK74" s="1224" t="str">
        <f t="shared" si="206"/>
        <v/>
      </c>
      <c r="DL74" s="1224" t="str">
        <f t="shared" si="207"/>
        <v/>
      </c>
      <c r="DM74" s="1224" t="str">
        <f t="shared" si="172"/>
        <v/>
      </c>
      <c r="DN74" s="1224" t="str">
        <f t="shared" si="173"/>
        <v/>
      </c>
      <c r="DO74" s="828" t="e">
        <f t="shared" si="174"/>
        <v>#REF!</v>
      </c>
      <c r="DP74" s="828" t="e">
        <f t="shared" si="175"/>
        <v>#REF!</v>
      </c>
      <c r="DQ74" s="1224" t="str">
        <f t="shared" si="208"/>
        <v/>
      </c>
      <c r="DR74" s="1224" t="str">
        <f t="shared" si="209"/>
        <v/>
      </c>
      <c r="DS74" s="1224" t="str">
        <f t="shared" si="210"/>
        <v/>
      </c>
      <c r="DT74" s="1224" t="str">
        <f t="shared" si="176"/>
        <v/>
      </c>
      <c r="DU74" s="1224" t="str">
        <f t="shared" si="177"/>
        <v/>
      </c>
      <c r="DV74" s="828" t="e">
        <f t="shared" si="178"/>
        <v>#REF!</v>
      </c>
      <c r="DW74" s="828" t="e">
        <f t="shared" si="179"/>
        <v>#REF!</v>
      </c>
      <c r="DX74" s="812" t="str">
        <f t="shared" si="211"/>
        <v/>
      </c>
      <c r="DY74" s="812" t="str">
        <f t="shared" si="212"/>
        <v/>
      </c>
      <c r="DZ74" s="812" t="str">
        <f t="shared" si="221"/>
        <v/>
      </c>
      <c r="EA74" s="812" t="str">
        <f t="shared" si="222"/>
        <v/>
      </c>
      <c r="EB74" s="815" t="str">
        <f t="shared" si="180"/>
        <v/>
      </c>
      <c r="EC74" s="816" t="str">
        <f t="shared" si="213"/>
        <v/>
      </c>
      <c r="ED74" s="815" t="str">
        <f t="shared" si="181"/>
        <v/>
      </c>
      <c r="EE74" s="815" t="str">
        <f t="shared" si="182"/>
        <v/>
      </c>
      <c r="EF74" s="815" t="str">
        <f t="shared" si="183"/>
        <v/>
      </c>
      <c r="EG74" s="815" t="str">
        <f t="shared" si="184"/>
        <v/>
      </c>
      <c r="EH74" s="815" t="str">
        <f t="shared" si="185"/>
        <v/>
      </c>
      <c r="EI74" s="815" t="str">
        <f t="shared" si="186"/>
        <v/>
      </c>
      <c r="EJ74" s="815" t="str">
        <f t="shared" si="187"/>
        <v/>
      </c>
      <c r="EK74" s="813">
        <f t="shared" si="214"/>
        <v>0</v>
      </c>
      <c r="EL74" s="813">
        <f t="shared" si="215"/>
        <v>0</v>
      </c>
      <c r="EM74" s="813">
        <f t="shared" si="188"/>
        <v>0</v>
      </c>
      <c r="EN74" s="813" t="e">
        <f t="shared" si="189"/>
        <v>#REF!</v>
      </c>
      <c r="EO74" s="812" t="str">
        <f t="shared" si="216"/>
        <v/>
      </c>
      <c r="EP74" s="813">
        <f t="shared" si="217"/>
        <v>0</v>
      </c>
      <c r="EQ74" s="813">
        <f t="shared" si="218"/>
        <v>0</v>
      </c>
      <c r="ER74" s="813">
        <f t="shared" si="190"/>
        <v>0</v>
      </c>
      <c r="ES74" s="813" t="e">
        <f t="shared" si="191"/>
        <v>#REF!</v>
      </c>
      <c r="ET74" s="812" t="str">
        <f t="shared" si="219"/>
        <v/>
      </c>
      <c r="EU74" s="812" t="e">
        <f t="shared" si="192"/>
        <v>#REF!</v>
      </c>
      <c r="EV74" s="815" t="e">
        <f t="shared" si="193"/>
        <v>#VALUE!</v>
      </c>
      <c r="EW74" s="815" t="e">
        <f t="shared" si="194"/>
        <v>#VALUE!</v>
      </c>
      <c r="EX74" s="874" t="str">
        <f t="shared" si="195"/>
        <v/>
      </c>
      <c r="EY74" s="818" t="e">
        <f t="shared" si="220"/>
        <v>#DIV/0!</v>
      </c>
      <c r="EZ74" s="893" t="e">
        <f t="shared" si="196"/>
        <v>#DIV/0!</v>
      </c>
      <c r="FA74" s="894" t="e">
        <f t="shared" si="197"/>
        <v>#DIV/0!</v>
      </c>
      <c r="FB74" s="819" t="str">
        <f t="shared" si="198"/>
        <v/>
      </c>
      <c r="FC74" s="820" t="str">
        <f t="shared" si="199"/>
        <v/>
      </c>
      <c r="FD74" s="455">
        <f t="shared" si="200"/>
        <v>0</v>
      </c>
      <c r="FE74" s="456">
        <f t="shared" si="201"/>
        <v>0</v>
      </c>
      <c r="FF74" s="703" t="b">
        <f t="shared" si="126"/>
        <v>0</v>
      </c>
      <c r="FG74" s="703" t="b">
        <f t="shared" si="127"/>
        <v>0</v>
      </c>
      <c r="FH74" s="703" t="b">
        <f t="shared" si="128"/>
        <v>0</v>
      </c>
      <c r="FI74" s="846" t="b">
        <f t="shared" si="129"/>
        <v>0</v>
      </c>
      <c r="FJ74" s="849" t="str">
        <f t="shared" si="139"/>
        <v/>
      </c>
      <c r="FK74" s="848" t="str">
        <f t="shared" si="140"/>
        <v/>
      </c>
      <c r="FL74" s="242" t="e">
        <f t="shared" si="141"/>
        <v>#N/A</v>
      </c>
      <c r="FM74" s="234" t="str">
        <f t="shared" si="130"/>
        <v/>
      </c>
      <c r="FN74" s="191" t="str">
        <f t="shared" ca="1" si="142"/>
        <v/>
      </c>
      <c r="FO74" s="192" t="str">
        <f t="shared" ca="1" si="143"/>
        <v/>
      </c>
      <c r="FP74" s="193" t="str">
        <f t="shared" ca="1" si="144"/>
        <v/>
      </c>
      <c r="FQ74" s="193" t="str">
        <f t="shared" ca="1" si="145"/>
        <v/>
      </c>
      <c r="FR74" s="243">
        <f t="shared" ca="1" si="146"/>
        <v>0</v>
      </c>
      <c r="FS74" s="244">
        <f t="shared" ca="1" si="147"/>
        <v>0</v>
      </c>
      <c r="FT74" s="191" t="str">
        <f t="shared" ca="1" si="152"/>
        <v/>
      </c>
      <c r="FU74" s="194" t="str">
        <f t="shared" ca="1" si="153"/>
        <v/>
      </c>
      <c r="FV74" s="245" t="str">
        <f t="shared" ca="1" si="154"/>
        <v/>
      </c>
      <c r="FW74" s="195" t="str">
        <f t="shared" ca="1" si="148"/>
        <v/>
      </c>
      <c r="FX74" s="195" t="str">
        <f t="shared" ca="1" si="149"/>
        <v/>
      </c>
      <c r="FY74" s="195" t="str">
        <f t="shared" ca="1" si="155"/>
        <v/>
      </c>
      <c r="FZ74" s="195" t="str">
        <f t="shared" ca="1" si="150"/>
        <v/>
      </c>
      <c r="GA74" s="195" t="str">
        <f t="shared" ca="1" si="156"/>
        <v/>
      </c>
      <c r="GB74" s="196" t="str">
        <f ca="1">IF(FY74="","",2+SUM(FO74:OFFSET(FO74,(FU74-1)*-1,0)))</f>
        <v/>
      </c>
      <c r="GC74" s="238" t="e">
        <f t="shared" si="151"/>
        <v>#N/A</v>
      </c>
      <c r="GD74" s="246" t="str">
        <f t="shared" si="131"/>
        <v/>
      </c>
      <c r="GE74" s="247" t="str">
        <f t="shared" si="132"/>
        <v/>
      </c>
      <c r="GF74" s="197" t="str">
        <f t="shared" si="133"/>
        <v/>
      </c>
      <c r="GG74" s="198" t="str">
        <f t="shared" si="134"/>
        <v/>
      </c>
      <c r="GH74" s="198" t="str">
        <f t="shared" si="135"/>
        <v/>
      </c>
      <c r="GI74" s="199" t="str">
        <f t="shared" si="136"/>
        <v/>
      </c>
      <c r="GJ74" s="248">
        <f t="shared" ca="1" si="137"/>
        <v>0</v>
      </c>
      <c r="GK74" s="842" t="str">
        <f t="shared" ca="1" si="138"/>
        <v/>
      </c>
    </row>
    <row r="75" spans="78:196" ht="12.6" hidden="1" customHeight="1" x14ac:dyDescent="0.2">
      <c r="BZ75" s="214"/>
      <c r="CA75" s="214"/>
      <c r="CB75" s="289" t="str">
        <f t="shared" si="157"/>
        <v/>
      </c>
      <c r="CC75" s="1218" t="str">
        <f>IF(CG35="","",VLOOKUP(CG35,#REF!,12,FALSE))</f>
        <v/>
      </c>
      <c r="CD75" s="1219" t="str">
        <f>IF(ISBLANK(CN35),IF(CG35="","",VLOOKUP(CG35,#REF!,13,FALSE)),CN35)</f>
        <v/>
      </c>
      <c r="CE75" s="1219" t="str">
        <f>IF(CG35="","",IF(VLOOKUP(CG35,#REF!,5,FALSE)="","R",UPPER(VLOOKUP(CG35,#REF!,5,FALSE))))</f>
        <v/>
      </c>
      <c r="CF75" s="1219" t="str">
        <f>IF(ISBLANK(CP35),IF(CG35="","",VLOOKUP(CG35,#REF!,6,FALSE)),CP35)</f>
        <v/>
      </c>
      <c r="CG75" s="1219" t="str">
        <f>IF(CG35="","",IF(VLOOKUP(CG35,#REF!,10,FALSE)="","",(VLOOKUP(CG35,#REF!,10,FALSE)*-1)))</f>
        <v/>
      </c>
      <c r="CH75" s="1219" t="str">
        <f>IF(CG35="","",IF(VLOOKUP(CG35,#REF!,7,FALSE)="","",(VLOOKUP(CG35,#REF!,7,FALSE)*-1)))</f>
        <v/>
      </c>
      <c r="CI75" s="1219" t="str">
        <f>IF(CG35="","",IF(VLOOKUP(CG35,#REF!,8,FALSE)="",$FC$4,(VLOOKUP(CG35,#REF!,8,FALSE))))</f>
        <v/>
      </c>
      <c r="CJ75" s="1219" t="str">
        <f>IF(CG35="","",VLOOKUP(CG35,#REF!,9,FALSE))</f>
        <v/>
      </c>
      <c r="CK75" s="1220">
        <f t="shared" si="158"/>
        <v>0</v>
      </c>
      <c r="CL75" s="1218" t="str">
        <f>IF(CQ35="","",VLOOKUP(CQ35,#REF!,12,FALSE))</f>
        <v/>
      </c>
      <c r="CM75" s="1219" t="str">
        <f>IF(ISBLANK(CX35),IF(CQ35="","",VLOOKUP(CQ35,#REF!,13,FALSE)),CX35)</f>
        <v/>
      </c>
      <c r="CN75" s="1219" t="str">
        <f>IF(CQ35="","",IF(VLOOKUP(CQ35,#REF!,5,FALSE)="","R",UPPER(VLOOKUP(CQ35,#REF!,5,FALSE))))</f>
        <v/>
      </c>
      <c r="CO75" s="1219" t="str">
        <f>IF(ISBLANK(CZ35),IF(CQ35="","",VLOOKUP(CQ35,#REF!,6,FALSE)),CZ35)</f>
        <v/>
      </c>
      <c r="CP75" s="1219" t="str">
        <f>IF(CQ35="","",IF(VLOOKUP(CQ35,#REF!,10,FALSE)="","",(VLOOKUP(CQ35,#REF!,10,FALSE)*-1)))</f>
        <v/>
      </c>
      <c r="CQ75" s="291" t="str">
        <f>IF(CQ35="","",IF(VLOOKUP(CQ35,#REF!,7,FALSE)="","",(VLOOKUP(CQ35,#REF!,7,FALSE)*-1)))</f>
        <v/>
      </c>
      <c r="CR75" s="291" t="str">
        <f>IF(CQ35="","",IF(VLOOKUP(CQ35,#REF!,8,FALSE)="",$FC$4,(VLOOKUP(CQ35,#REF!,8,FALSE))))</f>
        <v/>
      </c>
      <c r="CS75" s="291" t="str">
        <f>IF(CQ35="","",VLOOKUP(CQ35,#REF!,9,FALSE))</f>
        <v/>
      </c>
      <c r="CT75" s="292">
        <f t="shared" si="159"/>
        <v>0</v>
      </c>
      <c r="CU75" s="293">
        <f t="shared" si="160"/>
        <v>0</v>
      </c>
      <c r="CV75" s="193" t="str">
        <f t="shared" si="161"/>
        <v/>
      </c>
      <c r="CW75" s="193" t="str">
        <f t="shared" si="162"/>
        <v/>
      </c>
      <c r="CX75" s="812" t="str">
        <f t="shared" si="163"/>
        <v/>
      </c>
      <c r="CY75" s="813">
        <f t="shared" si="164"/>
        <v>0</v>
      </c>
      <c r="CZ75" s="813" t="e">
        <f t="shared" si="165"/>
        <v>#REF!</v>
      </c>
      <c r="DA75" s="813" t="str">
        <f t="shared" si="166"/>
        <v/>
      </c>
      <c r="DB75" s="1224" t="str">
        <f t="shared" si="202"/>
        <v/>
      </c>
      <c r="DC75" s="1224" t="str">
        <f t="shared" si="167"/>
        <v/>
      </c>
      <c r="DD75" s="1225">
        <f t="shared" si="203"/>
        <v>0</v>
      </c>
      <c r="DE75" s="1224">
        <f t="shared" si="168"/>
        <v>0</v>
      </c>
      <c r="DF75" s="1226" t="e">
        <f t="shared" si="169"/>
        <v>#REF!</v>
      </c>
      <c r="DG75" s="1226" t="str">
        <f t="shared" si="170"/>
        <v/>
      </c>
      <c r="DH75" s="1224" t="str">
        <f t="shared" si="204"/>
        <v/>
      </c>
      <c r="DI75" s="1224" t="str">
        <f t="shared" si="171"/>
        <v/>
      </c>
      <c r="DJ75" s="1225">
        <f t="shared" si="205"/>
        <v>0</v>
      </c>
      <c r="DK75" s="1224" t="str">
        <f t="shared" si="206"/>
        <v/>
      </c>
      <c r="DL75" s="1224" t="str">
        <f t="shared" si="207"/>
        <v/>
      </c>
      <c r="DM75" s="1224" t="str">
        <f t="shared" si="172"/>
        <v/>
      </c>
      <c r="DN75" s="1224" t="str">
        <f t="shared" si="173"/>
        <v/>
      </c>
      <c r="DO75" s="828" t="e">
        <f t="shared" si="174"/>
        <v>#REF!</v>
      </c>
      <c r="DP75" s="828" t="e">
        <f t="shared" si="175"/>
        <v>#REF!</v>
      </c>
      <c r="DQ75" s="1224" t="str">
        <f t="shared" si="208"/>
        <v/>
      </c>
      <c r="DR75" s="1224" t="str">
        <f t="shared" si="209"/>
        <v/>
      </c>
      <c r="DS75" s="1224" t="str">
        <f t="shared" si="210"/>
        <v/>
      </c>
      <c r="DT75" s="1224" t="str">
        <f t="shared" si="176"/>
        <v/>
      </c>
      <c r="DU75" s="1224" t="str">
        <f t="shared" si="177"/>
        <v/>
      </c>
      <c r="DV75" s="828" t="e">
        <f t="shared" si="178"/>
        <v>#REF!</v>
      </c>
      <c r="DW75" s="828" t="e">
        <f t="shared" si="179"/>
        <v>#REF!</v>
      </c>
      <c r="DX75" s="812" t="str">
        <f t="shared" si="211"/>
        <v/>
      </c>
      <c r="DY75" s="812" t="str">
        <f t="shared" si="212"/>
        <v/>
      </c>
      <c r="DZ75" s="812" t="str">
        <f t="shared" si="221"/>
        <v/>
      </c>
      <c r="EA75" s="812" t="str">
        <f t="shared" si="222"/>
        <v/>
      </c>
      <c r="EB75" s="815" t="str">
        <f t="shared" si="180"/>
        <v/>
      </c>
      <c r="EC75" s="816" t="str">
        <f t="shared" si="213"/>
        <v/>
      </c>
      <c r="ED75" s="815" t="str">
        <f t="shared" si="181"/>
        <v/>
      </c>
      <c r="EE75" s="815" t="str">
        <f t="shared" si="182"/>
        <v/>
      </c>
      <c r="EF75" s="815" t="str">
        <f t="shared" si="183"/>
        <v/>
      </c>
      <c r="EG75" s="815" t="str">
        <f t="shared" si="184"/>
        <v/>
      </c>
      <c r="EH75" s="815" t="str">
        <f t="shared" si="185"/>
        <v/>
      </c>
      <c r="EI75" s="815" t="str">
        <f t="shared" si="186"/>
        <v/>
      </c>
      <c r="EJ75" s="815" t="str">
        <f t="shared" si="187"/>
        <v/>
      </c>
      <c r="EK75" s="813">
        <f t="shared" si="214"/>
        <v>0</v>
      </c>
      <c r="EL75" s="813">
        <f t="shared" si="215"/>
        <v>0</v>
      </c>
      <c r="EM75" s="813">
        <f t="shared" si="188"/>
        <v>0</v>
      </c>
      <c r="EN75" s="813" t="e">
        <f t="shared" si="189"/>
        <v>#REF!</v>
      </c>
      <c r="EO75" s="812" t="str">
        <f t="shared" si="216"/>
        <v/>
      </c>
      <c r="EP75" s="813">
        <f t="shared" si="217"/>
        <v>0</v>
      </c>
      <c r="EQ75" s="813">
        <f t="shared" si="218"/>
        <v>0</v>
      </c>
      <c r="ER75" s="813">
        <f t="shared" si="190"/>
        <v>0</v>
      </c>
      <c r="ES75" s="813" t="e">
        <f t="shared" si="191"/>
        <v>#REF!</v>
      </c>
      <c r="ET75" s="812" t="str">
        <f t="shared" si="219"/>
        <v/>
      </c>
      <c r="EU75" s="812" t="e">
        <f t="shared" si="192"/>
        <v>#REF!</v>
      </c>
      <c r="EV75" s="815" t="e">
        <f t="shared" si="193"/>
        <v>#VALUE!</v>
      </c>
      <c r="EW75" s="815" t="e">
        <f t="shared" si="194"/>
        <v>#VALUE!</v>
      </c>
      <c r="EX75" s="874" t="str">
        <f t="shared" si="195"/>
        <v/>
      </c>
      <c r="EY75" s="818" t="e">
        <f t="shared" si="220"/>
        <v>#DIV/0!</v>
      </c>
      <c r="EZ75" s="893" t="e">
        <f t="shared" si="196"/>
        <v>#DIV/0!</v>
      </c>
      <c r="FA75" s="894" t="e">
        <f t="shared" si="197"/>
        <v>#DIV/0!</v>
      </c>
      <c r="FB75" s="819" t="str">
        <f t="shared" si="198"/>
        <v/>
      </c>
      <c r="FC75" s="820" t="str">
        <f t="shared" si="199"/>
        <v/>
      </c>
      <c r="FD75" s="455">
        <f t="shared" si="200"/>
        <v>0</v>
      </c>
      <c r="FE75" s="456">
        <f t="shared" si="201"/>
        <v>0</v>
      </c>
      <c r="FF75" s="703" t="b">
        <f t="shared" si="126"/>
        <v>0</v>
      </c>
      <c r="FG75" s="703" t="b">
        <f t="shared" si="127"/>
        <v>0</v>
      </c>
      <c r="FH75" s="703" t="b">
        <f t="shared" si="128"/>
        <v>0</v>
      </c>
      <c r="FI75" s="846" t="b">
        <f t="shared" si="129"/>
        <v>0</v>
      </c>
      <c r="FJ75" s="849" t="str">
        <f t="shared" si="139"/>
        <v/>
      </c>
      <c r="FK75" s="848" t="str">
        <f t="shared" si="140"/>
        <v/>
      </c>
      <c r="FL75" s="242" t="e">
        <f t="shared" si="141"/>
        <v>#N/A</v>
      </c>
      <c r="FM75" s="234" t="str">
        <f t="shared" si="130"/>
        <v/>
      </c>
      <c r="FN75" s="191" t="str">
        <f t="shared" ca="1" si="142"/>
        <v/>
      </c>
      <c r="FO75" s="192" t="str">
        <f t="shared" ca="1" si="143"/>
        <v/>
      </c>
      <c r="FP75" s="193" t="str">
        <f t="shared" ca="1" si="144"/>
        <v/>
      </c>
      <c r="FQ75" s="193" t="str">
        <f t="shared" ca="1" si="145"/>
        <v/>
      </c>
      <c r="FR75" s="243">
        <f t="shared" ca="1" si="146"/>
        <v>0</v>
      </c>
      <c r="FS75" s="244">
        <f t="shared" ca="1" si="147"/>
        <v>0</v>
      </c>
      <c r="FT75" s="191" t="str">
        <f t="shared" ca="1" si="152"/>
        <v/>
      </c>
      <c r="FU75" s="194" t="str">
        <f t="shared" ca="1" si="153"/>
        <v/>
      </c>
      <c r="FV75" s="245" t="str">
        <f t="shared" ca="1" si="154"/>
        <v/>
      </c>
      <c r="FW75" s="195" t="str">
        <f t="shared" ca="1" si="148"/>
        <v/>
      </c>
      <c r="FX75" s="195" t="str">
        <f t="shared" ca="1" si="149"/>
        <v/>
      </c>
      <c r="FY75" s="195" t="str">
        <f t="shared" ca="1" si="155"/>
        <v/>
      </c>
      <c r="FZ75" s="195" t="str">
        <f t="shared" ca="1" si="150"/>
        <v/>
      </c>
      <c r="GA75" s="195" t="str">
        <f t="shared" ca="1" si="156"/>
        <v/>
      </c>
      <c r="GB75" s="196" t="str">
        <f ca="1">IF(FY75="","",2+SUM(FO75:OFFSET(FO75,(FU75-1)*-1,0)))</f>
        <v/>
      </c>
      <c r="GC75" s="238" t="e">
        <f t="shared" si="151"/>
        <v>#N/A</v>
      </c>
      <c r="GD75" s="246" t="str">
        <f t="shared" si="131"/>
        <v/>
      </c>
      <c r="GE75" s="247" t="str">
        <f t="shared" si="132"/>
        <v/>
      </c>
      <c r="GF75" s="197" t="str">
        <f t="shared" si="133"/>
        <v/>
      </c>
      <c r="GG75" s="198" t="str">
        <f t="shared" si="134"/>
        <v/>
      </c>
      <c r="GH75" s="198" t="str">
        <f t="shared" si="135"/>
        <v/>
      </c>
      <c r="GI75" s="199" t="str">
        <f t="shared" si="136"/>
        <v/>
      </c>
      <c r="GJ75" s="248">
        <f t="shared" ca="1" si="137"/>
        <v>0</v>
      </c>
      <c r="GK75" s="842" t="str">
        <f t="shared" ca="1" si="138"/>
        <v/>
      </c>
    </row>
    <row r="76" spans="78:196" ht="12.6" hidden="1" customHeight="1" x14ac:dyDescent="0.2">
      <c r="BZ76" s="214"/>
      <c r="CA76" s="214"/>
      <c r="CB76" s="289" t="str">
        <f t="shared" si="157"/>
        <v/>
      </c>
      <c r="CC76" s="1218" t="str">
        <f>IF(CG36="","",VLOOKUP(CG36,#REF!,12,FALSE))</f>
        <v/>
      </c>
      <c r="CD76" s="1219" t="str">
        <f>IF(ISBLANK(CN36),IF(CG36="","",VLOOKUP(CG36,#REF!,13,FALSE)),CN36)</f>
        <v/>
      </c>
      <c r="CE76" s="1219" t="str">
        <f>IF(CG36="","",IF(VLOOKUP(CG36,#REF!,5,FALSE)="","R",UPPER(VLOOKUP(CG36,#REF!,5,FALSE))))</f>
        <v/>
      </c>
      <c r="CF76" s="1219" t="str">
        <f>IF(ISBLANK(CP36),IF(CG36="","",VLOOKUP(CG36,#REF!,6,FALSE)),CP36)</f>
        <v/>
      </c>
      <c r="CG76" s="1219" t="str">
        <f>IF(CG36="","",IF(VLOOKUP(CG36,#REF!,10,FALSE)="","",(VLOOKUP(CG36,#REF!,10,FALSE)*-1)))</f>
        <v/>
      </c>
      <c r="CH76" s="1219" t="str">
        <f>IF(CG36="","",IF(VLOOKUP(CG36,#REF!,7,FALSE)="","",(VLOOKUP(CG36,#REF!,7,FALSE)*-1)))</f>
        <v/>
      </c>
      <c r="CI76" s="1219" t="str">
        <f>IF(CG36="","",IF(VLOOKUP(CG36,#REF!,8,FALSE)="",$FC$4,(VLOOKUP(CG36,#REF!,8,FALSE))))</f>
        <v/>
      </c>
      <c r="CJ76" s="1219" t="str">
        <f>IF(CG36="","",VLOOKUP(CG36,#REF!,9,FALSE))</f>
        <v/>
      </c>
      <c r="CK76" s="1220">
        <f t="shared" si="158"/>
        <v>0</v>
      </c>
      <c r="CL76" s="1218" t="str">
        <f>IF(CQ36="","",VLOOKUP(CQ36,#REF!,12,FALSE))</f>
        <v/>
      </c>
      <c r="CM76" s="1219" t="str">
        <f>IF(ISBLANK(CX36),IF(CQ36="","",VLOOKUP(CQ36,#REF!,13,FALSE)),CX36)</f>
        <v/>
      </c>
      <c r="CN76" s="1219" t="str">
        <f>IF(CQ36="","",IF(VLOOKUP(CQ36,#REF!,5,FALSE)="","R",UPPER(VLOOKUP(CQ36,#REF!,5,FALSE))))</f>
        <v/>
      </c>
      <c r="CO76" s="1219" t="str">
        <f>IF(ISBLANK(CZ36),IF(CQ36="","",VLOOKUP(CQ36,#REF!,6,FALSE)),CZ36)</f>
        <v/>
      </c>
      <c r="CP76" s="1219" t="str">
        <f>IF(CQ36="","",IF(VLOOKUP(CQ36,#REF!,10,FALSE)="","",(VLOOKUP(CQ36,#REF!,10,FALSE)*-1)))</f>
        <v/>
      </c>
      <c r="CQ76" s="291" t="str">
        <f>IF(CQ36="","",IF(VLOOKUP(CQ36,#REF!,7,FALSE)="","",(VLOOKUP(CQ36,#REF!,7,FALSE)*-1)))</f>
        <v/>
      </c>
      <c r="CR76" s="291" t="str">
        <f>IF(CQ36="","",IF(VLOOKUP(CQ36,#REF!,8,FALSE)="",$FC$4,(VLOOKUP(CQ36,#REF!,8,FALSE))))</f>
        <v/>
      </c>
      <c r="CS76" s="291" t="str">
        <f>IF(CQ36="","",VLOOKUP(CQ36,#REF!,9,FALSE))</f>
        <v/>
      </c>
      <c r="CT76" s="292">
        <f t="shared" si="159"/>
        <v>0</v>
      </c>
      <c r="CU76" s="293">
        <f t="shared" si="160"/>
        <v>0</v>
      </c>
      <c r="CV76" s="193" t="str">
        <f t="shared" si="161"/>
        <v/>
      </c>
      <c r="CW76" s="193" t="str">
        <f t="shared" si="162"/>
        <v/>
      </c>
      <c r="CX76" s="812" t="str">
        <f t="shared" si="163"/>
        <v/>
      </c>
      <c r="CY76" s="813">
        <f t="shared" si="164"/>
        <v>0</v>
      </c>
      <c r="CZ76" s="813" t="e">
        <f t="shared" si="165"/>
        <v>#REF!</v>
      </c>
      <c r="DA76" s="813" t="str">
        <f t="shared" si="166"/>
        <v/>
      </c>
      <c r="DB76" s="1224" t="str">
        <f t="shared" si="202"/>
        <v/>
      </c>
      <c r="DC76" s="1224" t="str">
        <f t="shared" si="167"/>
        <v/>
      </c>
      <c r="DD76" s="1225">
        <f t="shared" si="203"/>
        <v>0</v>
      </c>
      <c r="DE76" s="1224">
        <f t="shared" si="168"/>
        <v>0</v>
      </c>
      <c r="DF76" s="1226" t="e">
        <f t="shared" si="169"/>
        <v>#REF!</v>
      </c>
      <c r="DG76" s="1226" t="str">
        <f t="shared" si="170"/>
        <v/>
      </c>
      <c r="DH76" s="1224" t="str">
        <f t="shared" si="204"/>
        <v/>
      </c>
      <c r="DI76" s="1224" t="str">
        <f t="shared" si="171"/>
        <v/>
      </c>
      <c r="DJ76" s="1225">
        <f t="shared" si="205"/>
        <v>0</v>
      </c>
      <c r="DK76" s="1224" t="str">
        <f t="shared" si="206"/>
        <v/>
      </c>
      <c r="DL76" s="1224" t="str">
        <f t="shared" si="207"/>
        <v/>
      </c>
      <c r="DM76" s="1224" t="str">
        <f t="shared" si="172"/>
        <v/>
      </c>
      <c r="DN76" s="1224" t="str">
        <f t="shared" si="173"/>
        <v/>
      </c>
      <c r="DO76" s="828" t="e">
        <f t="shared" si="174"/>
        <v>#REF!</v>
      </c>
      <c r="DP76" s="828" t="e">
        <f t="shared" si="175"/>
        <v>#REF!</v>
      </c>
      <c r="DQ76" s="1224" t="str">
        <f t="shared" si="208"/>
        <v/>
      </c>
      <c r="DR76" s="1224" t="str">
        <f t="shared" si="209"/>
        <v/>
      </c>
      <c r="DS76" s="1224" t="str">
        <f t="shared" si="210"/>
        <v/>
      </c>
      <c r="DT76" s="1224" t="str">
        <f t="shared" si="176"/>
        <v/>
      </c>
      <c r="DU76" s="1224" t="str">
        <f t="shared" si="177"/>
        <v/>
      </c>
      <c r="DV76" s="828" t="e">
        <f t="shared" si="178"/>
        <v>#REF!</v>
      </c>
      <c r="DW76" s="828" t="e">
        <f t="shared" si="179"/>
        <v>#REF!</v>
      </c>
      <c r="DX76" s="812" t="str">
        <f t="shared" si="211"/>
        <v/>
      </c>
      <c r="DY76" s="812" t="str">
        <f t="shared" si="212"/>
        <v/>
      </c>
      <c r="DZ76" s="812" t="str">
        <f t="shared" si="221"/>
        <v/>
      </c>
      <c r="EA76" s="812" t="str">
        <f t="shared" si="222"/>
        <v/>
      </c>
      <c r="EB76" s="815" t="str">
        <f t="shared" si="180"/>
        <v/>
      </c>
      <c r="EC76" s="816" t="str">
        <f t="shared" si="213"/>
        <v/>
      </c>
      <c r="ED76" s="815" t="str">
        <f t="shared" si="181"/>
        <v/>
      </c>
      <c r="EE76" s="815" t="str">
        <f t="shared" si="182"/>
        <v/>
      </c>
      <c r="EF76" s="815" t="str">
        <f t="shared" si="183"/>
        <v/>
      </c>
      <c r="EG76" s="815" t="str">
        <f t="shared" si="184"/>
        <v/>
      </c>
      <c r="EH76" s="815" t="str">
        <f t="shared" si="185"/>
        <v/>
      </c>
      <c r="EI76" s="815" t="str">
        <f t="shared" si="186"/>
        <v/>
      </c>
      <c r="EJ76" s="815" t="str">
        <f t="shared" si="187"/>
        <v/>
      </c>
      <c r="EK76" s="813">
        <f t="shared" si="214"/>
        <v>0</v>
      </c>
      <c r="EL76" s="813">
        <f t="shared" si="215"/>
        <v>0</v>
      </c>
      <c r="EM76" s="813">
        <f t="shared" si="188"/>
        <v>0</v>
      </c>
      <c r="EN76" s="813" t="e">
        <f t="shared" si="189"/>
        <v>#REF!</v>
      </c>
      <c r="EO76" s="812" t="str">
        <f t="shared" si="216"/>
        <v/>
      </c>
      <c r="EP76" s="813">
        <f t="shared" si="217"/>
        <v>0</v>
      </c>
      <c r="EQ76" s="813">
        <f t="shared" si="218"/>
        <v>0</v>
      </c>
      <c r="ER76" s="813">
        <f t="shared" si="190"/>
        <v>0</v>
      </c>
      <c r="ES76" s="813" t="e">
        <f t="shared" si="191"/>
        <v>#REF!</v>
      </c>
      <c r="ET76" s="812" t="str">
        <f t="shared" si="219"/>
        <v/>
      </c>
      <c r="EU76" s="812" t="e">
        <f t="shared" si="192"/>
        <v>#REF!</v>
      </c>
      <c r="EV76" s="815" t="e">
        <f t="shared" si="193"/>
        <v>#VALUE!</v>
      </c>
      <c r="EW76" s="815" t="e">
        <f t="shared" si="194"/>
        <v>#VALUE!</v>
      </c>
      <c r="EX76" s="874" t="str">
        <f t="shared" si="195"/>
        <v/>
      </c>
      <c r="EY76" s="818" t="e">
        <f t="shared" si="220"/>
        <v>#DIV/0!</v>
      </c>
      <c r="EZ76" s="893" t="e">
        <f t="shared" si="196"/>
        <v>#DIV/0!</v>
      </c>
      <c r="FA76" s="894" t="e">
        <f t="shared" si="197"/>
        <v>#DIV/0!</v>
      </c>
      <c r="FB76" s="819" t="str">
        <f t="shared" si="198"/>
        <v/>
      </c>
      <c r="FC76" s="820" t="str">
        <f t="shared" si="199"/>
        <v/>
      </c>
      <c r="FD76" s="455">
        <f t="shared" si="200"/>
        <v>0</v>
      </c>
      <c r="FE76" s="456">
        <f t="shared" si="201"/>
        <v>0</v>
      </c>
      <c r="FF76" s="703" t="b">
        <f t="shared" si="126"/>
        <v>0</v>
      </c>
      <c r="FG76" s="703" t="b">
        <f t="shared" si="127"/>
        <v>0</v>
      </c>
      <c r="FH76" s="703" t="b">
        <f t="shared" si="128"/>
        <v>0</v>
      </c>
      <c r="FI76" s="846" t="b">
        <f t="shared" si="129"/>
        <v>0</v>
      </c>
      <c r="FJ76" s="849" t="str">
        <f t="shared" si="139"/>
        <v/>
      </c>
      <c r="FK76" s="848" t="str">
        <f t="shared" si="140"/>
        <v/>
      </c>
      <c r="FL76" s="242" t="e">
        <f t="shared" si="141"/>
        <v>#N/A</v>
      </c>
      <c r="FM76" s="234" t="str">
        <f t="shared" si="130"/>
        <v/>
      </c>
      <c r="FN76" s="191" t="str">
        <f t="shared" ca="1" si="142"/>
        <v/>
      </c>
      <c r="FO76" s="192" t="str">
        <f t="shared" ca="1" si="143"/>
        <v/>
      </c>
      <c r="FP76" s="193" t="str">
        <f t="shared" ca="1" si="144"/>
        <v/>
      </c>
      <c r="FQ76" s="193" t="str">
        <f t="shared" ca="1" si="145"/>
        <v/>
      </c>
      <c r="FR76" s="243">
        <f t="shared" ca="1" si="146"/>
        <v>0</v>
      </c>
      <c r="FS76" s="244">
        <f t="shared" ca="1" si="147"/>
        <v>0</v>
      </c>
      <c r="FT76" s="191" t="str">
        <f t="shared" ca="1" si="152"/>
        <v/>
      </c>
      <c r="FU76" s="194" t="str">
        <f t="shared" ca="1" si="153"/>
        <v/>
      </c>
      <c r="FV76" s="245" t="str">
        <f t="shared" ca="1" si="154"/>
        <v/>
      </c>
      <c r="FW76" s="195" t="str">
        <f t="shared" ca="1" si="148"/>
        <v/>
      </c>
      <c r="FX76" s="195" t="str">
        <f t="shared" ca="1" si="149"/>
        <v/>
      </c>
      <c r="FY76" s="195" t="str">
        <f t="shared" ca="1" si="155"/>
        <v/>
      </c>
      <c r="FZ76" s="195" t="str">
        <f t="shared" ca="1" si="150"/>
        <v/>
      </c>
      <c r="GA76" s="195" t="str">
        <f t="shared" ca="1" si="156"/>
        <v/>
      </c>
      <c r="GB76" s="196" t="str">
        <f ca="1">IF(FY76="","",2+SUM(FO76:OFFSET(FO76,(FU76-1)*-1,0)))</f>
        <v/>
      </c>
      <c r="GC76" s="238" t="e">
        <f t="shared" si="151"/>
        <v>#N/A</v>
      </c>
      <c r="GD76" s="246" t="str">
        <f t="shared" si="131"/>
        <v/>
      </c>
      <c r="GE76" s="247" t="str">
        <f t="shared" si="132"/>
        <v/>
      </c>
      <c r="GF76" s="197" t="str">
        <f t="shared" si="133"/>
        <v/>
      </c>
      <c r="GG76" s="198" t="str">
        <f t="shared" si="134"/>
        <v/>
      </c>
      <c r="GH76" s="198" t="str">
        <f t="shared" si="135"/>
        <v/>
      </c>
      <c r="GI76" s="199" t="str">
        <f t="shared" si="136"/>
        <v/>
      </c>
      <c r="GJ76" s="248">
        <f t="shared" ca="1" si="137"/>
        <v>0</v>
      </c>
      <c r="GK76" s="842" t="str">
        <f t="shared" ca="1" si="138"/>
        <v/>
      </c>
    </row>
    <row r="77" spans="78:196" ht="12.6" hidden="1" customHeight="1" x14ac:dyDescent="0.2">
      <c r="BZ77" s="214"/>
      <c r="CA77" s="214"/>
      <c r="CB77" s="289" t="str">
        <f t="shared" si="157"/>
        <v/>
      </c>
      <c r="CC77" s="1218" t="str">
        <f>IF(CG37="","",VLOOKUP(CG37,#REF!,12,FALSE))</f>
        <v/>
      </c>
      <c r="CD77" s="1219" t="str">
        <f>IF(ISBLANK(CN37),IF(CG37="","",VLOOKUP(CG37,#REF!,13,FALSE)),CN37)</f>
        <v/>
      </c>
      <c r="CE77" s="1219" t="str">
        <f>IF(CG37="","",IF(VLOOKUP(CG37,#REF!,5,FALSE)="","R",UPPER(VLOOKUP(CG37,#REF!,5,FALSE))))</f>
        <v/>
      </c>
      <c r="CF77" s="1219" t="str">
        <f>IF(ISBLANK(CP37),IF(CG37="","",VLOOKUP(CG37,#REF!,6,FALSE)),CP37)</f>
        <v/>
      </c>
      <c r="CG77" s="1219" t="str">
        <f>IF(CG37="","",IF(VLOOKUP(CG37,#REF!,10,FALSE)="","",(VLOOKUP(CG37,#REF!,10,FALSE)*-1)))</f>
        <v/>
      </c>
      <c r="CH77" s="1219" t="str">
        <f>IF(CG37="","",IF(VLOOKUP(CG37,#REF!,7,FALSE)="","",(VLOOKUP(CG37,#REF!,7,FALSE)*-1)))</f>
        <v/>
      </c>
      <c r="CI77" s="1219" t="str">
        <f>IF(CG37="","",IF(VLOOKUP(CG37,#REF!,8,FALSE)="",$FC$4,(VLOOKUP(CG37,#REF!,8,FALSE))))</f>
        <v/>
      </c>
      <c r="CJ77" s="1219" t="str">
        <f>IF(CG37="","",VLOOKUP(CG37,#REF!,9,FALSE))</f>
        <v/>
      </c>
      <c r="CK77" s="1220">
        <f t="shared" si="158"/>
        <v>0</v>
      </c>
      <c r="CL77" s="1218" t="str">
        <f>IF(CQ37="","",VLOOKUP(CQ37,#REF!,12,FALSE))</f>
        <v/>
      </c>
      <c r="CM77" s="1219" t="str">
        <f>IF(ISBLANK(CX37),IF(CQ37="","",VLOOKUP(CQ37,#REF!,13,FALSE)),CX37)</f>
        <v/>
      </c>
      <c r="CN77" s="1219" t="str">
        <f>IF(CQ37="","",IF(VLOOKUP(CQ37,#REF!,5,FALSE)="","R",UPPER(VLOOKUP(CQ37,#REF!,5,FALSE))))</f>
        <v/>
      </c>
      <c r="CO77" s="1219" t="str">
        <f>IF(ISBLANK(CZ37),IF(CQ37="","",VLOOKUP(CQ37,#REF!,6,FALSE)),CZ37)</f>
        <v/>
      </c>
      <c r="CP77" s="1219" t="str">
        <f>IF(CQ37="","",IF(VLOOKUP(CQ37,#REF!,10,FALSE)="","",(VLOOKUP(CQ37,#REF!,10,FALSE)*-1)))</f>
        <v/>
      </c>
      <c r="CQ77" s="291" t="str">
        <f>IF(CQ37="","",IF(VLOOKUP(CQ37,#REF!,7,FALSE)="","",(VLOOKUP(CQ37,#REF!,7,FALSE)*-1)))</f>
        <v/>
      </c>
      <c r="CR77" s="291" t="str">
        <f>IF(CQ37="","",IF(VLOOKUP(CQ37,#REF!,8,FALSE)="",$FC$4,(VLOOKUP(CQ37,#REF!,8,FALSE))))</f>
        <v/>
      </c>
      <c r="CS77" s="291" t="str">
        <f>IF(CQ37="","",VLOOKUP(CQ37,#REF!,9,FALSE))</f>
        <v/>
      </c>
      <c r="CT77" s="292">
        <f t="shared" si="159"/>
        <v>0</v>
      </c>
      <c r="CU77" s="293">
        <f t="shared" si="160"/>
        <v>0</v>
      </c>
      <c r="CV77" s="193" t="str">
        <f t="shared" si="161"/>
        <v/>
      </c>
      <c r="CW77" s="193" t="str">
        <f t="shared" si="162"/>
        <v/>
      </c>
      <c r="CX77" s="812" t="str">
        <f t="shared" si="163"/>
        <v/>
      </c>
      <c r="CY77" s="813">
        <f t="shared" si="164"/>
        <v>0</v>
      </c>
      <c r="CZ77" s="813" t="e">
        <f t="shared" si="165"/>
        <v>#REF!</v>
      </c>
      <c r="DA77" s="813" t="str">
        <f t="shared" si="166"/>
        <v/>
      </c>
      <c r="DB77" s="1224" t="str">
        <f t="shared" si="202"/>
        <v/>
      </c>
      <c r="DC77" s="1224" t="str">
        <f t="shared" si="167"/>
        <v/>
      </c>
      <c r="DD77" s="1225">
        <f t="shared" si="203"/>
        <v>0</v>
      </c>
      <c r="DE77" s="1224">
        <f t="shared" si="168"/>
        <v>0</v>
      </c>
      <c r="DF77" s="1226" t="e">
        <f t="shared" si="169"/>
        <v>#REF!</v>
      </c>
      <c r="DG77" s="1226" t="str">
        <f t="shared" si="170"/>
        <v/>
      </c>
      <c r="DH77" s="1224" t="str">
        <f t="shared" si="204"/>
        <v/>
      </c>
      <c r="DI77" s="1224" t="str">
        <f t="shared" si="171"/>
        <v/>
      </c>
      <c r="DJ77" s="1225">
        <f t="shared" si="205"/>
        <v>0</v>
      </c>
      <c r="DK77" s="1224" t="str">
        <f t="shared" si="206"/>
        <v/>
      </c>
      <c r="DL77" s="1224" t="str">
        <f t="shared" si="207"/>
        <v/>
      </c>
      <c r="DM77" s="1224" t="str">
        <f t="shared" si="172"/>
        <v/>
      </c>
      <c r="DN77" s="1224" t="str">
        <f t="shared" si="173"/>
        <v/>
      </c>
      <c r="DO77" s="828" t="e">
        <f t="shared" si="174"/>
        <v>#REF!</v>
      </c>
      <c r="DP77" s="828" t="e">
        <f t="shared" si="175"/>
        <v>#REF!</v>
      </c>
      <c r="DQ77" s="1224" t="str">
        <f t="shared" si="208"/>
        <v/>
      </c>
      <c r="DR77" s="1224" t="str">
        <f t="shared" si="209"/>
        <v/>
      </c>
      <c r="DS77" s="1224" t="str">
        <f t="shared" si="210"/>
        <v/>
      </c>
      <c r="DT77" s="1224" t="str">
        <f t="shared" si="176"/>
        <v/>
      </c>
      <c r="DU77" s="1224" t="str">
        <f t="shared" si="177"/>
        <v/>
      </c>
      <c r="DV77" s="828" t="e">
        <f t="shared" si="178"/>
        <v>#REF!</v>
      </c>
      <c r="DW77" s="828" t="e">
        <f t="shared" si="179"/>
        <v>#REF!</v>
      </c>
      <c r="DX77" s="812" t="str">
        <f t="shared" si="211"/>
        <v/>
      </c>
      <c r="DY77" s="812" t="str">
        <f t="shared" si="212"/>
        <v/>
      </c>
      <c r="DZ77" s="812" t="str">
        <f t="shared" si="221"/>
        <v/>
      </c>
      <c r="EA77" s="812" t="str">
        <f t="shared" si="222"/>
        <v/>
      </c>
      <c r="EB77" s="815" t="str">
        <f t="shared" si="180"/>
        <v/>
      </c>
      <c r="EC77" s="816" t="str">
        <f t="shared" si="213"/>
        <v/>
      </c>
      <c r="ED77" s="815" t="str">
        <f t="shared" si="181"/>
        <v/>
      </c>
      <c r="EE77" s="815" t="str">
        <f t="shared" si="182"/>
        <v/>
      </c>
      <c r="EF77" s="815" t="str">
        <f t="shared" si="183"/>
        <v/>
      </c>
      <c r="EG77" s="815" t="str">
        <f t="shared" si="184"/>
        <v/>
      </c>
      <c r="EH77" s="815" t="str">
        <f t="shared" si="185"/>
        <v/>
      </c>
      <c r="EI77" s="815" t="str">
        <f t="shared" si="186"/>
        <v/>
      </c>
      <c r="EJ77" s="815" t="str">
        <f t="shared" si="187"/>
        <v/>
      </c>
      <c r="EK77" s="813">
        <f t="shared" si="214"/>
        <v>0</v>
      </c>
      <c r="EL77" s="813">
        <f t="shared" si="215"/>
        <v>0</v>
      </c>
      <c r="EM77" s="813">
        <f t="shared" si="188"/>
        <v>0</v>
      </c>
      <c r="EN77" s="813" t="e">
        <f t="shared" si="189"/>
        <v>#REF!</v>
      </c>
      <c r="EO77" s="812" t="str">
        <f t="shared" si="216"/>
        <v/>
      </c>
      <c r="EP77" s="813">
        <f t="shared" si="217"/>
        <v>0</v>
      </c>
      <c r="EQ77" s="813">
        <f t="shared" si="218"/>
        <v>0</v>
      </c>
      <c r="ER77" s="813">
        <f t="shared" si="190"/>
        <v>0</v>
      </c>
      <c r="ES77" s="813" t="e">
        <f t="shared" si="191"/>
        <v>#REF!</v>
      </c>
      <c r="ET77" s="812" t="str">
        <f t="shared" si="219"/>
        <v/>
      </c>
      <c r="EU77" s="812" t="e">
        <f t="shared" si="192"/>
        <v>#REF!</v>
      </c>
      <c r="EV77" s="815" t="e">
        <f t="shared" si="193"/>
        <v>#VALUE!</v>
      </c>
      <c r="EW77" s="815" t="e">
        <f t="shared" si="194"/>
        <v>#VALUE!</v>
      </c>
      <c r="EX77" s="874" t="str">
        <f t="shared" si="195"/>
        <v/>
      </c>
      <c r="EY77" s="818" t="e">
        <f t="shared" si="220"/>
        <v>#DIV/0!</v>
      </c>
      <c r="EZ77" s="893" t="e">
        <f t="shared" si="196"/>
        <v>#DIV/0!</v>
      </c>
      <c r="FA77" s="894" t="e">
        <f t="shared" si="197"/>
        <v>#DIV/0!</v>
      </c>
      <c r="FB77" s="819" t="str">
        <f t="shared" si="198"/>
        <v/>
      </c>
      <c r="FC77" s="820" t="str">
        <f t="shared" si="199"/>
        <v/>
      </c>
      <c r="FD77" s="455">
        <f t="shared" si="200"/>
        <v>0</v>
      </c>
      <c r="FE77" s="456">
        <f t="shared" si="201"/>
        <v>0</v>
      </c>
      <c r="FF77" s="703" t="b">
        <f t="shared" si="126"/>
        <v>0</v>
      </c>
      <c r="FG77" s="703" t="b">
        <f t="shared" si="127"/>
        <v>0</v>
      </c>
      <c r="FH77" s="703" t="b">
        <f t="shared" si="128"/>
        <v>0</v>
      </c>
      <c r="FI77" s="846" t="b">
        <f t="shared" si="129"/>
        <v>0</v>
      </c>
      <c r="FJ77" s="849" t="str">
        <f t="shared" si="139"/>
        <v/>
      </c>
      <c r="FK77" s="848" t="str">
        <f t="shared" si="140"/>
        <v/>
      </c>
      <c r="FL77" s="242" t="e">
        <f t="shared" si="141"/>
        <v>#N/A</v>
      </c>
      <c r="FM77" s="234" t="str">
        <f t="shared" si="130"/>
        <v/>
      </c>
      <c r="FN77" s="191" t="str">
        <f t="shared" ca="1" si="142"/>
        <v/>
      </c>
      <c r="FO77" s="192" t="str">
        <f t="shared" ca="1" si="143"/>
        <v/>
      </c>
      <c r="FP77" s="193" t="str">
        <f t="shared" ca="1" si="144"/>
        <v/>
      </c>
      <c r="FQ77" s="193" t="str">
        <f t="shared" ca="1" si="145"/>
        <v/>
      </c>
      <c r="FR77" s="243">
        <f t="shared" ca="1" si="146"/>
        <v>0</v>
      </c>
      <c r="FS77" s="244">
        <f t="shared" ca="1" si="147"/>
        <v>0</v>
      </c>
      <c r="FT77" s="191" t="str">
        <f t="shared" ca="1" si="152"/>
        <v/>
      </c>
      <c r="FU77" s="194" t="str">
        <f t="shared" ca="1" si="153"/>
        <v/>
      </c>
      <c r="FV77" s="245" t="str">
        <f t="shared" ca="1" si="154"/>
        <v/>
      </c>
      <c r="FW77" s="195" t="str">
        <f t="shared" ca="1" si="148"/>
        <v/>
      </c>
      <c r="FX77" s="195" t="str">
        <f t="shared" ca="1" si="149"/>
        <v/>
      </c>
      <c r="FY77" s="195" t="str">
        <f t="shared" ca="1" si="155"/>
        <v/>
      </c>
      <c r="FZ77" s="195" t="str">
        <f t="shared" ca="1" si="150"/>
        <v/>
      </c>
      <c r="GA77" s="195" t="str">
        <f t="shared" ca="1" si="156"/>
        <v/>
      </c>
      <c r="GB77" s="196" t="str">
        <f ca="1">IF(FY77="","",2+SUM(FO77:OFFSET(FO77,(FU77-1)*-1,0)))</f>
        <v/>
      </c>
      <c r="GC77" s="238" t="e">
        <f t="shared" si="151"/>
        <v>#N/A</v>
      </c>
      <c r="GD77" s="246" t="str">
        <f t="shared" si="131"/>
        <v/>
      </c>
      <c r="GE77" s="247" t="str">
        <f t="shared" si="132"/>
        <v/>
      </c>
      <c r="GF77" s="197" t="str">
        <f t="shared" si="133"/>
        <v/>
      </c>
      <c r="GG77" s="198" t="str">
        <f t="shared" si="134"/>
        <v/>
      </c>
      <c r="GH77" s="198" t="str">
        <f t="shared" si="135"/>
        <v/>
      </c>
      <c r="GI77" s="199" t="str">
        <f t="shared" si="136"/>
        <v/>
      </c>
      <c r="GJ77" s="248">
        <f t="shared" ca="1" si="137"/>
        <v>0</v>
      </c>
      <c r="GK77" s="842" t="str">
        <f t="shared" ca="1" si="138"/>
        <v/>
      </c>
    </row>
    <row r="78" spans="78:196" ht="12.6" hidden="1" customHeight="1" x14ac:dyDescent="0.2">
      <c r="BZ78" s="214"/>
      <c r="CA78" s="214"/>
      <c r="CB78" s="289" t="str">
        <f t="shared" si="157"/>
        <v/>
      </c>
      <c r="CC78" s="1218" t="str">
        <f>IF(CG38="","",VLOOKUP(CG38,#REF!,12,FALSE))</f>
        <v/>
      </c>
      <c r="CD78" s="1219" t="str">
        <f>IF(ISBLANK(CN38),IF(CG38="","",VLOOKUP(CG38,#REF!,13,FALSE)),CN38)</f>
        <v/>
      </c>
      <c r="CE78" s="1219" t="str">
        <f>IF(CG38="","",IF(VLOOKUP(CG38,#REF!,5,FALSE)="","R",UPPER(VLOOKUP(CG38,#REF!,5,FALSE))))</f>
        <v/>
      </c>
      <c r="CF78" s="1219" t="str">
        <f>IF(ISBLANK(CP38),IF(CG38="","",VLOOKUP(CG38,#REF!,6,FALSE)),CP38)</f>
        <v/>
      </c>
      <c r="CG78" s="1219" t="str">
        <f>IF(CG38="","",IF(VLOOKUP(CG38,#REF!,10,FALSE)="","",(VLOOKUP(CG38,#REF!,10,FALSE)*-1)))</f>
        <v/>
      </c>
      <c r="CH78" s="1219" t="str">
        <f>IF(CG38="","",IF(VLOOKUP(CG38,#REF!,7,FALSE)="","",(VLOOKUP(CG38,#REF!,7,FALSE)*-1)))</f>
        <v/>
      </c>
      <c r="CI78" s="1219" t="str">
        <f>IF(CG38="","",IF(VLOOKUP(CG38,#REF!,8,FALSE)="",$FC$4,(VLOOKUP(CG38,#REF!,8,FALSE))))</f>
        <v/>
      </c>
      <c r="CJ78" s="1219" t="str">
        <f>IF(CG38="","",VLOOKUP(CG38,#REF!,9,FALSE))</f>
        <v/>
      </c>
      <c r="CK78" s="1220">
        <f t="shared" si="158"/>
        <v>0</v>
      </c>
      <c r="CL78" s="1218" t="str">
        <f>IF(CQ38="","",VLOOKUP(CQ38,#REF!,12,FALSE))</f>
        <v/>
      </c>
      <c r="CM78" s="1219" t="str">
        <f>IF(ISBLANK(CX38),IF(CQ38="","",VLOOKUP(CQ38,#REF!,13,FALSE)),CX38)</f>
        <v/>
      </c>
      <c r="CN78" s="1219" t="str">
        <f>IF(CQ38="","",IF(VLOOKUP(CQ38,#REF!,5,FALSE)="","R",UPPER(VLOOKUP(CQ38,#REF!,5,FALSE))))</f>
        <v/>
      </c>
      <c r="CO78" s="1219" t="str">
        <f>IF(ISBLANK(CZ38),IF(CQ38="","",VLOOKUP(CQ38,#REF!,6,FALSE)),CZ38)</f>
        <v/>
      </c>
      <c r="CP78" s="1219" t="str">
        <f>IF(CQ38="","",IF(VLOOKUP(CQ38,#REF!,10,FALSE)="","",(VLOOKUP(CQ38,#REF!,10,FALSE)*-1)))</f>
        <v/>
      </c>
      <c r="CQ78" s="291" t="str">
        <f>IF(CQ38="","",IF(VLOOKUP(CQ38,#REF!,7,FALSE)="","",(VLOOKUP(CQ38,#REF!,7,FALSE)*-1)))</f>
        <v/>
      </c>
      <c r="CR78" s="291" t="str">
        <f>IF(CQ38="","",IF(VLOOKUP(CQ38,#REF!,8,FALSE)="",$FC$4,(VLOOKUP(CQ38,#REF!,8,FALSE))))</f>
        <v/>
      </c>
      <c r="CS78" s="291" t="str">
        <f>IF(CQ38="","",VLOOKUP(CQ38,#REF!,9,FALSE))</f>
        <v/>
      </c>
      <c r="CT78" s="292">
        <f t="shared" si="159"/>
        <v>0</v>
      </c>
      <c r="CU78" s="293">
        <f t="shared" si="160"/>
        <v>0</v>
      </c>
      <c r="CV78" s="193" t="str">
        <f t="shared" si="161"/>
        <v/>
      </c>
      <c r="CW78" s="193" t="str">
        <f t="shared" si="162"/>
        <v/>
      </c>
      <c r="CX78" s="812" t="str">
        <f t="shared" si="163"/>
        <v/>
      </c>
      <c r="CY78" s="813">
        <f t="shared" si="164"/>
        <v>0</v>
      </c>
      <c r="CZ78" s="813" t="e">
        <f t="shared" si="165"/>
        <v>#REF!</v>
      </c>
      <c r="DA78" s="813" t="str">
        <f t="shared" si="166"/>
        <v/>
      </c>
      <c r="DB78" s="1224" t="str">
        <f t="shared" si="202"/>
        <v/>
      </c>
      <c r="DC78" s="1224" t="str">
        <f t="shared" si="167"/>
        <v/>
      </c>
      <c r="DD78" s="1225">
        <f t="shared" si="203"/>
        <v>0</v>
      </c>
      <c r="DE78" s="1224">
        <f t="shared" si="168"/>
        <v>0</v>
      </c>
      <c r="DF78" s="1226" t="e">
        <f t="shared" si="169"/>
        <v>#REF!</v>
      </c>
      <c r="DG78" s="1226" t="str">
        <f t="shared" si="170"/>
        <v/>
      </c>
      <c r="DH78" s="1224" t="str">
        <f t="shared" si="204"/>
        <v/>
      </c>
      <c r="DI78" s="1224" t="str">
        <f t="shared" si="171"/>
        <v/>
      </c>
      <c r="DJ78" s="1225">
        <f t="shared" si="205"/>
        <v>0</v>
      </c>
      <c r="DK78" s="1224" t="str">
        <f t="shared" si="206"/>
        <v/>
      </c>
      <c r="DL78" s="1224" t="str">
        <f t="shared" si="207"/>
        <v/>
      </c>
      <c r="DM78" s="1224" t="str">
        <f t="shared" si="172"/>
        <v/>
      </c>
      <c r="DN78" s="1224" t="str">
        <f t="shared" si="173"/>
        <v/>
      </c>
      <c r="DO78" s="828" t="e">
        <f t="shared" si="174"/>
        <v>#REF!</v>
      </c>
      <c r="DP78" s="828" t="e">
        <f t="shared" si="175"/>
        <v>#REF!</v>
      </c>
      <c r="DQ78" s="1224" t="str">
        <f t="shared" si="208"/>
        <v/>
      </c>
      <c r="DR78" s="1224" t="str">
        <f t="shared" si="209"/>
        <v/>
      </c>
      <c r="DS78" s="1224" t="str">
        <f t="shared" si="210"/>
        <v/>
      </c>
      <c r="DT78" s="1224" t="str">
        <f t="shared" si="176"/>
        <v/>
      </c>
      <c r="DU78" s="1224" t="str">
        <f t="shared" si="177"/>
        <v/>
      </c>
      <c r="DV78" s="828" t="e">
        <f t="shared" si="178"/>
        <v>#REF!</v>
      </c>
      <c r="DW78" s="828" t="e">
        <f t="shared" si="179"/>
        <v>#REF!</v>
      </c>
      <c r="DX78" s="812" t="str">
        <f t="shared" si="211"/>
        <v/>
      </c>
      <c r="DY78" s="812" t="str">
        <f t="shared" si="212"/>
        <v/>
      </c>
      <c r="DZ78" s="812" t="str">
        <f t="shared" si="221"/>
        <v/>
      </c>
      <c r="EA78" s="812" t="str">
        <f t="shared" si="222"/>
        <v/>
      </c>
      <c r="EB78" s="815" t="str">
        <f t="shared" si="180"/>
        <v/>
      </c>
      <c r="EC78" s="816" t="str">
        <f t="shared" si="213"/>
        <v/>
      </c>
      <c r="ED78" s="815" t="str">
        <f t="shared" si="181"/>
        <v/>
      </c>
      <c r="EE78" s="815" t="str">
        <f t="shared" si="182"/>
        <v/>
      </c>
      <c r="EF78" s="815" t="str">
        <f t="shared" si="183"/>
        <v/>
      </c>
      <c r="EG78" s="815" t="str">
        <f t="shared" si="184"/>
        <v/>
      </c>
      <c r="EH78" s="815" t="str">
        <f t="shared" si="185"/>
        <v/>
      </c>
      <c r="EI78" s="815" t="str">
        <f t="shared" si="186"/>
        <v/>
      </c>
      <c r="EJ78" s="815" t="str">
        <f t="shared" si="187"/>
        <v/>
      </c>
      <c r="EK78" s="813">
        <f t="shared" si="214"/>
        <v>0</v>
      </c>
      <c r="EL78" s="813">
        <f t="shared" si="215"/>
        <v>0</v>
      </c>
      <c r="EM78" s="813">
        <f t="shared" si="188"/>
        <v>0</v>
      </c>
      <c r="EN78" s="813" t="e">
        <f t="shared" si="189"/>
        <v>#REF!</v>
      </c>
      <c r="EO78" s="812" t="str">
        <f t="shared" si="216"/>
        <v/>
      </c>
      <c r="EP78" s="813">
        <f t="shared" si="217"/>
        <v>0</v>
      </c>
      <c r="EQ78" s="813">
        <f t="shared" si="218"/>
        <v>0</v>
      </c>
      <c r="ER78" s="813">
        <f t="shared" si="190"/>
        <v>0</v>
      </c>
      <c r="ES78" s="813" t="e">
        <f t="shared" si="191"/>
        <v>#REF!</v>
      </c>
      <c r="ET78" s="812" t="str">
        <f t="shared" si="219"/>
        <v/>
      </c>
      <c r="EU78" s="812" t="e">
        <f t="shared" si="192"/>
        <v>#REF!</v>
      </c>
      <c r="EV78" s="815" t="e">
        <f t="shared" si="193"/>
        <v>#VALUE!</v>
      </c>
      <c r="EW78" s="815" t="e">
        <f t="shared" si="194"/>
        <v>#VALUE!</v>
      </c>
      <c r="EX78" s="874" t="str">
        <f t="shared" si="195"/>
        <v/>
      </c>
      <c r="EY78" s="818" t="e">
        <f t="shared" si="220"/>
        <v>#DIV/0!</v>
      </c>
      <c r="EZ78" s="893" t="e">
        <f t="shared" si="196"/>
        <v>#DIV/0!</v>
      </c>
      <c r="FA78" s="894" t="e">
        <f t="shared" si="197"/>
        <v>#DIV/0!</v>
      </c>
      <c r="FB78" s="819" t="str">
        <f t="shared" si="198"/>
        <v/>
      </c>
      <c r="FC78" s="820" t="str">
        <f t="shared" si="199"/>
        <v/>
      </c>
      <c r="FD78" s="455">
        <f t="shared" si="200"/>
        <v>0</v>
      </c>
      <c r="FE78" s="456">
        <f t="shared" si="201"/>
        <v>0</v>
      </c>
      <c r="FF78" s="703" t="b">
        <f t="shared" si="126"/>
        <v>0</v>
      </c>
      <c r="FG78" s="703" t="b">
        <f t="shared" si="127"/>
        <v>0</v>
      </c>
      <c r="FH78" s="703" t="b">
        <f t="shared" si="128"/>
        <v>0</v>
      </c>
      <c r="FI78" s="846" t="b">
        <f t="shared" si="129"/>
        <v>0</v>
      </c>
      <c r="FJ78" s="849" t="str">
        <f t="shared" si="139"/>
        <v/>
      </c>
      <c r="FK78" s="848" t="str">
        <f t="shared" si="140"/>
        <v/>
      </c>
      <c r="FL78" s="242" t="e">
        <f t="shared" si="141"/>
        <v>#N/A</v>
      </c>
      <c r="FM78" s="234" t="str">
        <f t="shared" si="130"/>
        <v/>
      </c>
      <c r="FN78" s="191" t="str">
        <f t="shared" ca="1" si="142"/>
        <v/>
      </c>
      <c r="FO78" s="192" t="str">
        <f t="shared" ca="1" si="143"/>
        <v/>
      </c>
      <c r="FP78" s="193" t="str">
        <f t="shared" ca="1" si="144"/>
        <v/>
      </c>
      <c r="FQ78" s="193" t="str">
        <f t="shared" ca="1" si="145"/>
        <v/>
      </c>
      <c r="FR78" s="243">
        <f t="shared" ca="1" si="146"/>
        <v>0</v>
      </c>
      <c r="FS78" s="244">
        <f t="shared" ca="1" si="147"/>
        <v>0</v>
      </c>
      <c r="FT78" s="191" t="str">
        <f t="shared" ca="1" si="152"/>
        <v/>
      </c>
      <c r="FU78" s="194" t="str">
        <f t="shared" ca="1" si="153"/>
        <v/>
      </c>
      <c r="FV78" s="245" t="str">
        <f t="shared" ca="1" si="154"/>
        <v/>
      </c>
      <c r="FW78" s="195" t="str">
        <f t="shared" ca="1" si="148"/>
        <v/>
      </c>
      <c r="FX78" s="195" t="str">
        <f t="shared" ca="1" si="149"/>
        <v/>
      </c>
      <c r="FY78" s="195" t="str">
        <f t="shared" ca="1" si="155"/>
        <v/>
      </c>
      <c r="FZ78" s="195" t="str">
        <f t="shared" ca="1" si="150"/>
        <v/>
      </c>
      <c r="GA78" s="195" t="str">
        <f t="shared" ca="1" si="156"/>
        <v/>
      </c>
      <c r="GB78" s="196" t="str">
        <f ca="1">IF(FY78="","",2+SUM(FO78:OFFSET(FO78,(FU78-1)*-1,0)))</f>
        <v/>
      </c>
      <c r="GC78" s="238" t="e">
        <f t="shared" si="151"/>
        <v>#N/A</v>
      </c>
      <c r="GD78" s="246" t="str">
        <f t="shared" si="131"/>
        <v/>
      </c>
      <c r="GE78" s="247" t="str">
        <f t="shared" si="132"/>
        <v/>
      </c>
      <c r="GF78" s="197" t="str">
        <f t="shared" si="133"/>
        <v/>
      </c>
      <c r="GG78" s="198" t="str">
        <f t="shared" si="134"/>
        <v/>
      </c>
      <c r="GH78" s="198" t="str">
        <f t="shared" si="135"/>
        <v/>
      </c>
      <c r="GI78" s="199" t="str">
        <f t="shared" si="136"/>
        <v/>
      </c>
      <c r="GJ78" s="248">
        <f t="shared" ca="1" si="137"/>
        <v>0</v>
      </c>
      <c r="GK78" s="842" t="str">
        <f t="shared" ca="1" si="138"/>
        <v/>
      </c>
    </row>
    <row r="79" spans="78:196" ht="12.6" hidden="1" customHeight="1" x14ac:dyDescent="0.2">
      <c r="BZ79" s="214"/>
      <c r="CA79" s="214"/>
      <c r="CB79" s="289" t="str">
        <f t="shared" si="157"/>
        <v/>
      </c>
      <c r="CC79" s="1218" t="str">
        <f>IF(CG39="","",VLOOKUP(CG39,#REF!,12,FALSE))</f>
        <v/>
      </c>
      <c r="CD79" s="1219" t="str">
        <f>IF(ISBLANK(CN39),IF(CG39="","",VLOOKUP(CG39,#REF!,13,FALSE)),CN39)</f>
        <v/>
      </c>
      <c r="CE79" s="1219" t="str">
        <f>IF(CG39="","",IF(VLOOKUP(CG39,#REF!,5,FALSE)="","R",UPPER(VLOOKUP(CG39,#REF!,5,FALSE))))</f>
        <v/>
      </c>
      <c r="CF79" s="1219" t="str">
        <f>IF(ISBLANK(CP39),IF(CG39="","",VLOOKUP(CG39,#REF!,6,FALSE)),CP39)</f>
        <v/>
      </c>
      <c r="CG79" s="1219" t="str">
        <f>IF(CG39="","",IF(VLOOKUP(CG39,#REF!,10,FALSE)="","",(VLOOKUP(CG39,#REF!,10,FALSE)*-1)))</f>
        <v/>
      </c>
      <c r="CH79" s="1219" t="str">
        <f>IF(CG39="","",IF(VLOOKUP(CG39,#REF!,7,FALSE)="","",(VLOOKUP(CG39,#REF!,7,FALSE)*-1)))</f>
        <v/>
      </c>
      <c r="CI79" s="1219" t="str">
        <f>IF(CG39="","",IF(VLOOKUP(CG39,#REF!,8,FALSE)="",$FC$4,(VLOOKUP(CG39,#REF!,8,FALSE))))</f>
        <v/>
      </c>
      <c r="CJ79" s="1219" t="str">
        <f>IF(CG39="","",VLOOKUP(CG39,#REF!,9,FALSE))</f>
        <v/>
      </c>
      <c r="CK79" s="1220">
        <f t="shared" si="158"/>
        <v>0</v>
      </c>
      <c r="CL79" s="1218" t="str">
        <f>IF(CQ39="","",VLOOKUP(CQ39,#REF!,12,FALSE))</f>
        <v/>
      </c>
      <c r="CM79" s="1219" t="str">
        <f>IF(ISBLANK(CX39),IF(CQ39="","",VLOOKUP(CQ39,#REF!,13,FALSE)),CX39)</f>
        <v/>
      </c>
      <c r="CN79" s="1219" t="str">
        <f>IF(CQ39="","",IF(VLOOKUP(CQ39,#REF!,5,FALSE)="","R",UPPER(VLOOKUP(CQ39,#REF!,5,FALSE))))</f>
        <v/>
      </c>
      <c r="CO79" s="1219" t="str">
        <f>IF(ISBLANK(CZ39),IF(CQ39="","",VLOOKUP(CQ39,#REF!,6,FALSE)),CZ39)</f>
        <v/>
      </c>
      <c r="CP79" s="1219" t="str">
        <f>IF(CQ39="","",IF(VLOOKUP(CQ39,#REF!,10,FALSE)="","",(VLOOKUP(CQ39,#REF!,10,FALSE)*-1)))</f>
        <v/>
      </c>
      <c r="CQ79" s="291" t="str">
        <f>IF(CQ39="","",IF(VLOOKUP(CQ39,#REF!,7,FALSE)="","",(VLOOKUP(CQ39,#REF!,7,FALSE)*-1)))</f>
        <v/>
      </c>
      <c r="CR79" s="291" t="str">
        <f>IF(CQ39="","",IF(VLOOKUP(CQ39,#REF!,8,FALSE)="",$FC$4,(VLOOKUP(CQ39,#REF!,8,FALSE))))</f>
        <v/>
      </c>
      <c r="CS79" s="291" t="str">
        <f>IF(CQ39="","",VLOOKUP(CQ39,#REF!,9,FALSE))</f>
        <v/>
      </c>
      <c r="CT79" s="292">
        <f t="shared" si="159"/>
        <v>0</v>
      </c>
      <c r="CU79" s="293">
        <f t="shared" si="160"/>
        <v>0</v>
      </c>
      <c r="CV79" s="193" t="str">
        <f t="shared" si="161"/>
        <v/>
      </c>
      <c r="CW79" s="193" t="str">
        <f t="shared" si="162"/>
        <v/>
      </c>
      <c r="CX79" s="812" t="str">
        <f t="shared" si="163"/>
        <v/>
      </c>
      <c r="CY79" s="813">
        <f t="shared" si="164"/>
        <v>0</v>
      </c>
      <c r="CZ79" s="813" t="e">
        <f t="shared" si="165"/>
        <v>#REF!</v>
      </c>
      <c r="DA79" s="813" t="str">
        <f t="shared" si="166"/>
        <v/>
      </c>
      <c r="DB79" s="1224" t="str">
        <f t="shared" si="202"/>
        <v/>
      </c>
      <c r="DC79" s="1224" t="str">
        <f t="shared" si="167"/>
        <v/>
      </c>
      <c r="DD79" s="1225">
        <f t="shared" si="203"/>
        <v>0</v>
      </c>
      <c r="DE79" s="1224">
        <f t="shared" si="168"/>
        <v>0</v>
      </c>
      <c r="DF79" s="1226" t="e">
        <f t="shared" si="169"/>
        <v>#REF!</v>
      </c>
      <c r="DG79" s="1226" t="str">
        <f t="shared" si="170"/>
        <v/>
      </c>
      <c r="DH79" s="1224" t="str">
        <f t="shared" si="204"/>
        <v/>
      </c>
      <c r="DI79" s="1224" t="str">
        <f t="shared" si="171"/>
        <v/>
      </c>
      <c r="DJ79" s="1225">
        <f t="shared" si="205"/>
        <v>0</v>
      </c>
      <c r="DK79" s="1224" t="str">
        <f t="shared" si="206"/>
        <v/>
      </c>
      <c r="DL79" s="1224" t="str">
        <f t="shared" si="207"/>
        <v/>
      </c>
      <c r="DM79" s="1224" t="str">
        <f t="shared" si="172"/>
        <v/>
      </c>
      <c r="DN79" s="1224" t="str">
        <f t="shared" si="173"/>
        <v/>
      </c>
      <c r="DO79" s="828" t="e">
        <f t="shared" si="174"/>
        <v>#REF!</v>
      </c>
      <c r="DP79" s="828" t="e">
        <f t="shared" si="175"/>
        <v>#REF!</v>
      </c>
      <c r="DQ79" s="1224" t="str">
        <f t="shared" si="208"/>
        <v/>
      </c>
      <c r="DR79" s="1224" t="str">
        <f t="shared" si="209"/>
        <v/>
      </c>
      <c r="DS79" s="1224" t="str">
        <f t="shared" si="210"/>
        <v/>
      </c>
      <c r="DT79" s="1224" t="str">
        <f t="shared" si="176"/>
        <v/>
      </c>
      <c r="DU79" s="1224" t="str">
        <f t="shared" si="177"/>
        <v/>
      </c>
      <c r="DV79" s="828" t="e">
        <f t="shared" si="178"/>
        <v>#REF!</v>
      </c>
      <c r="DW79" s="828" t="e">
        <f t="shared" si="179"/>
        <v>#REF!</v>
      </c>
      <c r="DX79" s="812" t="str">
        <f t="shared" si="211"/>
        <v/>
      </c>
      <c r="DY79" s="812" t="str">
        <f t="shared" si="212"/>
        <v/>
      </c>
      <c r="DZ79" s="812" t="str">
        <f t="shared" si="221"/>
        <v/>
      </c>
      <c r="EA79" s="812" t="str">
        <f t="shared" si="222"/>
        <v/>
      </c>
      <c r="EB79" s="815" t="str">
        <f t="shared" si="180"/>
        <v/>
      </c>
      <c r="EC79" s="816" t="str">
        <f t="shared" si="213"/>
        <v/>
      </c>
      <c r="ED79" s="815" t="str">
        <f t="shared" si="181"/>
        <v/>
      </c>
      <c r="EE79" s="815" t="str">
        <f t="shared" si="182"/>
        <v/>
      </c>
      <c r="EF79" s="815" t="str">
        <f t="shared" si="183"/>
        <v/>
      </c>
      <c r="EG79" s="815" t="str">
        <f t="shared" si="184"/>
        <v/>
      </c>
      <c r="EH79" s="815" t="str">
        <f t="shared" si="185"/>
        <v/>
      </c>
      <c r="EI79" s="815" t="str">
        <f t="shared" si="186"/>
        <v/>
      </c>
      <c r="EJ79" s="815" t="str">
        <f t="shared" si="187"/>
        <v/>
      </c>
      <c r="EK79" s="813">
        <f t="shared" si="214"/>
        <v>0</v>
      </c>
      <c r="EL79" s="813">
        <f t="shared" si="215"/>
        <v>0</v>
      </c>
      <c r="EM79" s="813">
        <f t="shared" si="188"/>
        <v>0</v>
      </c>
      <c r="EN79" s="813" t="e">
        <f t="shared" si="189"/>
        <v>#REF!</v>
      </c>
      <c r="EO79" s="812" t="str">
        <f t="shared" si="216"/>
        <v/>
      </c>
      <c r="EP79" s="813">
        <f t="shared" si="217"/>
        <v>0</v>
      </c>
      <c r="EQ79" s="813">
        <f t="shared" si="218"/>
        <v>0</v>
      </c>
      <c r="ER79" s="813">
        <f t="shared" si="190"/>
        <v>0</v>
      </c>
      <c r="ES79" s="813" t="e">
        <f t="shared" si="191"/>
        <v>#REF!</v>
      </c>
      <c r="ET79" s="812" t="str">
        <f t="shared" si="219"/>
        <v/>
      </c>
      <c r="EU79" s="812" t="e">
        <f t="shared" si="192"/>
        <v>#REF!</v>
      </c>
      <c r="EV79" s="815" t="e">
        <f t="shared" si="193"/>
        <v>#VALUE!</v>
      </c>
      <c r="EW79" s="815" t="e">
        <f t="shared" si="194"/>
        <v>#VALUE!</v>
      </c>
      <c r="EX79" s="874" t="str">
        <f t="shared" si="195"/>
        <v/>
      </c>
      <c r="EY79" s="818" t="e">
        <f t="shared" si="220"/>
        <v>#DIV/0!</v>
      </c>
      <c r="EZ79" s="893" t="e">
        <f t="shared" si="196"/>
        <v>#DIV/0!</v>
      </c>
      <c r="FA79" s="894" t="e">
        <f t="shared" si="197"/>
        <v>#DIV/0!</v>
      </c>
      <c r="FB79" s="819" t="str">
        <f t="shared" si="198"/>
        <v/>
      </c>
      <c r="FC79" s="820" t="str">
        <f t="shared" si="199"/>
        <v/>
      </c>
      <c r="FD79" s="455">
        <f t="shared" si="200"/>
        <v>0</v>
      </c>
      <c r="FE79" s="456">
        <f t="shared" si="201"/>
        <v>0</v>
      </c>
      <c r="FF79" s="703" t="b">
        <f t="shared" si="126"/>
        <v>0</v>
      </c>
      <c r="FG79" s="703" t="b">
        <f t="shared" si="127"/>
        <v>0</v>
      </c>
      <c r="FH79" s="703" t="b">
        <f t="shared" si="128"/>
        <v>0</v>
      </c>
      <c r="FI79" s="846" t="b">
        <f t="shared" si="129"/>
        <v>0</v>
      </c>
      <c r="FJ79" s="849" t="str">
        <f t="shared" si="139"/>
        <v/>
      </c>
      <c r="FK79" s="848" t="str">
        <f t="shared" si="140"/>
        <v/>
      </c>
      <c r="FL79" s="242" t="e">
        <f t="shared" si="141"/>
        <v>#N/A</v>
      </c>
      <c r="FM79" s="234" t="str">
        <f t="shared" si="130"/>
        <v/>
      </c>
      <c r="FN79" s="191" t="str">
        <f t="shared" ca="1" si="142"/>
        <v/>
      </c>
      <c r="FO79" s="192" t="str">
        <f t="shared" ca="1" si="143"/>
        <v/>
      </c>
      <c r="FP79" s="193" t="str">
        <f t="shared" ca="1" si="144"/>
        <v/>
      </c>
      <c r="FQ79" s="193" t="str">
        <f t="shared" ca="1" si="145"/>
        <v/>
      </c>
      <c r="FR79" s="243">
        <f t="shared" ca="1" si="146"/>
        <v>0</v>
      </c>
      <c r="FS79" s="244">
        <f t="shared" ca="1" si="147"/>
        <v>0</v>
      </c>
      <c r="FT79" s="191" t="str">
        <f t="shared" ca="1" si="152"/>
        <v/>
      </c>
      <c r="FU79" s="194" t="str">
        <f t="shared" ca="1" si="153"/>
        <v/>
      </c>
      <c r="FV79" s="245" t="str">
        <f t="shared" ca="1" si="154"/>
        <v/>
      </c>
      <c r="FW79" s="195" t="str">
        <f t="shared" ca="1" si="148"/>
        <v/>
      </c>
      <c r="FX79" s="195" t="str">
        <f t="shared" ca="1" si="149"/>
        <v/>
      </c>
      <c r="FY79" s="195" t="str">
        <f t="shared" ca="1" si="155"/>
        <v/>
      </c>
      <c r="FZ79" s="195" t="str">
        <f t="shared" ca="1" si="150"/>
        <v/>
      </c>
      <c r="GA79" s="195" t="str">
        <f t="shared" ca="1" si="156"/>
        <v/>
      </c>
      <c r="GB79" s="196" t="str">
        <f ca="1">IF(FY79="","",2+SUM(FO79:OFFSET(FO79,(FU79-1)*-1,0)))</f>
        <v/>
      </c>
      <c r="GC79" s="238" t="e">
        <f t="shared" si="151"/>
        <v>#N/A</v>
      </c>
      <c r="GD79" s="246" t="str">
        <f t="shared" si="131"/>
        <v/>
      </c>
      <c r="GE79" s="247" t="str">
        <f t="shared" si="132"/>
        <v/>
      </c>
      <c r="GF79" s="197" t="str">
        <f t="shared" si="133"/>
        <v/>
      </c>
      <c r="GG79" s="198" t="str">
        <f t="shared" si="134"/>
        <v/>
      </c>
      <c r="GH79" s="198" t="str">
        <f t="shared" si="135"/>
        <v/>
      </c>
      <c r="GI79" s="199" t="str">
        <f t="shared" si="136"/>
        <v/>
      </c>
      <c r="GJ79" s="248">
        <f t="shared" ca="1" si="137"/>
        <v>0</v>
      </c>
      <c r="GK79" s="842" t="str">
        <f t="shared" ca="1" si="138"/>
        <v/>
      </c>
    </row>
    <row r="80" spans="78:196" ht="12.6" hidden="1" customHeight="1" x14ac:dyDescent="0.2">
      <c r="BZ80" s="214"/>
      <c r="CA80" s="214"/>
      <c r="CB80" s="289" t="str">
        <f t="shared" si="157"/>
        <v/>
      </c>
      <c r="CC80" s="1218" t="str">
        <f>IF(CG40="","",VLOOKUP(CG40,#REF!,12,FALSE))</f>
        <v/>
      </c>
      <c r="CD80" s="1219" t="str">
        <f>IF(ISBLANK(CN40),IF(CG40="","",VLOOKUP(CG40,#REF!,13,FALSE)),CN40)</f>
        <v/>
      </c>
      <c r="CE80" s="1219" t="str">
        <f>IF(CG40="","",IF(VLOOKUP(CG40,#REF!,5,FALSE)="","R",UPPER(VLOOKUP(CG40,#REF!,5,FALSE))))</f>
        <v/>
      </c>
      <c r="CF80" s="1219" t="str">
        <f>IF(ISBLANK(CP40),IF(CG40="","",VLOOKUP(CG40,#REF!,6,FALSE)),CP40)</f>
        <v/>
      </c>
      <c r="CG80" s="1219" t="str">
        <f>IF(CG40="","",IF(VLOOKUP(CG40,#REF!,10,FALSE)="","",(VLOOKUP(CG40,#REF!,10,FALSE)*-1)))</f>
        <v/>
      </c>
      <c r="CH80" s="1219" t="str">
        <f>IF(CG40="","",IF(VLOOKUP(CG40,#REF!,7,FALSE)="","",(VLOOKUP(CG40,#REF!,7,FALSE)*-1)))</f>
        <v/>
      </c>
      <c r="CI80" s="1219" t="str">
        <f>IF(CG40="","",IF(VLOOKUP(CG40,#REF!,8,FALSE)="",$FC$4,(VLOOKUP(CG40,#REF!,8,FALSE))))</f>
        <v/>
      </c>
      <c r="CJ80" s="1219" t="str">
        <f>IF(CG40="","",VLOOKUP(CG40,#REF!,9,FALSE))</f>
        <v/>
      </c>
      <c r="CK80" s="1220">
        <f t="shared" si="158"/>
        <v>0</v>
      </c>
      <c r="CL80" s="1218" t="str">
        <f>IF(CQ40="","",VLOOKUP(CQ40,#REF!,12,FALSE))</f>
        <v/>
      </c>
      <c r="CM80" s="1219" t="str">
        <f>IF(ISBLANK(CX40),IF(CQ40="","",VLOOKUP(CQ40,#REF!,13,FALSE)),CX40)</f>
        <v/>
      </c>
      <c r="CN80" s="1219" t="str">
        <f>IF(CQ40="","",IF(VLOOKUP(CQ40,#REF!,5,FALSE)="","R",UPPER(VLOOKUP(CQ40,#REF!,5,FALSE))))</f>
        <v/>
      </c>
      <c r="CO80" s="1219" t="str">
        <f>IF(ISBLANK(CZ40),IF(CQ40="","",VLOOKUP(CQ40,#REF!,6,FALSE)),CZ40)</f>
        <v/>
      </c>
      <c r="CP80" s="1219" t="str">
        <f>IF(CQ40="","",IF(VLOOKUP(CQ40,#REF!,10,FALSE)="","",(VLOOKUP(CQ40,#REF!,10,FALSE)*-1)))</f>
        <v/>
      </c>
      <c r="CQ80" s="291" t="str">
        <f>IF(CQ40="","",IF(VLOOKUP(CQ40,#REF!,7,FALSE)="","",(VLOOKUP(CQ40,#REF!,7,FALSE)*-1)))</f>
        <v/>
      </c>
      <c r="CR80" s="291" t="str">
        <f>IF(CQ40="","",IF(VLOOKUP(CQ40,#REF!,8,FALSE)="",$FC$4,(VLOOKUP(CQ40,#REF!,8,FALSE))))</f>
        <v/>
      </c>
      <c r="CS80" s="291" t="str">
        <f>IF(CQ40="","",VLOOKUP(CQ40,#REF!,9,FALSE))</f>
        <v/>
      </c>
      <c r="CT80" s="292">
        <f t="shared" si="159"/>
        <v>0</v>
      </c>
      <c r="CU80" s="293">
        <f t="shared" si="160"/>
        <v>0</v>
      </c>
      <c r="CV80" s="193" t="str">
        <f t="shared" si="161"/>
        <v/>
      </c>
      <c r="CW80" s="193" t="str">
        <f t="shared" si="162"/>
        <v/>
      </c>
      <c r="CX80" s="812" t="str">
        <f t="shared" si="163"/>
        <v/>
      </c>
      <c r="CY80" s="813">
        <f t="shared" si="164"/>
        <v>0</v>
      </c>
      <c r="CZ80" s="813" t="e">
        <f t="shared" si="165"/>
        <v>#REF!</v>
      </c>
      <c r="DA80" s="813" t="str">
        <f t="shared" si="166"/>
        <v/>
      </c>
      <c r="DB80" s="1224" t="str">
        <f t="shared" si="202"/>
        <v/>
      </c>
      <c r="DC80" s="1224" t="str">
        <f t="shared" si="167"/>
        <v/>
      </c>
      <c r="DD80" s="1225">
        <f t="shared" si="203"/>
        <v>0</v>
      </c>
      <c r="DE80" s="1224">
        <f t="shared" si="168"/>
        <v>0</v>
      </c>
      <c r="DF80" s="1226" t="e">
        <f t="shared" si="169"/>
        <v>#REF!</v>
      </c>
      <c r="DG80" s="1226" t="str">
        <f t="shared" si="170"/>
        <v/>
      </c>
      <c r="DH80" s="1224" t="str">
        <f t="shared" si="204"/>
        <v/>
      </c>
      <c r="DI80" s="1224" t="str">
        <f t="shared" si="171"/>
        <v/>
      </c>
      <c r="DJ80" s="1225">
        <f t="shared" si="205"/>
        <v>0</v>
      </c>
      <c r="DK80" s="1224" t="str">
        <f t="shared" si="206"/>
        <v/>
      </c>
      <c r="DL80" s="1224" t="str">
        <f t="shared" si="207"/>
        <v/>
      </c>
      <c r="DM80" s="1224" t="str">
        <f t="shared" si="172"/>
        <v/>
      </c>
      <c r="DN80" s="1224" t="str">
        <f t="shared" si="173"/>
        <v/>
      </c>
      <c r="DO80" s="828" t="e">
        <f t="shared" si="174"/>
        <v>#REF!</v>
      </c>
      <c r="DP80" s="828" t="e">
        <f t="shared" si="175"/>
        <v>#REF!</v>
      </c>
      <c r="DQ80" s="1224" t="str">
        <f t="shared" si="208"/>
        <v/>
      </c>
      <c r="DR80" s="1224" t="str">
        <f t="shared" si="209"/>
        <v/>
      </c>
      <c r="DS80" s="1224" t="str">
        <f t="shared" si="210"/>
        <v/>
      </c>
      <c r="DT80" s="1224" t="str">
        <f t="shared" si="176"/>
        <v/>
      </c>
      <c r="DU80" s="1224" t="str">
        <f t="shared" si="177"/>
        <v/>
      </c>
      <c r="DV80" s="828" t="e">
        <f t="shared" si="178"/>
        <v>#REF!</v>
      </c>
      <c r="DW80" s="828" t="e">
        <f t="shared" si="179"/>
        <v>#REF!</v>
      </c>
      <c r="DX80" s="812" t="str">
        <f t="shared" si="211"/>
        <v/>
      </c>
      <c r="DY80" s="812" t="str">
        <f t="shared" si="212"/>
        <v/>
      </c>
      <c r="DZ80" s="812" t="str">
        <f t="shared" si="221"/>
        <v/>
      </c>
      <c r="EA80" s="812" t="str">
        <f t="shared" si="222"/>
        <v/>
      </c>
      <c r="EB80" s="815" t="str">
        <f t="shared" si="180"/>
        <v/>
      </c>
      <c r="EC80" s="816" t="str">
        <f t="shared" si="213"/>
        <v/>
      </c>
      <c r="ED80" s="815" t="str">
        <f t="shared" si="181"/>
        <v/>
      </c>
      <c r="EE80" s="815" t="str">
        <f t="shared" si="182"/>
        <v/>
      </c>
      <c r="EF80" s="815" t="str">
        <f t="shared" si="183"/>
        <v/>
      </c>
      <c r="EG80" s="815" t="str">
        <f t="shared" si="184"/>
        <v/>
      </c>
      <c r="EH80" s="815" t="str">
        <f t="shared" si="185"/>
        <v/>
      </c>
      <c r="EI80" s="815" t="str">
        <f t="shared" si="186"/>
        <v/>
      </c>
      <c r="EJ80" s="815" t="str">
        <f t="shared" si="187"/>
        <v/>
      </c>
      <c r="EK80" s="813">
        <f t="shared" si="214"/>
        <v>0</v>
      </c>
      <c r="EL80" s="813">
        <f t="shared" si="215"/>
        <v>0</v>
      </c>
      <c r="EM80" s="813">
        <f t="shared" si="188"/>
        <v>0</v>
      </c>
      <c r="EN80" s="813" t="e">
        <f t="shared" si="189"/>
        <v>#REF!</v>
      </c>
      <c r="EO80" s="812" t="str">
        <f t="shared" si="216"/>
        <v/>
      </c>
      <c r="EP80" s="813">
        <f t="shared" si="217"/>
        <v>0</v>
      </c>
      <c r="EQ80" s="813">
        <f t="shared" si="218"/>
        <v>0</v>
      </c>
      <c r="ER80" s="813">
        <f t="shared" si="190"/>
        <v>0</v>
      </c>
      <c r="ES80" s="813" t="e">
        <f t="shared" si="191"/>
        <v>#REF!</v>
      </c>
      <c r="ET80" s="812" t="str">
        <f t="shared" si="219"/>
        <v/>
      </c>
      <c r="EU80" s="812" t="e">
        <f t="shared" si="192"/>
        <v>#REF!</v>
      </c>
      <c r="EV80" s="815" t="e">
        <f t="shared" si="193"/>
        <v>#VALUE!</v>
      </c>
      <c r="EW80" s="815" t="e">
        <f t="shared" si="194"/>
        <v>#VALUE!</v>
      </c>
      <c r="EX80" s="874" t="str">
        <f t="shared" si="195"/>
        <v/>
      </c>
      <c r="EY80" s="818" t="e">
        <f t="shared" si="220"/>
        <v>#DIV/0!</v>
      </c>
      <c r="EZ80" s="893" t="e">
        <f t="shared" si="196"/>
        <v>#DIV/0!</v>
      </c>
      <c r="FA80" s="894" t="e">
        <f t="shared" si="197"/>
        <v>#DIV/0!</v>
      </c>
      <c r="FB80" s="819" t="str">
        <f t="shared" si="198"/>
        <v/>
      </c>
      <c r="FC80" s="820" t="str">
        <f t="shared" si="199"/>
        <v/>
      </c>
      <c r="FD80" s="455">
        <f t="shared" si="200"/>
        <v>0</v>
      </c>
      <c r="FE80" s="456">
        <f t="shared" si="201"/>
        <v>0</v>
      </c>
      <c r="FF80" s="703" t="b">
        <f t="shared" si="126"/>
        <v>0</v>
      </c>
      <c r="FG80" s="703" t="b">
        <f t="shared" si="127"/>
        <v>0</v>
      </c>
      <c r="FH80" s="703" t="b">
        <f t="shared" si="128"/>
        <v>0</v>
      </c>
      <c r="FI80" s="846" t="b">
        <f t="shared" si="129"/>
        <v>0</v>
      </c>
      <c r="FJ80" s="849" t="str">
        <f t="shared" si="139"/>
        <v/>
      </c>
      <c r="FK80" s="848" t="str">
        <f t="shared" si="140"/>
        <v/>
      </c>
      <c r="FL80" s="242" t="e">
        <f t="shared" si="141"/>
        <v>#N/A</v>
      </c>
      <c r="FM80" s="234" t="str">
        <f t="shared" si="130"/>
        <v/>
      </c>
      <c r="FN80" s="191" t="str">
        <f t="shared" ca="1" si="142"/>
        <v/>
      </c>
      <c r="FO80" s="192" t="str">
        <f t="shared" ca="1" si="143"/>
        <v/>
      </c>
      <c r="FP80" s="193" t="str">
        <f t="shared" ca="1" si="144"/>
        <v/>
      </c>
      <c r="FQ80" s="193" t="str">
        <f t="shared" ca="1" si="145"/>
        <v/>
      </c>
      <c r="FR80" s="243">
        <f t="shared" ca="1" si="146"/>
        <v>0</v>
      </c>
      <c r="FS80" s="244">
        <f t="shared" ca="1" si="147"/>
        <v>0</v>
      </c>
      <c r="FT80" s="191" t="str">
        <f t="shared" ca="1" si="152"/>
        <v/>
      </c>
      <c r="FU80" s="194" t="str">
        <f t="shared" ca="1" si="153"/>
        <v/>
      </c>
      <c r="FV80" s="245" t="str">
        <f t="shared" ca="1" si="154"/>
        <v/>
      </c>
      <c r="FW80" s="195" t="str">
        <f t="shared" ca="1" si="148"/>
        <v/>
      </c>
      <c r="FX80" s="195" t="str">
        <f t="shared" ca="1" si="149"/>
        <v/>
      </c>
      <c r="FY80" s="195" t="str">
        <f t="shared" ca="1" si="155"/>
        <v/>
      </c>
      <c r="FZ80" s="195" t="str">
        <f t="shared" ca="1" si="150"/>
        <v/>
      </c>
      <c r="GA80" s="195" t="str">
        <f t="shared" ca="1" si="156"/>
        <v/>
      </c>
      <c r="GB80" s="196" t="str">
        <f ca="1">IF(FY80="","",2+SUM(FO80:OFFSET(FO80,(FU80-1)*-1,0)))</f>
        <v/>
      </c>
      <c r="GC80" s="238" t="e">
        <f t="shared" si="151"/>
        <v>#N/A</v>
      </c>
      <c r="GD80" s="246" t="str">
        <f t="shared" si="131"/>
        <v/>
      </c>
      <c r="GE80" s="247" t="str">
        <f t="shared" si="132"/>
        <v/>
      </c>
      <c r="GF80" s="197" t="str">
        <f t="shared" si="133"/>
        <v/>
      </c>
      <c r="GG80" s="198" t="str">
        <f t="shared" si="134"/>
        <v/>
      </c>
      <c r="GH80" s="198" t="str">
        <f t="shared" si="135"/>
        <v/>
      </c>
      <c r="GI80" s="199" t="str">
        <f t="shared" si="136"/>
        <v/>
      </c>
      <c r="GJ80" s="248">
        <f t="shared" ca="1" si="137"/>
        <v>0</v>
      </c>
      <c r="GK80" s="842" t="str">
        <f t="shared" ca="1" si="138"/>
        <v/>
      </c>
    </row>
    <row r="81" spans="1:238" ht="12.6" hidden="1" customHeight="1" x14ac:dyDescent="0.2">
      <c r="BZ81" s="214"/>
      <c r="CA81" s="214"/>
      <c r="CB81" s="289" t="str">
        <f t="shared" si="157"/>
        <v/>
      </c>
      <c r="CC81" s="1218" t="str">
        <f>IF(CG41="","",VLOOKUP(CG41,#REF!,12,FALSE))</f>
        <v/>
      </c>
      <c r="CD81" s="1219" t="str">
        <f>IF(ISBLANK(CN41),IF(CG41="","",VLOOKUP(CG41,#REF!,13,FALSE)),CN41)</f>
        <v/>
      </c>
      <c r="CE81" s="1219" t="str">
        <f>IF(CG41="","",IF(VLOOKUP(CG41,#REF!,5,FALSE)="","R",UPPER(VLOOKUP(CG41,#REF!,5,FALSE))))</f>
        <v/>
      </c>
      <c r="CF81" s="1219" t="str">
        <f>IF(ISBLANK(CP41),IF(CG41="","",VLOOKUP(CG41,#REF!,6,FALSE)),CP41)</f>
        <v/>
      </c>
      <c r="CG81" s="1219" t="str">
        <f>IF(CG41="","",IF(VLOOKUP(CG41,#REF!,10,FALSE)="","",(VLOOKUP(CG41,#REF!,10,FALSE)*-1)))</f>
        <v/>
      </c>
      <c r="CH81" s="1219" t="str">
        <f>IF(CG41="","",IF(VLOOKUP(CG41,#REF!,7,FALSE)="","",(VLOOKUP(CG41,#REF!,7,FALSE)*-1)))</f>
        <v/>
      </c>
      <c r="CI81" s="1219" t="str">
        <f>IF(CG41="","",IF(VLOOKUP(CG41,#REF!,8,FALSE)="",$FC$4,(VLOOKUP(CG41,#REF!,8,FALSE))))</f>
        <v/>
      </c>
      <c r="CJ81" s="1219" t="str">
        <f>IF(CG41="","",VLOOKUP(CG41,#REF!,9,FALSE))</f>
        <v/>
      </c>
      <c r="CK81" s="1220">
        <f t="shared" si="158"/>
        <v>0</v>
      </c>
      <c r="CL81" s="1218" t="str">
        <f>IF(CQ41="","",VLOOKUP(CQ41,#REF!,12,FALSE))</f>
        <v/>
      </c>
      <c r="CM81" s="1219" t="str">
        <f>IF(ISBLANK(CX41),IF(CQ41="","",VLOOKUP(CQ41,#REF!,13,FALSE)),CX41)</f>
        <v/>
      </c>
      <c r="CN81" s="1219" t="str">
        <f>IF(CQ41="","",IF(VLOOKUP(CQ41,#REF!,5,FALSE)="","R",UPPER(VLOOKUP(CQ41,#REF!,5,FALSE))))</f>
        <v/>
      </c>
      <c r="CO81" s="1219" t="str">
        <f>IF(ISBLANK(CZ41),IF(CQ41="","",VLOOKUP(CQ41,#REF!,6,FALSE)),CZ41)</f>
        <v/>
      </c>
      <c r="CP81" s="1219" t="str">
        <f>IF(CQ41="","",IF(VLOOKUP(CQ41,#REF!,10,FALSE)="","",(VLOOKUP(CQ41,#REF!,10,FALSE)*-1)))</f>
        <v/>
      </c>
      <c r="CQ81" s="291" t="str">
        <f>IF(CQ41="","",IF(VLOOKUP(CQ41,#REF!,7,FALSE)="","",(VLOOKUP(CQ41,#REF!,7,FALSE)*-1)))</f>
        <v/>
      </c>
      <c r="CR81" s="291" t="str">
        <f>IF(CQ41="","",IF(VLOOKUP(CQ41,#REF!,8,FALSE)="",$FC$4,(VLOOKUP(CQ41,#REF!,8,FALSE))))</f>
        <v/>
      </c>
      <c r="CS81" s="291" t="str">
        <f>IF(CQ41="","",VLOOKUP(CQ41,#REF!,9,FALSE))</f>
        <v/>
      </c>
      <c r="CT81" s="292">
        <f t="shared" si="159"/>
        <v>0</v>
      </c>
      <c r="CU81" s="293">
        <f t="shared" si="160"/>
        <v>0</v>
      </c>
      <c r="CV81" s="193" t="str">
        <f t="shared" si="161"/>
        <v/>
      </c>
      <c r="CW81" s="193" t="str">
        <f t="shared" si="162"/>
        <v/>
      </c>
      <c r="CX81" s="812" t="str">
        <f t="shared" si="163"/>
        <v/>
      </c>
      <c r="CY81" s="813">
        <f t="shared" si="164"/>
        <v>0</v>
      </c>
      <c r="CZ81" s="813" t="e">
        <f t="shared" si="165"/>
        <v>#REF!</v>
      </c>
      <c r="DA81" s="813" t="str">
        <f t="shared" si="166"/>
        <v/>
      </c>
      <c r="DB81" s="1224" t="str">
        <f t="shared" si="202"/>
        <v/>
      </c>
      <c r="DC81" s="1224" t="str">
        <f t="shared" si="167"/>
        <v/>
      </c>
      <c r="DD81" s="1225">
        <f t="shared" si="203"/>
        <v>0</v>
      </c>
      <c r="DE81" s="1224">
        <f t="shared" si="168"/>
        <v>0</v>
      </c>
      <c r="DF81" s="1226" t="e">
        <f t="shared" si="169"/>
        <v>#REF!</v>
      </c>
      <c r="DG81" s="1226" t="str">
        <f t="shared" si="170"/>
        <v/>
      </c>
      <c r="DH81" s="1224" t="str">
        <f t="shared" si="204"/>
        <v/>
      </c>
      <c r="DI81" s="1224" t="str">
        <f t="shared" si="171"/>
        <v/>
      </c>
      <c r="DJ81" s="1225">
        <f t="shared" si="205"/>
        <v>0</v>
      </c>
      <c r="DK81" s="1224" t="str">
        <f t="shared" si="206"/>
        <v/>
      </c>
      <c r="DL81" s="1224" t="str">
        <f t="shared" si="207"/>
        <v/>
      </c>
      <c r="DM81" s="1224" t="str">
        <f t="shared" si="172"/>
        <v/>
      </c>
      <c r="DN81" s="1224" t="str">
        <f t="shared" si="173"/>
        <v/>
      </c>
      <c r="DO81" s="828" t="e">
        <f t="shared" si="174"/>
        <v>#REF!</v>
      </c>
      <c r="DP81" s="828" t="e">
        <f t="shared" si="175"/>
        <v>#REF!</v>
      </c>
      <c r="DQ81" s="1224" t="str">
        <f t="shared" si="208"/>
        <v/>
      </c>
      <c r="DR81" s="1224" t="str">
        <f t="shared" si="209"/>
        <v/>
      </c>
      <c r="DS81" s="1224" t="str">
        <f t="shared" si="210"/>
        <v/>
      </c>
      <c r="DT81" s="1224" t="str">
        <f t="shared" si="176"/>
        <v/>
      </c>
      <c r="DU81" s="1224" t="str">
        <f t="shared" si="177"/>
        <v/>
      </c>
      <c r="DV81" s="828" t="e">
        <f t="shared" si="178"/>
        <v>#REF!</v>
      </c>
      <c r="DW81" s="828" t="e">
        <f t="shared" si="179"/>
        <v>#REF!</v>
      </c>
      <c r="DX81" s="812" t="str">
        <f t="shared" si="211"/>
        <v/>
      </c>
      <c r="DY81" s="812" t="str">
        <f t="shared" si="212"/>
        <v/>
      </c>
      <c r="DZ81" s="812" t="str">
        <f t="shared" si="221"/>
        <v/>
      </c>
      <c r="EA81" s="812" t="str">
        <f t="shared" si="222"/>
        <v/>
      </c>
      <c r="EB81" s="815" t="str">
        <f t="shared" si="180"/>
        <v/>
      </c>
      <c r="EC81" s="816" t="str">
        <f t="shared" si="213"/>
        <v/>
      </c>
      <c r="ED81" s="815" t="str">
        <f t="shared" si="181"/>
        <v/>
      </c>
      <c r="EE81" s="815" t="str">
        <f t="shared" si="182"/>
        <v/>
      </c>
      <c r="EF81" s="815" t="str">
        <f t="shared" si="183"/>
        <v/>
      </c>
      <c r="EG81" s="815" t="str">
        <f t="shared" si="184"/>
        <v/>
      </c>
      <c r="EH81" s="815" t="str">
        <f t="shared" si="185"/>
        <v/>
      </c>
      <c r="EI81" s="815" t="str">
        <f t="shared" si="186"/>
        <v/>
      </c>
      <c r="EJ81" s="815" t="str">
        <f t="shared" si="187"/>
        <v/>
      </c>
      <c r="EK81" s="813">
        <f t="shared" si="214"/>
        <v>0</v>
      </c>
      <c r="EL81" s="813">
        <f t="shared" si="215"/>
        <v>0</v>
      </c>
      <c r="EM81" s="813">
        <f t="shared" si="188"/>
        <v>0</v>
      </c>
      <c r="EN81" s="813" t="e">
        <f t="shared" si="189"/>
        <v>#REF!</v>
      </c>
      <c r="EO81" s="812" t="str">
        <f t="shared" si="216"/>
        <v/>
      </c>
      <c r="EP81" s="813">
        <f t="shared" si="217"/>
        <v>0</v>
      </c>
      <c r="EQ81" s="813">
        <f t="shared" si="218"/>
        <v>0</v>
      </c>
      <c r="ER81" s="813">
        <f t="shared" si="190"/>
        <v>0</v>
      </c>
      <c r="ES81" s="813" t="e">
        <f t="shared" si="191"/>
        <v>#REF!</v>
      </c>
      <c r="ET81" s="812" t="str">
        <f t="shared" si="219"/>
        <v/>
      </c>
      <c r="EU81" s="812" t="e">
        <f t="shared" si="192"/>
        <v>#REF!</v>
      </c>
      <c r="EV81" s="815" t="e">
        <f t="shared" si="193"/>
        <v>#VALUE!</v>
      </c>
      <c r="EW81" s="815" t="e">
        <f t="shared" si="194"/>
        <v>#VALUE!</v>
      </c>
      <c r="EX81" s="874" t="str">
        <f t="shared" si="195"/>
        <v/>
      </c>
      <c r="EY81" s="818" t="e">
        <f t="shared" si="220"/>
        <v>#DIV/0!</v>
      </c>
      <c r="EZ81" s="893" t="e">
        <f t="shared" si="196"/>
        <v>#DIV/0!</v>
      </c>
      <c r="FA81" s="894" t="e">
        <f t="shared" si="197"/>
        <v>#DIV/0!</v>
      </c>
      <c r="FB81" s="819" t="str">
        <f t="shared" si="198"/>
        <v/>
      </c>
      <c r="FC81" s="820" t="str">
        <f t="shared" si="199"/>
        <v/>
      </c>
      <c r="FD81" s="455">
        <f t="shared" si="200"/>
        <v>0</v>
      </c>
      <c r="FE81" s="456">
        <f t="shared" si="201"/>
        <v>0</v>
      </c>
      <c r="FF81" s="703" t="b">
        <f t="shared" si="126"/>
        <v>0</v>
      </c>
      <c r="FG81" s="703" t="b">
        <f t="shared" si="127"/>
        <v>0</v>
      </c>
      <c r="FH81" s="703" t="b">
        <f t="shared" si="128"/>
        <v>0</v>
      </c>
      <c r="FI81" s="846" t="b">
        <f t="shared" si="129"/>
        <v>0</v>
      </c>
      <c r="FJ81" s="849" t="str">
        <f t="shared" si="139"/>
        <v/>
      </c>
      <c r="FK81" s="848" t="str">
        <f t="shared" si="140"/>
        <v/>
      </c>
      <c r="FL81" s="242" t="e">
        <f t="shared" si="141"/>
        <v>#N/A</v>
      </c>
      <c r="FM81" s="234" t="str">
        <f t="shared" si="130"/>
        <v/>
      </c>
      <c r="FN81" s="191" t="str">
        <f t="shared" ca="1" si="142"/>
        <v/>
      </c>
      <c r="FO81" s="192" t="str">
        <f t="shared" ca="1" si="143"/>
        <v/>
      </c>
      <c r="FP81" s="193" t="str">
        <f t="shared" ca="1" si="144"/>
        <v/>
      </c>
      <c r="FQ81" s="193" t="str">
        <f t="shared" ca="1" si="145"/>
        <v/>
      </c>
      <c r="FR81" s="243">
        <f t="shared" ca="1" si="146"/>
        <v>0</v>
      </c>
      <c r="FS81" s="244">
        <f t="shared" ca="1" si="147"/>
        <v>0</v>
      </c>
      <c r="FT81" s="191" t="str">
        <f t="shared" ca="1" si="152"/>
        <v/>
      </c>
      <c r="FU81" s="194" t="str">
        <f t="shared" ca="1" si="153"/>
        <v/>
      </c>
      <c r="FV81" s="245" t="str">
        <f t="shared" ca="1" si="154"/>
        <v/>
      </c>
      <c r="FW81" s="195" t="str">
        <f t="shared" ca="1" si="148"/>
        <v/>
      </c>
      <c r="FX81" s="195" t="str">
        <f t="shared" ca="1" si="149"/>
        <v/>
      </c>
      <c r="FY81" s="195" t="str">
        <f t="shared" ca="1" si="155"/>
        <v/>
      </c>
      <c r="FZ81" s="195" t="str">
        <f t="shared" ca="1" si="150"/>
        <v/>
      </c>
      <c r="GA81" s="195" t="str">
        <f t="shared" ca="1" si="156"/>
        <v/>
      </c>
      <c r="GB81" s="196" t="str">
        <f ca="1">IF(FY81="","",2+SUM(FO81:OFFSET(FO81,(FU81-1)*-1,0)))</f>
        <v/>
      </c>
      <c r="GC81" s="238" t="e">
        <f t="shared" si="151"/>
        <v>#N/A</v>
      </c>
      <c r="GD81" s="246" t="str">
        <f t="shared" si="131"/>
        <v/>
      </c>
      <c r="GE81" s="247" t="str">
        <f t="shared" si="132"/>
        <v/>
      </c>
      <c r="GF81" s="197" t="str">
        <f t="shared" si="133"/>
        <v/>
      </c>
      <c r="GG81" s="198" t="str">
        <f t="shared" si="134"/>
        <v/>
      </c>
      <c r="GH81" s="198" t="str">
        <f t="shared" si="135"/>
        <v/>
      </c>
      <c r="GI81" s="199" t="str">
        <f t="shared" si="136"/>
        <v/>
      </c>
      <c r="GJ81" s="248">
        <f t="shared" ca="1" si="137"/>
        <v>0</v>
      </c>
      <c r="GK81" s="842" t="str">
        <f t="shared" ca="1" si="138"/>
        <v/>
      </c>
    </row>
    <row r="82" spans="1:238" ht="12.6" hidden="1" customHeight="1" x14ac:dyDescent="0.2">
      <c r="BZ82" s="214"/>
      <c r="CA82" s="214"/>
      <c r="CB82" s="289" t="str">
        <f t="shared" si="157"/>
        <v/>
      </c>
      <c r="CC82" s="1218" t="str">
        <f>IF(CG42="","",VLOOKUP(CG42,#REF!,12,FALSE))</f>
        <v/>
      </c>
      <c r="CD82" s="1219" t="str">
        <f>IF(ISBLANK(CN42),IF(CG42="","",VLOOKUP(CG42,#REF!,13,FALSE)),CN42)</f>
        <v/>
      </c>
      <c r="CE82" s="1219" t="str">
        <f>IF(CG42="","",IF(VLOOKUP(CG42,#REF!,5,FALSE)="","R",UPPER(VLOOKUP(CG42,#REF!,5,FALSE))))</f>
        <v/>
      </c>
      <c r="CF82" s="1219" t="str">
        <f>IF(ISBLANK(CP42),IF(CG42="","",VLOOKUP(CG42,#REF!,6,FALSE)),CP42)</f>
        <v/>
      </c>
      <c r="CG82" s="1219" t="str">
        <f>IF(CG42="","",IF(VLOOKUP(CG42,#REF!,10,FALSE)="","",(VLOOKUP(CG42,#REF!,10,FALSE)*-1)))</f>
        <v/>
      </c>
      <c r="CH82" s="1219" t="str">
        <f>IF(CG42="","",IF(VLOOKUP(CG42,#REF!,7,FALSE)="","",(VLOOKUP(CG42,#REF!,7,FALSE)*-1)))</f>
        <v/>
      </c>
      <c r="CI82" s="1219" t="str">
        <f>IF(CG42="","",IF(VLOOKUP(CG42,#REF!,8,FALSE)="",$FC$4,(VLOOKUP(CG42,#REF!,8,FALSE))))</f>
        <v/>
      </c>
      <c r="CJ82" s="1219" t="str">
        <f>IF(CG42="","",VLOOKUP(CG42,#REF!,9,FALSE))</f>
        <v/>
      </c>
      <c r="CK82" s="1220">
        <f t="shared" si="158"/>
        <v>0</v>
      </c>
      <c r="CL82" s="1218" t="str">
        <f>IF(CQ42="","",VLOOKUP(CQ42,#REF!,12,FALSE))</f>
        <v/>
      </c>
      <c r="CM82" s="1219" t="str">
        <f>IF(ISBLANK(CX42),IF(CQ42="","",VLOOKUP(CQ42,#REF!,13,FALSE)),CX42)</f>
        <v/>
      </c>
      <c r="CN82" s="1219" t="str">
        <f>IF(CQ42="","",IF(VLOOKUP(CQ42,#REF!,5,FALSE)="","R",UPPER(VLOOKUP(CQ42,#REF!,5,FALSE))))</f>
        <v/>
      </c>
      <c r="CO82" s="1219" t="str">
        <f>IF(ISBLANK(CZ42),IF(CQ42="","",VLOOKUP(CQ42,#REF!,6,FALSE)),CZ42)</f>
        <v/>
      </c>
      <c r="CP82" s="1219" t="str">
        <f>IF(CQ42="","",IF(VLOOKUP(CQ42,#REF!,10,FALSE)="","",(VLOOKUP(CQ42,#REF!,10,FALSE)*-1)))</f>
        <v/>
      </c>
      <c r="CQ82" s="291" t="str">
        <f>IF(CQ42="","",IF(VLOOKUP(CQ42,#REF!,7,FALSE)="","",(VLOOKUP(CQ42,#REF!,7,FALSE)*-1)))</f>
        <v/>
      </c>
      <c r="CR82" s="291" t="str">
        <f>IF(CQ42="","",IF(VLOOKUP(CQ42,#REF!,8,FALSE)="",$FC$4,(VLOOKUP(CQ42,#REF!,8,FALSE))))</f>
        <v/>
      </c>
      <c r="CS82" s="291" t="str">
        <f>IF(CQ42="","",VLOOKUP(CQ42,#REF!,9,FALSE))</f>
        <v/>
      </c>
      <c r="CT82" s="292">
        <f t="shared" si="159"/>
        <v>0</v>
      </c>
      <c r="CU82" s="293">
        <f t="shared" si="160"/>
        <v>0</v>
      </c>
      <c r="CV82" s="193" t="str">
        <f t="shared" si="161"/>
        <v/>
      </c>
      <c r="CW82" s="193" t="str">
        <f t="shared" si="162"/>
        <v/>
      </c>
      <c r="CX82" s="812" t="str">
        <f t="shared" si="163"/>
        <v/>
      </c>
      <c r="CY82" s="813">
        <f t="shared" si="164"/>
        <v>0</v>
      </c>
      <c r="CZ82" s="813" t="e">
        <f t="shared" si="165"/>
        <v>#REF!</v>
      </c>
      <c r="DA82" s="813" t="str">
        <f t="shared" si="166"/>
        <v/>
      </c>
      <c r="DB82" s="1224" t="str">
        <f t="shared" si="202"/>
        <v/>
      </c>
      <c r="DC82" s="1224" t="str">
        <f t="shared" si="167"/>
        <v/>
      </c>
      <c r="DD82" s="1225">
        <f t="shared" si="203"/>
        <v>0</v>
      </c>
      <c r="DE82" s="1224">
        <f t="shared" si="168"/>
        <v>0</v>
      </c>
      <c r="DF82" s="1226" t="e">
        <f t="shared" si="169"/>
        <v>#REF!</v>
      </c>
      <c r="DG82" s="1226" t="str">
        <f t="shared" si="170"/>
        <v/>
      </c>
      <c r="DH82" s="1224" t="str">
        <f t="shared" si="204"/>
        <v/>
      </c>
      <c r="DI82" s="1224" t="str">
        <f t="shared" si="171"/>
        <v/>
      </c>
      <c r="DJ82" s="1225">
        <f t="shared" si="205"/>
        <v>0</v>
      </c>
      <c r="DK82" s="1224" t="str">
        <f t="shared" si="206"/>
        <v/>
      </c>
      <c r="DL82" s="1224" t="str">
        <f t="shared" si="207"/>
        <v/>
      </c>
      <c r="DM82" s="1224" t="str">
        <f t="shared" si="172"/>
        <v/>
      </c>
      <c r="DN82" s="1224" t="str">
        <f t="shared" si="173"/>
        <v/>
      </c>
      <c r="DO82" s="828" t="e">
        <f t="shared" si="174"/>
        <v>#REF!</v>
      </c>
      <c r="DP82" s="828" t="e">
        <f t="shared" si="175"/>
        <v>#REF!</v>
      </c>
      <c r="DQ82" s="1224" t="str">
        <f t="shared" si="208"/>
        <v/>
      </c>
      <c r="DR82" s="1224" t="str">
        <f t="shared" si="209"/>
        <v/>
      </c>
      <c r="DS82" s="1224" t="str">
        <f t="shared" si="210"/>
        <v/>
      </c>
      <c r="DT82" s="1224" t="str">
        <f t="shared" si="176"/>
        <v/>
      </c>
      <c r="DU82" s="1224" t="str">
        <f t="shared" si="177"/>
        <v/>
      </c>
      <c r="DV82" s="828" t="e">
        <f t="shared" si="178"/>
        <v>#REF!</v>
      </c>
      <c r="DW82" s="828" t="e">
        <f t="shared" si="179"/>
        <v>#REF!</v>
      </c>
      <c r="DX82" s="812" t="str">
        <f t="shared" si="211"/>
        <v/>
      </c>
      <c r="DY82" s="812" t="str">
        <f t="shared" si="212"/>
        <v/>
      </c>
      <c r="DZ82" s="812" t="str">
        <f t="shared" si="221"/>
        <v/>
      </c>
      <c r="EA82" s="812" t="str">
        <f t="shared" si="222"/>
        <v/>
      </c>
      <c r="EB82" s="815" t="str">
        <f t="shared" si="180"/>
        <v/>
      </c>
      <c r="EC82" s="816" t="str">
        <f t="shared" si="213"/>
        <v/>
      </c>
      <c r="ED82" s="815" t="str">
        <f t="shared" si="181"/>
        <v/>
      </c>
      <c r="EE82" s="815" t="str">
        <f t="shared" si="182"/>
        <v/>
      </c>
      <c r="EF82" s="815" t="str">
        <f t="shared" si="183"/>
        <v/>
      </c>
      <c r="EG82" s="815" t="str">
        <f t="shared" si="184"/>
        <v/>
      </c>
      <c r="EH82" s="815" t="str">
        <f t="shared" si="185"/>
        <v/>
      </c>
      <c r="EI82" s="815" t="str">
        <f t="shared" si="186"/>
        <v/>
      </c>
      <c r="EJ82" s="815" t="str">
        <f t="shared" si="187"/>
        <v/>
      </c>
      <c r="EK82" s="813">
        <f t="shared" si="214"/>
        <v>0</v>
      </c>
      <c r="EL82" s="813">
        <f t="shared" si="215"/>
        <v>0</v>
      </c>
      <c r="EM82" s="813">
        <f t="shared" si="188"/>
        <v>0</v>
      </c>
      <c r="EN82" s="813" t="e">
        <f t="shared" si="189"/>
        <v>#REF!</v>
      </c>
      <c r="EO82" s="812" t="str">
        <f t="shared" si="216"/>
        <v/>
      </c>
      <c r="EP82" s="813">
        <f t="shared" si="217"/>
        <v>0</v>
      </c>
      <c r="EQ82" s="813">
        <f t="shared" si="218"/>
        <v>0</v>
      </c>
      <c r="ER82" s="813">
        <f t="shared" si="190"/>
        <v>0</v>
      </c>
      <c r="ES82" s="813" t="e">
        <f t="shared" si="191"/>
        <v>#REF!</v>
      </c>
      <c r="ET82" s="812" t="str">
        <f t="shared" si="219"/>
        <v/>
      </c>
      <c r="EU82" s="812" t="e">
        <f t="shared" si="192"/>
        <v>#REF!</v>
      </c>
      <c r="EV82" s="815" t="e">
        <f t="shared" si="193"/>
        <v>#VALUE!</v>
      </c>
      <c r="EW82" s="815" t="e">
        <f t="shared" si="194"/>
        <v>#VALUE!</v>
      </c>
      <c r="EX82" s="874" t="str">
        <f t="shared" si="195"/>
        <v/>
      </c>
      <c r="EY82" s="818" t="e">
        <f t="shared" si="220"/>
        <v>#DIV/0!</v>
      </c>
      <c r="EZ82" s="893" t="e">
        <f t="shared" si="196"/>
        <v>#DIV/0!</v>
      </c>
      <c r="FA82" s="894" t="e">
        <f t="shared" si="197"/>
        <v>#DIV/0!</v>
      </c>
      <c r="FB82" s="819" t="str">
        <f t="shared" si="198"/>
        <v/>
      </c>
      <c r="FC82" s="820" t="str">
        <f t="shared" si="199"/>
        <v/>
      </c>
      <c r="FD82" s="455">
        <f t="shared" si="200"/>
        <v>0</v>
      </c>
      <c r="FE82" s="456">
        <f t="shared" si="201"/>
        <v>0</v>
      </c>
      <c r="FF82" s="703" t="b">
        <f t="shared" si="126"/>
        <v>0</v>
      </c>
      <c r="FG82" s="703" t="b">
        <f t="shared" si="127"/>
        <v>0</v>
      </c>
      <c r="FH82" s="703" t="b">
        <f t="shared" si="128"/>
        <v>0</v>
      </c>
      <c r="FI82" s="846" t="b">
        <f t="shared" si="129"/>
        <v>0</v>
      </c>
      <c r="FJ82" s="849" t="str">
        <f t="shared" si="139"/>
        <v/>
      </c>
      <c r="FK82" s="848" t="str">
        <f t="shared" si="140"/>
        <v/>
      </c>
      <c r="FL82" s="242" t="e">
        <f t="shared" si="141"/>
        <v>#N/A</v>
      </c>
      <c r="FM82" s="234" t="str">
        <f t="shared" si="130"/>
        <v/>
      </c>
      <c r="FN82" s="191" t="str">
        <f t="shared" ca="1" si="142"/>
        <v/>
      </c>
      <c r="FO82" s="192" t="str">
        <f t="shared" ca="1" si="143"/>
        <v/>
      </c>
      <c r="FP82" s="193" t="str">
        <f t="shared" ca="1" si="144"/>
        <v/>
      </c>
      <c r="FQ82" s="193" t="str">
        <f t="shared" ca="1" si="145"/>
        <v/>
      </c>
      <c r="FR82" s="243">
        <f t="shared" ca="1" si="146"/>
        <v>0</v>
      </c>
      <c r="FS82" s="244">
        <f t="shared" ca="1" si="147"/>
        <v>0</v>
      </c>
      <c r="FT82" s="191" t="str">
        <f t="shared" ca="1" si="152"/>
        <v/>
      </c>
      <c r="FU82" s="194" t="str">
        <f t="shared" ca="1" si="153"/>
        <v/>
      </c>
      <c r="FV82" s="245" t="str">
        <f t="shared" ca="1" si="154"/>
        <v/>
      </c>
      <c r="FW82" s="195" t="str">
        <f t="shared" ca="1" si="148"/>
        <v/>
      </c>
      <c r="FX82" s="195" t="str">
        <f t="shared" ca="1" si="149"/>
        <v/>
      </c>
      <c r="FY82" s="195" t="str">
        <f t="shared" ca="1" si="155"/>
        <v/>
      </c>
      <c r="FZ82" s="195" t="str">
        <f t="shared" ca="1" si="150"/>
        <v/>
      </c>
      <c r="GA82" s="195" t="str">
        <f t="shared" ca="1" si="156"/>
        <v/>
      </c>
      <c r="GB82" s="196" t="str">
        <f ca="1">IF(FY82="","",2+SUM(FO82:OFFSET(FO82,(FU82-1)*-1,0)))</f>
        <v/>
      </c>
      <c r="GC82" s="238" t="e">
        <f t="shared" si="151"/>
        <v>#N/A</v>
      </c>
      <c r="GD82" s="246" t="str">
        <f t="shared" si="131"/>
        <v/>
      </c>
      <c r="GE82" s="247" t="str">
        <f t="shared" si="132"/>
        <v/>
      </c>
      <c r="GF82" s="197" t="str">
        <f t="shared" si="133"/>
        <v/>
      </c>
      <c r="GG82" s="198" t="str">
        <f t="shared" si="134"/>
        <v/>
      </c>
      <c r="GH82" s="198" t="str">
        <f t="shared" si="135"/>
        <v/>
      </c>
      <c r="GI82" s="199" t="str">
        <f t="shared" si="136"/>
        <v/>
      </c>
      <c r="GJ82" s="248">
        <f t="shared" ca="1" si="137"/>
        <v>0</v>
      </c>
      <c r="GK82" s="842" t="str">
        <f t="shared" ca="1" si="138"/>
        <v/>
      </c>
    </row>
    <row r="83" spans="1:238" ht="12.6" hidden="1" customHeight="1" x14ac:dyDescent="0.2">
      <c r="BZ83" s="214"/>
      <c r="CA83" s="214"/>
      <c r="CB83" s="289" t="str">
        <f t="shared" si="157"/>
        <v/>
      </c>
      <c r="CC83" s="1218" t="str">
        <f>IF(CG43="","",VLOOKUP(CG43,#REF!,12,FALSE))</f>
        <v/>
      </c>
      <c r="CD83" s="1219" t="str">
        <f>IF(ISBLANK(CN43),IF(CG43="","",VLOOKUP(CG43,#REF!,13,FALSE)),CN43)</f>
        <v/>
      </c>
      <c r="CE83" s="1219" t="str">
        <f>IF(CG43="","",IF(VLOOKUP(CG43,#REF!,5,FALSE)="","R",UPPER(VLOOKUP(CG43,#REF!,5,FALSE))))</f>
        <v/>
      </c>
      <c r="CF83" s="1219" t="str">
        <f>IF(ISBLANK(CP43),IF(CG43="","",VLOOKUP(CG43,#REF!,6,FALSE)),CP43)</f>
        <v/>
      </c>
      <c r="CG83" s="1219" t="str">
        <f>IF(CG43="","",IF(VLOOKUP(CG43,#REF!,10,FALSE)="","",(VLOOKUP(CG43,#REF!,10,FALSE)*-1)))</f>
        <v/>
      </c>
      <c r="CH83" s="1219" t="str">
        <f>IF(CG43="","",IF(VLOOKUP(CG43,#REF!,7,FALSE)="","",(VLOOKUP(CG43,#REF!,7,FALSE)*-1)))</f>
        <v/>
      </c>
      <c r="CI83" s="1219" t="str">
        <f>IF(CG43="","",IF(VLOOKUP(CG43,#REF!,8,FALSE)="",$FC$4,(VLOOKUP(CG43,#REF!,8,FALSE))))</f>
        <v/>
      </c>
      <c r="CJ83" s="1219" t="str">
        <f>IF(CG43="","",VLOOKUP(CG43,#REF!,9,FALSE))</f>
        <v/>
      </c>
      <c r="CK83" s="1220">
        <f t="shared" si="158"/>
        <v>0</v>
      </c>
      <c r="CL83" s="1218" t="str">
        <f>IF(CQ43="","",VLOOKUP(CQ43,#REF!,12,FALSE))</f>
        <v/>
      </c>
      <c r="CM83" s="1219" t="str">
        <f>IF(ISBLANK(CX43),IF(CQ43="","",VLOOKUP(CQ43,#REF!,13,FALSE)),CX43)</f>
        <v/>
      </c>
      <c r="CN83" s="1219" t="str">
        <f>IF(CQ43="","",IF(VLOOKUP(CQ43,#REF!,5,FALSE)="","R",UPPER(VLOOKUP(CQ43,#REF!,5,FALSE))))</f>
        <v/>
      </c>
      <c r="CO83" s="1219" t="str">
        <f>IF(ISBLANK(CZ43),IF(CQ43="","",VLOOKUP(CQ43,#REF!,6,FALSE)),CZ43)</f>
        <v/>
      </c>
      <c r="CP83" s="1219" t="str">
        <f>IF(CQ43="","",IF(VLOOKUP(CQ43,#REF!,10,FALSE)="","",(VLOOKUP(CQ43,#REF!,10,FALSE)*-1)))</f>
        <v/>
      </c>
      <c r="CQ83" s="291" t="str">
        <f>IF(CQ43="","",IF(VLOOKUP(CQ43,#REF!,7,FALSE)="","",(VLOOKUP(CQ43,#REF!,7,FALSE)*-1)))</f>
        <v/>
      </c>
      <c r="CR83" s="291" t="str">
        <f>IF(CQ43="","",IF(VLOOKUP(CQ43,#REF!,8,FALSE)="",$FC$4,(VLOOKUP(CQ43,#REF!,8,FALSE))))</f>
        <v/>
      </c>
      <c r="CS83" s="291" t="str">
        <f>IF(CQ43="","",VLOOKUP(CQ43,#REF!,9,FALSE))</f>
        <v/>
      </c>
      <c r="CT83" s="292">
        <f t="shared" si="159"/>
        <v>0</v>
      </c>
      <c r="CU83" s="293">
        <f t="shared" si="160"/>
        <v>0</v>
      </c>
      <c r="CV83" s="193" t="str">
        <f t="shared" si="161"/>
        <v/>
      </c>
      <c r="CW83" s="193" t="str">
        <f t="shared" si="162"/>
        <v/>
      </c>
      <c r="CX83" s="812" t="str">
        <f t="shared" si="163"/>
        <v/>
      </c>
      <c r="CY83" s="813">
        <f t="shared" si="164"/>
        <v>0</v>
      </c>
      <c r="CZ83" s="813" t="e">
        <f t="shared" si="165"/>
        <v>#REF!</v>
      </c>
      <c r="DA83" s="813" t="str">
        <f t="shared" si="166"/>
        <v/>
      </c>
      <c r="DB83" s="1224" t="str">
        <f t="shared" si="202"/>
        <v/>
      </c>
      <c r="DC83" s="1224" t="str">
        <f t="shared" si="167"/>
        <v/>
      </c>
      <c r="DD83" s="1225">
        <f t="shared" si="203"/>
        <v>0</v>
      </c>
      <c r="DE83" s="1224">
        <f t="shared" si="168"/>
        <v>0</v>
      </c>
      <c r="DF83" s="1226" t="e">
        <f t="shared" si="169"/>
        <v>#REF!</v>
      </c>
      <c r="DG83" s="1226" t="str">
        <f t="shared" si="170"/>
        <v/>
      </c>
      <c r="DH83" s="1224" t="str">
        <f t="shared" si="204"/>
        <v/>
      </c>
      <c r="DI83" s="1224" t="str">
        <f t="shared" si="171"/>
        <v/>
      </c>
      <c r="DJ83" s="1225">
        <f t="shared" si="205"/>
        <v>0</v>
      </c>
      <c r="DK83" s="1224" t="str">
        <f t="shared" si="206"/>
        <v/>
      </c>
      <c r="DL83" s="1224" t="str">
        <f t="shared" si="207"/>
        <v/>
      </c>
      <c r="DM83" s="1224" t="str">
        <f t="shared" si="172"/>
        <v/>
      </c>
      <c r="DN83" s="1224" t="str">
        <f t="shared" si="173"/>
        <v/>
      </c>
      <c r="DO83" s="828" t="e">
        <f t="shared" si="174"/>
        <v>#REF!</v>
      </c>
      <c r="DP83" s="828" t="e">
        <f t="shared" si="175"/>
        <v>#REF!</v>
      </c>
      <c r="DQ83" s="1224" t="str">
        <f t="shared" si="208"/>
        <v/>
      </c>
      <c r="DR83" s="1224" t="str">
        <f t="shared" si="209"/>
        <v/>
      </c>
      <c r="DS83" s="1224" t="str">
        <f t="shared" si="210"/>
        <v/>
      </c>
      <c r="DT83" s="1224" t="str">
        <f t="shared" si="176"/>
        <v/>
      </c>
      <c r="DU83" s="1224" t="str">
        <f t="shared" si="177"/>
        <v/>
      </c>
      <c r="DV83" s="828" t="e">
        <f t="shared" si="178"/>
        <v>#REF!</v>
      </c>
      <c r="DW83" s="828" t="e">
        <f t="shared" si="179"/>
        <v>#REF!</v>
      </c>
      <c r="DX83" s="812" t="str">
        <f t="shared" si="211"/>
        <v/>
      </c>
      <c r="DY83" s="812" t="str">
        <f t="shared" si="212"/>
        <v/>
      </c>
      <c r="DZ83" s="812" t="str">
        <f t="shared" si="221"/>
        <v/>
      </c>
      <c r="EA83" s="812" t="str">
        <f t="shared" si="222"/>
        <v/>
      </c>
      <c r="EB83" s="815" t="str">
        <f t="shared" si="180"/>
        <v/>
      </c>
      <c r="EC83" s="816" t="str">
        <f t="shared" si="213"/>
        <v/>
      </c>
      <c r="ED83" s="815" t="str">
        <f t="shared" si="181"/>
        <v/>
      </c>
      <c r="EE83" s="815" t="str">
        <f t="shared" si="182"/>
        <v/>
      </c>
      <c r="EF83" s="815" t="str">
        <f t="shared" si="183"/>
        <v/>
      </c>
      <c r="EG83" s="815" t="str">
        <f t="shared" si="184"/>
        <v/>
      </c>
      <c r="EH83" s="815" t="str">
        <f t="shared" si="185"/>
        <v/>
      </c>
      <c r="EI83" s="815" t="str">
        <f t="shared" si="186"/>
        <v/>
      </c>
      <c r="EJ83" s="815" t="str">
        <f t="shared" si="187"/>
        <v/>
      </c>
      <c r="EK83" s="813">
        <f t="shared" si="214"/>
        <v>0</v>
      </c>
      <c r="EL83" s="813">
        <f t="shared" si="215"/>
        <v>0</v>
      </c>
      <c r="EM83" s="813">
        <f t="shared" si="188"/>
        <v>0</v>
      </c>
      <c r="EN83" s="813" t="e">
        <f t="shared" si="189"/>
        <v>#REF!</v>
      </c>
      <c r="EO83" s="812" t="str">
        <f t="shared" si="216"/>
        <v/>
      </c>
      <c r="EP83" s="813">
        <f t="shared" si="217"/>
        <v>0</v>
      </c>
      <c r="EQ83" s="813">
        <f t="shared" si="218"/>
        <v>0</v>
      </c>
      <c r="ER83" s="813">
        <f t="shared" si="190"/>
        <v>0</v>
      </c>
      <c r="ES83" s="813" t="e">
        <f t="shared" si="191"/>
        <v>#REF!</v>
      </c>
      <c r="ET83" s="812" t="str">
        <f t="shared" si="219"/>
        <v/>
      </c>
      <c r="EU83" s="812" t="e">
        <f t="shared" si="192"/>
        <v>#REF!</v>
      </c>
      <c r="EV83" s="815" t="e">
        <f t="shared" si="193"/>
        <v>#VALUE!</v>
      </c>
      <c r="EW83" s="815" t="e">
        <f t="shared" si="194"/>
        <v>#VALUE!</v>
      </c>
      <c r="EX83" s="874" t="str">
        <f t="shared" si="195"/>
        <v/>
      </c>
      <c r="EY83" s="818" t="e">
        <f t="shared" si="220"/>
        <v>#DIV/0!</v>
      </c>
      <c r="EZ83" s="893" t="e">
        <f t="shared" si="196"/>
        <v>#DIV/0!</v>
      </c>
      <c r="FA83" s="894" t="e">
        <f t="shared" si="197"/>
        <v>#DIV/0!</v>
      </c>
      <c r="FB83" s="819" t="str">
        <f t="shared" si="198"/>
        <v/>
      </c>
      <c r="FC83" s="820" t="str">
        <f t="shared" si="199"/>
        <v/>
      </c>
      <c r="FD83" s="455">
        <f t="shared" si="200"/>
        <v>0</v>
      </c>
      <c r="FE83" s="456">
        <f t="shared" si="201"/>
        <v>0</v>
      </c>
      <c r="FF83" s="703" t="b">
        <f t="shared" si="126"/>
        <v>0</v>
      </c>
      <c r="FG83" s="703" t="b">
        <f t="shared" si="127"/>
        <v>0</v>
      </c>
      <c r="FH83" s="703" t="b">
        <f t="shared" si="128"/>
        <v>0</v>
      </c>
      <c r="FI83" s="846" t="b">
        <f t="shared" si="129"/>
        <v>0</v>
      </c>
      <c r="FJ83" s="849" t="str">
        <f t="shared" si="139"/>
        <v/>
      </c>
      <c r="FK83" s="848" t="str">
        <f t="shared" si="140"/>
        <v/>
      </c>
      <c r="FL83" s="242" t="e">
        <f t="shared" si="141"/>
        <v>#N/A</v>
      </c>
      <c r="FM83" s="234" t="str">
        <f t="shared" si="130"/>
        <v/>
      </c>
      <c r="FN83" s="191" t="str">
        <f t="shared" ca="1" si="142"/>
        <v/>
      </c>
      <c r="FO83" s="192" t="str">
        <f t="shared" ca="1" si="143"/>
        <v/>
      </c>
      <c r="FP83" s="193" t="str">
        <f t="shared" ca="1" si="144"/>
        <v/>
      </c>
      <c r="FQ83" s="193" t="str">
        <f t="shared" ca="1" si="145"/>
        <v/>
      </c>
      <c r="FR83" s="243">
        <f t="shared" ca="1" si="146"/>
        <v>0</v>
      </c>
      <c r="FS83" s="244">
        <f t="shared" ca="1" si="147"/>
        <v>0</v>
      </c>
      <c r="FT83" s="191" t="str">
        <f t="shared" ca="1" si="152"/>
        <v/>
      </c>
      <c r="FU83" s="194" t="str">
        <f t="shared" ca="1" si="153"/>
        <v/>
      </c>
      <c r="FV83" s="245" t="str">
        <f t="shared" ca="1" si="154"/>
        <v/>
      </c>
      <c r="FW83" s="195" t="str">
        <f t="shared" ca="1" si="148"/>
        <v/>
      </c>
      <c r="FX83" s="195" t="str">
        <f t="shared" ca="1" si="149"/>
        <v/>
      </c>
      <c r="FY83" s="195" t="str">
        <f t="shared" ca="1" si="155"/>
        <v/>
      </c>
      <c r="FZ83" s="195" t="str">
        <f t="shared" ca="1" si="150"/>
        <v/>
      </c>
      <c r="GA83" s="195" t="str">
        <f t="shared" ca="1" si="156"/>
        <v/>
      </c>
      <c r="GB83" s="196" t="str">
        <f ca="1">IF(FY83="","",2+SUM(FO83:OFFSET(FO83,(FU83-1)*-1,0)))</f>
        <v/>
      </c>
      <c r="GC83" s="238" t="e">
        <f t="shared" si="151"/>
        <v>#N/A</v>
      </c>
      <c r="GD83" s="246" t="str">
        <f t="shared" si="131"/>
        <v/>
      </c>
      <c r="GE83" s="247" t="str">
        <f t="shared" si="132"/>
        <v/>
      </c>
      <c r="GF83" s="197" t="str">
        <f t="shared" si="133"/>
        <v/>
      </c>
      <c r="GG83" s="198" t="str">
        <f t="shared" si="134"/>
        <v/>
      </c>
      <c r="GH83" s="198" t="str">
        <f t="shared" si="135"/>
        <v/>
      </c>
      <c r="GI83" s="199" t="str">
        <f t="shared" si="136"/>
        <v/>
      </c>
      <c r="GJ83" s="248">
        <f t="shared" ca="1" si="137"/>
        <v>0</v>
      </c>
      <c r="GK83" s="842" t="str">
        <f t="shared" ca="1" si="138"/>
        <v/>
      </c>
    </row>
    <row r="84" spans="1:238" ht="12.6" hidden="1" customHeight="1" x14ac:dyDescent="0.2">
      <c r="BZ84" s="214"/>
      <c r="CA84" s="214"/>
      <c r="CB84" s="289" t="str">
        <f t="shared" si="157"/>
        <v/>
      </c>
      <c r="CC84" s="1218" t="str">
        <f>IF(CG44="","",VLOOKUP(CG44,#REF!,12,FALSE))</f>
        <v/>
      </c>
      <c r="CD84" s="1219" t="str">
        <f>IF(ISBLANK(CN44),IF(CG44="","",VLOOKUP(CG44,#REF!,13,FALSE)),CN44)</f>
        <v/>
      </c>
      <c r="CE84" s="1219" t="str">
        <f>IF(CG44="","",IF(VLOOKUP(CG44,#REF!,5,FALSE)="","R",UPPER(VLOOKUP(CG44,#REF!,5,FALSE))))</f>
        <v/>
      </c>
      <c r="CF84" s="1219" t="str">
        <f>IF(ISBLANK(CP44),IF(CG44="","",VLOOKUP(CG44,#REF!,6,FALSE)),CP44)</f>
        <v/>
      </c>
      <c r="CG84" s="1219" t="str">
        <f>IF(CG44="","",IF(VLOOKUP(CG44,#REF!,10,FALSE)="","",(VLOOKUP(CG44,#REF!,10,FALSE)*-1)))</f>
        <v/>
      </c>
      <c r="CH84" s="1219" t="str">
        <f>IF(CG44="","",IF(VLOOKUP(CG44,#REF!,7,FALSE)="","",(VLOOKUP(CG44,#REF!,7,FALSE)*-1)))</f>
        <v/>
      </c>
      <c r="CI84" s="1219" t="str">
        <f>IF(CG44="","",IF(VLOOKUP(CG44,#REF!,8,FALSE)="",$FC$4,(VLOOKUP(CG44,#REF!,8,FALSE))))</f>
        <v/>
      </c>
      <c r="CJ84" s="1219" t="str">
        <f>IF(CG44="","",VLOOKUP(CG44,#REF!,9,FALSE))</f>
        <v/>
      </c>
      <c r="CK84" s="1220">
        <f t="shared" si="158"/>
        <v>0</v>
      </c>
      <c r="CL84" s="1218" t="str">
        <f>IF(CQ44="","",VLOOKUP(CQ44,#REF!,12,FALSE))</f>
        <v/>
      </c>
      <c r="CM84" s="1219" t="str">
        <f>IF(ISBLANK(CX44),IF(CQ44="","",VLOOKUP(CQ44,#REF!,13,FALSE)),CX44)</f>
        <v/>
      </c>
      <c r="CN84" s="1219" t="str">
        <f>IF(CQ44="","",IF(VLOOKUP(CQ44,#REF!,5,FALSE)="","R",UPPER(VLOOKUP(CQ44,#REF!,5,FALSE))))</f>
        <v/>
      </c>
      <c r="CO84" s="1219" t="str">
        <f>IF(ISBLANK(CZ44),IF(CQ44="","",VLOOKUP(CQ44,#REF!,6,FALSE)),CZ44)</f>
        <v/>
      </c>
      <c r="CP84" s="1219" t="str">
        <f>IF(CQ44="","",IF(VLOOKUP(CQ44,#REF!,10,FALSE)="","",(VLOOKUP(CQ44,#REF!,10,FALSE)*-1)))</f>
        <v/>
      </c>
      <c r="CQ84" s="291" t="str">
        <f>IF(CQ44="","",IF(VLOOKUP(CQ44,#REF!,7,FALSE)="","",(VLOOKUP(CQ44,#REF!,7,FALSE)*-1)))</f>
        <v/>
      </c>
      <c r="CR84" s="291" t="str">
        <f>IF(CQ44="","",IF(VLOOKUP(CQ44,#REF!,8,FALSE)="",$FC$4,(VLOOKUP(CQ44,#REF!,8,FALSE))))</f>
        <v/>
      </c>
      <c r="CS84" s="291" t="str">
        <f>IF(CQ44="","",VLOOKUP(CQ44,#REF!,9,FALSE))</f>
        <v/>
      </c>
      <c r="CT84" s="292">
        <f t="shared" si="159"/>
        <v>0</v>
      </c>
      <c r="CU84" s="293">
        <f t="shared" si="160"/>
        <v>0</v>
      </c>
      <c r="CV84" s="193" t="str">
        <f t="shared" si="161"/>
        <v/>
      </c>
      <c r="CW84" s="193" t="str">
        <f t="shared" si="162"/>
        <v/>
      </c>
      <c r="CX84" s="812" t="str">
        <f t="shared" si="163"/>
        <v/>
      </c>
      <c r="CY84" s="813">
        <f t="shared" si="164"/>
        <v>0</v>
      </c>
      <c r="CZ84" s="813" t="e">
        <f t="shared" si="165"/>
        <v>#REF!</v>
      </c>
      <c r="DA84" s="813" t="str">
        <f t="shared" si="166"/>
        <v/>
      </c>
      <c r="DB84" s="1224" t="str">
        <f t="shared" si="202"/>
        <v/>
      </c>
      <c r="DC84" s="1224" t="str">
        <f t="shared" si="167"/>
        <v/>
      </c>
      <c r="DD84" s="1225">
        <f t="shared" si="203"/>
        <v>0</v>
      </c>
      <c r="DE84" s="1224">
        <f t="shared" si="168"/>
        <v>0</v>
      </c>
      <c r="DF84" s="1226" t="e">
        <f t="shared" si="169"/>
        <v>#REF!</v>
      </c>
      <c r="DG84" s="1226" t="str">
        <f t="shared" si="170"/>
        <v/>
      </c>
      <c r="DH84" s="1224" t="str">
        <f t="shared" si="204"/>
        <v/>
      </c>
      <c r="DI84" s="1224" t="str">
        <f t="shared" si="171"/>
        <v/>
      </c>
      <c r="DJ84" s="1225">
        <f t="shared" si="205"/>
        <v>0</v>
      </c>
      <c r="DK84" s="1224" t="str">
        <f t="shared" si="206"/>
        <v/>
      </c>
      <c r="DL84" s="1224" t="str">
        <f t="shared" si="207"/>
        <v/>
      </c>
      <c r="DM84" s="1224" t="str">
        <f t="shared" si="172"/>
        <v/>
      </c>
      <c r="DN84" s="1224" t="str">
        <f t="shared" si="173"/>
        <v/>
      </c>
      <c r="DO84" s="828" t="e">
        <f t="shared" si="174"/>
        <v>#REF!</v>
      </c>
      <c r="DP84" s="828" t="e">
        <f t="shared" si="175"/>
        <v>#REF!</v>
      </c>
      <c r="DQ84" s="1224" t="str">
        <f t="shared" si="208"/>
        <v/>
      </c>
      <c r="DR84" s="1224" t="str">
        <f t="shared" si="209"/>
        <v/>
      </c>
      <c r="DS84" s="1224" t="str">
        <f t="shared" si="210"/>
        <v/>
      </c>
      <c r="DT84" s="1224" t="str">
        <f t="shared" si="176"/>
        <v/>
      </c>
      <c r="DU84" s="1224" t="str">
        <f t="shared" si="177"/>
        <v/>
      </c>
      <c r="DV84" s="828" t="e">
        <f t="shared" si="178"/>
        <v>#REF!</v>
      </c>
      <c r="DW84" s="828" t="e">
        <f t="shared" si="179"/>
        <v>#REF!</v>
      </c>
      <c r="DX84" s="812" t="str">
        <f t="shared" si="211"/>
        <v/>
      </c>
      <c r="DY84" s="812" t="str">
        <f t="shared" si="212"/>
        <v/>
      </c>
      <c r="DZ84" s="812" t="str">
        <f t="shared" si="221"/>
        <v/>
      </c>
      <c r="EA84" s="812" t="str">
        <f t="shared" si="222"/>
        <v/>
      </c>
      <c r="EB84" s="815" t="str">
        <f t="shared" si="180"/>
        <v/>
      </c>
      <c r="EC84" s="816" t="str">
        <f t="shared" si="213"/>
        <v/>
      </c>
      <c r="ED84" s="815" t="str">
        <f t="shared" si="181"/>
        <v/>
      </c>
      <c r="EE84" s="815" t="str">
        <f t="shared" si="182"/>
        <v/>
      </c>
      <c r="EF84" s="815" t="str">
        <f t="shared" si="183"/>
        <v/>
      </c>
      <c r="EG84" s="815" t="str">
        <f t="shared" si="184"/>
        <v/>
      </c>
      <c r="EH84" s="815" t="str">
        <f t="shared" si="185"/>
        <v/>
      </c>
      <c r="EI84" s="815" t="str">
        <f t="shared" si="186"/>
        <v/>
      </c>
      <c r="EJ84" s="815" t="str">
        <f t="shared" si="187"/>
        <v/>
      </c>
      <c r="EK84" s="813">
        <f t="shared" si="214"/>
        <v>0</v>
      </c>
      <c r="EL84" s="813">
        <f t="shared" si="215"/>
        <v>0</v>
      </c>
      <c r="EM84" s="813">
        <f t="shared" si="188"/>
        <v>0</v>
      </c>
      <c r="EN84" s="813" t="e">
        <f t="shared" si="189"/>
        <v>#REF!</v>
      </c>
      <c r="EO84" s="812" t="str">
        <f t="shared" si="216"/>
        <v/>
      </c>
      <c r="EP84" s="813">
        <f t="shared" si="217"/>
        <v>0</v>
      </c>
      <c r="EQ84" s="813">
        <f t="shared" si="218"/>
        <v>0</v>
      </c>
      <c r="ER84" s="813">
        <f t="shared" si="190"/>
        <v>0</v>
      </c>
      <c r="ES84" s="813" t="e">
        <f t="shared" si="191"/>
        <v>#REF!</v>
      </c>
      <c r="ET84" s="812" t="str">
        <f t="shared" si="219"/>
        <v/>
      </c>
      <c r="EU84" s="812" t="e">
        <f t="shared" si="192"/>
        <v>#REF!</v>
      </c>
      <c r="EV84" s="815" t="e">
        <f t="shared" si="193"/>
        <v>#VALUE!</v>
      </c>
      <c r="EW84" s="815" t="e">
        <f t="shared" si="194"/>
        <v>#VALUE!</v>
      </c>
      <c r="EX84" s="874" t="str">
        <f t="shared" si="195"/>
        <v/>
      </c>
      <c r="EY84" s="818" t="e">
        <f t="shared" si="220"/>
        <v>#DIV/0!</v>
      </c>
      <c r="EZ84" s="893" t="e">
        <f t="shared" si="196"/>
        <v>#DIV/0!</v>
      </c>
      <c r="FA84" s="894" t="e">
        <f t="shared" si="197"/>
        <v>#DIV/0!</v>
      </c>
      <c r="FB84" s="819" t="str">
        <f t="shared" si="198"/>
        <v/>
      </c>
      <c r="FC84" s="820" t="str">
        <f t="shared" si="199"/>
        <v/>
      </c>
      <c r="FD84" s="455">
        <f t="shared" si="200"/>
        <v>0</v>
      </c>
      <c r="FE84" s="456">
        <f t="shared" si="201"/>
        <v>0</v>
      </c>
      <c r="FF84" s="703" t="b">
        <f t="shared" si="126"/>
        <v>0</v>
      </c>
      <c r="FG84" s="703" t="b">
        <f t="shared" si="127"/>
        <v>0</v>
      </c>
      <c r="FH84" s="703" t="b">
        <f t="shared" si="128"/>
        <v>0</v>
      </c>
      <c r="FI84" s="846" t="b">
        <f t="shared" si="129"/>
        <v>0</v>
      </c>
      <c r="FJ84" s="849" t="str">
        <f t="shared" si="139"/>
        <v/>
      </c>
      <c r="FK84" s="848" t="str">
        <f t="shared" si="140"/>
        <v/>
      </c>
      <c r="FL84" s="242" t="e">
        <f t="shared" si="141"/>
        <v>#N/A</v>
      </c>
      <c r="FM84" s="234" t="str">
        <f t="shared" si="130"/>
        <v/>
      </c>
      <c r="FN84" s="191" t="str">
        <f t="shared" ca="1" si="142"/>
        <v/>
      </c>
      <c r="FO84" s="192" t="str">
        <f t="shared" ca="1" si="143"/>
        <v/>
      </c>
      <c r="FP84" s="193" t="str">
        <f t="shared" ca="1" si="144"/>
        <v/>
      </c>
      <c r="FQ84" s="193" t="str">
        <f t="shared" ca="1" si="145"/>
        <v/>
      </c>
      <c r="FR84" s="243">
        <f t="shared" ca="1" si="146"/>
        <v>0</v>
      </c>
      <c r="FS84" s="244">
        <f t="shared" ca="1" si="147"/>
        <v>0</v>
      </c>
      <c r="FT84" s="191" t="str">
        <f t="shared" ca="1" si="152"/>
        <v/>
      </c>
      <c r="FU84" s="194" t="str">
        <f t="shared" ca="1" si="153"/>
        <v/>
      </c>
      <c r="FV84" s="245" t="str">
        <f t="shared" ca="1" si="154"/>
        <v/>
      </c>
      <c r="FW84" s="195" t="str">
        <f t="shared" ca="1" si="148"/>
        <v/>
      </c>
      <c r="FX84" s="195" t="str">
        <f t="shared" ca="1" si="149"/>
        <v/>
      </c>
      <c r="FY84" s="195" t="str">
        <f t="shared" ca="1" si="155"/>
        <v/>
      </c>
      <c r="FZ84" s="195" t="str">
        <f t="shared" ca="1" si="150"/>
        <v/>
      </c>
      <c r="GA84" s="195" t="str">
        <f t="shared" ca="1" si="156"/>
        <v/>
      </c>
      <c r="GB84" s="196" t="str">
        <f ca="1">IF(FY84="","",2+SUM(FO84:OFFSET(FO84,(FU84-1)*-1,0)))</f>
        <v/>
      </c>
      <c r="GC84" s="238" t="e">
        <f t="shared" si="151"/>
        <v>#N/A</v>
      </c>
      <c r="GD84" s="246" t="str">
        <f t="shared" si="131"/>
        <v/>
      </c>
      <c r="GE84" s="247" t="str">
        <f t="shared" si="132"/>
        <v/>
      </c>
      <c r="GF84" s="197" t="str">
        <f t="shared" si="133"/>
        <v/>
      </c>
      <c r="GG84" s="198" t="str">
        <f t="shared" si="134"/>
        <v/>
      </c>
      <c r="GH84" s="198" t="str">
        <f t="shared" si="135"/>
        <v/>
      </c>
      <c r="GI84" s="199" t="str">
        <f t="shared" si="136"/>
        <v/>
      </c>
      <c r="GJ84" s="248">
        <f t="shared" ca="1" si="137"/>
        <v>0</v>
      </c>
      <c r="GK84" s="842" t="str">
        <f t="shared" ca="1" si="138"/>
        <v/>
      </c>
    </row>
    <row r="85" spans="1:238" ht="12.6" hidden="1" customHeight="1" thickBot="1" x14ac:dyDescent="0.25">
      <c r="BZ85" s="214"/>
      <c r="CA85" s="214"/>
      <c r="CB85" s="579" t="str">
        <f t="shared" si="157"/>
        <v/>
      </c>
      <c r="CC85" s="1221" t="str">
        <f>IF(CG45="","",VLOOKUP(CG45,#REF!,12,FALSE))</f>
        <v/>
      </c>
      <c r="CD85" s="1222" t="str">
        <f>IF(ISBLANK(CN45),IF(CG45="","",VLOOKUP(CG45,#REF!,13,FALSE)),CN45)</f>
        <v/>
      </c>
      <c r="CE85" s="1222" t="str">
        <f>IF(CG45="","",IF(VLOOKUP(CG45,#REF!,5,FALSE)="","R",UPPER(VLOOKUP(CG45,#REF!,5,FALSE))))</f>
        <v/>
      </c>
      <c r="CF85" s="1222" t="str">
        <f>IF(ISBLANK(CP45),IF(CG45="","",VLOOKUP(CG45,#REF!,6,FALSE)),CP45)</f>
        <v/>
      </c>
      <c r="CG85" s="1222" t="str">
        <f>IF(CG45="","",IF(VLOOKUP(CG45,#REF!,10,FALSE)="","",(VLOOKUP(CG45,#REF!,10,FALSE)*-1)))</f>
        <v/>
      </c>
      <c r="CH85" s="1222" t="str">
        <f>IF(CG45="","",IF(VLOOKUP(CG45,#REF!,7,FALSE)="","",(VLOOKUP(CG45,#REF!,7,FALSE)*-1)))</f>
        <v/>
      </c>
      <c r="CI85" s="1222" t="str">
        <f>IF(CG45="","",IF(VLOOKUP(CG45,#REF!,8,FALSE)="",$FC$4,(VLOOKUP(CG45,#REF!,8,FALSE))))</f>
        <v/>
      </c>
      <c r="CJ85" s="1222" t="str">
        <f>IF(CG45="","",VLOOKUP(CG45,#REF!,9,FALSE))</f>
        <v/>
      </c>
      <c r="CK85" s="1223">
        <f t="shared" si="158"/>
        <v>0</v>
      </c>
      <c r="CL85" s="1221" t="str">
        <f>IF(CQ45="","",VLOOKUP(CQ45,#REF!,12,FALSE))</f>
        <v/>
      </c>
      <c r="CM85" s="1222" t="str">
        <f>IF(ISBLANK(CX45),IF(CQ45="","",VLOOKUP(CQ45,#REF!,13,FALSE)),CX45)</f>
        <v/>
      </c>
      <c r="CN85" s="1222" t="str">
        <f>IF(CQ45="","",IF(VLOOKUP(CQ45,#REF!,5,FALSE)="","R",UPPER(VLOOKUP(CQ45,#REF!,5,FALSE))))</f>
        <v/>
      </c>
      <c r="CO85" s="1222" t="str">
        <f>IF(ISBLANK(CZ45),IF(CQ45="","",VLOOKUP(CQ45,#REF!,6,FALSE)),CZ45)</f>
        <v/>
      </c>
      <c r="CP85" s="1222" t="str">
        <f>IF(CQ45="","",IF(VLOOKUP(CQ45,#REF!,10,FALSE)="","",(VLOOKUP(CQ45,#REF!,10,FALSE)*-1)))</f>
        <v/>
      </c>
      <c r="CQ85" s="580" t="str">
        <f>IF(CQ45="","",IF(VLOOKUP(CQ45,#REF!,7,FALSE)="","",(VLOOKUP(CQ45,#REF!,7,FALSE)*-1)))</f>
        <v/>
      </c>
      <c r="CR85" s="580" t="str">
        <f>IF(CQ45="","",IF(VLOOKUP(CQ45,#REF!,8,FALSE)="",$FC$4,(VLOOKUP(CQ45,#REF!,8,FALSE))))</f>
        <v/>
      </c>
      <c r="CS85" s="580" t="str">
        <f>IF(CQ45="","",VLOOKUP(CQ45,#REF!,9,FALSE))</f>
        <v/>
      </c>
      <c r="CT85" s="581">
        <f t="shared" si="159"/>
        <v>0</v>
      </c>
      <c r="CU85" s="582">
        <f t="shared" si="160"/>
        <v>0</v>
      </c>
      <c r="CV85" s="202" t="str">
        <f t="shared" si="161"/>
        <v/>
      </c>
      <c r="CW85" s="202" t="str">
        <f t="shared" si="162"/>
        <v/>
      </c>
      <c r="CX85" s="821" t="str">
        <f t="shared" si="163"/>
        <v/>
      </c>
      <c r="CY85" s="822">
        <f t="shared" si="164"/>
        <v>0</v>
      </c>
      <c r="CZ85" s="822" t="e">
        <f t="shared" si="165"/>
        <v>#REF!</v>
      </c>
      <c r="DA85" s="822" t="str">
        <f t="shared" si="166"/>
        <v/>
      </c>
      <c r="DB85" s="1227" t="str">
        <f t="shared" si="202"/>
        <v/>
      </c>
      <c r="DC85" s="1227" t="str">
        <f t="shared" si="167"/>
        <v/>
      </c>
      <c r="DD85" s="1228">
        <f t="shared" si="203"/>
        <v>0</v>
      </c>
      <c r="DE85" s="1227">
        <f t="shared" si="168"/>
        <v>0</v>
      </c>
      <c r="DF85" s="1229" t="e">
        <f t="shared" si="169"/>
        <v>#REF!</v>
      </c>
      <c r="DG85" s="1229" t="str">
        <f t="shared" si="170"/>
        <v/>
      </c>
      <c r="DH85" s="1227" t="str">
        <f t="shared" si="204"/>
        <v/>
      </c>
      <c r="DI85" s="1227" t="str">
        <f t="shared" si="171"/>
        <v/>
      </c>
      <c r="DJ85" s="1228">
        <f t="shared" si="205"/>
        <v>0</v>
      </c>
      <c r="DK85" s="1227" t="str">
        <f t="shared" si="206"/>
        <v/>
      </c>
      <c r="DL85" s="1227" t="str">
        <f t="shared" si="207"/>
        <v/>
      </c>
      <c r="DM85" s="1227" t="str">
        <f t="shared" si="172"/>
        <v/>
      </c>
      <c r="DN85" s="1227" t="str">
        <f t="shared" si="173"/>
        <v/>
      </c>
      <c r="DO85" s="830" t="e">
        <f t="shared" si="174"/>
        <v>#REF!</v>
      </c>
      <c r="DP85" s="830" t="e">
        <f t="shared" si="175"/>
        <v>#REF!</v>
      </c>
      <c r="DQ85" s="1227" t="str">
        <f t="shared" si="208"/>
        <v/>
      </c>
      <c r="DR85" s="1227" t="str">
        <f t="shared" si="209"/>
        <v/>
      </c>
      <c r="DS85" s="1227" t="str">
        <f t="shared" si="210"/>
        <v/>
      </c>
      <c r="DT85" s="1227" t="str">
        <f t="shared" si="176"/>
        <v/>
      </c>
      <c r="DU85" s="1227" t="str">
        <f t="shared" si="177"/>
        <v/>
      </c>
      <c r="DV85" s="830" t="e">
        <f t="shared" si="178"/>
        <v>#REF!</v>
      </c>
      <c r="DW85" s="830" t="e">
        <f t="shared" si="179"/>
        <v>#REF!</v>
      </c>
      <c r="DX85" s="821" t="str">
        <f t="shared" si="211"/>
        <v/>
      </c>
      <c r="DY85" s="821" t="str">
        <f t="shared" si="212"/>
        <v/>
      </c>
      <c r="DZ85" s="821" t="str">
        <f t="shared" si="221"/>
        <v/>
      </c>
      <c r="EA85" s="821" t="str">
        <f t="shared" si="222"/>
        <v/>
      </c>
      <c r="EB85" s="823" t="str">
        <f t="shared" si="180"/>
        <v/>
      </c>
      <c r="EC85" s="824" t="str">
        <f t="shared" si="213"/>
        <v/>
      </c>
      <c r="ED85" s="823" t="str">
        <f t="shared" si="181"/>
        <v/>
      </c>
      <c r="EE85" s="823" t="str">
        <f t="shared" si="182"/>
        <v/>
      </c>
      <c r="EF85" s="823" t="str">
        <f t="shared" si="183"/>
        <v/>
      </c>
      <c r="EG85" s="823" t="str">
        <f t="shared" si="184"/>
        <v/>
      </c>
      <c r="EH85" s="823" t="str">
        <f t="shared" si="185"/>
        <v/>
      </c>
      <c r="EI85" s="823" t="str">
        <f t="shared" si="186"/>
        <v/>
      </c>
      <c r="EJ85" s="823" t="str">
        <f t="shared" si="187"/>
        <v/>
      </c>
      <c r="EK85" s="822">
        <f t="shared" si="214"/>
        <v>0</v>
      </c>
      <c r="EL85" s="822">
        <f t="shared" si="215"/>
        <v>0</v>
      </c>
      <c r="EM85" s="822">
        <f t="shared" si="188"/>
        <v>0</v>
      </c>
      <c r="EN85" s="822" t="e">
        <f t="shared" si="189"/>
        <v>#REF!</v>
      </c>
      <c r="EO85" s="821" t="str">
        <f t="shared" si="216"/>
        <v/>
      </c>
      <c r="EP85" s="822">
        <f t="shared" si="217"/>
        <v>0</v>
      </c>
      <c r="EQ85" s="822">
        <f t="shared" si="218"/>
        <v>0</v>
      </c>
      <c r="ER85" s="822">
        <f t="shared" si="190"/>
        <v>0</v>
      </c>
      <c r="ES85" s="822" t="e">
        <f t="shared" si="191"/>
        <v>#REF!</v>
      </c>
      <c r="ET85" s="821" t="str">
        <f t="shared" si="219"/>
        <v/>
      </c>
      <c r="EU85" s="821" t="e">
        <f t="shared" si="192"/>
        <v>#REF!</v>
      </c>
      <c r="EV85" s="823" t="e">
        <f t="shared" si="193"/>
        <v>#VALUE!</v>
      </c>
      <c r="EW85" s="823" t="e">
        <f t="shared" si="194"/>
        <v>#VALUE!</v>
      </c>
      <c r="EX85" s="875" t="str">
        <f t="shared" si="195"/>
        <v/>
      </c>
      <c r="EY85" s="825" t="e">
        <f t="shared" si="220"/>
        <v>#DIV/0!</v>
      </c>
      <c r="EZ85" s="895" t="e">
        <f t="shared" si="196"/>
        <v>#DIV/0!</v>
      </c>
      <c r="FA85" s="896" t="e">
        <f t="shared" si="197"/>
        <v>#DIV/0!</v>
      </c>
      <c r="FB85" s="826" t="str">
        <f t="shared" si="198"/>
        <v/>
      </c>
      <c r="FC85" s="827" t="str">
        <f t="shared" si="199"/>
        <v/>
      </c>
      <c r="FD85" s="457">
        <f t="shared" si="200"/>
        <v>0</v>
      </c>
      <c r="FE85" s="458">
        <f t="shared" si="201"/>
        <v>0</v>
      </c>
      <c r="FF85" s="703" t="b">
        <f t="shared" si="126"/>
        <v>0</v>
      </c>
      <c r="FG85" s="703" t="b">
        <f t="shared" si="127"/>
        <v>0</v>
      </c>
      <c r="FH85" s="703" t="b">
        <f t="shared" si="128"/>
        <v>0</v>
      </c>
      <c r="FI85" s="846" t="b">
        <f t="shared" si="129"/>
        <v>0</v>
      </c>
      <c r="FJ85" s="849" t="str">
        <f t="shared" si="139"/>
        <v/>
      </c>
      <c r="FK85" s="848" t="str">
        <f t="shared" si="140"/>
        <v/>
      </c>
      <c r="FL85" s="249" t="e">
        <f t="shared" si="141"/>
        <v>#N/A</v>
      </c>
      <c r="FM85" s="250" t="str">
        <f t="shared" si="130"/>
        <v/>
      </c>
      <c r="FN85" s="200" t="str">
        <f t="shared" ca="1" si="142"/>
        <v/>
      </c>
      <c r="FO85" s="201" t="str">
        <f t="shared" ca="1" si="143"/>
        <v/>
      </c>
      <c r="FP85" s="202" t="str">
        <f t="shared" ca="1" si="144"/>
        <v/>
      </c>
      <c r="FQ85" s="202" t="str">
        <f t="shared" ca="1" si="145"/>
        <v/>
      </c>
      <c r="FR85" s="251">
        <f t="shared" ca="1" si="146"/>
        <v>0</v>
      </c>
      <c r="FS85" s="252">
        <f t="shared" ca="1" si="147"/>
        <v>0</v>
      </c>
      <c r="FT85" s="200" t="str">
        <f t="shared" ca="1" si="152"/>
        <v/>
      </c>
      <c r="FU85" s="203" t="str">
        <f t="shared" ca="1" si="153"/>
        <v/>
      </c>
      <c r="FV85" s="253" t="str">
        <f t="shared" ca="1" si="154"/>
        <v/>
      </c>
      <c r="FW85" s="204" t="str">
        <f t="shared" ca="1" si="148"/>
        <v/>
      </c>
      <c r="FX85" s="204" t="str">
        <f t="shared" ca="1" si="149"/>
        <v/>
      </c>
      <c r="FY85" s="204" t="str">
        <f t="shared" ca="1" si="155"/>
        <v/>
      </c>
      <c r="FZ85" s="204" t="str">
        <f t="shared" ca="1" si="150"/>
        <v/>
      </c>
      <c r="GA85" s="204" t="str">
        <f t="shared" ca="1" si="156"/>
        <v/>
      </c>
      <c r="GB85" s="205" t="str">
        <f ca="1">IF(FY85="","",2+SUM(FO85:OFFSET(FO85,(FU85-1)*-1,0)))</f>
        <v/>
      </c>
      <c r="GC85" s="254" t="e">
        <f t="shared" si="151"/>
        <v>#N/A</v>
      </c>
      <c r="GD85" s="255" t="str">
        <f t="shared" si="131"/>
        <v/>
      </c>
      <c r="GE85" s="256" t="str">
        <f t="shared" si="132"/>
        <v/>
      </c>
      <c r="GF85" s="206" t="str">
        <f t="shared" si="133"/>
        <v/>
      </c>
      <c r="GG85" s="207" t="str">
        <f t="shared" si="134"/>
        <v/>
      </c>
      <c r="GH85" s="207" t="str">
        <f t="shared" si="135"/>
        <v/>
      </c>
      <c r="GI85" s="208" t="str">
        <f t="shared" si="136"/>
        <v/>
      </c>
      <c r="GJ85" s="257">
        <f ca="1">IF(FY85="",FM46,(FY85-(FQ85+VLOOKUP(FK85,$CB$54:$EU$85,12,FALSE)-VLOOKUP(FK85,$CB$54:$EU$85,34,FALSE))/COS(VLOOKUP(FK85,$CB$54:$EU$85,72,FALSE)))/2)</f>
        <v>0</v>
      </c>
      <c r="GK85" s="843" t="str">
        <f t="shared" ca="1" si="138"/>
        <v/>
      </c>
    </row>
    <row r="86" spans="1:238" ht="12.6" hidden="1" customHeight="1" x14ac:dyDescent="0.2">
      <c r="Z86" s="1063"/>
      <c r="AA86" s="1063"/>
      <c r="AB86" s="1063"/>
    </row>
    <row r="87" spans="1:238" ht="12.6" hidden="1" customHeight="1" x14ac:dyDescent="0.25">
      <c r="A87" s="1132" t="str">
        <f>IF(ISBLANK(CB87),"",CB87)</f>
        <v/>
      </c>
      <c r="B87" s="1561" t="str">
        <f t="shared" ref="B87" si="223">IF(ISBLANK(CC87),"",CC87)</f>
        <v/>
      </c>
      <c r="C87" s="1133" t="str">
        <f>IF(ISBLANK(CD87),"",CD87)</f>
        <v/>
      </c>
      <c r="D87" s="1134" t="str">
        <f>IF(CV127="","",TRUNC(CV127/12))</f>
        <v/>
      </c>
      <c r="E87" s="1135" t="str">
        <f>IF(CV127="","",CV127-(D87*12))</f>
        <v/>
      </c>
      <c r="F87" s="1136" t="str">
        <f>IF(ISBLANK(CY87),"",CY87)</f>
        <v/>
      </c>
      <c r="G87" s="1137" t="str">
        <f>IF(DD127=0,"",TRUNC(DD127/12))</f>
        <v/>
      </c>
      <c r="H87" s="1138" t="str">
        <f>IF(DD127=0,"",DD127-(G87*12))</f>
        <v/>
      </c>
      <c r="I87" s="1139" t="str">
        <f>IF(DD127=0,"",CE127)</f>
        <v/>
      </c>
      <c r="J87" s="1134" t="str">
        <f>IF(DJ127=0,"",TRUNC(DJ127/12))</f>
        <v/>
      </c>
      <c r="K87" s="1138" t="str">
        <f>IF(DJ127=0,"",DJ127-(J87*12))</f>
        <v/>
      </c>
      <c r="L87" s="1140" t="str">
        <f>IF(DJ127=0,"",CN127)</f>
        <v/>
      </c>
      <c r="M87" s="1141" t="str">
        <f>IF(CW127="","",CW127)</f>
        <v/>
      </c>
      <c r="N87" s="1142" t="str">
        <f>IF(CX127="","",CX127)</f>
        <v/>
      </c>
      <c r="O87" s="1137" t="str">
        <f>IF(DZ127="","",IF(AND(DZ127&gt;-12,DZ127&lt;0),-0.000001,TRUNC(DZ127/12)))</f>
        <v/>
      </c>
      <c r="P87" s="1138" t="str">
        <f>IF(DZ127="","",IF(AND(DZ127&lt;0,DZ127-(O87*12)=0),-0.00001,DZ127-(O87*12)))</f>
        <v/>
      </c>
      <c r="Q87" s="1134" t="str">
        <f>IF(EA127="","",IF(AND(EA127&gt;-12,EA127&lt;0),-0.000001,TRUNC(EA127/12)))</f>
        <v/>
      </c>
      <c r="R87" s="1135" t="str">
        <f>IF(EA127="","",IF(AND(EA127&lt;0,EA127-(Q87*12)=0),-0.00001,EA127-(Q87*12)))</f>
        <v/>
      </c>
      <c r="S87" s="1143" t="str">
        <f>IF(DR127="","",IF(DR127="ERR",TRUNC(DQ127/12),TRUNC(DR127/12)))</f>
        <v/>
      </c>
      <c r="T87" s="1138" t="str">
        <f>IF(DR127="","",IF(DR127="ERR",DQ127-(S87*12),DR127-(S87*12)))</f>
        <v/>
      </c>
      <c r="U87" s="1134" t="str">
        <f>IF(DY127="","",IF(DY127="ERR",TRUNC(DX127/12),TRUNC(DY127/12)))</f>
        <v/>
      </c>
      <c r="V87" s="1138" t="str">
        <f>IF(DY127="","",IF(DY127="ERR",DX127-(U87*12),DY127-(U87*12)))</f>
        <v/>
      </c>
      <c r="W87" s="1142">
        <f>IF(EC127="",0,EC127)</f>
        <v>0</v>
      </c>
      <c r="X87" s="1144" t="str">
        <f>IF(EN127="","",EN127)</f>
        <v/>
      </c>
      <c r="Y87" s="1145" t="str">
        <f>IF(ES127="","",ES127)</f>
        <v/>
      </c>
      <c r="Z87" s="1151" t="str">
        <f>CONCATENATE(IF(CW87="","",CONCATENATE("[",SUBSTITUTE(CW87," ",""),"] ")),IF(CV87="","",CONCATENATE("(",SUBSTITUTE(CV87," ",""),")")))</f>
        <v/>
      </c>
      <c r="AA87" s="1206" t="str">
        <f>IF(ISBLANK(CX87),"",CX87)</f>
        <v/>
      </c>
      <c r="AB87" s="921" t="str">
        <f>IF(ISBLANK(DH87),"",DH87)</f>
        <v/>
      </c>
      <c r="AC87" s="917" t="str">
        <f>IF(ISBLANK(DI87),"",DI87)</f>
        <v/>
      </c>
      <c r="AD87" s="918" t="str">
        <f>IF(FV127="","",TRUNC(FV127/12))</f>
        <v/>
      </c>
      <c r="AE87" s="919" t="str">
        <f>IF(FV127="","",FV127-(AD87*12))</f>
        <v/>
      </c>
      <c r="AF87" s="917" t="str">
        <f>IF(FO127="","",FO127)</f>
        <v/>
      </c>
      <c r="AG87" s="918" t="str">
        <f>IF(FX127="","",TRUNC(FX127/12))</f>
        <v/>
      </c>
      <c r="AH87" s="919" t="str">
        <f>IF(FX127="","",FX127-(AG87*12))</f>
        <v/>
      </c>
      <c r="AI87" s="918" t="str">
        <f>IF(FZ127="","",TRUNC(FZ127/12))</f>
        <v/>
      </c>
      <c r="AJ87" s="919" t="str">
        <f>IF(FZ127="","",FZ127-(AI87*12))</f>
        <v/>
      </c>
      <c r="AK87" s="1146" t="str">
        <f>IF(ISBLANK(DO87),"",DO87)</f>
        <v/>
      </c>
      <c r="AL87" s="1147" t="str">
        <f>IF(ISBLANK(DP87),"",DP87)</f>
        <v/>
      </c>
      <c r="AM87" s="1148" t="str">
        <f>IF(ISBLANK(DQ87),"",DQ87)</f>
        <v/>
      </c>
      <c r="AN87" s="917" t="str">
        <f>IF(ISBLANK(DR87),"",DR87)</f>
        <v/>
      </c>
      <c r="AO87" s="1008" t="str">
        <f>IF(ISBLANK(DS87),"",DS87)</f>
        <v/>
      </c>
      <c r="AP87" s="953" t="str">
        <f>IF(OR(GD127="",GD127=0),"",GD127)</f>
        <v/>
      </c>
      <c r="AQ87" s="1149" t="str">
        <f>IF(OR(GE127="",GE127=0),"",GE127)</f>
        <v/>
      </c>
      <c r="AR87" s="920" t="str">
        <f>IF(GF127="","",IF(ISTEXT(GF127),"P",TRUNC(GF127/12)))</f>
        <v/>
      </c>
      <c r="AS87" s="919" t="str">
        <f>IF(GF127="","",IF(AR87="P",GF127,GF127-(AR87*12)))</f>
        <v/>
      </c>
      <c r="AT87" s="1150" t="str">
        <f>IF(ISBLANK(DX87),"",DX87)</f>
        <v/>
      </c>
      <c r="AU87" s="1009" t="str">
        <f>IF(ISBLANK(DY87),"",DY87)</f>
        <v/>
      </c>
      <c r="AV87" s="954" t="str">
        <f>IF(GG127="","",IF(ISTEXT(GG127),"P",TRUNC(GG127/12)))</f>
        <v/>
      </c>
      <c r="AW87" s="919" t="str">
        <f>IF(GG127="","",IF(AV87="P",GG127,GG127-(AV87*12)))</f>
        <v/>
      </c>
      <c r="AX87" s="1150" t="str">
        <f>IF(ISBLANK(EB87),"",EB87)</f>
        <v/>
      </c>
      <c r="AY87" s="1009" t="str">
        <f>IF(ISBLANK(EC87),"",EC87)</f>
        <v/>
      </c>
      <c r="AZ87" s="954" t="str">
        <f>IF(GH127="","",IF(ISTEXT(GH127),"P",TRUNC(GH127/12)))</f>
        <v/>
      </c>
      <c r="BA87" s="919" t="str">
        <f>IF(GH127="","",IF(AZ87="P",GH127,GH127-(AZ87*12)))</f>
        <v/>
      </c>
      <c r="BB87" s="1150" t="str">
        <f>IF(ISBLANK(EF87),"",EF87)</f>
        <v/>
      </c>
      <c r="BC87" s="1009" t="str">
        <f>IF(ISBLANK(EG87),"",EG87)</f>
        <v/>
      </c>
      <c r="BD87" s="954" t="str">
        <f>IF(GI127="","",IF(ISTEXT(GI127),"P",TRUNC(GI127/12)))</f>
        <v/>
      </c>
      <c r="BE87" s="919" t="str">
        <f>IF(GI127="","",IF(BD87="P",GI127,GI127-(BD87*12)))</f>
        <v/>
      </c>
      <c r="BF87" s="1150" t="str">
        <f>IF(ISBLANK(EJ87),"",EJ87)</f>
        <v/>
      </c>
      <c r="BG87" s="1009" t="str">
        <f>IF(ISBLANK(EK87),"",EK87)</f>
        <v/>
      </c>
      <c r="BH87" s="180">
        <v>12.5</v>
      </c>
      <c r="BJ87" s="915" t="str">
        <f>IF(AND(OR(ISBLANK(A87),A87=""),Z87&lt;&gt;""),BJ86,IF(OR(ISBLANK(A87),A87=""),"",A87))</f>
        <v/>
      </c>
      <c r="BK87" s="913" t="e">
        <f>IF($BK$1,IF(BJ87=BJ86,BK86,IF(AND(BJ87&lt;&gt;"",OR(B87=0,B87="")),TRUE,FALSE)),FALSE)</f>
        <v>#REF!</v>
      </c>
      <c r="BL87" s="908" t="b">
        <v>0</v>
      </c>
      <c r="BM87" s="908">
        <f>IF(C87="",0,VALUE(IF(BN87="","",LEFT(C87,SEARCH(BN87,C87)-1))))</f>
        <v>0</v>
      </c>
      <c r="BN87" s="908">
        <f>IF(C87="",0,IF(NOT(ISERROR(SEARCH("VG",C87))),"VG",IF(NOT(ISERROR(SEARCH("BG",C87))),"BG",IF(NOT(ISERROR(SEARCH("G",C87))),"G"))))</f>
        <v>0</v>
      </c>
      <c r="BO87" s="908">
        <f>IF(C87="",0,VALUE(MID(C87,SEARCH(BN87,C87)+LEN(BN87),SEARCH("N",C87)-SEARCH(BN87,C87)-LEN(BN87))))</f>
        <v>0</v>
      </c>
      <c r="BP87" s="908">
        <f>IF(ISERROR(SEARCH("F",C87)),IF(C87="",0,VALUE(MID(C87,SEARCH("N",C87)+1,SEARCH("K",C87)-SEARCH("N",C87)-1))),IF(C87="",0,VALUE(MID(C87,SEARCH("N",C87)+1,SEARCH("F",C87)-SEARCH("N",C87)-1))))</f>
        <v>0</v>
      </c>
      <c r="BQ87" s="908">
        <f>IF(ISERROR(SEARCH("F",C87)),IF(C87="",0,IF(SEARCH("K",C87)=LEN(C87),0,VALUE(MID(C87,SEARCH("K",C87)+1,LEN(C87))))),IF(C87="",0,IF(SEARCH("F",C87)=LEN(C87),0,VALUE(MID(C87,SEARCH("F",C87)+1,LEN(C87))))))</f>
        <v>0</v>
      </c>
      <c r="BR87" s="908" t="b">
        <f>IF(OR(ISERROR(BM87),ISERROR(BN87),ISERROR(BO87),ISERROR(BP87),ISERROR(BQ87)),FALSE,TRUE)</f>
        <v>1</v>
      </c>
      <c r="BS87" s="909">
        <f>6+IF(LEFT(I87,1)="R",IF(ISNUMBER(G87),G87*12,0)+IF(ISNUMBER(H87),H87,0),0)</f>
        <v>6</v>
      </c>
      <c r="BT87" s="909" t="str">
        <f>IF(IF(ISNUMBER(S87),S87*12,0)+IF(ISNUMBER(T87),T87,0)&gt;0,IF(AND(IF(ISNUMBER(S87),S87*12,0)+IF(ISNUMBER(T87),T87,0)&gt;=1.25,IF(ISNUMBER(S87),S87*12,0)+IF(ISNUMBER(T87),T87,0)&lt;=(BS87-1.25)+IF(I87="X",2,0)),"Yes","No"),"No")</f>
        <v>No</v>
      </c>
      <c r="BU87" s="909">
        <f>6+IF(LEFT(L87,1)="R",IF(ISNUMBER(J87),J87*12,0)+IF(ISNUMBER(K87),K87,0),0)</f>
        <v>6</v>
      </c>
      <c r="BV87" s="909" t="str">
        <f>IF(IF(ISNUMBER(U87),U87*12,0)+IF(ISNUMBER(V87),V87,0)&gt;0,IF(AND(IF(ISNUMBER(U87),U87*12,0)+IF(ISNUMBER(V87),V87,0)&gt;=1.25,IF(ISNUMBER(U87),U87*12,0)+IF(ISNUMBER(V87),V87,0)&lt;=(BU87-1.25)+IF(L87="X",2,0)),"Yes","No"),"No")</f>
        <v>No</v>
      </c>
      <c r="BW87" s="910">
        <f>IF(AB87="",0,1)+IF(AC87="",0,1)+IF(AD87="",0,1)+IF(AE87="",0,1)+IF(AF87="",0,1)+IF(AG87="",0,1)+IF(AH87="",0,1)+IF(AI87="",0,1)+IF(AJ87="",0,1)+IF(AK87="",0,1)+IF(AL87="",0,1)+IF(AM87="",0,1)+IF(AN87="",0,1)+IF(AO87="",0,1)+IF(AP87="",0,1)+IF(AQ87="",0,1)+IF(AR87="",0,1)+IF(AS87="",0,1)+IF(AT87="",0,1)+IF(AU87="",0,1)+IF(AV87="",0,1)+IF(AW87="",0,1)+IF(AX87="",0,1)+IF(AY87="",0,1)+IF(AZ87="",0,1)+IF(BA87="",0,1)+IF(BB87="",0,1)+IF(BC87="",0,1)+IF(BD87="",0,1)+IF(BE87="",0,1)+IF(BF87="",0,1)+IF(BG87="",0,1)</f>
        <v>0</v>
      </c>
      <c r="BX87" s="911" t="str">
        <f>IF(AND(AB87="",BW87&gt;0),BX86,IF(ISBLANK(AB87),"",AB87))</f>
        <v/>
      </c>
      <c r="BY87" s="911" t="b">
        <f>IF(ISERROR(VLOOKUP(BX87,$BJ$14:$BL$45,3,FALSE)),FALSE,VLOOKUP(BX87,$BJ$14:$BL$45,3,FALSE))</f>
        <v>0</v>
      </c>
      <c r="BZ87" s="912" t="e">
        <f>IF($BK$1,IF(BX87="",FALSE,IF(ISERROR(VLOOKUP(BX87,$A$28:$B$45,2,FALSE)),FALSE,IF(VLOOKUP(BX87,$A$28:$B$45,2,FALSE)=0,TRUE,FALSE))))</f>
        <v>#REF!</v>
      </c>
      <c r="CA87" s="40"/>
      <c r="FU87" s="1"/>
      <c r="FV87" s="1"/>
      <c r="FW87" s="1"/>
      <c r="FX87" s="1"/>
      <c r="FY87" s="1"/>
      <c r="FZ87" s="1"/>
      <c r="GG87" s="836"/>
      <c r="GH87" s="1526">
        <f>IF(D87="",0,D87*12+E87)</f>
        <v>0</v>
      </c>
      <c r="GI87" s="1523" t="e">
        <f>(GA48*12+GB48+GC48+GD48)/COS(ATAN(ABS(GE48/12)))</f>
        <v>#VALUE!</v>
      </c>
      <c r="GJ87" s="1524" t="e">
        <f>IF(ABS(GH87-GI87)&gt;=0.125,ABS(GH87-GI87),0)</f>
        <v>#VALUE!</v>
      </c>
      <c r="GK87" s="1"/>
      <c r="GL87" s="56"/>
      <c r="GM87" s="56"/>
      <c r="GR87" s="120"/>
      <c r="GS87" s="121"/>
      <c r="GT87" s="122"/>
      <c r="GU87" s="123"/>
      <c r="GV87" s="124"/>
      <c r="GW87" s="125"/>
      <c r="GX87" s="126"/>
      <c r="GY87" s="127"/>
      <c r="GZ87" s="126"/>
      <c r="HA87" s="127"/>
      <c r="HB87" s="128"/>
      <c r="HC87" s="129"/>
      <c r="HD87" s="125"/>
      <c r="HE87" s="126"/>
      <c r="HF87" s="127"/>
      <c r="HG87" s="126"/>
      <c r="HH87" s="127"/>
      <c r="HI87" s="128"/>
      <c r="HJ87" s="129"/>
      <c r="HK87" s="130"/>
      <c r="HL87" s="120"/>
      <c r="HM87" s="138"/>
      <c r="HN87" s="139"/>
      <c r="HO87" s="140"/>
      <c r="HP87" s="69">
        <f ca="1">IF(IZ87&lt;&gt;"",1,IF(HP86=0,0,IF(OFFSET(IZ87,HP86*-1,0)&lt;HP86+1,0,HP86+1)))</f>
        <v>0</v>
      </c>
      <c r="HQ87" s="69"/>
      <c r="HR87" s="69"/>
      <c r="HS87" s="69"/>
      <c r="HT87" s="69"/>
      <c r="HU87" s="69"/>
      <c r="HV87" s="120"/>
      <c r="HW87" s="131"/>
      <c r="HX87" s="132"/>
      <c r="HY87" s="133"/>
      <c r="HZ87" s="498"/>
      <c r="IA87" s="134"/>
      <c r="IB87" s="135"/>
      <c r="IC87" s="136"/>
      <c r="ID87" s="137"/>
    </row>
    <row r="88" spans="1:238" ht="12.6" hidden="1" customHeight="1" x14ac:dyDescent="0.2">
      <c r="Z88" s="1064"/>
    </row>
    <row r="89" spans="1:238" ht="12.75" customHeight="1" x14ac:dyDescent="0.2">
      <c r="B89" s="476" t="s">
        <v>374</v>
      </c>
    </row>
    <row r="92" spans="1:238" ht="13.5" customHeight="1" x14ac:dyDescent="0.2"/>
  </sheetData>
  <sheetProtection selectLockedCells="1"/>
  <mergeCells count="392">
    <mergeCell ref="DP9:DU10"/>
    <mergeCell ref="DP11:DP13"/>
    <mergeCell ref="DR11:DR13"/>
    <mergeCell ref="DA20:DB20"/>
    <mergeCell ref="CG24:CP25"/>
    <mergeCell ref="CB24:CF25"/>
    <mergeCell ref="CN26:CP26"/>
    <mergeCell ref="CX26:CZ26"/>
    <mergeCell ref="CQ24:CZ25"/>
    <mergeCell ref="DB25:DC26"/>
    <mergeCell ref="DD25:DE25"/>
    <mergeCell ref="DB24:DE24"/>
    <mergeCell ref="DI9:DN11"/>
    <mergeCell ref="JK2:JK3"/>
    <mergeCell ref="JH4:JH5"/>
    <mergeCell ref="IL4:IL5"/>
    <mergeCell ref="JK4:JK5"/>
    <mergeCell ref="IF2:IF3"/>
    <mergeCell ref="IG2:IH3"/>
    <mergeCell ref="II2:IK2"/>
    <mergeCell ref="IL2:IM3"/>
    <mergeCell ref="IN2:IN3"/>
    <mergeCell ref="IO2:IT2"/>
    <mergeCell ref="IU2:JJ2"/>
    <mergeCell ref="IJ3:IK3"/>
    <mergeCell ref="IU3:IV3"/>
    <mergeCell ref="IY3:IZ3"/>
    <mergeCell ref="JC3:JD3"/>
    <mergeCell ref="JG3:JH3"/>
    <mergeCell ref="IF4:IF5"/>
    <mergeCell ref="IG4:IH5"/>
    <mergeCell ref="II4:II5"/>
    <mergeCell ref="IJ4:IK5"/>
    <mergeCell ref="IM4:IM5"/>
    <mergeCell ref="IN4:IN5"/>
    <mergeCell ref="IO4:IO5"/>
    <mergeCell ref="IP4:IP5"/>
    <mergeCell ref="IQ4:IR4"/>
    <mergeCell ref="IS4:IT4"/>
    <mergeCell ref="IU4:IU5"/>
    <mergeCell ref="IV4:IV5"/>
    <mergeCell ref="IW4:IX4"/>
    <mergeCell ref="IY4:IY5"/>
    <mergeCell ref="IZ4:IZ5"/>
    <mergeCell ref="JA4:JB4"/>
    <mergeCell ref="JC4:JC5"/>
    <mergeCell ref="JD4:JD5"/>
    <mergeCell ref="JE4:JF4"/>
    <mergeCell ref="JG4:JG5"/>
    <mergeCell ref="FG3:FI3"/>
    <mergeCell ref="EH12:EI12"/>
    <mergeCell ref="DO9:DO13"/>
    <mergeCell ref="DH9:DH13"/>
    <mergeCell ref="DL12:DL13"/>
    <mergeCell ref="DM12:DN13"/>
    <mergeCell ref="EB12:EB13"/>
    <mergeCell ref="ED12:EE12"/>
    <mergeCell ref="EF12:EF13"/>
    <mergeCell ref="EG12:EG13"/>
    <mergeCell ref="DX12:DX13"/>
    <mergeCell ref="DI12:DI13"/>
    <mergeCell ref="DJ12:DK13"/>
    <mergeCell ref="EC12:EC13"/>
    <mergeCell ref="DS12:DS13"/>
    <mergeCell ref="DQ12:DQ13"/>
    <mergeCell ref="DZ12:EA12"/>
    <mergeCell ref="DT12:DU12"/>
    <mergeCell ref="DY12:DY13"/>
    <mergeCell ref="EM12:EM13"/>
    <mergeCell ref="DH6:EK8"/>
    <mergeCell ref="DB52:DB53"/>
    <mergeCell ref="DT52:DU52"/>
    <mergeCell ref="DK52:DK53"/>
    <mergeCell ref="DC52:DC53"/>
    <mergeCell ref="DD52:DD53"/>
    <mergeCell ref="DE52:DE53"/>
    <mergeCell ref="DJ52:DJ53"/>
    <mergeCell ref="CB22:DE23"/>
    <mergeCell ref="DH52:DH53"/>
    <mergeCell ref="DM52:DN52"/>
    <mergeCell ref="DO52:DP52"/>
    <mergeCell ref="DQ52:DR52"/>
    <mergeCell ref="DS52:DS53"/>
    <mergeCell ref="BW12:BZ12"/>
    <mergeCell ref="CY52:CY53"/>
    <mergeCell ref="CC52:CC53"/>
    <mergeCell ref="CP52:CP53"/>
    <mergeCell ref="CJ52:CJ53"/>
    <mergeCell ref="CK52:CK53"/>
    <mergeCell ref="CL52:CL53"/>
    <mergeCell ref="CM52:CM53"/>
    <mergeCell ref="CQ52:CQ53"/>
    <mergeCell ref="CR52:CR53"/>
    <mergeCell ref="CS52:CS53"/>
    <mergeCell ref="CD52:CD53"/>
    <mergeCell ref="CC51:CK51"/>
    <mergeCell ref="CE52:CE53"/>
    <mergeCell ref="CF52:CF53"/>
    <mergeCell ref="CG52:CG53"/>
    <mergeCell ref="CH52:CH53"/>
    <mergeCell ref="CL51:CT51"/>
    <mergeCell ref="CE26:CF27"/>
    <mergeCell ref="CN52:CN53"/>
    <mergeCell ref="CO52:CO53"/>
    <mergeCell ref="CT52:CT53"/>
    <mergeCell ref="CV26:CV27"/>
    <mergeCell ref="CC26:CC27"/>
    <mergeCell ref="AZ13:BA13"/>
    <mergeCell ref="AR13:AS13"/>
    <mergeCell ref="A9:B9"/>
    <mergeCell ref="A10:B10"/>
    <mergeCell ref="BD13:BE13"/>
    <mergeCell ref="AR12:BG12"/>
    <mergeCell ref="AB10:AD10"/>
    <mergeCell ref="V7:W7"/>
    <mergeCell ref="K7:L7"/>
    <mergeCell ref="AV13:AW13"/>
    <mergeCell ref="BE10:BG10"/>
    <mergeCell ref="AK12:AK13"/>
    <mergeCell ref="AU10:AW10"/>
    <mergeCell ref="Q10:S10"/>
    <mergeCell ref="AB9:AD9"/>
    <mergeCell ref="AX9:BG9"/>
    <mergeCell ref="AU9:AW9"/>
    <mergeCell ref="X10:Y10"/>
    <mergeCell ref="A5:L5"/>
    <mergeCell ref="A8:AA8"/>
    <mergeCell ref="V6:W6"/>
    <mergeCell ref="X6:Y6"/>
    <mergeCell ref="BB10:BD10"/>
    <mergeCell ref="M7:S7"/>
    <mergeCell ref="M6:T6"/>
    <mergeCell ref="C10:P10"/>
    <mergeCell ref="AZ6:BA6"/>
    <mergeCell ref="BD1:BF1"/>
    <mergeCell ref="BD2:BF2"/>
    <mergeCell ref="AB8:BG8"/>
    <mergeCell ref="BA3:BC3"/>
    <mergeCell ref="BA4:BC4"/>
    <mergeCell ref="BD3:BF3"/>
    <mergeCell ref="BD4:BF4"/>
    <mergeCell ref="A26:A27"/>
    <mergeCell ref="C26:C27"/>
    <mergeCell ref="B26:B27"/>
    <mergeCell ref="J27:K27"/>
    <mergeCell ref="G27:H27"/>
    <mergeCell ref="BA1:BC1"/>
    <mergeCell ref="BA2:BC2"/>
    <mergeCell ref="AX10:BA10"/>
    <mergeCell ref="BB6:BD6"/>
    <mergeCell ref="C9:P9"/>
    <mergeCell ref="M26:N26"/>
    <mergeCell ref="AZ7:BA7"/>
    <mergeCell ref="D26:E27"/>
    <mergeCell ref="O26:P27"/>
    <mergeCell ref="S26:W26"/>
    <mergeCell ref="F26:F27"/>
    <mergeCell ref="AI12:AJ13"/>
    <mergeCell ref="U27:V27"/>
    <mergeCell ref="G26:I26"/>
    <mergeCell ref="J26:L26"/>
    <mergeCell ref="Q1:T1"/>
    <mergeCell ref="AU1:AX1"/>
    <mergeCell ref="Q2:T3"/>
    <mergeCell ref="Q4:T4"/>
    <mergeCell ref="AU2:AX3"/>
    <mergeCell ref="AU4:AX4"/>
    <mergeCell ref="W1:Y1"/>
    <mergeCell ref="W2:Y2"/>
    <mergeCell ref="W3:Y3"/>
    <mergeCell ref="W4:Y4"/>
    <mergeCell ref="AB5:AQ5"/>
    <mergeCell ref="T9:AA9"/>
    <mergeCell ref="AE9:AT9"/>
    <mergeCell ref="Q26:R27"/>
    <mergeCell ref="S27:T27"/>
    <mergeCell ref="Q9:S9"/>
    <mergeCell ref="Z10:AA10"/>
    <mergeCell ref="T10:W10"/>
    <mergeCell ref="AE10:AT10"/>
    <mergeCell ref="X26:Y26"/>
    <mergeCell ref="AD12:AE13"/>
    <mergeCell ref="X24:Y24"/>
    <mergeCell ref="AC12:AC13"/>
    <mergeCell ref="AB12:AB13"/>
    <mergeCell ref="HI4:HJ5"/>
    <mergeCell ref="HK4:HK5"/>
    <mergeCell ref="HA4:HA5"/>
    <mergeCell ref="HL4:HL5"/>
    <mergeCell ref="IO12:IO13"/>
    <mergeCell ref="II12:II13"/>
    <mergeCell ref="IL12:IL13"/>
    <mergeCell ref="IM12:IM13"/>
    <mergeCell ref="IN12:IN13"/>
    <mergeCell ref="IF12:IF13"/>
    <mergeCell ref="HU4:HV4"/>
    <mergeCell ref="HX4:HX5"/>
    <mergeCell ref="HW4:HW5"/>
    <mergeCell ref="ET24:EU26"/>
    <mergeCell ref="AL12:AQ12"/>
    <mergeCell ref="A11:AA11"/>
    <mergeCell ref="AF12:AH12"/>
    <mergeCell ref="AG13:AH13"/>
    <mergeCell ref="IC4:ID4"/>
    <mergeCell ref="HF4:HF5"/>
    <mergeCell ref="HB4:HB5"/>
    <mergeCell ref="AA26:AA27"/>
    <mergeCell ref="GC26:GD26"/>
    <mergeCell ref="GE26:GE27"/>
    <mergeCell ref="GF26:GF27"/>
    <mergeCell ref="GK26:GK27"/>
    <mergeCell ref="CB52:CB53"/>
    <mergeCell ref="CI52:CI53"/>
    <mergeCell ref="CB26:CB27"/>
    <mergeCell ref="CD26:CD27"/>
    <mergeCell ref="CV52:CV53"/>
    <mergeCell ref="CW52:CW53"/>
    <mergeCell ref="CU52:CU53"/>
    <mergeCell ref="CX52:CX53"/>
    <mergeCell ref="CZ52:DA52"/>
    <mergeCell ref="DF52:DG52"/>
    <mergeCell ref="DI52:DI53"/>
    <mergeCell ref="DL52:DL53"/>
    <mergeCell ref="EN50:EN53"/>
    <mergeCell ref="EF50:EF53"/>
    <mergeCell ref="EH50:EH53"/>
    <mergeCell ref="EK50:EK53"/>
    <mergeCell ref="EL50:EL53"/>
    <mergeCell ref="EG50:EG53"/>
    <mergeCell ref="EC52:EC53"/>
    <mergeCell ref="ER50:ER53"/>
    <mergeCell ref="FY52:FY53"/>
    <mergeCell ref="FT52:FT53"/>
    <mergeCell ref="GG26:GH26"/>
    <mergeCell ref="FU52:FU53"/>
    <mergeCell ref="FK52:FK53"/>
    <mergeCell ref="ES50:ES53"/>
    <mergeCell ref="FV52:FV53"/>
    <mergeCell ref="FL52:FL53"/>
    <mergeCell ref="FM52:FM53"/>
    <mergeCell ref="FS52:FS53"/>
    <mergeCell ref="FP52:FP53"/>
    <mergeCell ref="FR52:FR53"/>
    <mergeCell ref="FQ52:FQ53"/>
    <mergeCell ref="FN52:FN53"/>
    <mergeCell ref="GA26:GB26"/>
    <mergeCell ref="FD52:FE52"/>
    <mergeCell ref="EW52:EW53"/>
    <mergeCell ref="EV52:EV53"/>
    <mergeCell ref="EZ52:EZ53"/>
    <mergeCell ref="FA52:FA53"/>
    <mergeCell ref="ET50:ET53"/>
    <mergeCell ref="FO52:FO53"/>
    <mergeCell ref="FF51:FI51"/>
    <mergeCell ref="IE12:IE13"/>
    <mergeCell ref="GL26:GL27"/>
    <mergeCell ref="HA15:HX17"/>
    <mergeCell ref="HA26:HA27"/>
    <mergeCell ref="HB26:HB27"/>
    <mergeCell ref="FT50:FZ51"/>
    <mergeCell ref="GM26:GM27"/>
    <mergeCell ref="HM26:HM27"/>
    <mergeCell ref="HS26:HS27"/>
    <mergeCell ref="HN26:HN27"/>
    <mergeCell ref="HO26:HO27"/>
    <mergeCell ref="HJ26:HJ27"/>
    <mergeCell ref="HX26:HX27"/>
    <mergeCell ref="HC4:HC5"/>
    <mergeCell ref="HD4:HE5"/>
    <mergeCell ref="HC26:HC27"/>
    <mergeCell ref="HF26:HF27"/>
    <mergeCell ref="HG26:HG27"/>
    <mergeCell ref="HH26:HH27"/>
    <mergeCell ref="HI26:HI27"/>
    <mergeCell ref="HD26:HE27"/>
    <mergeCell ref="DV9:EK11"/>
    <mergeCell ref="EJ12:EJ13"/>
    <mergeCell ref="EK12:EK13"/>
    <mergeCell ref="DV12:DW12"/>
    <mergeCell ref="EM26:EM27"/>
    <mergeCell ref="GI26:GJ26"/>
    <mergeCell ref="EO50:EO53"/>
    <mergeCell ref="EP50:EP53"/>
    <mergeCell ref="DV52:DW52"/>
    <mergeCell ref="DX52:DY52"/>
    <mergeCell ref="EM50:EM53"/>
    <mergeCell ref="EJ50:EJ53"/>
    <mergeCell ref="EI50:EI53"/>
    <mergeCell ref="EA52:EA53"/>
    <mergeCell ref="EE50:EE53"/>
    <mergeCell ref="DZ52:DZ53"/>
    <mergeCell ref="ED50:ED53"/>
    <mergeCell ref="EB52:EB53"/>
    <mergeCell ref="EQ50:EQ53"/>
    <mergeCell ref="EY51:EY53"/>
    <mergeCell ref="EX51:EX53"/>
    <mergeCell ref="FB52:FB53"/>
    <mergeCell ref="FC52:FC53"/>
    <mergeCell ref="EU50:EU53"/>
    <mergeCell ref="IV12:IV13"/>
    <mergeCell ref="HY26:HY27"/>
    <mergeCell ref="HZ26:HZ27"/>
    <mergeCell ref="GJ52:GJ53"/>
    <mergeCell ref="GC52:GC53"/>
    <mergeCell ref="FW52:FW53"/>
    <mergeCell ref="FZ52:FZ53"/>
    <mergeCell ref="GB52:GB53"/>
    <mergeCell ref="GA52:GA53"/>
    <mergeCell ref="FX52:FX53"/>
    <mergeCell ref="IP12:IP13"/>
    <mergeCell ref="FN50:FS51"/>
    <mergeCell ref="HP26:HP27"/>
    <mergeCell ref="IC26:IC27"/>
    <mergeCell ref="ID26:ID27"/>
    <mergeCell ref="HT26:HT27"/>
    <mergeCell ref="HV26:HV27"/>
    <mergeCell ref="HW26:HW27"/>
    <mergeCell ref="JC12:JC13"/>
    <mergeCell ref="DA26:DA27"/>
    <mergeCell ref="CG26:CG27"/>
    <mergeCell ref="CH26:CI27"/>
    <mergeCell ref="CQ26:CQ27"/>
    <mergeCell ref="CR26:CS27"/>
    <mergeCell ref="CJ26:CK27"/>
    <mergeCell ref="ER26:ES26"/>
    <mergeCell ref="DD26:DD27"/>
    <mergeCell ref="DE26:DE27"/>
    <mergeCell ref="CT26:CU27"/>
    <mergeCell ref="CW26:CW27"/>
    <mergeCell ref="CL26:CL27"/>
    <mergeCell ref="CM26:CM27"/>
    <mergeCell ref="EQ26:EQ27"/>
    <mergeCell ref="EN26:EP26"/>
    <mergeCell ref="GA25:GJ25"/>
    <mergeCell ref="IA26:IA27"/>
    <mergeCell ref="IB26:IB27"/>
    <mergeCell ref="HK26:HK27"/>
    <mergeCell ref="HL26:HL27"/>
    <mergeCell ref="HQ26:HQ27"/>
    <mergeCell ref="HR26:HR27"/>
    <mergeCell ref="HU26:HU27"/>
    <mergeCell ref="HA2:HA3"/>
    <mergeCell ref="HB2:HB3"/>
    <mergeCell ref="HC2:HC3"/>
    <mergeCell ref="HD2:HE3"/>
    <mergeCell ref="HF2:HF3"/>
    <mergeCell ref="HG2:HI2"/>
    <mergeCell ref="HJ2:HL2"/>
    <mergeCell ref="HM2:HN2"/>
    <mergeCell ref="HO2:HP3"/>
    <mergeCell ref="HQ2:HR3"/>
    <mergeCell ref="HS2:HW2"/>
    <mergeCell ref="HX2:HY2"/>
    <mergeCell ref="IA2:IA3"/>
    <mergeCell ref="HG3:HH3"/>
    <mergeCell ref="HJ3:HK3"/>
    <mergeCell ref="HS3:HT3"/>
    <mergeCell ref="HU3:HV3"/>
    <mergeCell ref="HY4:HY5"/>
    <mergeCell ref="HZ4:HZ5"/>
    <mergeCell ref="IA4:IB4"/>
    <mergeCell ref="HN4:HO5"/>
    <mergeCell ref="HP4:HQ5"/>
    <mergeCell ref="HR4:HR5"/>
    <mergeCell ref="HM4:HM5"/>
    <mergeCell ref="HT4:HT5"/>
    <mergeCell ref="HS4:HS5"/>
    <mergeCell ref="HG4:HH5"/>
    <mergeCell ref="JJ12:JJ13"/>
    <mergeCell ref="JK12:JK13"/>
    <mergeCell ref="JL12:JL13"/>
    <mergeCell ref="IG12:IG13"/>
    <mergeCell ref="IH12:IH13"/>
    <mergeCell ref="IJ12:IJ13"/>
    <mergeCell ref="IK12:IK13"/>
    <mergeCell ref="IQ12:IQ13"/>
    <mergeCell ref="IR12:IR13"/>
    <mergeCell ref="IS12:IS13"/>
    <mergeCell ref="IT12:IT13"/>
    <mergeCell ref="IW12:IW13"/>
    <mergeCell ref="IX12:IX13"/>
    <mergeCell ref="JA12:JA13"/>
    <mergeCell ref="JB12:JB13"/>
    <mergeCell ref="JE12:JE13"/>
    <mergeCell ref="JF12:JF13"/>
    <mergeCell ref="JI12:JI13"/>
    <mergeCell ref="IU12:IU13"/>
    <mergeCell ref="JH12:JH13"/>
    <mergeCell ref="JD12:JD13"/>
    <mergeCell ref="JG12:JG13"/>
    <mergeCell ref="IY12:IY13"/>
    <mergeCell ref="IZ12:IZ13"/>
  </mergeCells>
  <phoneticPr fontId="0" type="noConversion"/>
  <conditionalFormatting sqref="CD28:CD45">
    <cfRule type="expression" dxfId="616" priority="296">
      <formula>AND(NOT($BK28),NOT($BR28))</formula>
    </cfRule>
  </conditionalFormatting>
  <conditionalFormatting sqref="DM54:DM85 DT54:DT85">
    <cfRule type="cellIs" dxfId="615" priority="500" stopIfTrue="1" operator="notEqual">
      <formula>DN54</formula>
    </cfRule>
  </conditionalFormatting>
  <conditionalFormatting sqref="DD28:DD45">
    <cfRule type="cellIs" dxfId="614" priority="513" operator="greaterThan">
      <formula>EY68</formula>
    </cfRule>
    <cfRule type="expression" dxfId="613" priority="514">
      <formula>AND(ISBLANK(DD28),EY68&gt;0)</formula>
    </cfRule>
  </conditionalFormatting>
  <conditionalFormatting sqref="DE28:DE45">
    <cfRule type="cellIs" dxfId="612" priority="515" operator="lessThan">
      <formula>EX68</formula>
    </cfRule>
    <cfRule type="expression" dxfId="611" priority="516">
      <formula>AND(ISBLANK(DE28),EX68&lt;&gt;"")</formula>
    </cfRule>
  </conditionalFormatting>
  <conditionalFormatting sqref="A28:B45">
    <cfRule type="expression" dxfId="610" priority="518">
      <formula>AND(NOT($BK$1),$B28=0,OR($BJ$1="",$BJ$1="M"))</formula>
    </cfRule>
  </conditionalFormatting>
  <conditionalFormatting sqref="FQ54:FR85">
    <cfRule type="cellIs" dxfId="609" priority="593" stopIfTrue="1" operator="lessThan">
      <formula>0</formula>
    </cfRule>
  </conditionalFormatting>
  <conditionalFormatting sqref="DI14">
    <cfRule type="expression" dxfId="608" priority="520">
      <formula>UPPER(#REF!)="X"</formula>
    </cfRule>
  </conditionalFormatting>
  <conditionalFormatting sqref="DJ14">
    <cfRule type="expression" dxfId="607" priority="521">
      <formula>OR(UPPER(#REF!)="X",UPPER(#REF!="X"))</formula>
    </cfRule>
  </conditionalFormatting>
  <conditionalFormatting sqref="DK14">
    <cfRule type="expression" dxfId="606" priority="550">
      <formula>OR(UPPER(#REF!)="X",UPPER(#REF!="X"))</formula>
    </cfRule>
  </conditionalFormatting>
  <conditionalFormatting sqref="Q2:T4 AU2:AX4">
    <cfRule type="cellIs" dxfId="605" priority="597" stopIfTrue="1" operator="equal">
      <formula>""</formula>
    </cfRule>
  </conditionalFormatting>
  <conditionalFormatting sqref="M7">
    <cfRule type="expression" dxfId="604" priority="598" stopIfTrue="1">
      <formula>OR(ISBLANK($M$7),$M$7="")</formula>
    </cfRule>
    <cfRule type="expression" dxfId="603" priority="599" stopIfTrue="1">
      <formula>AND(LOWER($M$7)&lt;&gt;"std gray primer: one shop coat",LOWER($M$7)&lt;&gt;"gray",$M$7&lt;&gt;"")</formula>
    </cfRule>
  </conditionalFormatting>
  <conditionalFormatting sqref="DA20">
    <cfRule type="expression" dxfId="602" priority="600" stopIfTrue="1">
      <formula>NOT(ISBLANK($DA$20))</formula>
    </cfRule>
  </conditionalFormatting>
  <conditionalFormatting sqref="C28:C45">
    <cfRule type="expression" dxfId="601" priority="123">
      <formula>AND(NOT($BK28),NOT(BR28))</formula>
    </cfRule>
  </conditionalFormatting>
  <conditionalFormatting sqref="U28:U45">
    <cfRule type="expression" dxfId="600" priority="143">
      <formula>AND(NOT($BK28),BV28="No")</formula>
    </cfRule>
  </conditionalFormatting>
  <conditionalFormatting sqref="V28:V45">
    <cfRule type="expression" dxfId="599" priority="293">
      <formula>AND(NOT($BK28),BV28="No")</formula>
    </cfRule>
  </conditionalFormatting>
  <conditionalFormatting sqref="S28:S45">
    <cfRule type="expression" dxfId="598" priority="119">
      <formula>AND(NOT($BK28),BT28="No")</formula>
    </cfRule>
  </conditionalFormatting>
  <conditionalFormatting sqref="T28:T45">
    <cfRule type="expression" dxfId="597" priority="120">
      <formula>AND(NOT($BK28),BT28="No")</formula>
    </cfRule>
  </conditionalFormatting>
  <conditionalFormatting sqref="W28:W45">
    <cfRule type="expression" dxfId="596" priority="36">
      <formula>$W28=0</formula>
    </cfRule>
  </conditionalFormatting>
  <conditionalFormatting sqref="DI15:DI45">
    <cfRule type="expression" dxfId="595" priority="579">
      <formula>FM54="X"</formula>
    </cfRule>
  </conditionalFormatting>
  <conditionalFormatting sqref="DJ15:DJ45">
    <cfRule type="expression" dxfId="594" priority="594">
      <formula>FM54="X"</formula>
    </cfRule>
  </conditionalFormatting>
  <conditionalFormatting sqref="DK15:DK45">
    <cfRule type="expression" dxfId="593" priority="595">
      <formula>FM54="X"</formula>
    </cfRule>
  </conditionalFormatting>
  <conditionalFormatting sqref="DH14:DH45">
    <cfRule type="expression" dxfId="592" priority="15">
      <formula>NOT($FQ14)</formula>
    </cfRule>
    <cfRule type="expression" dxfId="591" priority="596">
      <formula>FJ54="G"</formula>
    </cfRule>
  </conditionalFormatting>
  <conditionalFormatting sqref="DT14:DU45">
    <cfRule type="expression" dxfId="590" priority="977">
      <formula>GD54=0</formula>
    </cfRule>
  </conditionalFormatting>
  <conditionalFormatting sqref="AR87:AS87 AR14:AS45">
    <cfRule type="expression" dxfId="589" priority="979">
      <formula>AND(NOT($BZ14),$FF54)</formula>
    </cfRule>
  </conditionalFormatting>
  <conditionalFormatting sqref="AV87:AW87 AV14:AW45">
    <cfRule type="expression" dxfId="588" priority="980">
      <formula>AND(NOT($BZ14),$FG54)</formula>
    </cfRule>
  </conditionalFormatting>
  <conditionalFormatting sqref="AZ87:BA87 AZ14:BA45">
    <cfRule type="expression" dxfId="587" priority="981">
      <formula>AND(NOT($BZ14),$FH54)</formula>
    </cfRule>
  </conditionalFormatting>
  <conditionalFormatting sqref="BD87:BE87 BD14:BE45">
    <cfRule type="expression" dxfId="586" priority="982">
      <formula>AND(NOT($BZ14),$FI54)</formula>
    </cfRule>
  </conditionalFormatting>
  <conditionalFormatting sqref="DW14:DW45">
    <cfRule type="expression" dxfId="585" priority="986">
      <formula>FF54</formula>
    </cfRule>
  </conditionalFormatting>
  <conditionalFormatting sqref="EA14:EA45">
    <cfRule type="expression" dxfId="584" priority="987">
      <formula>FG54</formula>
    </cfRule>
  </conditionalFormatting>
  <conditionalFormatting sqref="EE14:EE45">
    <cfRule type="expression" dxfId="583" priority="988">
      <formula>FH54</formula>
    </cfRule>
  </conditionalFormatting>
  <conditionalFormatting sqref="EI14:EI45">
    <cfRule type="expression" dxfId="582" priority="989">
      <formula>FI54</formula>
    </cfRule>
  </conditionalFormatting>
  <conditionalFormatting sqref="AD87:AE87 DJ14:DK45 AD14:AE45">
    <cfRule type="expression" dxfId="581" priority="1005">
      <formula>AND(NOT($BZ14),FIND("A",$GK54))</formula>
    </cfRule>
  </conditionalFormatting>
  <conditionalFormatting sqref="AI87:AJ87 DM14:DN45 AI14:AJ45">
    <cfRule type="expression" dxfId="580" priority="1006">
      <formula>AND(NOT($BZ14),FIND("B",$GK54))</formula>
    </cfRule>
  </conditionalFormatting>
  <conditionalFormatting sqref="DL14:DL45">
    <cfRule type="expression" dxfId="579" priority="4">
      <formula>AND(NOT(ISBLANK($DH14)),ISBLANK($DL14))</formula>
    </cfRule>
    <cfRule type="expression" dxfId="578" priority="88">
      <formula>FIND("B",$GK54)</formula>
    </cfRule>
  </conditionalFormatting>
  <conditionalFormatting sqref="DI14:DI45">
    <cfRule type="expression" dxfId="577" priority="1013">
      <formula>NOT($EY14)</formula>
    </cfRule>
  </conditionalFormatting>
  <conditionalFormatting sqref="AC14:AC45">
    <cfRule type="expression" dxfId="576" priority="1020">
      <formula>AND(NOT($BZ14),NOT($EY14))</formula>
    </cfRule>
  </conditionalFormatting>
  <conditionalFormatting sqref="AM14:AM45">
    <cfRule type="expression" dxfId="575" priority="83">
      <formula>AND(NOT($BZ14),AM14&lt;&gt;EZ14)</formula>
    </cfRule>
  </conditionalFormatting>
  <conditionalFormatting sqref="DQ14:DQ45">
    <cfRule type="expression" dxfId="574" priority="82">
      <formula>DQ14&lt;&gt;EZ14</formula>
    </cfRule>
  </conditionalFormatting>
  <conditionalFormatting sqref="DB28:DC45">
    <cfRule type="expression" dxfId="573" priority="81">
      <formula>AND(NOT($BK28),LEN($Z28)&gt;27)</formula>
    </cfRule>
  </conditionalFormatting>
  <conditionalFormatting sqref="FF14:FF45">
    <cfRule type="expression" dxfId="572" priority="89">
      <formula>$FC14=0</formula>
    </cfRule>
  </conditionalFormatting>
  <conditionalFormatting sqref="AD14:AJ45">
    <cfRule type="expression" dxfId="571" priority="80">
      <formula>AND(NOT($BZ14),NOT($FA14))</formula>
    </cfRule>
  </conditionalFormatting>
  <conditionalFormatting sqref="A87">
    <cfRule type="expression" dxfId="570" priority="27" stopIfTrue="1">
      <formula>AND(NOT($BK$1),$B87=0,OR($BJ$1="",$BJ$1="M"))</formula>
    </cfRule>
  </conditionalFormatting>
  <conditionalFormatting sqref="C87">
    <cfRule type="expression" dxfId="569" priority="24" stopIfTrue="1">
      <formula>AND(NOT($BK87),NOT(BR87))</formula>
    </cfRule>
  </conditionalFormatting>
  <conditionalFormatting sqref="U87">
    <cfRule type="expression" dxfId="568" priority="25" stopIfTrue="1">
      <formula>AND(NOT($BK87),BV87="No")</formula>
    </cfRule>
  </conditionalFormatting>
  <conditionalFormatting sqref="V87">
    <cfRule type="expression" dxfId="567" priority="26" stopIfTrue="1">
      <formula>AND(NOT($BK87),BV87="No")</formula>
    </cfRule>
  </conditionalFormatting>
  <conditionalFormatting sqref="S87">
    <cfRule type="expression" dxfId="566" priority="22" stopIfTrue="1">
      <formula>AND(NOT($BK87),BT87="No")</formula>
    </cfRule>
  </conditionalFormatting>
  <conditionalFormatting sqref="T87">
    <cfRule type="expression" dxfId="565" priority="23" stopIfTrue="1">
      <formula>AND(NOT($BK87),BT87="No")</formula>
    </cfRule>
  </conditionalFormatting>
  <conditionalFormatting sqref="W87">
    <cfRule type="expression" dxfId="564" priority="16">
      <formula>$W87=0</formula>
    </cfRule>
  </conditionalFormatting>
  <conditionalFormatting sqref="AC87">
    <cfRule type="expression" dxfId="563" priority="34">
      <formula>AND(NOT($BZ87),NOT($EY87))</formula>
    </cfRule>
  </conditionalFormatting>
  <conditionalFormatting sqref="AM87">
    <cfRule type="expression" dxfId="562" priority="21">
      <formula>AND(NOT($BZ87),AM87&lt;&gt;EZ87)</formula>
    </cfRule>
  </conditionalFormatting>
  <conditionalFormatting sqref="AD87:AJ87">
    <cfRule type="expression" dxfId="561" priority="20">
      <formula>AND(NOT($BZ87),NOT($FA87))</formula>
    </cfRule>
  </conditionalFormatting>
  <conditionalFormatting sqref="A87 CB28:DA45 C87:AA87">
    <cfRule type="expression" dxfId="560" priority="17">
      <formula>$FN28</formula>
    </cfRule>
  </conditionalFormatting>
  <conditionalFormatting sqref="AB87:BG87">
    <cfRule type="expression" dxfId="559" priority="19">
      <formula>$CA87</formula>
    </cfRule>
  </conditionalFormatting>
  <conditionalFormatting sqref="Z87">
    <cfRule type="expression" dxfId="558" priority="18">
      <formula>AND(NOT($BK87),LEN($Z87)&gt;27)</formula>
    </cfRule>
  </conditionalFormatting>
  <conditionalFormatting sqref="DH14:EK45 AB14:BG45">
    <cfRule type="expression" dxfId="557" priority="1208">
      <formula>$FP14</formula>
    </cfRule>
  </conditionalFormatting>
  <conditionalFormatting sqref="A28:Y45 AA28:AA45">
    <cfRule type="expression" dxfId="556" priority="1215">
      <formula>$FN28</formula>
    </cfRule>
  </conditionalFormatting>
  <conditionalFormatting sqref="CB28:CB45">
    <cfRule type="expression" dxfId="555" priority="5">
      <formula>NOT($FO28)</formula>
    </cfRule>
  </conditionalFormatting>
  <conditionalFormatting sqref="A28:A45">
    <cfRule type="expression" dxfId="554" priority="13">
      <formula>NOT($FO28)</formula>
    </cfRule>
  </conditionalFormatting>
  <conditionalFormatting sqref="AB14:AB45">
    <cfRule type="expression" dxfId="553" priority="12">
      <formula>NOT($FQ14)</formula>
    </cfRule>
  </conditionalFormatting>
  <conditionalFormatting sqref="Z28:Z45">
    <cfRule type="expression" dxfId="552" priority="7">
      <formula>$FN28</formula>
    </cfRule>
  </conditionalFormatting>
  <conditionalFormatting sqref="Z28:Z45">
    <cfRule type="expression" dxfId="551" priority="8">
      <formula>AND(NOT($BK28),LEN($Z28)&gt;27)</formula>
    </cfRule>
  </conditionalFormatting>
  <conditionalFormatting sqref="GA28:GB45">
    <cfRule type="expression" dxfId="550" priority="6" stopIfTrue="1">
      <formula>$GM28&gt;=0.125</formula>
    </cfRule>
  </conditionalFormatting>
  <conditionalFormatting sqref="CB28:CC45">
    <cfRule type="expression" dxfId="549" priority="14">
      <formula>AND(NOT($BK$1),$B28=0,OR($BJ$1="",$BJ$1="M"))</formula>
    </cfRule>
  </conditionalFormatting>
  <conditionalFormatting sqref="DB28:DE45">
    <cfRule type="expression" dxfId="548" priority="1621">
      <formula>$FN28</formula>
    </cfRule>
  </conditionalFormatting>
  <conditionalFormatting sqref="CJ28:CJ45">
    <cfRule type="expression" dxfId="547" priority="1641">
      <formula>AND(NOT($BK28),OR($CC68="M",$CC68="C",$CC68="G"))</formula>
    </cfRule>
    <cfRule type="expression" dxfId="546" priority="1642">
      <formula>AND(NOT($BK28),AND(OR($CC68="B",$CC68="G"),CJ28="",CK28=""))</formula>
    </cfRule>
    <cfRule type="expression" dxfId="545" priority="1643">
      <formula>AND(NOT($BK28),EG68="ERR")</formula>
    </cfRule>
  </conditionalFormatting>
  <conditionalFormatting sqref="CK28:CK45">
    <cfRule type="expression" dxfId="544" priority="1644">
      <formula>AND(NOT($BK28),OR($CC68="M",$CC68="C",$CC68="G"))</formula>
    </cfRule>
    <cfRule type="expression" dxfId="543" priority="1645">
      <formula>AND(NOT($BK28),AND(OR($CC68="B",$CC68="G"),CJ28="",CK28=""))</formula>
    </cfRule>
    <cfRule type="expression" dxfId="542" priority="1646">
      <formula>AND(NOT($BK28),EG68="ERR")</formula>
    </cfRule>
  </conditionalFormatting>
  <conditionalFormatting sqref="CH28:CH45">
    <cfRule type="expression" dxfId="541" priority="1655">
      <formula>AND(NOT($BK28),OR($CC68="M",$CC68="C"))</formula>
    </cfRule>
    <cfRule type="expression" dxfId="540" priority="1656">
      <formula>AND(NOT($BK28),AND(CH28="",CI28="",OR($CC68="B",$CC68="G")))</formula>
    </cfRule>
    <cfRule type="expression" dxfId="539" priority="1657">
      <formula>AND(NOT($BK28),(CH28/2)/COS(RADIANS(CL28))+CD68-DC68&lt;$FB$4)</formula>
    </cfRule>
  </conditionalFormatting>
  <conditionalFormatting sqref="CI28:CI45">
    <cfRule type="expression" dxfId="538" priority="1658">
      <formula>AND(NOT($BK28),OR($CC68="M",$CC68="C"))</formula>
    </cfRule>
    <cfRule type="expression" dxfId="537" priority="1659">
      <formula>AND(NOT($BK28),AND(CH28="",CI28="",OR($CC68="B",$CC68="G")))</formula>
    </cfRule>
    <cfRule type="expression" dxfId="536" priority="1660">
      <formula>AND(NOT($BK28),(CI28/2)/COS(RADIANS(CL28))+CD68-DC68&lt;$FB$4)</formula>
    </cfRule>
  </conditionalFormatting>
  <conditionalFormatting sqref="CT28:CT45">
    <cfRule type="expression" dxfId="535" priority="1679">
      <formula>AND(NOT($BK28),OR($CL68="M",$CL68="C",$CL68="G"))</formula>
    </cfRule>
    <cfRule type="expression" dxfId="534" priority="1680">
      <formula>AND(NOT($BK28),AND(OR($CL68="B",$CL68="G"),CT28="",CU28=""))</formula>
    </cfRule>
    <cfRule type="expression" dxfId="533" priority="1681">
      <formula>AND(NOT($BK28),EJ68="ERR")</formula>
    </cfRule>
  </conditionalFormatting>
  <conditionalFormatting sqref="CU28:CU45">
    <cfRule type="expression" dxfId="532" priority="1682">
      <formula>AND(NOT($BK28),OR($CL68="M",$CL68="C",$CL68="G"))</formula>
    </cfRule>
    <cfRule type="expression" dxfId="531" priority="1683">
      <formula>AND(NOT($BK28),AND(OR($CL68="B",$CL68="G"),CT28="",CU28=""))</formula>
    </cfRule>
    <cfRule type="expression" dxfId="530" priority="1684">
      <formula>AND(NOT($BK28),EJ68="ERR")</formula>
    </cfRule>
  </conditionalFormatting>
  <conditionalFormatting sqref="CR28:CR45">
    <cfRule type="expression" dxfId="529" priority="1687">
      <formula>AND(NOT($BK28),OR($CL68="M",$CL68="C"))</formula>
    </cfRule>
    <cfRule type="expression" dxfId="528" priority="1688">
      <formula>AND(NOT($BK28),AND(CR28="",CS28="",OR($CL68="B",$CL68="G")))</formula>
    </cfRule>
    <cfRule type="expression" dxfId="527" priority="1689">
      <formula>AND(NOT($BK28),(CR28/2)/COS(RADIANS(CV28))+CM68-DI68&lt;$FB$4)</formula>
    </cfRule>
  </conditionalFormatting>
  <conditionalFormatting sqref="CS28:CS45">
    <cfRule type="expression" dxfId="526" priority="1690">
      <formula>AND(NOT($BK28),OR($CL68="M",$CL68="C"))</formula>
    </cfRule>
    <cfRule type="expression" dxfId="525" priority="1691">
      <formula>AND(NOT($BK28),AND(CR28="",CS28="",OR($CL68="B",$CL68="G")))</formula>
    </cfRule>
    <cfRule type="expression" dxfId="524" priority="1692">
      <formula>AND(NOT($BK28),(CS28/2)/COS(RADIANS(CV28))+CM68-DI68&lt;$FB$4)</formula>
    </cfRule>
  </conditionalFormatting>
  <conditionalFormatting sqref="CW28:CW45 CM28:CM45">
    <cfRule type="expression" dxfId="523" priority="1716">
      <formula>AND(NOT($BK28),AND(ISBLANK(CM28),AND(NOT(ISBLANK(CL28)),$DA28&lt;&gt;0)))</formula>
    </cfRule>
  </conditionalFormatting>
  <conditionalFormatting sqref="CO28:CO45">
    <cfRule type="expression" dxfId="522" priority="1896">
      <formula>ET28&lt;&gt;""</formula>
    </cfRule>
  </conditionalFormatting>
  <conditionalFormatting sqref="CY28:CY45">
    <cfRule type="expression" dxfId="521" priority="1897">
      <formula>EU28&lt;&gt;""</formula>
    </cfRule>
  </conditionalFormatting>
  <conditionalFormatting sqref="DC28:DC45">
    <cfRule type="expression" dxfId="520" priority="1898">
      <formula>OR(EN28&lt;&gt;"",EO28&lt;&gt;"",EP28&lt;&gt;"",EQ28&lt;&gt;"",ER28&lt;&gt;"",ES28&lt;&gt;"",ET28&lt;&gt;"",EU28&lt;&gt;"")</formula>
    </cfRule>
  </conditionalFormatting>
  <conditionalFormatting sqref="CG28:CG45">
    <cfRule type="expression" dxfId="519" priority="1899">
      <formula>AND(NOT($BK28),ISERROR(CC68))</formula>
    </cfRule>
    <cfRule type="expression" dxfId="518" priority="1900">
      <formula>AND(NOT($BK28),OR(ISERROR(CC68),CC68="", ET28&lt;&gt;""))</formula>
    </cfRule>
  </conditionalFormatting>
  <conditionalFormatting sqref="CQ28:CQ45">
    <cfRule type="expression" dxfId="517" priority="1901">
      <formula>AND(NOT($BK28),ISERROR(CL68))</formula>
    </cfRule>
    <cfRule type="expression" dxfId="516" priority="1902">
      <formula>AND(NOT($BK28),OR(CL68="", EU28&lt;&gt;""))</formula>
    </cfRule>
  </conditionalFormatting>
  <conditionalFormatting sqref="GA48:GB48">
    <cfRule type="expression" dxfId="515" priority="3" stopIfTrue="1">
      <formula>$GM48&gt;=0.125</formula>
    </cfRule>
  </conditionalFormatting>
  <conditionalFormatting sqref="B87">
    <cfRule type="expression" dxfId="514" priority="1">
      <formula>AND(NOT($BK$1),$B87=0,OR($BJ$1="",$BJ$1="M"))</formula>
    </cfRule>
  </conditionalFormatting>
  <conditionalFormatting sqref="B87">
    <cfRule type="expression" dxfId="513" priority="2">
      <formula>$FN87</formula>
    </cfRule>
  </conditionalFormatting>
  <dataValidations count="18">
    <dataValidation type="list" allowBlank="1" showInputMessage="1" sqref="M7:S7 DA20" xr:uid="{00000000-0002-0000-0A00-000000000000}">
      <formula1>"Std Gray Primer: One Shop Coat,NO Shop Primer,NO Shop Primer - GALV,Std Gray Primer: xx Shop Coats"</formula1>
    </dataValidation>
    <dataValidation type="whole" operator="greaterThanOrEqual" allowBlank="1" showErrorMessage="1" errorTitle="Dimensional Error" error="&quot;Feet&quot; can only be whole numbers." sqref="DJ14:DJ45 DM14:DM45 D28:D45 G28:G45 J28:J45 S28:S45 U28:U45 AI87 CE28:CE45 D87 G87 J87 S87 U87 AD87 AG87 AD14:AD45 AG14:AG45 AI14:AI45" xr:uid="{00000000-0002-0000-0A00-000001000000}">
      <formula1>0</formula1>
    </dataValidation>
    <dataValidation type="whole" operator="greaterThanOrEqual" allowBlank="1" showErrorMessage="1" errorTitle="Error" error="&quot;Number of Panels&quot; can only be whole numbers." sqref="DL14:DL45 AF87 AF14:AF45" xr:uid="{00000000-0002-0000-0A00-000002000000}">
      <formula1>0</formula1>
    </dataValidation>
    <dataValidation type="custom" allowBlank="1" showErrorMessage="1" errorTitle="Error" error="Value must  be either a whole number OR the string &quot;P&quot;." sqref="DV14:DV45 BD87 ED14:ED45 EH14:EH45 AZ87 AR87 AV87 DZ14:DZ45 BD14:BD45 AZ14:AZ45 AV14:AV45 AR14:AR45" xr:uid="{00000000-0002-0000-0A00-000003000000}">
      <formula1>IF(ISERROR(INT(AR14)),AR14="P",INT(AR14)=AR14)</formula1>
    </dataValidation>
    <dataValidation type="decimal" allowBlank="1" showInputMessage="1" showErrorMessage="1" errorTitle="Dimensional Error" error="&quot;Inches&quot; must be a number from 0 to 11.875." sqref="CF28:CF45 E28:E45 H28:H45 K28:K45 T28:T45 V28:V45 AJ87 E87 H87 K87 T87 V87 AE87 AH87 AE14:AE45 AH14:AH45 AJ14:AJ45 DT14:DU45 DK14:DK45 DN14:DN45" xr:uid="{00000000-0002-0000-0A00-000004000000}">
      <formula1>0</formula1>
      <formula2>11.875</formula2>
    </dataValidation>
    <dataValidation type="decimal" operator="greaterThanOrEqual" allowBlank="1" showInputMessage="1" showErrorMessage="1" errorTitle="Dimensional Error" error="&quot;Inches&quot; must be a number." sqref="CH28:CK45 CR28:CU45" xr:uid="{00000000-0002-0000-0A00-000005000000}">
      <formula1>0</formula1>
    </dataValidation>
    <dataValidation type="decimal" operator="notEqual" allowBlank="1" showInputMessage="1" showErrorMessage="1" errorTitle="Input Error" error="Enter + or - Numbers Only._x000a_Do NOT use &quot;&lt;&quot; or &quot;&gt;&quot;." sqref="X28:Y45 X87:Y87" xr:uid="{00000000-0002-0000-0A00-000006000000}">
      <formula1>0</formula1>
    </dataValidation>
    <dataValidation type="decimal" operator="lessThanOrEqual" allowBlank="1" showInputMessage="1" showErrorMessage="1" errorTitle="BL Over-Ride Error!" error="Base Length can't be past Girder Overall Length!  See section for Maximum Over-Ride Dimension." sqref="CO28:CO45" xr:uid="{00000000-0002-0000-0A00-000008000000}">
      <formula1>$CD68</formula1>
    </dataValidation>
    <dataValidation type="decimal" operator="lessThanOrEqual" allowBlank="1" showInputMessage="1" showErrorMessage="1" errorTitle="BL Over-Ride Error!" error="Base Length can't be past Girder Overall Length!  See section for Maximum Over-Ride Dimension." sqref="CY28:CY45" xr:uid="{00000000-0002-0000-0A00-00000A000000}">
      <formula1>$CM68</formula1>
    </dataValidation>
    <dataValidation type="list" allowBlank="1" showInputMessage="1" showErrorMessage="1" errorTitle="Input Error" error="The Only Valid Entries For This Column is &quot;N&quot;, &quot;F&quot; or &quot;B&quot;." sqref="AL14:AL45 AC14:AC45 AY14:AY45 BC14:BC45 BG14:BG45 AU14:AU45" xr:uid="{00000000-0002-0000-0A00-00000B000000}">
      <formula1>"N,F,B"</formula1>
    </dataValidation>
    <dataValidation type="whole" allowBlank="1" showInputMessage="1" showErrorMessage="1" errorTitle="Input Error:" error="Enter Number of &quot;Sixteenths&quot; of an Inch for the Hole Diameter._x000a_Ex: &quot;9&quot; = 9/16&quot; Hole._x000a_    &quot;13&quot; = 13/16&quot; Hole." sqref="AN14:AN45" xr:uid="{00000000-0002-0000-0A00-00000C000000}">
      <formula1>9</formula1>
      <formula2>17</formula2>
    </dataValidation>
    <dataValidation type="decimal" operator="greaterThanOrEqual" allowBlank="1" showInputMessage="1" showErrorMessage="1" errorTitle="Input Error" error="Enter a numeric value greater than 1/2&quot;." sqref="AP14:AQ45" xr:uid="{00000000-0002-0000-0A00-00000D000000}">
      <formula1>0.75</formula1>
    </dataValidation>
    <dataValidation type="decimal" allowBlank="1" showInputMessage="1" showErrorMessage="1" errorTitle="Input Error" error="Numeric Values Only!" sqref="GC28:GD45 GC48:GD48 CN28:CN45 CX28:CX45" xr:uid="{C431BA13-A52E-4BEF-955C-9DE68F42E0F3}">
      <formula1>-1200</formula1>
      <formula2>1200</formula2>
    </dataValidation>
    <dataValidation type="whole" operator="greaterThanOrEqual" allowBlank="1" showInputMessage="1" showErrorMessage="1" errorTitle="Input Error" error="Positive Integers Only!" sqref="GA28:GA45 GA48" xr:uid="{22D9E5CE-F492-43B1-9EB9-7CDF1E21AFC0}">
      <formula1>0</formula1>
    </dataValidation>
    <dataValidation allowBlank="1" showInputMessage="1" showErrorMessage="1" errorTitle="Input Error" error="Numbers from 0&quot; to 11 7/8&quot; only!" sqref="GB28:GB45 GB48" xr:uid="{0B25C1C4-FC96-4ED9-8B54-20757BBD0015}"/>
    <dataValidation type="decimal" operator="greaterThan" allowBlank="1" showInputMessage="1" showErrorMessage="1" errorTitle="Input Error" error="Positive Numeric Values Only!" sqref="CP28:CP45 CZ28:CZ45" xr:uid="{FA712648-45F9-4FEF-BCAB-71847183FB70}">
      <formula1>0</formula1>
    </dataValidation>
    <dataValidation type="whole" operator="notBetween" allowBlank="1" showInputMessage="1" showErrorMessage="1" sqref="B87" xr:uid="{16CD44ED-F011-4FD2-BA96-5F94A838DADB}">
      <formula1>-10001</formula1>
      <formula2>-10000</formula2>
    </dataValidation>
    <dataValidation type="whole" operator="greaterThan" allowBlank="1" showInputMessage="1" showErrorMessage="1" errorTitle="Quantity Error" error="Value must be an integer greater than -1000." sqref="B28:B45 CC28:CC45" xr:uid="{38B9E6FA-B51F-4A73-BA12-0B5B6C59828E}">
      <formula1>-1001</formula1>
    </dataValidation>
  </dataValidations>
  <printOptions horizontalCentered="1"/>
  <pageMargins left="0.3" right="0.3" top="0.5" bottom="0.5" header="0" footer="0.25"/>
  <pageSetup scale="70" pageOrder="overThenDown" orientation="landscape" r:id="rId1"/>
  <headerFooter alignWithMargins="0">
    <oddFooter>&amp;R&amp;7Printed: &amp;D &amp;T&amp;L&amp;7Version: 21.0428
File: &amp;F</oddFooter>
  </headerFooter>
  <colBreaks count="1" manualBreakCount="1">
    <brk id="27" max="44" man="1"/>
  </colBreaks>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8">
    <tabColor indexed="42"/>
  </sheetPr>
  <dimension ref="A1:AAD111"/>
  <sheetViews>
    <sheetView showGridLines="0" topLeftCell="CB1" zoomScaleNormal="100" zoomScaleSheetLayoutView="75" workbookViewId="0">
      <selection activeCell="CB14" sqref="CB14"/>
    </sheetView>
  </sheetViews>
  <sheetFormatPr defaultColWidth="0" defaultRowHeight="12.75" x14ac:dyDescent="0.2"/>
  <cols>
    <col min="1" max="1" width="5.7109375" style="46" customWidth="1"/>
    <col min="2" max="2" width="4.28515625" style="46" customWidth="1"/>
    <col min="3" max="3" width="15.28515625" style="46" customWidth="1"/>
    <col min="4" max="4" width="3.7109375" style="46" customWidth="1"/>
    <col min="5" max="5" width="4.42578125" style="46" customWidth="1"/>
    <col min="6" max="6" width="4.7109375" style="46" customWidth="1"/>
    <col min="7" max="7" width="3" style="46" customWidth="1"/>
    <col min="8" max="8" width="4.42578125" style="46" customWidth="1"/>
    <col min="9" max="10" width="3" style="46" customWidth="1"/>
    <col min="11" max="11" width="4.42578125" style="46" customWidth="1"/>
    <col min="12" max="12" width="3" style="46" customWidth="1"/>
    <col min="13" max="14" width="4.28515625" style="46" customWidth="1"/>
    <col min="15" max="15" width="3.28515625" style="46" customWidth="1"/>
    <col min="16" max="16" width="5" style="46" customWidth="1"/>
    <col min="17" max="17" width="3.28515625" style="46" customWidth="1"/>
    <col min="18" max="18" width="5" style="46" customWidth="1"/>
    <col min="19" max="19" width="2.85546875" style="46" customWidth="1"/>
    <col min="20" max="20" width="4.42578125" style="46" customWidth="1"/>
    <col min="21" max="21" width="2.85546875" style="46" customWidth="1"/>
    <col min="22" max="22" width="4.42578125" style="46" customWidth="1"/>
    <col min="23" max="23" width="4.28515625" style="46" customWidth="1"/>
    <col min="24" max="25" width="4.7109375" style="46" customWidth="1"/>
    <col min="26" max="26" width="18.5703125" style="46" customWidth="1"/>
    <col min="27" max="27" width="4" style="46" customWidth="1"/>
    <col min="28" max="28" width="5.7109375" style="46" customWidth="1"/>
    <col min="29" max="29" width="3.28515625" style="46" customWidth="1"/>
    <col min="30" max="30" width="3" style="46" customWidth="1"/>
    <col min="31" max="31" width="4.42578125" style="46" customWidth="1"/>
    <col min="32" max="32" width="3.42578125" style="46" customWidth="1"/>
    <col min="33" max="33" width="3" style="46" customWidth="1"/>
    <col min="34" max="34" width="4.42578125" style="46" customWidth="1"/>
    <col min="35" max="35" width="3" style="46" customWidth="1"/>
    <col min="36" max="37" width="4.42578125" style="46" customWidth="1"/>
    <col min="38" max="38" width="5" style="46" customWidth="1"/>
    <col min="39" max="39" width="4.42578125" style="46" customWidth="1"/>
    <col min="40" max="40" width="5.28515625" style="46" customWidth="1"/>
    <col min="41" max="43" width="4.42578125" style="46" customWidth="1"/>
    <col min="44" max="44" width="3.7109375" style="46" customWidth="1"/>
    <col min="45" max="47" width="4.42578125" style="46" customWidth="1"/>
    <col min="48" max="48" width="3.7109375" style="46" customWidth="1"/>
    <col min="49" max="51" width="4.42578125" style="46" customWidth="1"/>
    <col min="52" max="52" width="3.7109375" style="46" customWidth="1"/>
    <col min="53" max="55" width="4.42578125" style="46" customWidth="1"/>
    <col min="56" max="56" width="3.7109375" style="46" customWidth="1"/>
    <col min="57" max="59" width="4.42578125" style="46" customWidth="1"/>
    <col min="60" max="60" width="4.7109375" style="176" customWidth="1"/>
    <col min="61" max="61" width="5.7109375" style="1" hidden="1" customWidth="1"/>
    <col min="62" max="62" width="6.7109375" style="46" hidden="1" customWidth="1"/>
    <col min="63" max="66" width="4.7109375" style="46" hidden="1" customWidth="1"/>
    <col min="67" max="67" width="8" style="46" hidden="1" customWidth="1"/>
    <col min="68" max="68" width="7.85546875" style="46" hidden="1" customWidth="1"/>
    <col min="69" max="71" width="4.7109375" style="46" hidden="1" customWidth="1"/>
    <col min="72" max="72" width="6.7109375" style="46" hidden="1" customWidth="1"/>
    <col min="73" max="73" width="4.7109375" style="46" hidden="1" customWidth="1"/>
    <col min="74" max="78" width="6.7109375" style="46" hidden="1" customWidth="1"/>
    <col min="79" max="79" width="5.7109375" style="46" customWidth="1"/>
    <col min="80" max="80" width="6.7109375" style="46" customWidth="1"/>
    <col min="81" max="81" width="4.7109375" style="46" customWidth="1"/>
    <col min="82" max="82" width="15.7109375" style="46" customWidth="1"/>
    <col min="83" max="83" width="4.7109375" style="46" customWidth="1"/>
    <col min="84" max="84" width="5.7109375" style="46" customWidth="1"/>
    <col min="85" max="85" width="3.7109375" style="46" customWidth="1"/>
    <col min="86" max="89" width="5.28515625" style="46" customWidth="1"/>
    <col min="90" max="90" width="4.7109375" style="46" customWidth="1"/>
    <col min="91" max="91" width="5.7109375" style="46" customWidth="1"/>
    <col min="92" max="93" width="6" style="46" customWidth="1"/>
    <col min="94" max="94" width="4.7109375" style="46" customWidth="1"/>
    <col min="95" max="95" width="3.7109375" style="46" customWidth="1"/>
    <col min="96" max="99" width="5.28515625" style="46" customWidth="1"/>
    <col min="100" max="100" width="4.7109375" style="46" customWidth="1"/>
    <col min="101" max="101" width="5.7109375" style="46" customWidth="1"/>
    <col min="102" max="103" width="6" style="46" customWidth="1"/>
    <col min="104" max="104" width="4.7109375" style="46" customWidth="1"/>
    <col min="105" max="105" width="5.7109375" style="46" customWidth="1"/>
    <col min="106" max="106" width="15.7109375" style="46" customWidth="1"/>
    <col min="107" max="107" width="22.28515625" style="46" customWidth="1"/>
    <col min="108" max="109" width="4.7109375" style="46" customWidth="1"/>
    <col min="110" max="111" width="1.7109375" style="46" customWidth="1"/>
    <col min="112" max="112" width="5.7109375" style="46" customWidth="1"/>
    <col min="113" max="113" width="4.7109375" style="46" customWidth="1"/>
    <col min="114" max="114" width="3.7109375" style="46" customWidth="1"/>
    <col min="115" max="115" width="5.7109375" style="46" customWidth="1"/>
    <col min="116" max="116" width="2.7109375" style="46" customWidth="1"/>
    <col min="117" max="117" width="3.7109375" style="46" customWidth="1"/>
    <col min="118" max="118" width="5.7109375" style="46" customWidth="1"/>
    <col min="119" max="119" width="3.7109375" style="46" customWidth="1"/>
    <col min="120" max="120" width="4.7109375" style="46" customWidth="1"/>
    <col min="121" max="121" width="5.28515625" style="46" customWidth="1"/>
    <col min="122" max="125" width="4.28515625" style="46" customWidth="1"/>
    <col min="126" max="126" width="4.7109375" style="46" customWidth="1"/>
    <col min="127" max="127" width="5.7109375" style="46" customWidth="1"/>
    <col min="128" max="128" width="3.7109375" style="46" customWidth="1"/>
    <col min="129" max="129" width="3" style="46" customWidth="1"/>
    <col min="130" max="130" width="4.7109375" style="46" customWidth="1"/>
    <col min="131" max="131" width="5.7109375" style="46" customWidth="1"/>
    <col min="132" max="132" width="3.7109375" style="46" customWidth="1"/>
    <col min="133" max="133" width="3" style="46" customWidth="1"/>
    <col min="134" max="134" width="4.7109375" style="46" customWidth="1"/>
    <col min="135" max="135" width="5.7109375" style="46" customWidth="1"/>
    <col min="136" max="136" width="3.7109375" style="46" customWidth="1"/>
    <col min="137" max="137" width="3" style="46" customWidth="1"/>
    <col min="138" max="138" width="4.7109375" style="46" customWidth="1"/>
    <col min="139" max="139" width="5.7109375" style="46" customWidth="1"/>
    <col min="140" max="140" width="3.7109375" style="46" customWidth="1"/>
    <col min="141" max="141" width="3" style="46" customWidth="1"/>
    <col min="142" max="142" width="2.28515625" style="46" customWidth="1"/>
    <col min="143" max="143" width="6.7109375" style="46" customWidth="1"/>
    <col min="144" max="144" width="8.7109375" style="57" customWidth="1"/>
    <col min="145" max="145" width="8.7109375" style="46" customWidth="1"/>
    <col min="146" max="146" width="10.7109375" style="46" customWidth="1"/>
    <col min="147" max="147" width="6.7109375" style="46" customWidth="1"/>
    <col min="148" max="149" width="5.42578125" style="46" customWidth="1"/>
    <col min="150" max="151" width="4.28515625" style="46" customWidth="1"/>
    <col min="152" max="152" width="6.7109375" style="46" customWidth="1"/>
    <col min="153" max="177" width="8.7109375" style="46" hidden="1" customWidth="1"/>
    <col min="178" max="178" width="6.7109375" style="46" hidden="1" customWidth="1"/>
    <col min="179" max="181" width="8.7109375" style="46" hidden="1" customWidth="1"/>
    <col min="182" max="182" width="4.7109375" style="46" customWidth="1"/>
    <col min="183" max="183" width="5.28515625" style="46" customWidth="1"/>
    <col min="184" max="184" width="6.28515625" style="46" customWidth="1"/>
    <col min="185" max="187" width="8.7109375" style="46" customWidth="1"/>
    <col min="188" max="188" width="5.7109375" style="46" customWidth="1"/>
    <col min="189" max="189" width="5.28515625" style="46" customWidth="1"/>
    <col min="190" max="190" width="6.28515625" style="46" customWidth="1"/>
    <col min="191" max="191" width="5.28515625" style="46" hidden="1" customWidth="1"/>
    <col min="192" max="192" width="6.28515625" style="46" hidden="1" customWidth="1"/>
    <col min="193" max="195" width="8.7109375" style="46" hidden="1" customWidth="1"/>
    <col min="196" max="196" width="4.7109375" style="46" customWidth="1"/>
    <col min="197" max="198" width="8.7109375" style="46" hidden="1" customWidth="1"/>
    <col min="199" max="199" width="6.7109375" style="46" hidden="1" customWidth="1"/>
    <col min="200" max="206" width="8.7109375" style="46" hidden="1" customWidth="1"/>
    <col min="207" max="207" width="8.7109375" style="46" customWidth="1"/>
    <col min="208" max="208" width="8.7109375" style="46" hidden="1" customWidth="1"/>
    <col min="209" max="211" width="8.7109375" style="57" hidden="1" customWidth="1"/>
    <col min="212" max="212" width="8.7109375" style="47" hidden="1" customWidth="1"/>
    <col min="213" max="213" width="8.7109375" style="48" hidden="1" customWidth="1"/>
    <col min="214" max="232" width="8.7109375" style="57" hidden="1" customWidth="1"/>
    <col min="233" max="255" width="8.7109375" style="46" hidden="1" customWidth="1"/>
    <col min="256" max="260" width="6.7109375" style="46" hidden="1" customWidth="1"/>
    <col min="261" max="275" width="4.7109375" style="46" hidden="1" customWidth="1"/>
    <col min="276" max="701" width="4.7109375" style="46" customWidth="1"/>
    <col min="702" max="706" width="6.7109375" style="46" customWidth="1"/>
    <col min="707" max="16384" width="6.7109375" style="46" hidden="1"/>
  </cols>
  <sheetData>
    <row r="1" spans="1:276" s="148" customFormat="1" ht="14.45" customHeight="1" thickBot="1" x14ac:dyDescent="0.25">
      <c r="A1" s="308"/>
      <c r="B1" s="308"/>
      <c r="C1" s="308"/>
      <c r="D1" s="308"/>
      <c r="E1" s="308"/>
      <c r="F1" s="308"/>
      <c r="G1" s="308"/>
      <c r="H1" s="308"/>
      <c r="I1" s="308"/>
      <c r="J1" s="308"/>
      <c r="K1" s="308"/>
      <c r="L1" s="308"/>
      <c r="M1" s="308"/>
      <c r="N1" s="308"/>
      <c r="O1" s="308"/>
      <c r="P1" s="308"/>
      <c r="Q1" s="1705" t="e">
        <f>IF(BJ1="","",VLOOKUP(BJ1,#REF!,4,FALSE))</f>
        <v>#REF!</v>
      </c>
      <c r="R1" s="1705"/>
      <c r="S1" s="1705"/>
      <c r="T1" s="1705"/>
      <c r="U1" s="308"/>
      <c r="V1" s="299"/>
      <c r="W1" s="2032" t="s">
        <v>77</v>
      </c>
      <c r="X1" s="2032"/>
      <c r="Y1" s="2032"/>
      <c r="Z1" s="1014" t="s">
        <v>76</v>
      </c>
      <c r="AA1" s="298"/>
      <c r="AB1" s="308"/>
      <c r="AC1" s="308"/>
      <c r="AD1" s="308"/>
      <c r="AE1" s="308"/>
      <c r="AF1" s="308"/>
      <c r="AG1" s="308"/>
      <c r="AH1" s="308"/>
      <c r="AI1" s="308"/>
      <c r="AJ1" s="308"/>
      <c r="AK1" s="308"/>
      <c r="AL1" s="308"/>
      <c r="AM1" s="308"/>
      <c r="AN1" s="308"/>
      <c r="AO1" s="308"/>
      <c r="AP1" s="308"/>
      <c r="AQ1" s="298"/>
      <c r="AR1" s="308"/>
      <c r="AS1" s="308"/>
      <c r="AT1" s="308"/>
      <c r="AU1" s="1705" t="e">
        <f>Q1</f>
        <v>#REF!</v>
      </c>
      <c r="AV1" s="1705"/>
      <c r="AW1" s="1705"/>
      <c r="AX1" s="1705"/>
      <c r="AY1" s="308"/>
      <c r="AZ1" s="308"/>
      <c r="BA1" s="2032" t="s">
        <v>77</v>
      </c>
      <c r="BB1" s="2032"/>
      <c r="BC1" s="2032"/>
      <c r="BD1" s="1709" t="e">
        <f>#REF!</f>
        <v>#REF!</v>
      </c>
      <c r="BE1" s="1709"/>
      <c r="BF1" s="1709"/>
      <c r="BG1" s="401"/>
      <c r="BH1" s="426" t="s">
        <v>375</v>
      </c>
      <c r="BI1" s="303"/>
      <c r="BJ1" s="150" t="e">
        <f>#REF!</f>
        <v>#REF!</v>
      </c>
      <c r="BK1" s="150" t="e">
        <f>#REF!</f>
        <v>#REF!</v>
      </c>
      <c r="BL1" s="709" t="s">
        <v>559</v>
      </c>
      <c r="CA1" s="427" t="s">
        <v>377</v>
      </c>
      <c r="CB1" s="151"/>
      <c r="CC1" s="151"/>
      <c r="CD1" s="151"/>
      <c r="CE1" s="151"/>
      <c r="CF1" s="151"/>
      <c r="CG1" s="151"/>
      <c r="CH1" s="151"/>
      <c r="CI1" s="151"/>
      <c r="CJ1" s="151"/>
      <c r="CK1" s="151"/>
      <c r="CL1" s="151"/>
      <c r="CM1" s="151"/>
      <c r="CN1" s="151"/>
      <c r="CO1" s="152"/>
      <c r="CP1" s="152"/>
      <c r="CQ1" s="152"/>
      <c r="CR1" s="152"/>
      <c r="CS1" s="152"/>
      <c r="CT1" s="152"/>
      <c r="CU1" s="152"/>
      <c r="CV1" s="152"/>
      <c r="CW1" s="152"/>
      <c r="CX1" s="146"/>
      <c r="CY1" s="152"/>
      <c r="CZ1" s="152"/>
      <c r="DA1" s="151"/>
      <c r="DB1" s="151"/>
      <c r="DC1" s="151"/>
      <c r="DD1" s="151"/>
      <c r="DE1" s="151"/>
      <c r="DF1" s="151"/>
      <c r="DG1" s="151"/>
      <c r="DH1" s="151"/>
      <c r="DI1" s="151"/>
      <c r="DJ1" s="153"/>
      <c r="DK1" s="153"/>
      <c r="DL1" s="153"/>
      <c r="DM1" s="153"/>
      <c r="DN1" s="153"/>
      <c r="DO1" s="153"/>
      <c r="DP1" s="153"/>
      <c r="DQ1" s="146"/>
      <c r="DR1" s="146"/>
      <c r="DS1" s="146"/>
      <c r="DT1" s="146"/>
      <c r="DU1" s="146"/>
      <c r="DV1" s="146"/>
      <c r="DW1" s="146"/>
      <c r="DX1" s="146"/>
      <c r="DY1" s="146"/>
      <c r="DZ1" s="146"/>
      <c r="EA1" s="146"/>
      <c r="EB1" s="146"/>
      <c r="EC1" s="151"/>
      <c r="ED1" s="151"/>
      <c r="EE1" s="151"/>
      <c r="EF1" s="151"/>
      <c r="EG1" s="151"/>
      <c r="EH1" s="151"/>
      <c r="EI1" s="151"/>
      <c r="EJ1" s="151"/>
      <c r="EK1" s="151"/>
      <c r="EL1" s="146"/>
      <c r="EM1" s="146"/>
      <c r="EN1" s="855"/>
      <c r="EO1" s="853"/>
      <c r="EP1" s="146"/>
      <c r="EQ1" s="853"/>
      <c r="ER1" s="146"/>
      <c r="ES1" s="146"/>
      <c r="ET1" s="146"/>
      <c r="EU1" s="394"/>
      <c r="EV1" s="426" t="s">
        <v>375</v>
      </c>
      <c r="EW1" s="214"/>
      <c r="EY1" s="213"/>
      <c r="EZ1" s="215" t="s">
        <v>164</v>
      </c>
      <c r="FA1" s="216" t="e">
        <f>#REF!</f>
        <v>#REF!</v>
      </c>
      <c r="FB1" s="217" t="e">
        <f>IF(FA1=1,"Girder BL @ CL of Steel Support (if possible), minimize BL",IF(FA1=2,"Minimize Joist Base Length",IF(FA1=3,"Minimize TCX (Maximize Joist BL)",IF(FA1=4,"Girder BL @ CL of Steel Support (if possible), minimize TCX"))))</f>
        <v>#REF!</v>
      </c>
      <c r="FC1" s="217"/>
      <c r="FD1" s="214"/>
      <c r="FE1" s="214"/>
      <c r="FF1" s="155" t="s">
        <v>549</v>
      </c>
      <c r="FG1" s="303" t="e">
        <f>#REF!</f>
        <v>#REF!</v>
      </c>
      <c r="FH1" s="155"/>
      <c r="FI1" s="155"/>
      <c r="FJ1" s="155"/>
      <c r="FL1" s="155"/>
      <c r="FO1" s="155"/>
      <c r="FP1" s="155"/>
      <c r="FQ1" s="155"/>
      <c r="FR1" s="155"/>
      <c r="FS1" s="155"/>
      <c r="FT1" s="155"/>
      <c r="FV1" s="428"/>
      <c r="FW1" s="154"/>
      <c r="FX1" s="154"/>
      <c r="FY1" s="154"/>
      <c r="FZ1" s="836" t="s">
        <v>376</v>
      </c>
      <c r="GA1" s="147"/>
      <c r="GB1" s="147"/>
      <c r="GC1" s="147"/>
      <c r="GD1" s="147"/>
      <c r="GE1" s="147"/>
      <c r="GF1" s="147"/>
      <c r="GG1" s="147"/>
      <c r="GH1" s="147"/>
      <c r="GI1" s="147"/>
      <c r="GJ1" s="147"/>
      <c r="GL1" s="157"/>
      <c r="GM1" s="157"/>
      <c r="GN1" s="157"/>
      <c r="GO1" s="157"/>
      <c r="GY1" s="429" t="s">
        <v>371</v>
      </c>
      <c r="GZ1" s="726" t="s">
        <v>731</v>
      </c>
      <c r="HA1" s="148" t="e">
        <f>#REF!</f>
        <v>#REF!</v>
      </c>
      <c r="HB1" s="1110"/>
      <c r="HC1" s="1110"/>
      <c r="HD1" s="1110"/>
      <c r="HE1" s="1110"/>
      <c r="HF1" s="1110"/>
      <c r="HG1" s="1110"/>
      <c r="HH1" s="1110"/>
      <c r="HI1" s="1110"/>
      <c r="HJ1" s="1111"/>
      <c r="HK1" s="1111"/>
      <c r="HL1" s="1111"/>
      <c r="HM1" s="1112"/>
      <c r="HN1" s="1113"/>
      <c r="HO1" s="1111"/>
      <c r="HP1" s="1111"/>
      <c r="HQ1" s="1111"/>
      <c r="HR1" s="1111"/>
      <c r="HS1" s="1111"/>
      <c r="HT1" s="1111"/>
      <c r="HU1" s="1111"/>
      <c r="HV1" s="1111"/>
      <c r="HW1" s="1111"/>
      <c r="HX1" s="1111"/>
      <c r="HY1" s="1111"/>
      <c r="HZ1" s="1111"/>
      <c r="IA1" s="1111"/>
      <c r="IB1" s="1111"/>
      <c r="IC1" s="1111"/>
      <c r="ID1" s="1111"/>
      <c r="IE1" s="1111"/>
      <c r="IF1" s="1111"/>
      <c r="IG1" s="1111"/>
      <c r="IH1" s="1110"/>
      <c r="II1" s="1110"/>
      <c r="IJ1" s="1110"/>
      <c r="IK1" s="1110"/>
      <c r="IL1" s="1114"/>
      <c r="IM1" s="1114"/>
      <c r="IN1" s="1114"/>
      <c r="IO1" s="1114"/>
      <c r="IP1" s="1114"/>
      <c r="IQ1" s="1114"/>
      <c r="IR1" s="1114"/>
      <c r="IS1" s="1114"/>
      <c r="IT1" s="1114"/>
      <c r="IU1" s="1114"/>
      <c r="IV1" s="1114"/>
      <c r="IW1" s="1114"/>
      <c r="IX1" s="1114"/>
      <c r="IY1" s="1114"/>
      <c r="IZ1" s="1114"/>
      <c r="JA1" s="1114"/>
      <c r="JB1" s="1114"/>
      <c r="JC1" s="1114"/>
      <c r="JD1" s="1114"/>
      <c r="JE1" s="1114"/>
      <c r="JF1" s="1114"/>
      <c r="JG1" s="1114"/>
      <c r="JH1" s="1114"/>
      <c r="JI1" s="1114"/>
      <c r="JJ1" s="1114"/>
      <c r="JK1" s="1114"/>
      <c r="JL1" s="1114"/>
      <c r="JM1" s="1114"/>
      <c r="JN1" s="1114"/>
      <c r="JO1" s="1114"/>
      <c r="JP1" s="424" t="s">
        <v>716</v>
      </c>
    </row>
    <row r="2" spans="1:276" s="148" customFormat="1" ht="12.95" customHeight="1" thickTop="1" thickBot="1" x14ac:dyDescent="0.3">
      <c r="A2" s="308"/>
      <c r="B2" s="308"/>
      <c r="C2" s="308"/>
      <c r="D2" s="308"/>
      <c r="E2" s="308"/>
      <c r="F2" s="308"/>
      <c r="G2" s="308"/>
      <c r="H2" s="308"/>
      <c r="I2" s="308"/>
      <c r="J2" s="308"/>
      <c r="K2" s="308"/>
      <c r="L2" s="308"/>
      <c r="M2" s="308"/>
      <c r="N2" s="308"/>
      <c r="O2" s="308"/>
      <c r="P2" s="308"/>
      <c r="Q2" s="1711" t="e">
        <f>IF(BJ1="","",IF(VLOOKUP(BJ1,#REF!,2,FALSE),"Released for Fabrication",""))</f>
        <v>#REF!</v>
      </c>
      <c r="R2" s="1750"/>
      <c r="S2" s="1750"/>
      <c r="T2" s="1751"/>
      <c r="U2" s="308"/>
      <c r="V2" s="299"/>
      <c r="W2" s="2032" t="s">
        <v>78</v>
      </c>
      <c r="X2" s="2032"/>
      <c r="Y2" s="2032"/>
      <c r="Z2" s="1014" t="e">
        <f>#REF!</f>
        <v>#REF!</v>
      </c>
      <c r="AA2" s="298"/>
      <c r="AB2" s="308"/>
      <c r="AC2" s="308"/>
      <c r="AD2" s="308"/>
      <c r="AE2" s="308"/>
      <c r="AF2" s="308"/>
      <c r="AG2" s="308"/>
      <c r="AH2" s="308"/>
      <c r="AI2" s="308"/>
      <c r="AJ2" s="308"/>
      <c r="AK2" s="308"/>
      <c r="AL2" s="308"/>
      <c r="AM2" s="308"/>
      <c r="AN2" s="308"/>
      <c r="AO2" s="308"/>
      <c r="AP2" s="308"/>
      <c r="AQ2" s="298"/>
      <c r="AR2" s="308"/>
      <c r="AS2" s="308"/>
      <c r="AT2" s="308"/>
      <c r="AU2" s="1711" t="e">
        <f>Q2</f>
        <v>#REF!</v>
      </c>
      <c r="AV2" s="1750"/>
      <c r="AW2" s="1750"/>
      <c r="AX2" s="1751"/>
      <c r="AY2" s="308"/>
      <c r="AZ2" s="308"/>
      <c r="BA2" s="2032" t="s">
        <v>78</v>
      </c>
      <c r="BB2" s="2032"/>
      <c r="BC2" s="2032"/>
      <c r="BD2" s="1709" t="e">
        <f>#REF!</f>
        <v>#REF!</v>
      </c>
      <c r="BE2" s="1709"/>
      <c r="BF2" s="1709"/>
      <c r="BG2" s="401"/>
      <c r="BH2" s="179"/>
      <c r="BI2" s="303"/>
      <c r="BK2" s="150"/>
      <c r="CA2" s="426" t="s">
        <v>383</v>
      </c>
      <c r="CB2" s="151"/>
      <c r="CC2" s="151"/>
      <c r="CD2" s="151"/>
      <c r="CE2" s="151"/>
      <c r="CF2" s="151"/>
      <c r="CG2" s="151"/>
      <c r="CH2" s="151"/>
      <c r="CI2" s="151"/>
      <c r="CJ2" s="151"/>
      <c r="CK2" s="151"/>
      <c r="CL2" s="151"/>
      <c r="CM2" s="151"/>
      <c r="CN2" s="151"/>
      <c r="CO2" s="152"/>
      <c r="CP2" s="152"/>
      <c r="CQ2" s="106"/>
      <c r="CR2" s="106"/>
      <c r="CS2" s="107"/>
      <c r="CT2" s="106"/>
      <c r="CU2" s="106"/>
      <c r="CV2" s="106"/>
      <c r="CW2" s="110"/>
      <c r="CX2" s="146"/>
      <c r="CY2" s="159"/>
      <c r="CZ2" s="110"/>
      <c r="DA2" s="151"/>
      <c r="DB2" s="151"/>
      <c r="DC2" s="151"/>
      <c r="DD2" s="151"/>
      <c r="DE2" s="151"/>
      <c r="DF2" s="151"/>
      <c r="DG2" s="151"/>
      <c r="DH2" s="151"/>
      <c r="DI2" s="151"/>
      <c r="DJ2" s="153"/>
      <c r="DK2" s="153"/>
      <c r="DL2" s="153"/>
      <c r="DM2" s="153"/>
      <c r="DN2" s="153"/>
      <c r="DO2" s="153"/>
      <c r="DP2" s="153"/>
      <c r="DQ2" s="146"/>
      <c r="DR2" s="146"/>
      <c r="DS2" s="146"/>
      <c r="DT2" s="146"/>
      <c r="DU2" s="146"/>
      <c r="DV2" s="146"/>
      <c r="DW2" s="146"/>
      <c r="DX2" s="146"/>
      <c r="DY2" s="146"/>
      <c r="DZ2" s="146"/>
      <c r="EA2" s="146"/>
      <c r="EB2" s="146"/>
      <c r="EC2" s="152"/>
      <c r="ED2" s="152"/>
      <c r="EE2" s="152"/>
      <c r="EF2" s="152"/>
      <c r="EG2" s="152"/>
      <c r="EH2" s="151"/>
      <c r="EI2" s="151"/>
      <c r="EJ2" s="151"/>
      <c r="EK2" s="151"/>
      <c r="EL2" s="146"/>
      <c r="EM2" s="146"/>
      <c r="EN2" s="855"/>
      <c r="EO2" s="853"/>
      <c r="EP2" s="146"/>
      <c r="EQ2" s="853"/>
      <c r="ER2" s="146"/>
      <c r="ES2" s="146"/>
      <c r="ET2" s="146"/>
      <c r="EU2" s="1510"/>
      <c r="EV2" s="431" t="s">
        <v>384</v>
      </c>
      <c r="EW2" s="214"/>
      <c r="EY2" s="213"/>
      <c r="EZ2" s="215" t="s">
        <v>165</v>
      </c>
      <c r="FA2" s="216" t="e">
        <f>#REF!</f>
        <v>#REF!</v>
      </c>
      <c r="FB2" s="215" t="s">
        <v>322</v>
      </c>
      <c r="FC2" s="218" t="e">
        <f>#REF!</f>
        <v>#REF!</v>
      </c>
      <c r="FD2" s="215" t="s">
        <v>323</v>
      </c>
      <c r="FE2" s="218" t="e">
        <f>#REF!</f>
        <v>#REF!</v>
      </c>
      <c r="FF2" s="214" t="s">
        <v>220</v>
      </c>
      <c r="FG2" s="219" t="e">
        <f>#REF!</f>
        <v>#REF!</v>
      </c>
      <c r="FH2" s="155"/>
      <c r="FI2" s="155"/>
      <c r="FJ2" s="155"/>
      <c r="FK2" s="155"/>
      <c r="FL2" s="155"/>
      <c r="FM2" s="155"/>
      <c r="FN2" s="155"/>
      <c r="FO2" s="155"/>
      <c r="FP2" s="155"/>
      <c r="FQ2" s="155"/>
      <c r="FR2" s="155"/>
      <c r="FS2" s="155"/>
      <c r="FT2" s="155"/>
      <c r="FU2" s="154"/>
      <c r="FV2" s="836"/>
      <c r="FW2" s="836"/>
      <c r="FX2" s="836"/>
      <c r="FY2" s="836"/>
      <c r="FZ2" s="429" t="s">
        <v>369</v>
      </c>
      <c r="GA2" s="147"/>
      <c r="GB2" s="147"/>
      <c r="GC2" s="147"/>
      <c r="GD2" s="147"/>
      <c r="GE2" s="147"/>
      <c r="GF2" s="147"/>
      <c r="GG2" s="147"/>
      <c r="GH2" s="147"/>
      <c r="GI2" s="147"/>
      <c r="GJ2" s="147"/>
      <c r="GL2" s="157"/>
      <c r="GM2" s="157"/>
      <c r="GN2" s="430" t="s">
        <v>370</v>
      </c>
      <c r="GO2" s="157"/>
      <c r="GP2" s="157"/>
      <c r="GZ2" s="157"/>
      <c r="HA2" s="1110"/>
      <c r="HB2" s="1110"/>
      <c r="HC2" s="1110"/>
      <c r="HD2" s="1110"/>
      <c r="HE2" s="1110"/>
      <c r="HF2" s="1110"/>
      <c r="HG2" s="1110"/>
      <c r="HH2" s="1110"/>
      <c r="HI2" s="1110"/>
      <c r="HJ2" s="1111"/>
      <c r="HK2" s="1111"/>
      <c r="HL2" s="1111"/>
      <c r="HM2" s="1112"/>
      <c r="HN2" s="1113"/>
      <c r="HO2" s="1111"/>
      <c r="HP2" s="1111"/>
      <c r="HQ2" s="1111"/>
      <c r="HR2" s="1111"/>
      <c r="HS2" s="1111"/>
      <c r="HT2" s="1111"/>
      <c r="HU2" s="1111"/>
      <c r="HV2" s="1111"/>
      <c r="HW2" s="1111"/>
      <c r="HX2" s="1111"/>
      <c r="HY2" s="1111"/>
      <c r="HZ2" s="1111"/>
      <c r="IA2" s="1111"/>
      <c r="IB2" s="1111"/>
      <c r="IC2" s="1111"/>
      <c r="ID2" s="1111"/>
      <c r="IE2" s="1111"/>
      <c r="IF2" s="1111"/>
      <c r="IG2" s="1111"/>
      <c r="IH2" s="1110"/>
      <c r="II2" s="1110"/>
      <c r="IJ2" s="1110"/>
      <c r="IK2" s="1110"/>
      <c r="IL2" s="1114"/>
      <c r="IM2" s="1114"/>
      <c r="IN2" s="1114"/>
      <c r="IO2" s="1114"/>
      <c r="IP2" s="1114"/>
      <c r="IQ2" s="1114"/>
      <c r="IR2" s="1114"/>
      <c r="IS2" s="1114"/>
      <c r="IT2" s="1114"/>
      <c r="IU2" s="1114"/>
      <c r="IV2" s="1114"/>
      <c r="IW2" s="1114"/>
      <c r="IX2" s="1114"/>
      <c r="IY2" s="1114"/>
      <c r="IZ2" s="1114"/>
      <c r="JA2" s="1114"/>
      <c r="JB2" s="1114"/>
      <c r="JC2" s="1114"/>
      <c r="JD2" s="1114"/>
      <c r="JE2" s="1114"/>
      <c r="JF2" s="1114"/>
      <c r="JG2" s="1114"/>
      <c r="JH2" s="1114"/>
      <c r="JI2" s="1114"/>
      <c r="JJ2" s="1114"/>
      <c r="JK2" s="1114"/>
      <c r="JL2" s="1114"/>
      <c r="JM2" s="1114"/>
      <c r="JN2" s="1114"/>
      <c r="JO2" s="1114"/>
    </row>
    <row r="3" spans="1:276" s="148" customFormat="1" ht="12.95" customHeight="1" thickBot="1" x14ac:dyDescent="0.3">
      <c r="A3" s="308"/>
      <c r="B3" s="308"/>
      <c r="C3" s="308"/>
      <c r="D3" s="308"/>
      <c r="E3" s="308"/>
      <c r="F3" s="308"/>
      <c r="G3" s="308"/>
      <c r="H3" s="308"/>
      <c r="I3" s="308"/>
      <c r="J3" s="308"/>
      <c r="K3" s="308"/>
      <c r="L3" s="308"/>
      <c r="M3" s="308"/>
      <c r="N3" s="308"/>
      <c r="O3" s="308"/>
      <c r="P3" s="308"/>
      <c r="Q3" s="1752"/>
      <c r="R3" s="1753"/>
      <c r="S3" s="1753"/>
      <c r="T3" s="1754"/>
      <c r="U3" s="308"/>
      <c r="V3" s="299"/>
      <c r="W3" s="2032" t="s">
        <v>80</v>
      </c>
      <c r="X3" s="2032"/>
      <c r="Y3" s="2032"/>
      <c r="Z3" s="1014" t="e">
        <f>#REF!</f>
        <v>#REF!</v>
      </c>
      <c r="AA3" s="298"/>
      <c r="AB3" s="308"/>
      <c r="AC3" s="308"/>
      <c r="AD3" s="308"/>
      <c r="AE3" s="308"/>
      <c r="AF3" s="308"/>
      <c r="AG3" s="308"/>
      <c r="AH3" s="308"/>
      <c r="AI3" s="308"/>
      <c r="AJ3" s="308"/>
      <c r="AK3" s="308"/>
      <c r="AL3" s="308"/>
      <c r="AM3" s="308"/>
      <c r="AN3" s="308"/>
      <c r="AO3" s="308"/>
      <c r="AP3" s="308"/>
      <c r="AQ3" s="298"/>
      <c r="AR3" s="308"/>
      <c r="AS3" s="308"/>
      <c r="AT3" s="308"/>
      <c r="AU3" s="1752"/>
      <c r="AV3" s="1753"/>
      <c r="AW3" s="1753"/>
      <c r="AX3" s="1754"/>
      <c r="AY3" s="308"/>
      <c r="AZ3" s="308"/>
      <c r="BA3" s="2032" t="s">
        <v>80</v>
      </c>
      <c r="BB3" s="2032"/>
      <c r="BC3" s="2032"/>
      <c r="BD3" s="1709" t="e">
        <f>#REF!</f>
        <v>#REF!</v>
      </c>
      <c r="BE3" s="1709"/>
      <c r="BF3" s="1709"/>
      <c r="BG3" s="298"/>
      <c r="BH3" s="179"/>
      <c r="BI3" s="303"/>
      <c r="CA3" s="161"/>
      <c r="CB3" s="151"/>
      <c r="CC3" s="151"/>
      <c r="CD3" s="151"/>
      <c r="CE3" s="151"/>
      <c r="CF3" s="151"/>
      <c r="CG3" s="151"/>
      <c r="CH3" s="151"/>
      <c r="CI3" s="151"/>
      <c r="CJ3" s="151"/>
      <c r="CK3" s="151"/>
      <c r="CL3" s="151"/>
      <c r="CM3" s="151"/>
      <c r="CN3" s="151"/>
      <c r="CO3" s="152"/>
      <c r="CP3" s="106"/>
      <c r="CQ3" s="108"/>
      <c r="CR3" s="109"/>
      <c r="CS3" s="110"/>
      <c r="CT3" s="110"/>
      <c r="CU3" s="111"/>
      <c r="CV3" s="108"/>
      <c r="CW3" s="108"/>
      <c r="CX3" s="146"/>
      <c r="CY3" s="159"/>
      <c r="CZ3" s="110"/>
      <c r="DA3" s="151"/>
      <c r="DB3" s="151"/>
      <c r="DC3" s="151"/>
      <c r="DD3" s="151"/>
      <c r="DE3" s="151"/>
      <c r="DF3" s="151"/>
      <c r="DG3" s="151"/>
      <c r="DH3" s="151"/>
      <c r="DI3" s="151"/>
      <c r="DJ3" s="153"/>
      <c r="DK3" s="153"/>
      <c r="DL3" s="153"/>
      <c r="DM3" s="153"/>
      <c r="DN3" s="153"/>
      <c r="DO3" s="153"/>
      <c r="DP3" s="153"/>
      <c r="DQ3" s="146"/>
      <c r="DR3" s="146"/>
      <c r="DS3" s="146"/>
      <c r="DT3" s="146"/>
      <c r="DU3" s="146"/>
      <c r="DV3" s="146"/>
      <c r="DW3" s="146"/>
      <c r="DX3" s="146"/>
      <c r="DY3" s="146"/>
      <c r="DZ3" s="146"/>
      <c r="EA3" s="146"/>
      <c r="EB3" s="146"/>
      <c r="EC3" s="152"/>
      <c r="ED3" s="152"/>
      <c r="EE3" s="152"/>
      <c r="EF3" s="152"/>
      <c r="EG3" s="152"/>
      <c r="EH3" s="151"/>
      <c r="EI3" s="151"/>
      <c r="EJ3" s="151"/>
      <c r="EK3" s="151"/>
      <c r="EL3" s="153"/>
      <c r="EM3" s="146"/>
      <c r="EN3" s="855"/>
      <c r="EO3" s="853"/>
      <c r="EP3" s="146"/>
      <c r="EQ3" s="146"/>
      <c r="ER3" s="146"/>
      <c r="ES3" s="146"/>
      <c r="ET3" s="146"/>
      <c r="EU3" s="1510"/>
      <c r="EW3" s="214"/>
      <c r="EX3" s="220" t="s">
        <v>659</v>
      </c>
      <c r="EY3" s="222" t="s">
        <v>690</v>
      </c>
      <c r="EZ3" s="221" t="s">
        <v>139</v>
      </c>
      <c r="FA3" s="222" t="s">
        <v>159</v>
      </c>
      <c r="FB3" s="223" t="s">
        <v>160</v>
      </c>
      <c r="FC3" s="222" t="s">
        <v>161</v>
      </c>
      <c r="FD3" s="222" t="s">
        <v>162</v>
      </c>
      <c r="FE3" s="222" t="s">
        <v>163</v>
      </c>
      <c r="FF3" s="224" t="s">
        <v>350</v>
      </c>
      <c r="FG3" s="2083" t="s">
        <v>695</v>
      </c>
      <c r="FH3" s="2084"/>
      <c r="FI3" s="2085"/>
      <c r="FJ3" s="155"/>
      <c r="FK3" s="155"/>
      <c r="FL3" s="155"/>
      <c r="FM3" s="155"/>
      <c r="FN3" s="155"/>
      <c r="FO3" s="155"/>
      <c r="FP3" s="155"/>
      <c r="FQ3" s="155"/>
      <c r="FR3" s="155"/>
      <c r="FS3" s="155"/>
      <c r="FT3" s="155"/>
      <c r="FU3" s="154"/>
      <c r="FV3" s="154"/>
      <c r="FW3" s="154"/>
      <c r="FX3" s="154"/>
      <c r="FY3" s="154"/>
      <c r="GA3" s="147"/>
      <c r="GB3" s="147"/>
      <c r="GC3" s="147"/>
      <c r="GD3" s="147"/>
      <c r="GE3" s="147"/>
      <c r="GF3" s="147"/>
      <c r="GG3" s="147"/>
      <c r="GH3" s="147"/>
      <c r="GI3" s="147"/>
      <c r="GJ3" s="147"/>
      <c r="GK3" s="154"/>
      <c r="GL3" s="157"/>
      <c r="GM3" s="157"/>
      <c r="GN3" s="157"/>
      <c r="GO3" s="157"/>
      <c r="GP3" s="157"/>
      <c r="GZ3" s="157"/>
      <c r="HA3" s="1110"/>
      <c r="HB3" s="1110"/>
      <c r="HC3" s="1115"/>
      <c r="HD3" s="1110"/>
      <c r="HE3" s="1110"/>
      <c r="HF3" s="1110"/>
      <c r="HG3" s="1110"/>
      <c r="HH3" s="1110"/>
      <c r="HI3" s="1110"/>
      <c r="HJ3" s="1111"/>
      <c r="HK3" s="1111"/>
      <c r="HL3" s="1111"/>
      <c r="HM3" s="1112"/>
      <c r="HN3" s="1113"/>
      <c r="HO3" s="1111"/>
      <c r="HP3" s="1111"/>
      <c r="HQ3" s="1111"/>
      <c r="HR3" s="1111"/>
      <c r="HS3" s="1111"/>
      <c r="HT3" s="1111"/>
      <c r="HU3" s="1111"/>
      <c r="HV3" s="1111"/>
      <c r="HW3" s="1111"/>
      <c r="HX3" s="1111"/>
      <c r="HY3" s="1111"/>
      <c r="HZ3" s="1111"/>
      <c r="IA3" s="1111"/>
      <c r="IB3" s="1111"/>
      <c r="IC3" s="1111"/>
      <c r="ID3" s="1111"/>
      <c r="IE3" s="1111"/>
      <c r="IF3" s="1111"/>
      <c r="IG3" s="1111"/>
      <c r="IH3" s="1110"/>
      <c r="II3" s="1110"/>
      <c r="IJ3" s="1110"/>
      <c r="IK3" s="1110"/>
      <c r="IL3" s="1114"/>
      <c r="IM3" s="1114"/>
      <c r="IN3" s="1114"/>
      <c r="IO3" s="1114"/>
      <c r="IP3" s="1114"/>
      <c r="IQ3" s="1114"/>
      <c r="IR3" s="1114"/>
      <c r="IS3" s="1114"/>
      <c r="IT3" s="1114"/>
      <c r="IU3" s="1114"/>
      <c r="IV3" s="1114"/>
      <c r="IW3" s="1114"/>
      <c r="IX3" s="1114"/>
      <c r="IY3" s="1114"/>
      <c r="IZ3" s="1114"/>
      <c r="JA3" s="1114"/>
      <c r="JB3" s="1114"/>
      <c r="JC3" s="1114"/>
      <c r="JD3" s="1114"/>
      <c r="JE3" s="1114"/>
      <c r="JF3" s="1114"/>
      <c r="JG3" s="1114"/>
      <c r="JH3" s="1114"/>
      <c r="JI3" s="1114"/>
      <c r="JJ3" s="1114"/>
      <c r="JK3" s="1114"/>
      <c r="JL3" s="1114"/>
      <c r="JM3" s="1114"/>
      <c r="JN3" s="1114"/>
      <c r="JO3" s="1114"/>
    </row>
    <row r="4" spans="1:276" s="148" customFormat="1" ht="12.95" customHeight="1" thickTop="1" thickBot="1" x14ac:dyDescent="0.25">
      <c r="A4" s="308"/>
      <c r="B4" s="308"/>
      <c r="C4" s="308"/>
      <c r="D4" s="308"/>
      <c r="E4" s="308"/>
      <c r="F4" s="308"/>
      <c r="G4" s="308"/>
      <c r="H4" s="308"/>
      <c r="I4" s="308"/>
      <c r="J4" s="308"/>
      <c r="K4" s="308"/>
      <c r="L4" s="308"/>
      <c r="M4" s="1001"/>
      <c r="N4" s="298"/>
      <c r="O4" s="298"/>
      <c r="P4" s="298"/>
      <c r="Q4" s="1717" t="e">
        <f>IF(BJ1="","",IF(VLOOKUP(BJ1,#REF!,2,FALSE),VLOOKUP(BJ1,#REF!,3,FALSE),""))</f>
        <v>#REF!</v>
      </c>
      <c r="R4" s="1755"/>
      <c r="S4" s="1755"/>
      <c r="T4" s="1756"/>
      <c r="U4" s="298"/>
      <c r="V4" s="299"/>
      <c r="W4" s="2032" t="s">
        <v>79</v>
      </c>
      <c r="X4" s="2032"/>
      <c r="Y4" s="2032"/>
      <c r="Z4" s="1014" t="e">
        <f>#REF!</f>
        <v>#REF!</v>
      </c>
      <c r="AA4" s="298"/>
      <c r="AB4" s="298"/>
      <c r="AC4" s="298"/>
      <c r="AD4" s="298"/>
      <c r="AE4" s="298"/>
      <c r="AF4" s="298"/>
      <c r="AG4" s="298"/>
      <c r="AH4" s="298"/>
      <c r="AI4" s="298"/>
      <c r="AJ4" s="298"/>
      <c r="AK4" s="298"/>
      <c r="AL4" s="298"/>
      <c r="AM4" s="298"/>
      <c r="AN4" s="298"/>
      <c r="AO4" s="298"/>
      <c r="AP4" s="298"/>
      <c r="AQ4" s="298"/>
      <c r="AR4" s="1001"/>
      <c r="AS4" s="1001"/>
      <c r="AT4" s="298"/>
      <c r="AU4" s="1717" t="e">
        <f>Q4</f>
        <v>#REF!</v>
      </c>
      <c r="AV4" s="2180"/>
      <c r="AW4" s="2180"/>
      <c r="AX4" s="2181"/>
      <c r="AY4" s="308"/>
      <c r="AZ4" s="308"/>
      <c r="BA4" s="2032" t="s">
        <v>79</v>
      </c>
      <c r="BB4" s="2032"/>
      <c r="BC4" s="2032"/>
      <c r="BD4" s="1709" t="e">
        <f>#REF!</f>
        <v>#REF!</v>
      </c>
      <c r="BE4" s="1709"/>
      <c r="BF4" s="1709"/>
      <c r="BG4" s="298"/>
      <c r="BH4" s="179"/>
      <c r="BI4" s="303"/>
      <c r="CA4" s="161"/>
      <c r="CB4" s="151"/>
      <c r="CC4" s="151"/>
      <c r="CD4" s="151"/>
      <c r="CE4" s="151"/>
      <c r="CF4" s="151"/>
      <c r="CG4" s="151"/>
      <c r="CH4" s="151"/>
      <c r="CI4" s="151"/>
      <c r="CJ4" s="151"/>
      <c r="CK4" s="151"/>
      <c r="CL4" s="164"/>
      <c r="CM4" s="151"/>
      <c r="CN4" s="151"/>
      <c r="CO4" s="152"/>
      <c r="CP4" s="152"/>
      <c r="CQ4" s="152"/>
      <c r="CR4" s="152"/>
      <c r="CS4" s="152"/>
      <c r="CT4" s="152"/>
      <c r="CU4" s="152"/>
      <c r="CV4" s="152"/>
      <c r="CW4" s="152"/>
      <c r="CX4" s="146"/>
      <c r="CY4" s="152"/>
      <c r="CZ4" s="477" t="s">
        <v>348</v>
      </c>
      <c r="DA4" s="2131"/>
      <c r="DB4" s="2132"/>
      <c r="DC4" s="151"/>
      <c r="DD4" s="151"/>
      <c r="DE4" s="151"/>
      <c r="DF4" s="151"/>
      <c r="DG4" s="151"/>
      <c r="DH4" s="151"/>
      <c r="DI4" s="151"/>
      <c r="DJ4" s="153"/>
      <c r="DK4" s="153"/>
      <c r="DL4" s="153"/>
      <c r="DM4" s="153"/>
      <c r="DN4" s="153"/>
      <c r="DO4" s="153"/>
      <c r="DP4" s="153"/>
      <c r="DQ4" s="146"/>
      <c r="DR4" s="146"/>
      <c r="DS4" s="146"/>
      <c r="DT4" s="146"/>
      <c r="DU4" s="146"/>
      <c r="DV4" s="146"/>
      <c r="DW4" s="146"/>
      <c r="DX4" s="146"/>
      <c r="DY4" s="146"/>
      <c r="DZ4" s="146"/>
      <c r="EA4" s="146"/>
      <c r="EB4" s="146"/>
      <c r="EC4" s="152"/>
      <c r="ED4" s="152"/>
      <c r="EE4" s="152"/>
      <c r="EF4" s="152"/>
      <c r="EG4" s="152"/>
      <c r="EH4" s="151"/>
      <c r="EI4" s="151"/>
      <c r="EJ4" s="151"/>
      <c r="EK4" s="151"/>
      <c r="EL4" s="153"/>
      <c r="EM4" s="146"/>
      <c r="EN4" s="855"/>
      <c r="EO4" s="853"/>
      <c r="EP4" s="853"/>
      <c r="EQ4" s="146"/>
      <c r="ER4" s="146"/>
      <c r="ES4" s="146"/>
      <c r="ET4" s="146"/>
      <c r="EU4" s="1510"/>
      <c r="EW4" s="225" t="s">
        <v>154</v>
      </c>
      <c r="EX4" s="226">
        <v>1.125</v>
      </c>
      <c r="EY4" s="228" t="e">
        <f>#REF!/2</f>
        <v>#REF!</v>
      </c>
      <c r="EZ4" s="227" t="e">
        <f>#REF!</f>
        <v>#REF!</v>
      </c>
      <c r="FA4" s="228" t="e">
        <f>#REF!</f>
        <v>#REF!</v>
      </c>
      <c r="FB4" s="228" t="e">
        <f>#REF!</f>
        <v>#REF!</v>
      </c>
      <c r="FC4" s="228" t="e">
        <f>#REF!</f>
        <v>#REF!</v>
      </c>
      <c r="FD4" s="229" t="e">
        <f>#REF!</f>
        <v>#REF!</v>
      </c>
      <c r="FE4" s="228" t="e">
        <f>#REF!</f>
        <v>#REF!</v>
      </c>
      <c r="FF4" s="230" t="e">
        <f>#REF!</f>
        <v>#REF!</v>
      </c>
      <c r="FG4" s="717">
        <v>0</v>
      </c>
      <c r="FH4" s="717">
        <v>7.125</v>
      </c>
      <c r="FI4" s="718">
        <v>17.125</v>
      </c>
      <c r="GA4" s="146"/>
      <c r="GB4" s="146"/>
      <c r="GC4" s="146"/>
      <c r="GD4" s="146"/>
      <c r="GE4" s="146"/>
      <c r="GF4" s="147"/>
      <c r="GG4" s="147"/>
      <c r="GH4" s="147"/>
      <c r="GI4" s="147"/>
      <c r="GJ4" s="147"/>
      <c r="GK4" s="154"/>
      <c r="GL4" s="157"/>
      <c r="GM4" s="157"/>
      <c r="GN4" s="157"/>
      <c r="GO4" s="157"/>
      <c r="GP4" s="157"/>
      <c r="GZ4" s="157"/>
      <c r="HA4" s="1110"/>
      <c r="HB4" s="1110"/>
      <c r="HC4" s="1115"/>
      <c r="HD4" s="1110"/>
      <c r="HE4" s="1110"/>
      <c r="HF4" s="1110"/>
      <c r="HG4" s="1110"/>
      <c r="HH4" s="1110"/>
      <c r="HI4" s="1110"/>
      <c r="HJ4" s="1111"/>
      <c r="HK4" s="1111"/>
      <c r="HL4" s="1111"/>
      <c r="HM4" s="1112"/>
      <c r="HN4" s="1113"/>
      <c r="HO4" s="1111"/>
      <c r="HP4" s="1111"/>
      <c r="HQ4" s="1111"/>
      <c r="HR4" s="1111"/>
      <c r="HS4" s="1111"/>
      <c r="HT4" s="1111"/>
      <c r="HU4" s="1111"/>
      <c r="HV4" s="1111"/>
      <c r="HW4" s="1111"/>
      <c r="HX4" s="1111"/>
      <c r="HY4" s="1111"/>
      <c r="HZ4" s="1111"/>
      <c r="IA4" s="1111"/>
      <c r="IB4" s="1111"/>
      <c r="IC4" s="1111"/>
      <c r="ID4" s="1111"/>
      <c r="IE4" s="1111"/>
      <c r="IF4" s="1111"/>
      <c r="IG4" s="1111"/>
      <c r="IH4" s="1110"/>
      <c r="II4" s="1110"/>
      <c r="IJ4" s="1110"/>
      <c r="IK4" s="1110"/>
      <c r="IL4" s="1114"/>
      <c r="IM4" s="1114"/>
      <c r="IN4" s="1114"/>
      <c r="IO4" s="1114"/>
      <c r="IP4" s="1114"/>
      <c r="IQ4" s="1114"/>
      <c r="IR4" s="1114"/>
      <c r="IS4" s="1114"/>
      <c r="IT4" s="1114"/>
      <c r="IU4" s="1114"/>
      <c r="IV4" s="1114"/>
      <c r="IW4" s="1114"/>
      <c r="IX4" s="1114"/>
      <c r="IY4" s="1114"/>
      <c r="IZ4" s="1114"/>
      <c r="JA4" s="1114"/>
      <c r="JB4" s="1114"/>
      <c r="JC4" s="1114"/>
      <c r="JD4" s="1114"/>
      <c r="JE4" s="1114"/>
      <c r="JF4" s="1114"/>
      <c r="JG4" s="1114"/>
      <c r="JH4" s="1114"/>
      <c r="JI4" s="1114"/>
      <c r="JJ4" s="1114"/>
      <c r="JK4" s="1114"/>
      <c r="JL4" s="1114"/>
      <c r="JM4" s="1114"/>
      <c r="JN4" s="1114"/>
      <c r="JO4" s="1114"/>
    </row>
    <row r="5" spans="1:276" s="148" customFormat="1" ht="12.95" customHeight="1" thickTop="1" thickBot="1" x14ac:dyDescent="0.25">
      <c r="A5" s="2041" t="e">
        <f>#REF!</f>
        <v>#REF!</v>
      </c>
      <c r="B5" s="2042"/>
      <c r="C5" s="2042"/>
      <c r="D5" s="2042"/>
      <c r="E5" s="2042"/>
      <c r="F5" s="2042"/>
      <c r="G5" s="2042"/>
      <c r="H5" s="2042"/>
      <c r="I5" s="2042"/>
      <c r="J5" s="2042"/>
      <c r="K5" s="2042"/>
      <c r="L5" s="2042"/>
      <c r="M5" s="298"/>
      <c r="N5" s="298"/>
      <c r="O5" s="298"/>
      <c r="P5" s="298"/>
      <c r="Q5" s="298"/>
      <c r="R5" s="298"/>
      <c r="S5" s="298"/>
      <c r="T5" s="298"/>
      <c r="U5" s="298"/>
      <c r="V5" s="298"/>
      <c r="W5" s="298"/>
      <c r="X5" s="298"/>
      <c r="Y5" s="1002"/>
      <c r="Z5" s="1002"/>
      <c r="AA5" s="298"/>
      <c r="AB5" s="2033" t="e">
        <f>#REF!</f>
        <v>#REF!</v>
      </c>
      <c r="AC5" s="2179"/>
      <c r="AD5" s="2179"/>
      <c r="AE5" s="2179"/>
      <c r="AF5" s="2179"/>
      <c r="AG5" s="2179"/>
      <c r="AH5" s="2179"/>
      <c r="AI5" s="2179"/>
      <c r="AJ5" s="2179"/>
      <c r="AK5" s="2179"/>
      <c r="AL5" s="2179"/>
      <c r="AM5" s="2179"/>
      <c r="AN5" s="2179"/>
      <c r="AO5" s="2179"/>
      <c r="AP5" s="2179"/>
      <c r="AQ5" s="2179"/>
      <c r="AR5" s="298"/>
      <c r="AS5" s="298"/>
      <c r="AT5" s="298"/>
      <c r="AU5" s="298"/>
      <c r="AV5" s="298"/>
      <c r="AW5" s="298"/>
      <c r="AX5" s="298"/>
      <c r="AY5" s="298"/>
      <c r="AZ5" s="298"/>
      <c r="BA5" s="298"/>
      <c r="BB5" s="298"/>
      <c r="BC5" s="298"/>
      <c r="BD5" s="298"/>
      <c r="BE5" s="298"/>
      <c r="BF5" s="298"/>
      <c r="BG5" s="298"/>
      <c r="BH5" s="179"/>
      <c r="BI5" s="303"/>
      <c r="CA5" s="161"/>
      <c r="CB5" s="1502">
        <f>G_A!CB21</f>
        <v>6</v>
      </c>
      <c r="CC5" s="1502">
        <f>G_A!CC21</f>
        <v>4</v>
      </c>
      <c r="CD5" s="1502">
        <f>G_A!CD21</f>
        <v>15</v>
      </c>
      <c r="CE5" s="1502">
        <f>G_A!CE21</f>
        <v>4</v>
      </c>
      <c r="CF5" s="1502">
        <f>G_A!CF21</f>
        <v>5</v>
      </c>
      <c r="CG5" s="1502">
        <f>G_A!CG21</f>
        <v>3</v>
      </c>
      <c r="CH5" s="1502">
        <f>G_A!CH21</f>
        <v>4.57</v>
      </c>
      <c r="CI5" s="1502">
        <f>G_A!CI21</f>
        <v>4.57</v>
      </c>
      <c r="CJ5" s="1502">
        <f>G_A!CJ21</f>
        <v>4.57</v>
      </c>
      <c r="CK5" s="1502">
        <f>G_A!CK21</f>
        <v>4.57</v>
      </c>
      <c r="CL5" s="1502">
        <f>G_A!CL21</f>
        <v>4</v>
      </c>
      <c r="CM5" s="1502">
        <f>G_A!CM21</f>
        <v>5</v>
      </c>
      <c r="CN5" s="1502">
        <f>G_A!CN21</f>
        <v>5.29</v>
      </c>
      <c r="CO5" s="1502">
        <f>G_A!CO21</f>
        <v>5.29</v>
      </c>
      <c r="CP5" s="1502">
        <f>G_A!CP21</f>
        <v>4</v>
      </c>
      <c r="CQ5" s="1502">
        <f>G_A!CQ21</f>
        <v>3</v>
      </c>
      <c r="CR5" s="1502">
        <f>G_A!CR21</f>
        <v>4.57</v>
      </c>
      <c r="CS5" s="1502">
        <f>G_A!CS21</f>
        <v>4.57</v>
      </c>
      <c r="CT5" s="1502">
        <f>G_A!CT21</f>
        <v>4.57</v>
      </c>
      <c r="CU5" s="1502">
        <f>G_A!CU21</f>
        <v>4.57</v>
      </c>
      <c r="CV5" s="1502">
        <f>G_A!CV21</f>
        <v>4</v>
      </c>
      <c r="CW5" s="1502">
        <f>G_A!CW21</f>
        <v>5</v>
      </c>
      <c r="CX5" s="1502">
        <f>G_A!CX21</f>
        <v>5.29</v>
      </c>
      <c r="CY5" s="1502">
        <f>G_A!CY21</f>
        <v>5.29</v>
      </c>
      <c r="CZ5" s="1502">
        <f>G_A!CZ21</f>
        <v>4</v>
      </c>
      <c r="DA5" s="1502">
        <f>G_A!DA21</f>
        <v>5</v>
      </c>
      <c r="DB5" s="1502">
        <f>G_A!DB21</f>
        <v>15</v>
      </c>
      <c r="DC5" s="1502">
        <f>G_A!DC21</f>
        <v>21.57</v>
      </c>
      <c r="DD5" s="1502">
        <f>G_A!DD21</f>
        <v>4</v>
      </c>
      <c r="DE5" s="1502">
        <f>G_A!DE21</f>
        <v>4</v>
      </c>
      <c r="DF5" s="1505"/>
      <c r="DG5" s="1505"/>
      <c r="DH5" s="1502">
        <f>G_A!DH5</f>
        <v>5</v>
      </c>
      <c r="DI5" s="1502">
        <f>G_A!DI5</f>
        <v>4</v>
      </c>
      <c r="DJ5" s="1502">
        <f>G_A!DJ5</f>
        <v>3</v>
      </c>
      <c r="DK5" s="1502">
        <f>G_A!DK5</f>
        <v>5</v>
      </c>
      <c r="DL5" s="1502">
        <f>G_A!DL5</f>
        <v>2</v>
      </c>
      <c r="DM5" s="1502">
        <f>G_A!DM5</f>
        <v>3</v>
      </c>
      <c r="DN5" s="1502">
        <f>G_A!DN5</f>
        <v>5</v>
      </c>
      <c r="DO5" s="1502">
        <f>G_A!DO5</f>
        <v>3</v>
      </c>
      <c r="DP5" s="1502">
        <f>G_A!DP5</f>
        <v>4</v>
      </c>
      <c r="DQ5" s="1502">
        <f>G_A!DQ5</f>
        <v>4.57</v>
      </c>
      <c r="DR5" s="1502">
        <f>G_A!DR5</f>
        <v>3.57</v>
      </c>
      <c r="DS5" s="1502">
        <f>G_A!DS5</f>
        <v>3.57</v>
      </c>
      <c r="DT5" s="1502">
        <f>G_A!DT5</f>
        <v>3.57</v>
      </c>
      <c r="DU5" s="1502">
        <f>G_A!DU5</f>
        <v>3.57</v>
      </c>
      <c r="DV5" s="1502">
        <f>G_A!DV5</f>
        <v>4</v>
      </c>
      <c r="DW5" s="1502">
        <f>G_A!DW5</f>
        <v>5</v>
      </c>
      <c r="DX5" s="1502">
        <f>G_A!DX5</f>
        <v>3</v>
      </c>
      <c r="DY5" s="1502">
        <f>G_A!DY5</f>
        <v>2.29</v>
      </c>
      <c r="DZ5" s="1502">
        <f>G_A!DZ5</f>
        <v>4</v>
      </c>
      <c r="EA5" s="1502">
        <f>G_A!EA5</f>
        <v>5</v>
      </c>
      <c r="EB5" s="1502">
        <f>G_A!EB5</f>
        <v>3</v>
      </c>
      <c r="EC5" s="1502">
        <f>G_A!EC5</f>
        <v>2.29</v>
      </c>
      <c r="ED5" s="1502">
        <f>G_A!ED5</f>
        <v>4</v>
      </c>
      <c r="EE5" s="1502">
        <f>G_A!EE5</f>
        <v>5</v>
      </c>
      <c r="EF5" s="1502">
        <f>G_A!EF5</f>
        <v>3</v>
      </c>
      <c r="EG5" s="1502">
        <f>G_A!EG5</f>
        <v>2.29</v>
      </c>
      <c r="EH5" s="1502">
        <f>G_A!EH5</f>
        <v>4</v>
      </c>
      <c r="EI5" s="1502">
        <f>G_A!EI5</f>
        <v>5</v>
      </c>
      <c r="EJ5" s="1502">
        <f>G_A!EJ5</f>
        <v>3</v>
      </c>
      <c r="EK5" s="1502">
        <f>G_A!EK5</f>
        <v>2.29</v>
      </c>
      <c r="EL5" s="1502">
        <f>G_A!EL5</f>
        <v>8</v>
      </c>
      <c r="EM5" s="1502">
        <f>G_A!EM5</f>
        <v>8</v>
      </c>
      <c r="EN5" s="1502">
        <f>G_A!EN5</f>
        <v>10</v>
      </c>
      <c r="EO5" s="1502">
        <f>G_A!EO5</f>
        <v>6</v>
      </c>
      <c r="EP5" s="1502">
        <f>G_A!EP5</f>
        <v>4.71</v>
      </c>
      <c r="EQ5" s="1502">
        <f>G_A!EQ5</f>
        <v>4.71</v>
      </c>
      <c r="ER5" s="1502">
        <f>G_A!ER5</f>
        <v>3.57</v>
      </c>
      <c r="ES5" s="1502">
        <f>G_A!ES5</f>
        <v>3.57</v>
      </c>
      <c r="ET5" s="146"/>
      <c r="EU5" s="1510"/>
      <c r="EV5" s="231"/>
      <c r="EW5" s="933" t="s">
        <v>702</v>
      </c>
      <c r="EX5" s="934" t="e">
        <f ca="1">OFFSET(#REF!,#REF!,1)</f>
        <v>#REF!</v>
      </c>
      <c r="EY5" s="214"/>
      <c r="EZ5" s="213"/>
      <c r="FA5" s="213"/>
      <c r="FB5" s="214"/>
      <c r="FC5" s="214"/>
      <c r="FD5" s="214"/>
      <c r="FE5" s="155"/>
      <c r="FG5" s="719">
        <v>4.5</v>
      </c>
      <c r="FH5" s="719">
        <v>5</v>
      </c>
      <c r="FI5" s="720">
        <v>6</v>
      </c>
      <c r="GA5" s="146"/>
      <c r="GB5" s="146"/>
      <c r="GC5" s="146"/>
      <c r="GD5" s="146"/>
      <c r="GE5" s="146"/>
      <c r="GF5" s="147"/>
      <c r="GG5" s="147"/>
      <c r="GH5" s="147"/>
      <c r="GI5" s="147"/>
      <c r="GJ5" s="147"/>
      <c r="GK5" s="154"/>
      <c r="GL5" s="157"/>
      <c r="GM5" s="157"/>
      <c r="GN5" s="157"/>
      <c r="GO5" s="157"/>
      <c r="GP5" s="157"/>
      <c r="GZ5" s="157"/>
      <c r="HA5" s="1116"/>
      <c r="HB5" s="1117"/>
      <c r="HC5" s="1117"/>
      <c r="HD5" s="1117"/>
      <c r="HE5" s="1117"/>
      <c r="HF5" s="1117"/>
      <c r="HG5" s="1117"/>
      <c r="HH5" s="1117"/>
      <c r="HI5" s="1117"/>
      <c r="HJ5" s="1117"/>
      <c r="HK5" s="1117"/>
      <c r="HL5" s="1117"/>
      <c r="HM5" s="1117"/>
      <c r="HN5" s="1117"/>
      <c r="HO5" s="1117"/>
      <c r="HP5" s="1117"/>
      <c r="HQ5" s="1117"/>
      <c r="HR5" s="1117"/>
      <c r="HS5" s="1117"/>
      <c r="HT5" s="1117"/>
      <c r="HU5" s="1117"/>
      <c r="HV5" s="1117"/>
      <c r="HW5" s="1117"/>
      <c r="HX5" s="1117"/>
      <c r="HY5" s="1111"/>
      <c r="HZ5" s="1111"/>
      <c r="IA5" s="1111"/>
      <c r="IB5" s="1111"/>
      <c r="IC5" s="1111"/>
      <c r="ID5" s="1111"/>
      <c r="IE5" s="1111"/>
      <c r="IF5" s="1111"/>
      <c r="IG5" s="1111"/>
      <c r="IH5" s="1114"/>
      <c r="II5" s="1114"/>
      <c r="IJ5" s="1114"/>
      <c r="IK5" s="1114"/>
      <c r="IL5" s="1114"/>
      <c r="IM5" s="1114"/>
      <c r="IN5" s="1114"/>
      <c r="IO5" s="1114"/>
      <c r="IP5" s="1114"/>
      <c r="IQ5" s="1114"/>
      <c r="IR5" s="1114"/>
      <c r="IS5" s="1114"/>
      <c r="IT5" s="1114"/>
      <c r="IU5" s="1114"/>
      <c r="IV5" s="1114"/>
      <c r="IW5" s="1114"/>
      <c r="IX5" s="1114"/>
      <c r="IY5" s="1114"/>
      <c r="IZ5" s="1114"/>
      <c r="JA5" s="1114"/>
      <c r="JB5" s="1114"/>
      <c r="JC5" s="1114"/>
      <c r="JD5" s="1114"/>
      <c r="JE5" s="1114"/>
      <c r="JF5" s="1114"/>
      <c r="JG5" s="1114"/>
      <c r="JH5" s="1114"/>
      <c r="JI5" s="1114"/>
      <c r="JJ5" s="1114"/>
      <c r="JK5" s="1114"/>
      <c r="JL5" s="1114"/>
      <c r="JM5" s="1114"/>
      <c r="JN5" s="1114"/>
      <c r="JO5" s="1114"/>
    </row>
    <row r="6" spans="1:276" s="148" customFormat="1" ht="12.95" customHeight="1" thickTop="1" thickBot="1" x14ac:dyDescent="0.25">
      <c r="A6" s="298"/>
      <c r="B6" s="298"/>
      <c r="C6" s="298"/>
      <c r="D6" s="298"/>
      <c r="E6" s="298"/>
      <c r="F6" s="298"/>
      <c r="G6" s="298"/>
      <c r="H6" s="298"/>
      <c r="I6" s="298"/>
      <c r="J6" s="298"/>
      <c r="K6" s="298"/>
      <c r="L6" s="298"/>
      <c r="M6" s="2044" t="str">
        <f>IF(NOT(ISERROR(FIND("galv",LOWER($M$7)))),"**USE STEEL TAGS**  **NO A490 BOLTS**","")</f>
        <v/>
      </c>
      <c r="N6" s="1885"/>
      <c r="O6" s="1885"/>
      <c r="P6" s="1885"/>
      <c r="Q6" s="1885"/>
      <c r="R6" s="1885"/>
      <c r="S6" s="1885"/>
      <c r="T6" s="1885"/>
      <c r="U6" s="1005"/>
      <c r="V6" s="2040" t="s">
        <v>20</v>
      </c>
      <c r="W6" s="2040"/>
      <c r="X6" s="1702" t="e">
        <f>IF(ISBLANK(#REF!),"",#REF!)</f>
        <v>#REF!</v>
      </c>
      <c r="Y6" s="1702"/>
      <c r="Z6" s="1002"/>
      <c r="AA6" s="298"/>
      <c r="AB6" s="298"/>
      <c r="AC6" s="298"/>
      <c r="AD6" s="298"/>
      <c r="AE6" s="298"/>
      <c r="AF6" s="298"/>
      <c r="AG6" s="298"/>
      <c r="AH6" s="298"/>
      <c r="AI6" s="298"/>
      <c r="AJ6" s="298"/>
      <c r="AK6" s="298"/>
      <c r="AL6" s="298"/>
      <c r="AM6" s="298"/>
      <c r="AN6" s="298"/>
      <c r="AO6" s="298"/>
      <c r="AP6" s="298"/>
      <c r="AQ6" s="298"/>
      <c r="AR6" s="298"/>
      <c r="AS6" s="298"/>
      <c r="AT6" s="298"/>
      <c r="AU6" s="298"/>
      <c r="AV6" s="298"/>
      <c r="AW6" s="298"/>
      <c r="AX6" s="298"/>
      <c r="AY6" s="298"/>
      <c r="AZ6" s="2045" t="s">
        <v>20</v>
      </c>
      <c r="BA6" s="2045"/>
      <c r="BB6" s="1702" t="e">
        <f>X6</f>
        <v>#REF!</v>
      </c>
      <c r="BC6" s="1702"/>
      <c r="BD6" s="1702"/>
      <c r="BE6" s="1003"/>
      <c r="BF6" s="298"/>
      <c r="BG6" s="298"/>
      <c r="BH6" s="179"/>
      <c r="BI6" s="995" t="s">
        <v>705</v>
      </c>
      <c r="CA6" s="161"/>
      <c r="CB6" s="146"/>
      <c r="CC6" s="146"/>
      <c r="CD6" s="146"/>
      <c r="CE6" s="146"/>
      <c r="CF6" s="146"/>
      <c r="CG6" s="146"/>
      <c r="CH6" s="146"/>
      <c r="CI6" s="146"/>
      <c r="CJ6" s="146"/>
      <c r="CK6" s="146"/>
      <c r="CL6" s="146"/>
      <c r="CM6" s="146"/>
      <c r="CN6" s="146"/>
      <c r="CO6" s="146"/>
      <c r="CP6" s="146"/>
      <c r="CQ6" s="146"/>
      <c r="CR6" s="146"/>
      <c r="CS6" s="146"/>
      <c r="CT6" s="146"/>
      <c r="CU6" s="146"/>
      <c r="CV6" s="146"/>
      <c r="CW6" s="146"/>
      <c r="CX6" s="146"/>
      <c r="CY6" s="146"/>
      <c r="CZ6" s="146"/>
      <c r="DA6" s="146"/>
      <c r="DB6" s="146"/>
      <c r="DC6" s="146"/>
      <c r="DD6" s="146"/>
      <c r="DE6" s="146"/>
      <c r="DF6" s="151"/>
      <c r="DG6" s="478"/>
      <c r="DH6" s="2182" t="s">
        <v>313</v>
      </c>
      <c r="DI6" s="2073"/>
      <c r="DJ6" s="2073"/>
      <c r="DK6" s="2073"/>
      <c r="DL6" s="2073"/>
      <c r="DM6" s="2073"/>
      <c r="DN6" s="2073"/>
      <c r="DO6" s="2073"/>
      <c r="DP6" s="2073"/>
      <c r="DQ6" s="2073"/>
      <c r="DR6" s="2073"/>
      <c r="DS6" s="2073"/>
      <c r="DT6" s="2073"/>
      <c r="DU6" s="2073"/>
      <c r="DV6" s="2073"/>
      <c r="DW6" s="2073"/>
      <c r="DX6" s="2073"/>
      <c r="DY6" s="2073"/>
      <c r="DZ6" s="2073"/>
      <c r="EA6" s="2073"/>
      <c r="EB6" s="2073"/>
      <c r="EC6" s="2073"/>
      <c r="ED6" s="2073"/>
      <c r="EE6" s="2073"/>
      <c r="EF6" s="2073"/>
      <c r="EG6" s="2073"/>
      <c r="EH6" s="2073"/>
      <c r="EI6" s="2073"/>
      <c r="EJ6" s="2073"/>
      <c r="EK6" s="2074"/>
      <c r="EL6" s="153"/>
      <c r="EM6" s="153"/>
      <c r="EN6" s="153"/>
      <c r="EO6" s="856"/>
      <c r="EP6" s="856"/>
      <c r="EQ6" s="856"/>
      <c r="ER6" s="856"/>
      <c r="ES6" s="856"/>
      <c r="ET6" s="857"/>
      <c r="EU6" s="853"/>
      <c r="EV6" s="213"/>
      <c r="FQ6" s="427"/>
      <c r="GA6" s="146"/>
      <c r="GB6" s="146"/>
      <c r="GC6" s="146"/>
      <c r="GD6" s="146"/>
      <c r="GE6" s="146"/>
      <c r="GF6" s="147"/>
      <c r="GG6" s="147"/>
      <c r="GH6" s="147"/>
      <c r="GI6" s="147"/>
      <c r="GJ6" s="147"/>
      <c r="GK6" s="154"/>
      <c r="GL6" s="157"/>
      <c r="GM6" s="157"/>
      <c r="GN6" s="157"/>
      <c r="GO6" s="157"/>
      <c r="GP6" s="157"/>
      <c r="GZ6" s="157"/>
      <c r="HA6" s="1117"/>
      <c r="HB6" s="1117"/>
      <c r="HC6" s="1117"/>
      <c r="HD6" s="1117"/>
      <c r="HE6" s="1117"/>
      <c r="HF6" s="1117"/>
      <c r="HG6" s="1117"/>
      <c r="HH6" s="1117"/>
      <c r="HI6" s="1117"/>
      <c r="HJ6" s="1117"/>
      <c r="HK6" s="1117"/>
      <c r="HL6" s="1117"/>
      <c r="HM6" s="1117"/>
      <c r="HN6" s="1117"/>
      <c r="HO6" s="1117"/>
      <c r="HP6" s="1117"/>
      <c r="HQ6" s="1117"/>
      <c r="HR6" s="1117"/>
      <c r="HS6" s="1117"/>
      <c r="HT6" s="1117"/>
      <c r="HU6" s="1117"/>
      <c r="HV6" s="1117"/>
      <c r="HW6" s="1117"/>
      <c r="HX6" s="1117"/>
      <c r="HY6" s="1118"/>
      <c r="HZ6" s="1111"/>
      <c r="IA6" s="1111"/>
      <c r="IB6" s="1111"/>
      <c r="IC6" s="1111"/>
      <c r="ID6" s="1111"/>
      <c r="IE6" s="1111"/>
      <c r="IF6" s="1111"/>
      <c r="IG6" s="1111"/>
      <c r="IH6" s="1114"/>
      <c r="II6" s="1114"/>
      <c r="IJ6" s="1114"/>
      <c r="IK6" s="1114"/>
      <c r="IL6" s="1114"/>
      <c r="IM6" s="1114"/>
      <c r="IN6" s="1114"/>
      <c r="IO6" s="1114"/>
      <c r="IP6" s="1114"/>
      <c r="IQ6" s="1114"/>
      <c r="IR6" s="1114"/>
      <c r="IS6" s="1114"/>
      <c r="IT6" s="1114"/>
      <c r="IU6" s="1114"/>
      <c r="IV6" s="1114"/>
      <c r="IW6" s="1114"/>
      <c r="IX6" s="1114"/>
      <c r="IY6" s="1114"/>
      <c r="IZ6" s="1114"/>
      <c r="JA6" s="1114"/>
      <c r="JB6" s="1114"/>
      <c r="JC6" s="1114"/>
      <c r="JD6" s="1114"/>
      <c r="JE6" s="1114"/>
      <c r="JF6" s="1114"/>
      <c r="JG6" s="1114"/>
      <c r="JH6" s="1114"/>
      <c r="JI6" s="1114"/>
      <c r="JJ6" s="1114"/>
      <c r="JK6" s="1114"/>
      <c r="JL6" s="1114"/>
      <c r="JM6" s="1114"/>
      <c r="JN6" s="1114"/>
      <c r="JO6" s="1114"/>
    </row>
    <row r="7" spans="1:276" s="41" customFormat="1" ht="12.95" customHeight="1" thickTop="1" x14ac:dyDescent="0.2">
      <c r="A7" s="1004" t="s">
        <v>37</v>
      </c>
      <c r="B7" s="322"/>
      <c r="C7" s="322"/>
      <c r="D7" s="298"/>
      <c r="E7" s="298"/>
      <c r="F7" s="322"/>
      <c r="G7" s="322"/>
      <c r="H7" s="322"/>
      <c r="I7" s="322"/>
      <c r="J7" s="322"/>
      <c r="K7" s="2045" t="s">
        <v>26</v>
      </c>
      <c r="L7" s="2050"/>
      <c r="M7" s="2043" t="str">
        <f>IF(ISBLANK(DA4),"",DA4)</f>
        <v/>
      </c>
      <c r="N7" s="1885"/>
      <c r="O7" s="1885"/>
      <c r="P7" s="1885"/>
      <c r="Q7" s="1885"/>
      <c r="R7" s="1885"/>
      <c r="S7" s="1885"/>
      <c r="T7" s="1019"/>
      <c r="U7" s="1005"/>
      <c r="V7" s="2040" t="s">
        <v>21</v>
      </c>
      <c r="W7" s="2040"/>
      <c r="X7" s="1107" t="e">
        <f>CONCATENATE(BI7, " of ",IF(ISBLANK(#REF!),"",#REF!))</f>
        <v>#REF!</v>
      </c>
      <c r="Y7" s="601"/>
      <c r="Z7" s="1002"/>
      <c r="AA7" s="298"/>
      <c r="AB7" s="1004" t="s">
        <v>38</v>
      </c>
      <c r="AC7" s="298"/>
      <c r="AD7" s="298"/>
      <c r="AE7" s="322"/>
      <c r="AF7" s="322"/>
      <c r="AG7" s="322"/>
      <c r="AH7" s="322"/>
      <c r="AI7" s="322"/>
      <c r="AJ7" s="322"/>
      <c r="AK7" s="322"/>
      <c r="AL7" s="322"/>
      <c r="AM7" s="298"/>
      <c r="AN7" s="298"/>
      <c r="AO7" s="298"/>
      <c r="AP7" s="322"/>
      <c r="AQ7" s="322"/>
      <c r="AR7" s="298"/>
      <c r="AS7" s="298"/>
      <c r="AT7" s="298"/>
      <c r="AU7" s="298"/>
      <c r="AV7" s="298"/>
      <c r="AW7" s="298"/>
      <c r="AX7" s="298"/>
      <c r="AY7" s="298"/>
      <c r="AZ7" s="2040" t="s">
        <v>21</v>
      </c>
      <c r="BA7" s="2040"/>
      <c r="BB7" s="1018" t="e">
        <f>CONCATENATE(IF(ISBLANK(BI7),"",BI7+1), " of ",IF(ISBLANK(#REF!),"",#REF!))</f>
        <v>#REF!</v>
      </c>
      <c r="BC7" s="601"/>
      <c r="BD7" s="601"/>
      <c r="BE7" s="298"/>
      <c r="BF7" s="298"/>
      <c r="BG7" s="298"/>
      <c r="BH7" s="180"/>
      <c r="BI7" s="996"/>
      <c r="CA7" s="161"/>
      <c r="CB7" s="2071" t="s">
        <v>312</v>
      </c>
      <c r="CC7" s="2108"/>
      <c r="CD7" s="2108"/>
      <c r="CE7" s="2108"/>
      <c r="CF7" s="2108"/>
      <c r="CG7" s="2108"/>
      <c r="CH7" s="2108"/>
      <c r="CI7" s="2108"/>
      <c r="CJ7" s="2108"/>
      <c r="CK7" s="2108"/>
      <c r="CL7" s="2108"/>
      <c r="CM7" s="2108"/>
      <c r="CN7" s="2108"/>
      <c r="CO7" s="2108"/>
      <c r="CP7" s="2108"/>
      <c r="CQ7" s="2108"/>
      <c r="CR7" s="2108"/>
      <c r="CS7" s="2108"/>
      <c r="CT7" s="2108"/>
      <c r="CU7" s="2108"/>
      <c r="CV7" s="2108"/>
      <c r="CW7" s="2108"/>
      <c r="CX7" s="2108"/>
      <c r="CY7" s="2108"/>
      <c r="CZ7" s="2073"/>
      <c r="DA7" s="2073"/>
      <c r="DB7" s="2073"/>
      <c r="DC7" s="2073"/>
      <c r="DD7" s="2073"/>
      <c r="DE7" s="2074"/>
      <c r="DF7" s="151"/>
      <c r="DG7" s="151"/>
      <c r="DH7" s="2153"/>
      <c r="DI7" s="2077"/>
      <c r="DJ7" s="2077"/>
      <c r="DK7" s="2077"/>
      <c r="DL7" s="2077"/>
      <c r="DM7" s="2077"/>
      <c r="DN7" s="2077"/>
      <c r="DO7" s="2077"/>
      <c r="DP7" s="2077"/>
      <c r="DQ7" s="2077"/>
      <c r="DR7" s="2077"/>
      <c r="DS7" s="2077"/>
      <c r="DT7" s="2077"/>
      <c r="DU7" s="2077"/>
      <c r="DV7" s="2077"/>
      <c r="DW7" s="2077"/>
      <c r="DX7" s="2077"/>
      <c r="DY7" s="2077"/>
      <c r="DZ7" s="2077"/>
      <c r="EA7" s="2077"/>
      <c r="EB7" s="2077"/>
      <c r="EC7" s="2077"/>
      <c r="ED7" s="2077"/>
      <c r="EE7" s="2077"/>
      <c r="EF7" s="2077"/>
      <c r="EG7" s="2077"/>
      <c r="EH7" s="2077"/>
      <c r="EI7" s="2077"/>
      <c r="EJ7" s="2077"/>
      <c r="EK7" s="2078"/>
      <c r="EL7" s="151"/>
      <c r="EM7" s="151"/>
      <c r="EN7" s="153"/>
      <c r="EO7" s="857"/>
      <c r="EP7" s="856"/>
      <c r="EQ7" s="856"/>
      <c r="ER7" s="856"/>
      <c r="ES7" s="857"/>
      <c r="ET7" s="857"/>
      <c r="EU7" s="857"/>
      <c r="EV7" s="214"/>
      <c r="GA7" s="147"/>
      <c r="GB7" s="147"/>
      <c r="GC7" s="147"/>
      <c r="GD7" s="147"/>
      <c r="GE7" s="147"/>
      <c r="GF7" s="147"/>
      <c r="GG7" s="147"/>
      <c r="GH7" s="147"/>
      <c r="GI7" s="147"/>
      <c r="GJ7" s="147"/>
      <c r="GK7" s="154"/>
      <c r="GL7" s="157"/>
      <c r="GM7" s="157"/>
      <c r="GN7" s="157"/>
      <c r="GO7" s="157"/>
      <c r="GP7" s="157"/>
      <c r="GZ7" s="157"/>
      <c r="HA7" s="1119"/>
      <c r="HB7" s="1119"/>
      <c r="HC7" s="1119"/>
      <c r="HD7" s="1119"/>
      <c r="HE7" s="1119"/>
      <c r="HF7" s="1119"/>
      <c r="HG7" s="1119"/>
      <c r="HH7" s="1119"/>
      <c r="HI7" s="1119"/>
      <c r="HJ7" s="1119"/>
      <c r="HK7" s="1119"/>
      <c r="HL7" s="1119"/>
      <c r="HM7" s="1119"/>
      <c r="HN7" s="1119"/>
      <c r="HO7" s="1119"/>
      <c r="HP7" s="1119"/>
      <c r="HQ7" s="1119"/>
      <c r="HR7" s="1119"/>
      <c r="HS7" s="1119"/>
      <c r="HT7" s="1119"/>
      <c r="HU7" s="1119"/>
      <c r="HV7" s="1119"/>
      <c r="HW7" s="1119"/>
      <c r="HX7" s="1119"/>
      <c r="HY7" s="1120"/>
      <c r="HZ7" s="1111"/>
      <c r="IA7" s="1111"/>
      <c r="IB7" s="1111"/>
      <c r="IC7" s="1111"/>
      <c r="ID7" s="1111"/>
      <c r="IE7" s="1111"/>
      <c r="IF7" s="1111"/>
      <c r="IG7" s="1111"/>
      <c r="IH7" s="1114"/>
      <c r="II7" s="1110"/>
      <c r="IJ7" s="1110"/>
      <c r="IK7" s="1110"/>
      <c r="IL7" s="1114"/>
      <c r="IM7" s="1114"/>
      <c r="IN7" s="1114"/>
      <c r="IO7" s="1114"/>
      <c r="IP7" s="1114"/>
      <c r="IQ7" s="1114"/>
      <c r="IR7" s="1114"/>
      <c r="IS7" s="1114"/>
      <c r="IT7" s="1114"/>
      <c r="IU7" s="1114"/>
      <c r="IV7" s="1114"/>
      <c r="IW7" s="1114"/>
      <c r="IX7" s="1114"/>
      <c r="IY7" s="1114"/>
      <c r="IZ7" s="1114"/>
      <c r="JA7" s="1114"/>
      <c r="JB7" s="1114"/>
      <c r="JC7" s="1114"/>
      <c r="JD7" s="1114"/>
      <c r="JE7" s="1114"/>
      <c r="JF7" s="1114"/>
      <c r="JG7" s="1114"/>
      <c r="JH7" s="1114"/>
      <c r="JI7" s="1114"/>
      <c r="JJ7" s="1114"/>
      <c r="JK7" s="1114"/>
      <c r="JL7" s="1114"/>
      <c r="JM7" s="1114"/>
      <c r="JN7" s="1114"/>
      <c r="JO7" s="1114"/>
    </row>
    <row r="8" spans="1:276" s="41" customFormat="1" ht="2.85" customHeight="1" thickBot="1" x14ac:dyDescent="0.25">
      <c r="A8" s="2176"/>
      <c r="B8" s="2176"/>
      <c r="C8" s="2176"/>
      <c r="D8" s="2176"/>
      <c r="E8" s="2176"/>
      <c r="F8" s="2176"/>
      <c r="G8" s="2176"/>
      <c r="H8" s="2176"/>
      <c r="I8" s="2176"/>
      <c r="J8" s="2176"/>
      <c r="K8" s="2176"/>
      <c r="L8" s="2176"/>
      <c r="M8" s="2176"/>
      <c r="N8" s="2176"/>
      <c r="O8" s="2176"/>
      <c r="P8" s="2176"/>
      <c r="Q8" s="2176"/>
      <c r="R8" s="2176"/>
      <c r="S8" s="2176"/>
      <c r="T8" s="2176"/>
      <c r="U8" s="2176"/>
      <c r="V8" s="2176"/>
      <c r="W8" s="2176"/>
      <c r="X8" s="2176"/>
      <c r="Y8" s="2176"/>
      <c r="Z8" s="2176"/>
      <c r="AA8" s="2176"/>
      <c r="AB8" s="2039"/>
      <c r="AC8" s="2039"/>
      <c r="AD8" s="2039"/>
      <c r="AE8" s="2039"/>
      <c r="AF8" s="2039"/>
      <c r="AG8" s="2039"/>
      <c r="AH8" s="2039"/>
      <c r="AI8" s="2039"/>
      <c r="AJ8" s="2039"/>
      <c r="AK8" s="2039"/>
      <c r="AL8" s="2039"/>
      <c r="AM8" s="2039"/>
      <c r="AN8" s="2039"/>
      <c r="AO8" s="2039"/>
      <c r="AP8" s="2039"/>
      <c r="AQ8" s="2039"/>
      <c r="AR8" s="2039"/>
      <c r="AS8" s="2039"/>
      <c r="AT8" s="2039"/>
      <c r="AU8" s="2039"/>
      <c r="AV8" s="2039"/>
      <c r="AW8" s="2039"/>
      <c r="AX8" s="2039"/>
      <c r="AY8" s="2039"/>
      <c r="AZ8" s="2039"/>
      <c r="BA8" s="2039"/>
      <c r="BB8" s="2039"/>
      <c r="BC8" s="2039"/>
      <c r="BD8" s="2039"/>
      <c r="BE8" s="2039"/>
      <c r="BF8" s="2039"/>
      <c r="BG8" s="2039"/>
      <c r="BH8" s="180"/>
      <c r="BI8" s="154"/>
      <c r="CA8" s="161"/>
      <c r="CB8" s="2110"/>
      <c r="CC8" s="2111"/>
      <c r="CD8" s="2111"/>
      <c r="CE8" s="2111"/>
      <c r="CF8" s="2111"/>
      <c r="CG8" s="2111"/>
      <c r="CH8" s="2111"/>
      <c r="CI8" s="2111"/>
      <c r="CJ8" s="2111"/>
      <c r="CK8" s="2111"/>
      <c r="CL8" s="2111"/>
      <c r="CM8" s="2111"/>
      <c r="CN8" s="2111"/>
      <c r="CO8" s="2111"/>
      <c r="CP8" s="2111"/>
      <c r="CQ8" s="2111"/>
      <c r="CR8" s="2111"/>
      <c r="CS8" s="2111"/>
      <c r="CT8" s="2111"/>
      <c r="CU8" s="2111"/>
      <c r="CV8" s="2111"/>
      <c r="CW8" s="2111"/>
      <c r="CX8" s="2111"/>
      <c r="CY8" s="2111"/>
      <c r="CZ8" s="2077"/>
      <c r="DA8" s="2077"/>
      <c r="DB8" s="2077"/>
      <c r="DC8" s="2077"/>
      <c r="DD8" s="2077"/>
      <c r="DE8" s="2078"/>
      <c r="DF8" s="58"/>
      <c r="DG8" s="58"/>
      <c r="DH8" s="2183"/>
      <c r="DI8" s="2150"/>
      <c r="DJ8" s="2150"/>
      <c r="DK8" s="2150"/>
      <c r="DL8" s="2150"/>
      <c r="DM8" s="2150"/>
      <c r="DN8" s="2150"/>
      <c r="DO8" s="2150"/>
      <c r="DP8" s="2150"/>
      <c r="DQ8" s="2150"/>
      <c r="DR8" s="2150"/>
      <c r="DS8" s="2150"/>
      <c r="DT8" s="2150"/>
      <c r="DU8" s="2150"/>
      <c r="DV8" s="2150"/>
      <c r="DW8" s="2150"/>
      <c r="DX8" s="2150"/>
      <c r="DY8" s="2150"/>
      <c r="DZ8" s="2150"/>
      <c r="EA8" s="2150"/>
      <c r="EB8" s="2150"/>
      <c r="EC8" s="2150"/>
      <c r="ED8" s="2150"/>
      <c r="EE8" s="2150"/>
      <c r="EF8" s="2150"/>
      <c r="EG8" s="2150"/>
      <c r="EH8" s="2150"/>
      <c r="EI8" s="2150"/>
      <c r="EJ8" s="2150"/>
      <c r="EK8" s="2151"/>
      <c r="EL8" s="152"/>
      <c r="EM8" s="151"/>
      <c r="EN8" s="153"/>
      <c r="EO8" s="151"/>
      <c r="EP8" s="153"/>
      <c r="EQ8" s="153"/>
      <c r="ER8" s="153"/>
      <c r="ES8" s="151"/>
      <c r="ET8" s="151"/>
      <c r="EU8" s="151"/>
      <c r="EV8" s="155"/>
      <c r="GA8" s="147"/>
      <c r="GB8" s="147"/>
      <c r="GC8" s="147"/>
      <c r="GD8" s="147"/>
      <c r="GE8" s="147"/>
      <c r="GF8" s="147"/>
      <c r="GG8" s="147"/>
      <c r="GH8" s="147"/>
      <c r="GI8" s="147"/>
      <c r="GJ8" s="147"/>
      <c r="GK8" s="154"/>
      <c r="GL8" s="157"/>
      <c r="GM8" s="157"/>
      <c r="GN8" s="157"/>
      <c r="GO8" s="157"/>
      <c r="GP8" s="157"/>
      <c r="GZ8" s="157"/>
      <c r="HA8" s="1121"/>
      <c r="HB8" s="1121"/>
      <c r="HC8" s="1121"/>
      <c r="HD8" s="1122"/>
      <c r="HE8" s="1123"/>
      <c r="HF8" s="1121"/>
      <c r="HG8" s="1121"/>
      <c r="HH8" s="1121"/>
      <c r="HI8" s="1121"/>
      <c r="HJ8" s="1121"/>
      <c r="HK8" s="1121"/>
      <c r="HL8" s="1121"/>
      <c r="HM8" s="1121"/>
      <c r="HN8" s="1121"/>
      <c r="HO8" s="1121"/>
      <c r="HP8" s="1121"/>
      <c r="HQ8" s="1121"/>
      <c r="HR8" s="1121"/>
      <c r="HS8" s="1121"/>
      <c r="HT8" s="1121"/>
      <c r="HU8" s="1121"/>
      <c r="HV8" s="1121"/>
      <c r="HW8" s="1121"/>
      <c r="HX8" s="1121"/>
      <c r="HY8" s="1120"/>
      <c r="HZ8" s="1111"/>
      <c r="IA8" s="1111"/>
      <c r="IB8" s="1111"/>
      <c r="IC8" s="1111"/>
      <c r="ID8" s="1111"/>
      <c r="IE8" s="1111"/>
      <c r="IF8" s="1111"/>
      <c r="IG8" s="1111"/>
      <c r="IH8" s="1114"/>
      <c r="II8" s="1114"/>
      <c r="IJ8" s="1114"/>
      <c r="IK8" s="1114"/>
      <c r="IL8" s="1114"/>
      <c r="IM8" s="1114"/>
      <c r="IN8" s="1114"/>
      <c r="IO8" s="1114"/>
      <c r="IP8" s="1114"/>
      <c r="IQ8" s="1114"/>
      <c r="IR8" s="1114"/>
      <c r="IS8" s="1114"/>
      <c r="IT8" s="1114"/>
      <c r="IU8" s="1114"/>
      <c r="IV8" s="1114"/>
      <c r="IW8" s="1114"/>
      <c r="IX8" s="1114"/>
      <c r="IY8" s="1114"/>
      <c r="IZ8" s="1114"/>
      <c r="JA8" s="1114"/>
      <c r="JB8" s="1114"/>
      <c r="JC8" s="1114"/>
      <c r="JD8" s="1114"/>
      <c r="JE8" s="1114"/>
      <c r="JF8" s="1114"/>
      <c r="JG8" s="1114"/>
      <c r="JH8" s="1114"/>
      <c r="JI8" s="1114"/>
      <c r="JJ8" s="1114"/>
      <c r="JK8" s="1114"/>
      <c r="JL8" s="1114"/>
      <c r="JM8" s="1114"/>
      <c r="JN8" s="1114"/>
      <c r="JO8" s="1114"/>
    </row>
    <row r="9" spans="1:276" s="41" customFormat="1" ht="12.2" customHeight="1" thickTop="1" thickBot="1" x14ac:dyDescent="0.25">
      <c r="A9" s="1792" t="s">
        <v>1</v>
      </c>
      <c r="B9" s="1758"/>
      <c r="C9" s="1699" t="e">
        <f>IF(ISBLANK(#REF!),"",#REF!)</f>
        <v>#REF!</v>
      </c>
      <c r="D9" s="1699"/>
      <c r="E9" s="1699"/>
      <c r="F9" s="1699"/>
      <c r="G9" s="1699"/>
      <c r="H9" s="1699"/>
      <c r="I9" s="1699"/>
      <c r="J9" s="1699"/>
      <c r="K9" s="1699"/>
      <c r="L9" s="1699"/>
      <c r="M9" s="1699"/>
      <c r="N9" s="1699"/>
      <c r="O9" s="1699"/>
      <c r="P9" s="1700"/>
      <c r="Q9" s="1792" t="s">
        <v>2</v>
      </c>
      <c r="R9" s="1758"/>
      <c r="S9" s="1758"/>
      <c r="T9" s="1700" t="e">
        <f>IF(ISBLANK(#REF!),"",#REF!)</f>
        <v>#REF!</v>
      </c>
      <c r="U9" s="2034"/>
      <c r="V9" s="2034"/>
      <c r="W9" s="2034"/>
      <c r="X9" s="2034"/>
      <c r="Y9" s="2034"/>
      <c r="Z9" s="2034"/>
      <c r="AA9" s="2034"/>
      <c r="AB9" s="2049" t="s">
        <v>1</v>
      </c>
      <c r="AC9" s="2177"/>
      <c r="AD9" s="2178"/>
      <c r="AE9" s="1699" t="e">
        <f>C9</f>
        <v>#REF!</v>
      </c>
      <c r="AF9" s="1699"/>
      <c r="AG9" s="1699"/>
      <c r="AH9" s="1699"/>
      <c r="AI9" s="1699"/>
      <c r="AJ9" s="1699"/>
      <c r="AK9" s="1699"/>
      <c r="AL9" s="1699"/>
      <c r="AM9" s="1699"/>
      <c r="AN9" s="1699"/>
      <c r="AO9" s="1699"/>
      <c r="AP9" s="1699"/>
      <c r="AQ9" s="1699"/>
      <c r="AR9" s="1699"/>
      <c r="AS9" s="1699"/>
      <c r="AT9" s="1700"/>
      <c r="AU9" s="1792" t="s">
        <v>2</v>
      </c>
      <c r="AV9" s="1758"/>
      <c r="AW9" s="1758"/>
      <c r="AX9" s="1700" t="e">
        <f>T9</f>
        <v>#REF!</v>
      </c>
      <c r="AY9" s="2034"/>
      <c r="AZ9" s="2034"/>
      <c r="BA9" s="2034"/>
      <c r="BB9" s="2034"/>
      <c r="BC9" s="2034"/>
      <c r="BD9" s="2034"/>
      <c r="BE9" s="2034"/>
      <c r="BF9" s="2034"/>
      <c r="BG9" s="2034"/>
      <c r="BH9" s="1291"/>
      <c r="BI9" s="154"/>
      <c r="CA9" s="161"/>
      <c r="CB9" s="2110"/>
      <c r="CC9" s="2111"/>
      <c r="CD9" s="2111"/>
      <c r="CE9" s="2111"/>
      <c r="CF9" s="2111"/>
      <c r="CG9" s="2111"/>
      <c r="CH9" s="2111"/>
      <c r="CI9" s="2111"/>
      <c r="CJ9" s="2111"/>
      <c r="CK9" s="2111"/>
      <c r="CL9" s="2111"/>
      <c r="CM9" s="2111"/>
      <c r="CN9" s="2111"/>
      <c r="CO9" s="2111"/>
      <c r="CP9" s="2111"/>
      <c r="CQ9" s="2111"/>
      <c r="CR9" s="2111"/>
      <c r="CS9" s="2111"/>
      <c r="CT9" s="2111"/>
      <c r="CU9" s="2111"/>
      <c r="CV9" s="2111"/>
      <c r="CW9" s="2111"/>
      <c r="CX9" s="2111"/>
      <c r="CY9" s="2111"/>
      <c r="CZ9" s="2077"/>
      <c r="DA9" s="2077"/>
      <c r="DB9" s="2077"/>
      <c r="DC9" s="2077"/>
      <c r="DD9" s="2077"/>
      <c r="DE9" s="2078"/>
      <c r="DF9" s="58"/>
      <c r="DG9" s="58"/>
      <c r="DH9" s="2089" t="s">
        <v>289</v>
      </c>
      <c r="DI9" s="2124" t="s">
        <v>314</v>
      </c>
      <c r="DJ9" s="2073"/>
      <c r="DK9" s="2073"/>
      <c r="DL9" s="2073"/>
      <c r="DM9" s="2073"/>
      <c r="DN9" s="2159"/>
      <c r="DO9" s="2086" t="s">
        <v>813</v>
      </c>
      <c r="DP9" s="2124" t="s">
        <v>315</v>
      </c>
      <c r="DQ9" s="1931"/>
      <c r="DR9" s="1931"/>
      <c r="DS9" s="1931"/>
      <c r="DT9" s="1931"/>
      <c r="DU9" s="1932"/>
      <c r="DV9" s="1930" t="s">
        <v>286</v>
      </c>
      <c r="DW9" s="1931"/>
      <c r="DX9" s="1931"/>
      <c r="DY9" s="1931"/>
      <c r="DZ9" s="1931"/>
      <c r="EA9" s="1931"/>
      <c r="EB9" s="1931"/>
      <c r="EC9" s="1931"/>
      <c r="ED9" s="1931"/>
      <c r="EE9" s="1931"/>
      <c r="EF9" s="1931"/>
      <c r="EG9" s="1931"/>
      <c r="EH9" s="1931"/>
      <c r="EI9" s="1931"/>
      <c r="EJ9" s="1931"/>
      <c r="EK9" s="1932"/>
      <c r="EL9" s="152"/>
      <c r="EM9" s="151"/>
      <c r="EN9" s="153"/>
      <c r="EO9" s="857"/>
      <c r="EP9" s="856"/>
      <c r="EQ9" s="147"/>
      <c r="ER9" s="147"/>
      <c r="ES9" s="147"/>
      <c r="ET9" s="2013" t="s">
        <v>291</v>
      </c>
      <c r="EU9" s="2162"/>
      <c r="EV9" s="155"/>
      <c r="FJ9" s="155"/>
      <c r="FK9" s="155"/>
      <c r="FL9" s="170"/>
      <c r="FM9" s="163"/>
      <c r="FN9" s="163"/>
      <c r="FO9" s="163"/>
      <c r="FP9" s="172"/>
      <c r="FQ9" s="173"/>
      <c r="FR9" s="163"/>
      <c r="FS9" s="163"/>
      <c r="FT9" s="163"/>
      <c r="FU9" s="154"/>
      <c r="FV9" s="154"/>
      <c r="FW9" s="154"/>
      <c r="FX9" s="154"/>
      <c r="FY9" s="154"/>
      <c r="FZ9" s="154"/>
      <c r="GA9" s="147"/>
      <c r="GB9" s="147"/>
      <c r="GC9" s="147"/>
      <c r="GD9" s="147"/>
      <c r="GE9" s="147"/>
      <c r="GF9" s="147"/>
      <c r="GG9" s="147"/>
      <c r="GH9" s="147"/>
      <c r="GI9" s="147"/>
      <c r="GJ9" s="147"/>
      <c r="GK9" s="154"/>
      <c r="GL9" s="157"/>
      <c r="GM9" s="157"/>
      <c r="GN9" s="157"/>
      <c r="GO9" s="157"/>
      <c r="GP9" s="157"/>
      <c r="GZ9" s="157"/>
      <c r="HA9" s="1121"/>
      <c r="HB9" s="1121"/>
      <c r="HC9" s="1121"/>
      <c r="HD9" s="1122"/>
      <c r="HE9" s="1123"/>
      <c r="HF9" s="1121"/>
      <c r="HG9" s="1121"/>
      <c r="HH9" s="1121"/>
      <c r="HI9" s="1121"/>
      <c r="HJ9" s="1121"/>
      <c r="HK9" s="1121"/>
      <c r="HL9" s="1121"/>
      <c r="HM9" s="1121"/>
      <c r="HN9" s="1121"/>
      <c r="HO9" s="1121"/>
      <c r="HP9" s="1121"/>
      <c r="HQ9" s="1121"/>
      <c r="HR9" s="1121"/>
      <c r="HS9" s="1121"/>
      <c r="HT9" s="1121"/>
      <c r="HU9" s="1121"/>
      <c r="HV9" s="1121"/>
      <c r="HW9" s="1121"/>
      <c r="HX9" s="1121"/>
      <c r="HY9" s="1120"/>
      <c r="HZ9" s="1124"/>
      <c r="IA9" s="1124"/>
      <c r="IB9" s="1124"/>
      <c r="IC9" s="1124"/>
      <c r="ID9" s="1124"/>
      <c r="IE9" s="1124"/>
      <c r="IF9" s="1124"/>
      <c r="IG9" s="1124"/>
      <c r="IH9" s="1124"/>
      <c r="II9" s="1124"/>
      <c r="IJ9" s="1124"/>
      <c r="IK9" s="1124"/>
      <c r="IL9" s="1124"/>
      <c r="IM9" s="1124"/>
      <c r="IN9" s="1124"/>
      <c r="IO9" s="1124"/>
      <c r="IP9" s="1124"/>
      <c r="IQ9" s="1124"/>
      <c r="IR9" s="1124"/>
      <c r="IS9" s="1124"/>
      <c r="IT9" s="1124"/>
      <c r="IU9" s="1124"/>
      <c r="IV9" s="1124"/>
      <c r="IW9" s="1124"/>
      <c r="IX9" s="1124"/>
      <c r="IY9" s="1124"/>
      <c r="IZ9" s="1124"/>
      <c r="JA9" s="1124"/>
      <c r="JB9" s="1124"/>
      <c r="JC9" s="1124"/>
      <c r="JD9" s="1124"/>
      <c r="JE9" s="1114"/>
      <c r="JF9" s="1114"/>
      <c r="JG9" s="1114"/>
      <c r="JH9" s="1114"/>
      <c r="JI9" s="1114"/>
      <c r="JJ9" s="1114"/>
      <c r="JK9" s="1114"/>
      <c r="JL9" s="1114"/>
      <c r="JM9" s="1114"/>
      <c r="JN9" s="1114"/>
      <c r="JO9" s="1114"/>
    </row>
    <row r="10" spans="1:276" s="41" customFormat="1" ht="12.2" customHeight="1" thickTop="1" thickBot="1" x14ac:dyDescent="0.25">
      <c r="A10" s="1792" t="s">
        <v>3</v>
      </c>
      <c r="B10" s="1758"/>
      <c r="C10" s="1699" t="e">
        <f>IF(ISBLANK(#REF!),"",#REF!)</f>
        <v>#REF!</v>
      </c>
      <c r="D10" s="1699"/>
      <c r="E10" s="1699"/>
      <c r="F10" s="1699"/>
      <c r="G10" s="1699"/>
      <c r="H10" s="1699"/>
      <c r="I10" s="1699"/>
      <c r="J10" s="1699"/>
      <c r="K10" s="1699"/>
      <c r="L10" s="1699"/>
      <c r="M10" s="1699"/>
      <c r="N10" s="1699"/>
      <c r="O10" s="1699"/>
      <c r="P10" s="1700"/>
      <c r="Q10" s="1792" t="s">
        <v>22</v>
      </c>
      <c r="R10" s="1758"/>
      <c r="S10" s="1758"/>
      <c r="T10" s="1699" t="e">
        <f>IF(ISBLANK(#REF!),"",#REF!)</f>
        <v>#REF!</v>
      </c>
      <c r="U10" s="1699"/>
      <c r="V10" s="1699"/>
      <c r="W10" s="1700"/>
      <c r="X10" s="1792" t="s">
        <v>23</v>
      </c>
      <c r="Y10" s="1758"/>
      <c r="Z10" s="1700" t="e">
        <f>IF(ISBLANK(#REF!),"",#REF!)</f>
        <v>#REF!</v>
      </c>
      <c r="AA10" s="2034"/>
      <c r="AB10" s="2049" t="s">
        <v>3</v>
      </c>
      <c r="AC10" s="2177"/>
      <c r="AD10" s="2178"/>
      <c r="AE10" s="1699" t="e">
        <f>C10</f>
        <v>#REF!</v>
      </c>
      <c r="AF10" s="1699"/>
      <c r="AG10" s="1699"/>
      <c r="AH10" s="1699"/>
      <c r="AI10" s="1699"/>
      <c r="AJ10" s="1699"/>
      <c r="AK10" s="1699"/>
      <c r="AL10" s="1699"/>
      <c r="AM10" s="1699"/>
      <c r="AN10" s="1699"/>
      <c r="AO10" s="1699"/>
      <c r="AP10" s="1699"/>
      <c r="AQ10" s="1699"/>
      <c r="AR10" s="1699"/>
      <c r="AS10" s="1699"/>
      <c r="AT10" s="1700"/>
      <c r="AU10" s="1792" t="s">
        <v>22</v>
      </c>
      <c r="AV10" s="1758"/>
      <c r="AW10" s="1758"/>
      <c r="AX10" s="1699" t="e">
        <f>T10</f>
        <v>#REF!</v>
      </c>
      <c r="AY10" s="1699"/>
      <c r="AZ10" s="1699"/>
      <c r="BA10" s="1700"/>
      <c r="BB10" s="1792" t="s">
        <v>23</v>
      </c>
      <c r="BC10" s="1758"/>
      <c r="BD10" s="1758"/>
      <c r="BE10" s="1700" t="e">
        <f>Z10</f>
        <v>#REF!</v>
      </c>
      <c r="BF10" s="2034"/>
      <c r="BG10" s="2034"/>
      <c r="BH10" s="1291"/>
      <c r="BI10" s="154"/>
      <c r="CA10" s="161"/>
      <c r="CB10" s="2137"/>
      <c r="CC10" s="2138"/>
      <c r="CD10" s="2138"/>
      <c r="CE10" s="2138"/>
      <c r="CF10" s="2078"/>
      <c r="CG10" s="2133" t="s">
        <v>166</v>
      </c>
      <c r="CH10" s="2134"/>
      <c r="CI10" s="2134"/>
      <c r="CJ10" s="2134"/>
      <c r="CK10" s="2134"/>
      <c r="CL10" s="2134"/>
      <c r="CM10" s="2134"/>
      <c r="CN10" s="2073"/>
      <c r="CO10" s="2073"/>
      <c r="CP10" s="2074"/>
      <c r="CQ10" s="2133" t="s">
        <v>167</v>
      </c>
      <c r="CR10" s="2134"/>
      <c r="CS10" s="2134"/>
      <c r="CT10" s="2134"/>
      <c r="CU10" s="2134"/>
      <c r="CV10" s="2134"/>
      <c r="CW10" s="2134"/>
      <c r="CX10" s="2073"/>
      <c r="CY10" s="2073"/>
      <c r="CZ10" s="2074"/>
      <c r="DA10" s="2203"/>
      <c r="DB10" s="2204"/>
      <c r="DC10" s="2204"/>
      <c r="DD10" s="2204"/>
      <c r="DE10" s="2158"/>
      <c r="DF10" s="58"/>
      <c r="DG10" s="58"/>
      <c r="DH10" s="2090"/>
      <c r="DI10" s="2160"/>
      <c r="DJ10" s="2077"/>
      <c r="DK10" s="2077"/>
      <c r="DL10" s="2077"/>
      <c r="DM10" s="2077"/>
      <c r="DN10" s="2161"/>
      <c r="DO10" s="2087"/>
      <c r="DP10" s="2125"/>
      <c r="DQ10" s="1782"/>
      <c r="DR10" s="1782"/>
      <c r="DS10" s="1782"/>
      <c r="DT10" s="1782"/>
      <c r="DU10" s="1935"/>
      <c r="DV10" s="1933"/>
      <c r="DW10" s="1934"/>
      <c r="DX10" s="1934"/>
      <c r="DY10" s="1934"/>
      <c r="DZ10" s="1934"/>
      <c r="EA10" s="1934"/>
      <c r="EB10" s="1934"/>
      <c r="EC10" s="1934"/>
      <c r="ED10" s="1934"/>
      <c r="EE10" s="1934"/>
      <c r="EF10" s="1934"/>
      <c r="EG10" s="1934"/>
      <c r="EH10" s="1934"/>
      <c r="EI10" s="1934"/>
      <c r="EJ10" s="1934"/>
      <c r="EK10" s="1935"/>
      <c r="EL10" s="147"/>
      <c r="EM10" s="147"/>
      <c r="EN10" s="147"/>
      <c r="EO10" s="147"/>
      <c r="EP10" s="147"/>
      <c r="EQ10" s="147"/>
      <c r="ER10" s="147"/>
      <c r="ES10" s="147"/>
      <c r="ET10" s="2163"/>
      <c r="EU10" s="2164"/>
      <c r="FW10" s="154"/>
      <c r="FX10" s="154"/>
      <c r="FY10" s="154"/>
      <c r="FZ10" s="154"/>
      <c r="GA10" s="1884" t="s">
        <v>713</v>
      </c>
      <c r="GB10" s="2199"/>
      <c r="GC10" s="2199"/>
      <c r="GD10" s="2199"/>
      <c r="GE10" s="2199"/>
      <c r="GF10" s="2199"/>
      <c r="GG10" s="1885"/>
      <c r="GH10" s="1885"/>
      <c r="GI10" s="1885"/>
      <c r="GJ10" s="1885"/>
      <c r="GK10" s="154"/>
      <c r="GL10" s="157"/>
      <c r="GM10" s="157"/>
      <c r="GN10" s="157"/>
      <c r="GO10" s="157"/>
      <c r="GP10" s="157"/>
      <c r="GZ10" s="157"/>
      <c r="HA10" s="1121"/>
      <c r="HB10" s="1121"/>
      <c r="HC10" s="1121"/>
      <c r="HD10" s="1122"/>
      <c r="HE10" s="1123"/>
      <c r="HF10" s="1125"/>
      <c r="HG10" s="1126"/>
      <c r="HH10" s="1126"/>
      <c r="HI10" s="1126"/>
      <c r="HJ10" s="1126"/>
      <c r="HK10" s="1126"/>
      <c r="HL10" s="1126"/>
      <c r="HM10" s="1125"/>
      <c r="HN10" s="1126"/>
      <c r="HO10" s="1126"/>
      <c r="HP10" s="1126"/>
      <c r="HQ10" s="1126"/>
      <c r="HR10" s="1126"/>
      <c r="HS10" s="1126"/>
      <c r="HT10" s="1121"/>
      <c r="HU10" s="1121"/>
      <c r="HV10" s="1121"/>
      <c r="HW10" s="1121"/>
      <c r="HX10" s="1121"/>
      <c r="HY10" s="1120"/>
      <c r="HZ10" s="1111"/>
      <c r="IA10" s="1111"/>
      <c r="IB10" s="1111"/>
      <c r="IC10" s="1111"/>
      <c r="ID10" s="1111"/>
      <c r="IE10" s="1111"/>
      <c r="IF10" s="1111"/>
      <c r="IG10" s="1111"/>
      <c r="IH10" s="1114"/>
      <c r="II10" s="1114"/>
      <c r="IJ10" s="1114"/>
      <c r="IK10" s="1114"/>
      <c r="IL10" s="1114"/>
      <c r="IM10" s="1114"/>
      <c r="IN10" s="1114"/>
      <c r="IO10" s="1114"/>
      <c r="IP10" s="1114"/>
      <c r="IQ10" s="1114"/>
      <c r="IR10" s="1114"/>
      <c r="IS10" s="1114"/>
      <c r="IT10" s="1114"/>
      <c r="IU10" s="1114"/>
      <c r="IV10" s="1114"/>
      <c r="IW10" s="1114"/>
      <c r="IX10" s="1114"/>
      <c r="IY10" s="1114"/>
      <c r="IZ10" s="1114"/>
      <c r="JA10" s="1114"/>
      <c r="JB10" s="1114"/>
      <c r="JC10" s="1114"/>
      <c r="JD10" s="1114"/>
      <c r="JE10" s="1114"/>
      <c r="JF10" s="1114"/>
      <c r="JG10" s="1114"/>
      <c r="JH10" s="1114"/>
      <c r="JI10" s="1114"/>
      <c r="JJ10" s="1114"/>
      <c r="JK10" s="1114"/>
      <c r="JL10" s="1114"/>
      <c r="JM10" s="1114"/>
      <c r="JN10" s="1114"/>
      <c r="JO10" s="1114"/>
    </row>
    <row r="11" spans="1:276" ht="3.95" customHeight="1" thickTop="1" thickBot="1" x14ac:dyDescent="0.25">
      <c r="A11" s="2022"/>
      <c r="B11" s="2022"/>
      <c r="C11" s="2022"/>
      <c r="D11" s="2022"/>
      <c r="E11" s="2022"/>
      <c r="F11" s="2022"/>
      <c r="G11" s="2022"/>
      <c r="H11" s="2022"/>
      <c r="I11" s="2022"/>
      <c r="J11" s="2022"/>
      <c r="K11" s="2022"/>
      <c r="L11" s="2022"/>
      <c r="M11" s="2022"/>
      <c r="N11" s="2022"/>
      <c r="O11" s="2022"/>
      <c r="P11" s="2022"/>
      <c r="Q11" s="2022"/>
      <c r="R11" s="2022"/>
      <c r="S11" s="2022"/>
      <c r="T11" s="2022"/>
      <c r="U11" s="2022"/>
      <c r="V11" s="2022"/>
      <c r="W11" s="2022"/>
      <c r="X11" s="2022"/>
      <c r="Y11" s="2022"/>
      <c r="Z11" s="2022"/>
      <c r="AA11" s="2022"/>
      <c r="AB11" s="1035"/>
      <c r="AC11" s="1035"/>
      <c r="AD11" s="1035"/>
      <c r="AE11" s="1035"/>
      <c r="AF11" s="1035"/>
      <c r="AG11" s="1035"/>
      <c r="AH11" s="1035"/>
      <c r="AI11" s="1035"/>
      <c r="AJ11" s="1035"/>
      <c r="AK11" s="1035"/>
      <c r="AL11" s="1035"/>
      <c r="AM11" s="1035"/>
      <c r="AN11" s="1035"/>
      <c r="AO11" s="1035"/>
      <c r="AP11" s="1035"/>
      <c r="AQ11" s="1035"/>
      <c r="AR11" s="1035"/>
      <c r="AS11" s="1035"/>
      <c r="AT11" s="1035"/>
      <c r="AU11" s="1035"/>
      <c r="AV11" s="1035"/>
      <c r="AW11" s="1035"/>
      <c r="AX11" s="1035"/>
      <c r="AY11" s="1035"/>
      <c r="AZ11" s="1035"/>
      <c r="BA11" s="1035"/>
      <c r="BB11" s="1035"/>
      <c r="BC11" s="1035"/>
      <c r="BD11" s="1035"/>
      <c r="BE11" s="1035"/>
      <c r="BF11" s="1035"/>
      <c r="BG11" s="1035"/>
      <c r="BH11" s="180"/>
      <c r="BJ11" s="41"/>
      <c r="BK11" s="41"/>
      <c r="BL11" s="41"/>
      <c r="BM11" s="41"/>
      <c r="BN11" s="41"/>
      <c r="BO11" s="41"/>
      <c r="CA11" s="40"/>
      <c r="CB11" s="2139"/>
      <c r="CC11" s="2140"/>
      <c r="CD11" s="2140"/>
      <c r="CE11" s="2140"/>
      <c r="CF11" s="2141"/>
      <c r="CG11" s="2135"/>
      <c r="CH11" s="2136"/>
      <c r="CI11" s="2136"/>
      <c r="CJ11" s="2136"/>
      <c r="CK11" s="2136"/>
      <c r="CL11" s="2136"/>
      <c r="CM11" s="2136"/>
      <c r="CN11" s="2077"/>
      <c r="CO11" s="2077"/>
      <c r="CP11" s="2078"/>
      <c r="CQ11" s="2148"/>
      <c r="CR11" s="2149"/>
      <c r="CS11" s="2149"/>
      <c r="CT11" s="2149"/>
      <c r="CU11" s="2149"/>
      <c r="CV11" s="2149"/>
      <c r="CW11" s="2149"/>
      <c r="CX11" s="2150"/>
      <c r="CY11" s="2150"/>
      <c r="CZ11" s="2151"/>
      <c r="DA11" s="1455"/>
      <c r="DB11" s="2152"/>
      <c r="DC11" s="2074"/>
      <c r="DD11" s="2154"/>
      <c r="DE11" s="2155"/>
      <c r="DF11" s="58"/>
      <c r="DG11" s="58"/>
      <c r="DH11" s="2090"/>
      <c r="DI11" s="2160"/>
      <c r="DJ11" s="2077"/>
      <c r="DK11" s="2077"/>
      <c r="DL11" s="2077"/>
      <c r="DM11" s="2077"/>
      <c r="DN11" s="2161"/>
      <c r="DO11" s="2087"/>
      <c r="DP11" s="2205" t="s">
        <v>277</v>
      </c>
      <c r="DQ11" s="1475"/>
      <c r="DR11" s="2128" t="s">
        <v>279</v>
      </c>
      <c r="DS11" s="1475"/>
      <c r="DT11" s="1475"/>
      <c r="DU11" s="1475"/>
      <c r="DV11" s="1933"/>
      <c r="DW11" s="1934"/>
      <c r="DX11" s="1934"/>
      <c r="DY11" s="1934"/>
      <c r="DZ11" s="1934"/>
      <c r="EA11" s="1934"/>
      <c r="EB11" s="1934"/>
      <c r="EC11" s="1934"/>
      <c r="ED11" s="1934"/>
      <c r="EE11" s="1934"/>
      <c r="EF11" s="1934"/>
      <c r="EG11" s="1934"/>
      <c r="EH11" s="1934"/>
      <c r="EI11" s="1934"/>
      <c r="EJ11" s="1934"/>
      <c r="EK11" s="1935"/>
      <c r="EL11" s="58"/>
      <c r="EM11" s="58"/>
      <c r="EN11" s="862"/>
      <c r="EO11" s="58"/>
      <c r="EP11" s="58"/>
      <c r="EQ11" s="58"/>
      <c r="ER11" s="147"/>
      <c r="ES11" s="147"/>
      <c r="ET11" s="2163"/>
      <c r="EU11" s="2164"/>
      <c r="FW11" s="1"/>
      <c r="FX11" s="1"/>
      <c r="FY11" s="1"/>
      <c r="FZ11" s="1"/>
      <c r="GA11" s="2200"/>
      <c r="GB11" s="2200"/>
      <c r="GC11" s="2200"/>
      <c r="GD11" s="2200"/>
      <c r="GE11" s="2200"/>
      <c r="GF11" s="2200"/>
      <c r="GG11" s="2201"/>
      <c r="GH11" s="2201"/>
      <c r="GI11" s="2201"/>
      <c r="GJ11" s="2201"/>
      <c r="GK11" s="1"/>
      <c r="GL11" s="56"/>
      <c r="GM11" s="56"/>
      <c r="GN11" s="56"/>
      <c r="GO11" s="56"/>
      <c r="GP11" s="56"/>
      <c r="GZ11" s="56"/>
      <c r="HA11" s="1121"/>
      <c r="HB11" s="1121"/>
      <c r="HC11" s="1121"/>
      <c r="HD11" s="1122"/>
      <c r="HE11" s="1123"/>
      <c r="HF11" s="1126"/>
      <c r="HG11" s="1126"/>
      <c r="HH11" s="1126"/>
      <c r="HI11" s="1126"/>
      <c r="HJ11" s="1126"/>
      <c r="HK11" s="1126"/>
      <c r="HL11" s="1126"/>
      <c r="HM11" s="1126"/>
      <c r="HN11" s="1126"/>
      <c r="HO11" s="1126"/>
      <c r="HP11" s="1126"/>
      <c r="HQ11" s="1126"/>
      <c r="HR11" s="1126"/>
      <c r="HS11" s="1126"/>
      <c r="HT11" s="1121"/>
      <c r="HU11" s="1121"/>
      <c r="HV11" s="1121"/>
      <c r="HW11" s="1121"/>
      <c r="HX11" s="1121"/>
      <c r="HY11" s="1120"/>
      <c r="HZ11" s="1121"/>
      <c r="IA11" s="1121"/>
      <c r="IB11" s="1121"/>
      <c r="IC11" s="1121"/>
      <c r="ID11" s="1121"/>
      <c r="IE11" s="1121"/>
      <c r="IF11" s="1121"/>
      <c r="IG11" s="1121"/>
      <c r="IH11" s="1127"/>
      <c r="II11" s="1127"/>
      <c r="IJ11" s="1127"/>
      <c r="IK11" s="1127"/>
      <c r="IL11" s="1127"/>
      <c r="IM11" s="1127"/>
      <c r="IN11" s="1127"/>
      <c r="IO11" s="1127"/>
      <c r="IP11" s="1127"/>
      <c r="IQ11" s="1127"/>
      <c r="IR11" s="1127"/>
      <c r="IS11" s="1127"/>
      <c r="IT11" s="1127"/>
      <c r="IU11" s="1127"/>
      <c r="IV11" s="1127"/>
      <c r="IW11" s="1127"/>
      <c r="IX11" s="1127"/>
      <c r="IY11" s="1127"/>
      <c r="IZ11" s="1127"/>
      <c r="JA11" s="1127"/>
      <c r="JB11" s="1127"/>
      <c r="JC11" s="1127"/>
      <c r="JD11" s="1127"/>
      <c r="JE11" s="1127"/>
      <c r="JF11" s="1127"/>
      <c r="JG11" s="1127"/>
      <c r="JH11" s="1127"/>
      <c r="JI11" s="1127"/>
      <c r="JJ11" s="1127"/>
      <c r="JK11" s="1127"/>
      <c r="JL11" s="1127"/>
      <c r="JM11" s="1127"/>
      <c r="JN11" s="1127"/>
      <c r="JO11" s="1127"/>
    </row>
    <row r="12" spans="1:276" ht="12" customHeight="1" thickTop="1" thickBot="1" x14ac:dyDescent="0.3">
      <c r="A12" s="1848" t="s">
        <v>40</v>
      </c>
      <c r="B12" s="1849" t="s">
        <v>102</v>
      </c>
      <c r="C12" s="1849" t="s">
        <v>31</v>
      </c>
      <c r="D12" s="1849" t="s">
        <v>25</v>
      </c>
      <c r="E12" s="1850"/>
      <c r="F12" s="1851" t="s">
        <v>74</v>
      </c>
      <c r="G12" s="1824" t="s">
        <v>9</v>
      </c>
      <c r="H12" s="1822"/>
      <c r="I12" s="1822"/>
      <c r="J12" s="1822" t="s">
        <v>10</v>
      </c>
      <c r="K12" s="1822"/>
      <c r="L12" s="1825"/>
      <c r="M12" s="1852" t="s">
        <v>11</v>
      </c>
      <c r="N12" s="1853"/>
      <c r="O12" s="1854" t="s">
        <v>12</v>
      </c>
      <c r="P12" s="1819"/>
      <c r="Q12" s="1819" t="s">
        <v>13</v>
      </c>
      <c r="R12" s="1820"/>
      <c r="S12" s="1821" t="s">
        <v>14</v>
      </c>
      <c r="T12" s="1822"/>
      <c r="U12" s="1822"/>
      <c r="V12" s="1822"/>
      <c r="W12" s="1823"/>
      <c r="X12" s="1824" t="s">
        <v>85</v>
      </c>
      <c r="Y12" s="1825"/>
      <c r="Z12" s="1036" t="s">
        <v>15</v>
      </c>
      <c r="AA12" s="2174" t="s">
        <v>548</v>
      </c>
      <c r="AB12" s="1848" t="s">
        <v>40</v>
      </c>
      <c r="AC12" s="2005" t="s">
        <v>62</v>
      </c>
      <c r="AD12" s="2035" t="s">
        <v>32</v>
      </c>
      <c r="AE12" s="2036"/>
      <c r="AF12" s="1825" t="s">
        <v>34</v>
      </c>
      <c r="AG12" s="2023"/>
      <c r="AH12" s="1824"/>
      <c r="AI12" s="2035" t="s">
        <v>35</v>
      </c>
      <c r="AJ12" s="2036"/>
      <c r="AK12" s="2051" t="s">
        <v>63</v>
      </c>
      <c r="AL12" s="2019" t="s">
        <v>388</v>
      </c>
      <c r="AM12" s="2020"/>
      <c r="AN12" s="2020"/>
      <c r="AO12" s="2020"/>
      <c r="AP12" s="2020"/>
      <c r="AQ12" s="2021"/>
      <c r="AR12" s="2186" t="s">
        <v>73</v>
      </c>
      <c r="AS12" s="2187"/>
      <c r="AT12" s="2187"/>
      <c r="AU12" s="2187"/>
      <c r="AV12" s="2187"/>
      <c r="AW12" s="2187"/>
      <c r="AX12" s="2187"/>
      <c r="AY12" s="2187"/>
      <c r="AZ12" s="2187"/>
      <c r="BA12" s="2187"/>
      <c r="BB12" s="2187"/>
      <c r="BC12" s="2187"/>
      <c r="BD12" s="2187"/>
      <c r="BE12" s="2187"/>
      <c r="BF12" s="2187"/>
      <c r="BG12" s="2187"/>
      <c r="BH12" s="1291"/>
      <c r="BJ12" s="41"/>
      <c r="BK12" s="41"/>
      <c r="BL12" s="41"/>
      <c r="BM12" s="41"/>
      <c r="BN12" s="41"/>
      <c r="BO12" s="41"/>
      <c r="BW12" s="2171" t="s">
        <v>306</v>
      </c>
      <c r="BX12" s="2172"/>
      <c r="BY12" s="2172"/>
      <c r="BZ12" s="2173"/>
      <c r="CA12" s="40"/>
      <c r="CB12" s="1994" t="s">
        <v>289</v>
      </c>
      <c r="CC12" s="2069" t="s">
        <v>102</v>
      </c>
      <c r="CD12" s="1996" t="s">
        <v>175</v>
      </c>
      <c r="CE12" s="2063" t="s">
        <v>817</v>
      </c>
      <c r="CF12" s="2064"/>
      <c r="CG12" s="1857" t="s">
        <v>818</v>
      </c>
      <c r="CH12" s="1859" t="s">
        <v>271</v>
      </c>
      <c r="CI12" s="1860"/>
      <c r="CJ12" s="1859" t="s">
        <v>272</v>
      </c>
      <c r="CK12" s="1860"/>
      <c r="CL12" s="1876" t="s">
        <v>185</v>
      </c>
      <c r="CM12" s="1878" t="s">
        <v>404</v>
      </c>
      <c r="CN12" s="2142" t="s">
        <v>802</v>
      </c>
      <c r="CO12" s="2143"/>
      <c r="CP12" s="2144"/>
      <c r="CQ12" s="1863" t="s">
        <v>818</v>
      </c>
      <c r="CR12" s="1865" t="s">
        <v>271</v>
      </c>
      <c r="CS12" s="1866"/>
      <c r="CT12" s="1865" t="s">
        <v>272</v>
      </c>
      <c r="CU12" s="1866"/>
      <c r="CV12" s="2067" t="s">
        <v>185</v>
      </c>
      <c r="CW12" s="1874" t="s">
        <v>404</v>
      </c>
      <c r="CX12" s="2145" t="s">
        <v>802</v>
      </c>
      <c r="CY12" s="2146"/>
      <c r="CZ12" s="2147"/>
      <c r="DA12" s="1855" t="s">
        <v>416</v>
      </c>
      <c r="DB12" s="2153"/>
      <c r="DC12" s="2078"/>
      <c r="DD12" s="1871" t="s">
        <v>810</v>
      </c>
      <c r="DE12" s="1873" t="s">
        <v>811</v>
      </c>
      <c r="DF12" s="58"/>
      <c r="DG12" s="58"/>
      <c r="DH12" s="2090"/>
      <c r="DI12" s="2097" t="s">
        <v>815</v>
      </c>
      <c r="DJ12" s="2099" t="s">
        <v>32</v>
      </c>
      <c r="DK12" s="2100"/>
      <c r="DL12" s="2081" t="s">
        <v>34</v>
      </c>
      <c r="DM12" s="2080" t="s">
        <v>186</v>
      </c>
      <c r="DN12" s="2092"/>
      <c r="DO12" s="2087"/>
      <c r="DP12" s="2205"/>
      <c r="DQ12" s="2103" t="s">
        <v>278</v>
      </c>
      <c r="DR12" s="2129"/>
      <c r="DS12" s="2103" t="s">
        <v>280</v>
      </c>
      <c r="DT12" s="2105" t="s">
        <v>281</v>
      </c>
      <c r="DU12" s="2106"/>
      <c r="DV12" s="2184" t="s">
        <v>274</v>
      </c>
      <c r="DW12" s="2185"/>
      <c r="DX12" s="1936" t="s">
        <v>813</v>
      </c>
      <c r="DY12" s="2095" t="s">
        <v>814</v>
      </c>
      <c r="DZ12" s="2184" t="s">
        <v>274</v>
      </c>
      <c r="EA12" s="2185"/>
      <c r="EB12" s="1936" t="s">
        <v>813</v>
      </c>
      <c r="EC12" s="2095" t="s">
        <v>814</v>
      </c>
      <c r="ED12" s="2184" t="s">
        <v>274</v>
      </c>
      <c r="EE12" s="2185"/>
      <c r="EF12" s="1936" t="s">
        <v>813</v>
      </c>
      <c r="EG12" s="2095" t="s">
        <v>814</v>
      </c>
      <c r="EH12" s="2184" t="s">
        <v>274</v>
      </c>
      <c r="EI12" s="2185"/>
      <c r="EJ12" s="1936" t="s">
        <v>813</v>
      </c>
      <c r="EK12" s="1938" t="s">
        <v>814</v>
      </c>
      <c r="EL12" s="147"/>
      <c r="EM12" s="1880" t="s">
        <v>403</v>
      </c>
      <c r="EN12" s="1882" t="s">
        <v>266</v>
      </c>
      <c r="EO12" s="1883"/>
      <c r="EP12" s="1883"/>
      <c r="EQ12" s="1880" t="s">
        <v>267</v>
      </c>
      <c r="ER12" s="1869" t="s">
        <v>400</v>
      </c>
      <c r="ES12" s="1870"/>
      <c r="ET12" s="2165"/>
      <c r="EU12" s="2166"/>
      <c r="FW12" s="1"/>
      <c r="FX12" s="1"/>
      <c r="FY12" s="1"/>
      <c r="FZ12" s="1"/>
      <c r="GA12" s="1943" t="s">
        <v>361</v>
      </c>
      <c r="GB12" s="1944"/>
      <c r="GC12" s="1943" t="s">
        <v>253</v>
      </c>
      <c r="GD12" s="1944"/>
      <c r="GE12" s="1987" t="s">
        <v>364</v>
      </c>
      <c r="GF12" s="1989" t="s">
        <v>308</v>
      </c>
      <c r="GG12" s="1943" t="s">
        <v>715</v>
      </c>
      <c r="GH12" s="1944"/>
      <c r="GI12" s="1943" t="s">
        <v>714</v>
      </c>
      <c r="GJ12" s="1944"/>
      <c r="GK12" s="1947" t="s">
        <v>365</v>
      </c>
      <c r="GL12" s="1947" t="s">
        <v>366</v>
      </c>
      <c r="GM12" s="1947" t="s">
        <v>367</v>
      </c>
      <c r="GN12" s="56"/>
      <c r="GO12" s="56"/>
      <c r="GP12" s="56"/>
      <c r="GZ12" s="56"/>
      <c r="HA12" s="1953" t="s">
        <v>308</v>
      </c>
      <c r="HB12" s="1928" t="s">
        <v>707</v>
      </c>
      <c r="HC12" s="1928" t="s">
        <v>732</v>
      </c>
      <c r="HD12" s="1928" t="e">
        <f>IF($HA$1,"Bay Length","Overall Length")</f>
        <v>#REF!</v>
      </c>
      <c r="HE12" s="1929"/>
      <c r="HF12" s="1928" t="e">
        <f>IF($HA$1,"L Sect #","TC Width")</f>
        <v>#REF!</v>
      </c>
      <c r="HG12" s="1886" t="e">
        <f>IF($HA$1,"L Min Sup Wid","TCXL Feet")</f>
        <v>#REF!</v>
      </c>
      <c r="HH12" s="1886" t="e">
        <f>IF($HA$1,"L Max Sup Wid","TCXL Inch")</f>
        <v>#REF!</v>
      </c>
      <c r="HI12" s="1886" t="e">
        <f>IF($HA$1,"L Min Flg Ga","TCXL Type")</f>
        <v>#REF!</v>
      </c>
      <c r="HJ12" s="1886" t="e">
        <f>IF($HA$1,"L Max Flg Ga","TCXR Feet")</f>
        <v>#REF!</v>
      </c>
      <c r="HK12" s="1886" t="e">
        <f>IF($HA$1,"L Skew","TCXR Inch")</f>
        <v>#REF!</v>
      </c>
      <c r="HL12" s="1886" t="e">
        <f>IF($HA$1,"L Brg Slp","TCXR Type")</f>
        <v>#REF!</v>
      </c>
      <c r="HM12" s="1928" t="e">
        <f>IF($HA$1,"R Sect #","BDL")</f>
        <v>#REF!</v>
      </c>
      <c r="HN12" s="1886" t="e">
        <f>IF($HA$1,"R Min Sup Wid","BDR")</f>
        <v>#REF!</v>
      </c>
      <c r="HO12" s="1886" t="e">
        <f>IF($HA$1,"R Max Sup Wid","BCXL Feet")</f>
        <v>#REF!</v>
      </c>
      <c r="HP12" s="1886" t="e">
        <f>IF($HA$1,"R Min Flg Ga","BCXL Inch")</f>
        <v>#REF!</v>
      </c>
      <c r="HQ12" s="1886" t="e">
        <f>IF($HA$1,"R Max Flg Ga","BCXR Feet")</f>
        <v>#REF!</v>
      </c>
      <c r="HR12" s="1886" t="e">
        <f>IF($HA$1,"R Skew","BCXR Inch")</f>
        <v>#REF!</v>
      </c>
      <c r="HS12" s="1886" t="e">
        <f>IF($HA$1,"R Brg Slp","HL Feet")</f>
        <v>#REF!</v>
      </c>
      <c r="HT12" s="1886" t="e">
        <f>IF($HA$1,"TC Slope","HL Inch")</f>
        <v>#REF!</v>
      </c>
      <c r="HU12" s="1886" t="e">
        <f>IF($HA$1,"Load Notes","HR Feet")</f>
        <v>#REF!</v>
      </c>
      <c r="HV12" s="1886" t="e">
        <f>IF($HA$1,"Spcl Notes","HR Inch")</f>
        <v>#REF!</v>
      </c>
      <c r="HW12" s="1886" t="e">
        <f>IF($HA$1,"# KB","Slot Ga")</f>
        <v>#REF!</v>
      </c>
      <c r="HX12" s="1886" t="e">
        <f>IF($HA$1,"TC Width","L Seat Slp")</f>
        <v>#REF!</v>
      </c>
      <c r="HY12" s="1886" t="e">
        <f>IF($HA$1,"TCL Override","R Seat Slp")</f>
        <v>#REF!</v>
      </c>
      <c r="HZ12" s="1886" t="e">
        <f>IF($HA$1,"TCR Override","Load Notes")</f>
        <v>#REF!</v>
      </c>
      <c r="IA12" s="1886" t="e">
        <f>IF($HA$1,"L-BL Override","Spcl Notes")</f>
        <v>#REF!</v>
      </c>
      <c r="IB12" s="1888" t="e">
        <f>IF($HA$1,"R-BL Override","# KB")</f>
        <v>#REF!</v>
      </c>
      <c r="IC12" s="1886" t="e">
        <f>IF($HA$1,"BDL Override","-")</f>
        <v>#REF!</v>
      </c>
      <c r="ID12" s="2169" t="e">
        <f>IF($HA$1,"BDR Override","-")</f>
        <v>#REF!</v>
      </c>
      <c r="IE12" s="1945" t="s">
        <v>308</v>
      </c>
      <c r="IF12" s="1813" t="s">
        <v>734</v>
      </c>
      <c r="IG12" s="1813" t="s">
        <v>735</v>
      </c>
      <c r="IH12" s="1813" t="s">
        <v>736</v>
      </c>
      <c r="II12" s="1813" t="s">
        <v>737</v>
      </c>
      <c r="IJ12" s="1813" t="s">
        <v>739</v>
      </c>
      <c r="IK12" s="1813" t="s">
        <v>738</v>
      </c>
      <c r="IL12" s="1813" t="e">
        <f>IF($HA$1,"Load (Kip)","Panel ""B"" Feet")</f>
        <v>#REF!</v>
      </c>
      <c r="IM12" s="1813" t="e">
        <f>IF($HA$1,"OSHA N/F/B","Panel ""B"" Inch")</f>
        <v>#REF!</v>
      </c>
      <c r="IN12" s="1813" t="e">
        <f>IF($HA$1,"Girder TC Ga","Load (Kip)")</f>
        <v>#REF!</v>
      </c>
      <c r="IO12" s="1813" t="e">
        <f>IF($HA$1,"Jst Hole (x/16)","OSHA N/F/B")</f>
        <v>#REF!</v>
      </c>
      <c r="IP12" s="1813" t="e">
        <f>IF($HA$1,"Joist Gage","Girder TC Gage")</f>
        <v>#REF!</v>
      </c>
      <c r="IQ12" s="1813" t="e">
        <f>IF($HA$1,"TC Hole L","Girder TC Hole (x/16)")</f>
        <v>#REF!</v>
      </c>
      <c r="IR12" s="1813" t="e">
        <f>IF($HA$1,"TC Hole R","Joist Gage")</f>
        <v>#REF!</v>
      </c>
      <c r="IS12" s="1813" t="e">
        <f>IF($HA$1,"Add Jst#1 Feet","TCHoleL")</f>
        <v>#REF!</v>
      </c>
      <c r="IT12" s="1813" t="e">
        <f>IF($HA$1,"Add Jst#1 Inch","TC Hole R")</f>
        <v>#REF!</v>
      </c>
      <c r="IU12" s="1813" t="e">
        <f>IF($HA$1,"Add Jst#1 Load","Add Jst#1 Feet")</f>
        <v>#REF!</v>
      </c>
      <c r="IV12" s="1813" t="e">
        <f>IF($HA$1,"Add Jst#1 Bolt N/F/B","Add Jst#1 inch")</f>
        <v>#REF!</v>
      </c>
      <c r="IW12" s="1813" t="e">
        <f>IF($HA$1,"Add Jst#2 Feet","Add Jst#1 Load")</f>
        <v>#REF!</v>
      </c>
      <c r="IX12" s="1813" t="e">
        <f>IF($HA$1,"Add Jst#2 Inch","Add Jst#1 Bolt N/F/B")</f>
        <v>#REF!</v>
      </c>
      <c r="IY12" s="1813" t="e">
        <f>IF($HA$1,"Add Jst#2 Load","Add Jst#2 Feet")</f>
        <v>#REF!</v>
      </c>
      <c r="IZ12" s="1813" t="e">
        <f>IF($HA$1,"Add Jst#2 Bolt N/F/B","Add Jst#2 inch")</f>
        <v>#REF!</v>
      </c>
      <c r="JA12" s="1813" t="e">
        <f>IF($HA$1,"Add Jst#3 Feet","Add Jst#2 Load")</f>
        <v>#REF!</v>
      </c>
      <c r="JB12" s="1813" t="e">
        <f>IF($HA$1,"Add Jst#3 Inch","Add Jst#2 Bolt N/F/B")</f>
        <v>#REF!</v>
      </c>
      <c r="JC12" s="1813" t="e">
        <f>IF($HA$1,"Add Jst#3 Load","Add Jst#3 Feet")</f>
        <v>#REF!</v>
      </c>
      <c r="JD12" s="1813" t="e">
        <f>IF($HA$1,"Add Jst#3 Bolt N/F/B","Add Jst#3 inch")</f>
        <v>#REF!</v>
      </c>
      <c r="JE12" s="1813" t="e">
        <f>IF($HA$1,"Add Jst#4 Feet","Add Jst#3 Load")</f>
        <v>#REF!</v>
      </c>
      <c r="JF12" s="1813" t="e">
        <f>IF($HA$1,"Add Jst#4 Inch","Add Jst#3 Bolt N/F/B")</f>
        <v>#REF!</v>
      </c>
      <c r="JG12" s="1813" t="e">
        <f>IF($HA$1,"Add Jst#4 Load","Add Jst#4 Feet")</f>
        <v>#REF!</v>
      </c>
      <c r="JH12" s="1813" t="e">
        <f>IF($HA$1,"Add Jst#4 Bolt N/F/B","Add Jst#4 inch")</f>
        <v>#REF!</v>
      </c>
      <c r="JI12" s="1813" t="e">
        <f>IF($HA$1,"-","Add Jst#4 Load")</f>
        <v>#REF!</v>
      </c>
      <c r="JJ12" s="1813" t="e">
        <f>IF($HA$1,"-","Add Jst#4 Bolt N/F/B")</f>
        <v>#REF!</v>
      </c>
      <c r="JK12" s="1815" t="e">
        <f>IF($HA$1,"# Rows Req'd","# Rows Req'd")</f>
        <v>#REF!</v>
      </c>
      <c r="JL12" s="1817" t="s">
        <v>741</v>
      </c>
      <c r="JM12" s="1127"/>
      <c r="JN12" s="1127"/>
      <c r="JO12" s="1127"/>
    </row>
    <row r="13" spans="1:276" ht="21" customHeight="1" thickTop="1" thickBot="1" x14ac:dyDescent="0.3">
      <c r="A13" s="1848"/>
      <c r="B13" s="1849"/>
      <c r="C13" s="1849"/>
      <c r="D13" s="1849"/>
      <c r="E13" s="1850"/>
      <c r="F13" s="1851"/>
      <c r="G13" s="1828" t="s">
        <v>16</v>
      </c>
      <c r="H13" s="1829"/>
      <c r="I13" s="1022" t="s">
        <v>385</v>
      </c>
      <c r="J13" s="1829" t="s">
        <v>16</v>
      </c>
      <c r="K13" s="1829"/>
      <c r="L13" s="976" t="s">
        <v>385</v>
      </c>
      <c r="M13" s="1026" t="s">
        <v>18</v>
      </c>
      <c r="N13" s="395" t="s">
        <v>19</v>
      </c>
      <c r="O13" s="1854"/>
      <c r="P13" s="1819"/>
      <c r="Q13" s="1819"/>
      <c r="R13" s="1820"/>
      <c r="S13" s="1830" t="s">
        <v>71</v>
      </c>
      <c r="T13" s="1829"/>
      <c r="U13" s="1829" t="s">
        <v>72</v>
      </c>
      <c r="V13" s="1829"/>
      <c r="W13" s="395" t="s">
        <v>27</v>
      </c>
      <c r="X13" s="1021" t="s">
        <v>86</v>
      </c>
      <c r="Y13" s="976" t="s">
        <v>87</v>
      </c>
      <c r="Z13" s="1037" t="s">
        <v>57</v>
      </c>
      <c r="AA13" s="2175"/>
      <c r="AB13" s="1848"/>
      <c r="AC13" s="2006"/>
      <c r="AD13" s="2037"/>
      <c r="AE13" s="2038"/>
      <c r="AF13" s="1022" t="s">
        <v>33</v>
      </c>
      <c r="AG13" s="1829" t="s">
        <v>16</v>
      </c>
      <c r="AH13" s="1829"/>
      <c r="AI13" s="2037"/>
      <c r="AJ13" s="2038"/>
      <c r="AK13" s="2052"/>
      <c r="AL13" s="1038" t="s">
        <v>389</v>
      </c>
      <c r="AM13" s="1023" t="s">
        <v>386</v>
      </c>
      <c r="AN13" s="1023" t="s">
        <v>387</v>
      </c>
      <c r="AO13" s="1024" t="s">
        <v>60</v>
      </c>
      <c r="AP13" s="1025" t="s">
        <v>390</v>
      </c>
      <c r="AQ13" s="1039" t="s">
        <v>391</v>
      </c>
      <c r="AR13" s="2047" t="s">
        <v>58</v>
      </c>
      <c r="AS13" s="1828"/>
      <c r="AT13" s="1040" t="s">
        <v>63</v>
      </c>
      <c r="AU13" s="1041" t="s">
        <v>59</v>
      </c>
      <c r="AV13" s="2046" t="s">
        <v>58</v>
      </c>
      <c r="AW13" s="1830"/>
      <c r="AX13" s="1040" t="s">
        <v>63</v>
      </c>
      <c r="AY13" s="1041" t="s">
        <v>59</v>
      </c>
      <c r="AZ13" s="2046" t="s">
        <v>58</v>
      </c>
      <c r="BA13" s="1830"/>
      <c r="BB13" s="1040" t="s">
        <v>63</v>
      </c>
      <c r="BC13" s="1041" t="s">
        <v>59</v>
      </c>
      <c r="BD13" s="2046" t="s">
        <v>58</v>
      </c>
      <c r="BE13" s="1830"/>
      <c r="BF13" s="1040" t="s">
        <v>63</v>
      </c>
      <c r="BG13" s="1041" t="s">
        <v>59</v>
      </c>
      <c r="BH13" s="1291"/>
      <c r="BJ13" s="460" t="s">
        <v>308</v>
      </c>
      <c r="BK13" s="461" t="s">
        <v>402</v>
      </c>
      <c r="BL13" s="294" t="s">
        <v>138</v>
      </c>
      <c r="BM13" s="294" t="s">
        <v>139</v>
      </c>
      <c r="BN13" s="294" t="s">
        <v>140</v>
      </c>
      <c r="BO13" s="294" t="s">
        <v>150</v>
      </c>
      <c r="BP13" s="294" t="s">
        <v>151</v>
      </c>
      <c r="BQ13" s="294" t="s">
        <v>152</v>
      </c>
      <c r="BR13" s="294" t="s">
        <v>146</v>
      </c>
      <c r="BS13" s="294" t="s">
        <v>143</v>
      </c>
      <c r="BT13" s="294" t="s">
        <v>142</v>
      </c>
      <c r="BU13" s="294" t="s">
        <v>144</v>
      </c>
      <c r="BV13" s="294" t="s">
        <v>145</v>
      </c>
      <c r="BW13" s="295" t="s">
        <v>307</v>
      </c>
      <c r="BX13" s="296" t="s">
        <v>308</v>
      </c>
      <c r="BY13" s="296" t="s">
        <v>138</v>
      </c>
      <c r="BZ13" s="461" t="s">
        <v>402</v>
      </c>
      <c r="CB13" s="1995"/>
      <c r="CC13" s="2068"/>
      <c r="CD13" s="1867"/>
      <c r="CE13" s="2065"/>
      <c r="CF13" s="2066"/>
      <c r="CG13" s="1858"/>
      <c r="CH13" s="1861"/>
      <c r="CI13" s="1862"/>
      <c r="CJ13" s="1861"/>
      <c r="CK13" s="1862"/>
      <c r="CL13" s="1877"/>
      <c r="CM13" s="1879"/>
      <c r="CN13" s="1425" t="s">
        <v>809</v>
      </c>
      <c r="CO13" s="1426" t="s">
        <v>804</v>
      </c>
      <c r="CP13" s="1427" t="s">
        <v>198</v>
      </c>
      <c r="CQ13" s="1864"/>
      <c r="CR13" s="1867"/>
      <c r="CS13" s="1868"/>
      <c r="CT13" s="1867"/>
      <c r="CU13" s="1868"/>
      <c r="CV13" s="2068"/>
      <c r="CW13" s="1875"/>
      <c r="CX13" s="1425" t="s">
        <v>809</v>
      </c>
      <c r="CY13" s="1426" t="s">
        <v>804</v>
      </c>
      <c r="CZ13" s="1427" t="s">
        <v>198</v>
      </c>
      <c r="DA13" s="1856"/>
      <c r="DB13" s="364" t="s">
        <v>151</v>
      </c>
      <c r="DC13" s="365" t="s">
        <v>250</v>
      </c>
      <c r="DD13" s="1872"/>
      <c r="DE13" s="1872"/>
      <c r="DF13" s="58"/>
      <c r="DG13" s="58"/>
      <c r="DH13" s="2091"/>
      <c r="DI13" s="2098"/>
      <c r="DJ13" s="2101"/>
      <c r="DK13" s="2102"/>
      <c r="DL13" s="2082"/>
      <c r="DM13" s="2093"/>
      <c r="DN13" s="2094"/>
      <c r="DO13" s="2088"/>
      <c r="DP13" s="2206"/>
      <c r="DQ13" s="2104"/>
      <c r="DR13" s="2130"/>
      <c r="DS13" s="2104"/>
      <c r="DT13" s="1482" t="s">
        <v>282</v>
      </c>
      <c r="DU13" s="1483" t="s">
        <v>283</v>
      </c>
      <c r="DV13" s="1459" t="s">
        <v>309</v>
      </c>
      <c r="DW13" s="1460" t="s">
        <v>284</v>
      </c>
      <c r="DX13" s="1937"/>
      <c r="DY13" s="2096"/>
      <c r="DZ13" s="1459" t="s">
        <v>309</v>
      </c>
      <c r="EA13" s="1460" t="s">
        <v>284</v>
      </c>
      <c r="EB13" s="1937"/>
      <c r="EC13" s="2096"/>
      <c r="ED13" s="1459" t="s">
        <v>309</v>
      </c>
      <c r="EE13" s="1460" t="s">
        <v>284</v>
      </c>
      <c r="EF13" s="1937"/>
      <c r="EG13" s="2096"/>
      <c r="EH13" s="1459" t="s">
        <v>309</v>
      </c>
      <c r="EI13" s="1460" t="s">
        <v>284</v>
      </c>
      <c r="EJ13" s="1937"/>
      <c r="EK13" s="1939"/>
      <c r="EL13" s="147"/>
      <c r="EM13" s="1881"/>
      <c r="EN13" s="465" t="s">
        <v>263</v>
      </c>
      <c r="EO13" s="366" t="s">
        <v>264</v>
      </c>
      <c r="EP13" s="367" t="s">
        <v>265</v>
      </c>
      <c r="EQ13" s="1881"/>
      <c r="ER13" s="480" t="s">
        <v>282</v>
      </c>
      <c r="ES13" s="481" t="s">
        <v>283</v>
      </c>
      <c r="ET13" s="369" t="s">
        <v>217</v>
      </c>
      <c r="EU13" s="370" t="s">
        <v>137</v>
      </c>
      <c r="EX13" s="296" t="s">
        <v>308</v>
      </c>
      <c r="EY13" s="871" t="s">
        <v>656</v>
      </c>
      <c r="EZ13" s="873" t="s">
        <v>658</v>
      </c>
      <c r="FA13" s="50" t="s">
        <v>687</v>
      </c>
      <c r="FB13" s="889" t="s">
        <v>143</v>
      </c>
      <c r="FC13" s="889" t="s">
        <v>32</v>
      </c>
      <c r="FD13" s="889" t="s">
        <v>34</v>
      </c>
      <c r="FE13" s="889" t="s">
        <v>35</v>
      </c>
      <c r="FF13" s="890" t="s">
        <v>688</v>
      </c>
      <c r="FN13" s="1200" t="s">
        <v>689</v>
      </c>
      <c r="FO13" s="1201" t="s">
        <v>749</v>
      </c>
      <c r="FP13" s="871" t="s">
        <v>689</v>
      </c>
      <c r="FQ13" s="1201" t="s">
        <v>750</v>
      </c>
      <c r="FW13" s="1"/>
      <c r="FX13" s="1"/>
      <c r="FZ13" s="1"/>
      <c r="GA13" s="486" t="s">
        <v>362</v>
      </c>
      <c r="GB13" s="487" t="s">
        <v>363</v>
      </c>
      <c r="GC13" s="486" t="s">
        <v>282</v>
      </c>
      <c r="GD13" s="487" t="s">
        <v>283</v>
      </c>
      <c r="GE13" s="1988"/>
      <c r="GF13" s="1988"/>
      <c r="GG13" s="486" t="s">
        <v>362</v>
      </c>
      <c r="GH13" s="487" t="s">
        <v>363</v>
      </c>
      <c r="GI13" s="486" t="s">
        <v>362</v>
      </c>
      <c r="GJ13" s="487" t="s">
        <v>363</v>
      </c>
      <c r="GK13" s="1948"/>
      <c r="GL13" s="1948"/>
      <c r="GM13" s="1948"/>
      <c r="GO13" s="56"/>
      <c r="GP13" s="56"/>
      <c r="GZ13" s="56"/>
      <c r="HA13" s="2193"/>
      <c r="HB13" s="2167"/>
      <c r="HC13" s="2167"/>
      <c r="HD13" s="2167"/>
      <c r="HE13" s="2167"/>
      <c r="HF13" s="2167"/>
      <c r="HG13" s="2167"/>
      <c r="HH13" s="2167"/>
      <c r="HI13" s="2167"/>
      <c r="HJ13" s="2167"/>
      <c r="HK13" s="2167"/>
      <c r="HL13" s="2167"/>
      <c r="HM13" s="2167"/>
      <c r="HN13" s="2167"/>
      <c r="HO13" s="2167"/>
      <c r="HP13" s="2167"/>
      <c r="HQ13" s="2167"/>
      <c r="HR13" s="2167"/>
      <c r="HS13" s="2167"/>
      <c r="HT13" s="2167"/>
      <c r="HU13" s="2167"/>
      <c r="HV13" s="2167"/>
      <c r="HW13" s="2167"/>
      <c r="HX13" s="2167"/>
      <c r="HY13" s="2167"/>
      <c r="HZ13" s="2167"/>
      <c r="IA13" s="2167"/>
      <c r="IB13" s="2168"/>
      <c r="IC13" s="2167"/>
      <c r="ID13" s="2170"/>
      <c r="IE13" s="1946"/>
      <c r="IF13" s="1814"/>
      <c r="IG13" s="1814"/>
      <c r="IH13" s="1814"/>
      <c r="II13" s="1814"/>
      <c r="IJ13" s="1814"/>
      <c r="IK13" s="1814"/>
      <c r="IL13" s="1814"/>
      <c r="IM13" s="1814"/>
      <c r="IN13" s="1814"/>
      <c r="IO13" s="1814"/>
      <c r="IP13" s="1814"/>
      <c r="IQ13" s="1814"/>
      <c r="IR13" s="1814"/>
      <c r="IS13" s="1814"/>
      <c r="IT13" s="1814"/>
      <c r="IU13" s="1814"/>
      <c r="IV13" s="1814"/>
      <c r="IW13" s="1814"/>
      <c r="IX13" s="1814"/>
      <c r="IY13" s="1814"/>
      <c r="IZ13" s="1814"/>
      <c r="JA13" s="1814"/>
      <c r="JB13" s="1814"/>
      <c r="JC13" s="1814"/>
      <c r="JD13" s="1814"/>
      <c r="JE13" s="1814"/>
      <c r="JF13" s="1814"/>
      <c r="JG13" s="1814"/>
      <c r="JH13" s="1814"/>
      <c r="JI13" s="1814"/>
      <c r="JJ13" s="1814"/>
      <c r="JK13" s="1816"/>
      <c r="JL13" s="1818"/>
      <c r="JM13" s="1127"/>
      <c r="JN13" s="1127"/>
      <c r="JO13" s="1127"/>
    </row>
    <row r="14" spans="1:276" ht="12.6" customHeight="1" thickTop="1" x14ac:dyDescent="0.25">
      <c r="A14" s="1605" t="str">
        <f t="shared" ref="A14:A45" si="0">IF(ISBLANK(CB14),"",CB14)</f>
        <v/>
      </c>
      <c r="B14" s="1633" t="str">
        <f t="shared" ref="B14:B45" si="1">IF(ISBLANK(CC14),"",CC14)</f>
        <v/>
      </c>
      <c r="C14" s="1634" t="str">
        <f t="shared" ref="C14:C45" si="2">IF(ISBLANK(CD14),"",CD14)</f>
        <v/>
      </c>
      <c r="D14" s="1607" t="str">
        <f t="shared" ref="D14:D45" si="3">IF(CV54="","",TRUNC(CV54/12))</f>
        <v/>
      </c>
      <c r="E14" s="1635" t="str">
        <f t="shared" ref="E14:E45" si="4">IF(CV54="","",CV54-(D14*12))</f>
        <v/>
      </c>
      <c r="F14" s="1636" t="str">
        <f t="shared" ref="F14:F45" si="5">IF(ISBLANK(DE14),"",DE14)</f>
        <v/>
      </c>
      <c r="G14" s="1615" t="str">
        <f t="shared" ref="G14:G45" si="6">IF(DD54=0,"",TRUNC(DD54/12))</f>
        <v/>
      </c>
      <c r="H14" s="1608" t="str">
        <f t="shared" ref="H14:H45" si="7">IF(DD54=0,"",DD54-(G14*12))</f>
        <v/>
      </c>
      <c r="I14" s="1606" t="str">
        <f t="shared" ref="I14:I45" si="8">IF(DD54=0,"",CE54)</f>
        <v/>
      </c>
      <c r="J14" s="1607" t="str">
        <f t="shared" ref="J14:J45" si="9">IF(DJ54=0,"",TRUNC(DJ54/12))</f>
        <v/>
      </c>
      <c r="K14" s="1608" t="str">
        <f t="shared" ref="K14:K45" si="10">IF(DJ54=0,"",DJ54-(J14*12))</f>
        <v/>
      </c>
      <c r="L14" s="1637" t="str">
        <f t="shared" ref="L14:L45" si="11">IF(DJ54=0,"",CN54)</f>
        <v/>
      </c>
      <c r="M14" s="1613" t="str">
        <f t="shared" ref="M14:N45" si="12">IF(CW54="","",CW54)</f>
        <v/>
      </c>
      <c r="N14" s="1638" t="str">
        <f t="shared" si="12"/>
        <v/>
      </c>
      <c r="O14" s="1615" t="str">
        <f t="shared" ref="O14:O45" si="13">IF(DZ54="","",IF(AND(DZ54&gt;-12,DZ54&lt;0),-0.000001,TRUNC(DZ54/12)))</f>
        <v/>
      </c>
      <c r="P14" s="1608" t="str">
        <f t="shared" ref="P14:P45" si="14">IF(DZ54="","",IF(AND(DZ54&lt;0,DZ54-(O14*12)=0),-0.00001,DZ54-(O14*12)))</f>
        <v/>
      </c>
      <c r="Q14" s="1607" t="str">
        <f t="shared" ref="Q14:Q45" si="15">IF(EA54="","",IF(AND(EA54&gt;-12,EA54&lt;0),-0.000001,TRUNC(EA54/12)))</f>
        <v/>
      </c>
      <c r="R14" s="1635" t="str">
        <f t="shared" ref="R14:R45" si="16">IF(EA54="","",IF(AND(EA54&lt;0,EA54-(Q14*12)=0),-0.00001,EA54-(Q14*12)))</f>
        <v/>
      </c>
      <c r="S14" s="1639" t="str">
        <f t="shared" ref="S14:S45" si="17">IF(DR54="","",IF(DR54="ERR",TRUNC(DQ54/12),TRUNC(DR54/12)))</f>
        <v/>
      </c>
      <c r="T14" s="1608" t="str">
        <f t="shared" ref="T14:T45" si="18">IF(DR54="","",IF(DR54="ERR",DQ54-(S14*12),DR54-(S14*12)))</f>
        <v/>
      </c>
      <c r="U14" s="1607" t="str">
        <f t="shared" ref="U14:U45" si="19">IF(DY54="","",IF(DY54="ERR",TRUNC(DX54/12),TRUNC(DY54/12)))</f>
        <v/>
      </c>
      <c r="V14" s="1608" t="str">
        <f t="shared" ref="V14:V45" si="20">IF(DY54="","",IF(DY54="ERR",DX54-(U14*12),DY54-(U14*12)))</f>
        <v/>
      </c>
      <c r="W14" s="1638">
        <f t="shared" ref="W14:W45" si="21">IF(EC54="",0,EC54)</f>
        <v>0</v>
      </c>
      <c r="X14" s="1640" t="e">
        <f t="shared" ref="X14:X45" si="22">IF(EN54="","",EN54)</f>
        <v>#REF!</v>
      </c>
      <c r="Y14" s="1641" t="e">
        <f t="shared" ref="Y14:Y45" si="23">IF(ES54="","",ES54)</f>
        <v>#REF!</v>
      </c>
      <c r="Z14" s="1587" t="str">
        <f t="shared" ref="Z14:Z45" si="24">CONCATENATE(IF(DC14="","",CONCATENATE("[",SUBSTITUTE(DC14," ",""),"] ")),IF(DB14="","",CONCATENATE("(",SUBSTITUTE(DB14," ",""),")")))</f>
        <v/>
      </c>
      <c r="AA14" s="1642" t="str">
        <f t="shared" ref="AA14:AA45" si="25">IF(ISBLANK(DD14),"",DD14)</f>
        <v/>
      </c>
      <c r="AB14" s="1605" t="str">
        <f t="shared" ref="AB14:AC45" si="26">IF(ISBLANK(DH14),"",DH14)</f>
        <v/>
      </c>
      <c r="AC14" s="1606" t="str">
        <f t="shared" si="26"/>
        <v/>
      </c>
      <c r="AD14" s="1607" t="str">
        <f t="shared" ref="AD14:AD45" si="27">IF(ISERROR(FV54),"",IF(FV54="","",TRUNC(FV54/12)))</f>
        <v/>
      </c>
      <c r="AE14" s="1608" t="str">
        <f t="shared" ref="AE14:AE45" si="28">IF(ISERROR(FV54),"",IF(FV54="","",FV54-(AD14*12)))</f>
        <v/>
      </c>
      <c r="AF14" s="1606" t="str">
        <f t="shared" ref="AF14:AF45" si="29">IF(ISERROR(FO54),"",IF(FO54="","",FO54))</f>
        <v/>
      </c>
      <c r="AG14" s="1607" t="str">
        <f t="shared" ref="AG14:AG45" si="30">IF(ISERROR(FX54),"",IF(FX54="","",TRUNC(FX54/12)))</f>
        <v/>
      </c>
      <c r="AH14" s="1608" t="str">
        <f t="shared" ref="AH14:AH45" si="31">IF(ISERROR(FX54),"",IF(FX54="","",FX54-(AG14*12)))</f>
        <v/>
      </c>
      <c r="AI14" s="1607" t="str">
        <f t="shared" ref="AI14:AI45" si="32">IF(ISERROR(FZ54),"",IF(FZ54="","",TRUNC(FZ54/12)))</f>
        <v/>
      </c>
      <c r="AJ14" s="1608" t="str">
        <f t="shared" ref="AJ14:AJ45" si="33">IF(ISERROR(FZ54),"",IF(FZ54="","",FZ54-(AI14*12)))</f>
        <v/>
      </c>
      <c r="AK14" s="1609" t="str">
        <f t="shared" ref="AK14:AO45" si="34">IF(ISBLANK(DO14),"",DO14)</f>
        <v/>
      </c>
      <c r="AL14" s="1610" t="str">
        <f t="shared" si="34"/>
        <v/>
      </c>
      <c r="AM14" s="1611" t="str">
        <f t="shared" si="34"/>
        <v/>
      </c>
      <c r="AN14" s="1606" t="str">
        <f t="shared" si="34"/>
        <v/>
      </c>
      <c r="AO14" s="1638" t="str">
        <f t="shared" si="34"/>
        <v/>
      </c>
      <c r="AP14" s="1613" t="str">
        <f t="shared" ref="AP14:AP45" si="35">IF(ISERROR(GD54),"ERR",IF(OR(GD54="",GD54=0),"",GD54))</f>
        <v/>
      </c>
      <c r="AQ14" s="1614" t="str">
        <f t="shared" ref="AQ14:AQ45" si="36">IF(ISERROR(GE54),"ERR",IF(OR(GE54="",GE54=0),"",GE54))</f>
        <v/>
      </c>
      <c r="AR14" s="1615" t="str">
        <f t="shared" ref="AR14:AR45" si="37">IF(ISERROR(GF54),"ERR",IF(GF54="","",IF(ISTEXT(GF54),"P",TRUNC(GF54/12))))</f>
        <v/>
      </c>
      <c r="AS14" s="1608" t="str">
        <f t="shared" ref="AS14:AS45" si="38">IF(ISERROR(GF54),"",IF(GF54="","",IF(AR14="P",GF54,GF54-(AR14*12))))</f>
        <v/>
      </c>
      <c r="AT14" s="1616" t="str">
        <f t="shared" ref="AT14:AT45" si="39">IF(ISBLANK(DX14),"",DX14)</f>
        <v/>
      </c>
      <c r="AU14" s="1618" t="str">
        <f t="shared" ref="AU14:AU45" si="40">IF(ISBLANK(DY14),"",DY14)</f>
        <v/>
      </c>
      <c r="AV14" s="1639" t="str">
        <f t="shared" ref="AV14:AV45" si="41">IF(ISERROR(GG54),"ERR",IF(GG54="","",IF(ISTEXT(GG54),"P",TRUNC(GG54/12))))</f>
        <v/>
      </c>
      <c r="AW14" s="1608" t="str">
        <f t="shared" ref="AW14:AW45" si="42">IF(ISERROR(GG54),"",IF(GG54="","",IF(AV14="P",GG54,GG54-(AV14*12))))</f>
        <v/>
      </c>
      <c r="AX14" s="1616" t="str">
        <f t="shared" ref="AX14:AX45" si="43">IF(ISBLANK(EB14),"",EB14)</f>
        <v/>
      </c>
      <c r="AY14" s="1618" t="str">
        <f t="shared" ref="AY14:AY45" si="44">IF(ISBLANK(EC14),"",EC14)</f>
        <v/>
      </c>
      <c r="AZ14" s="1639" t="str">
        <f t="shared" ref="AZ14:AZ45" si="45">IF(ISERROR(GH54),"ERR",IF(GH54="","",IF(ISTEXT(GH54),"P",TRUNC(GH54/12))))</f>
        <v/>
      </c>
      <c r="BA14" s="1608" t="str">
        <f t="shared" ref="BA14:BA45" si="46">IF(ISERROR(GH54),"",IF(GH54="","",IF(AZ14="P",GH54,GH54-(AZ14*12))))</f>
        <v/>
      </c>
      <c r="BB14" s="1616" t="str">
        <f t="shared" ref="BB14:BB45" si="47">IF(ISBLANK(EF14),"",EF14)</f>
        <v/>
      </c>
      <c r="BC14" s="1618" t="str">
        <f t="shared" ref="BC14:BC45" si="48">IF(ISBLANK(EG14),"",EG14)</f>
        <v/>
      </c>
      <c r="BD14" s="1639" t="str">
        <f t="shared" ref="BD14:BD45" si="49">IF(ISERROR(GI54),"ERR",IF(GI54="","",IF(ISTEXT(GI54),"P",TRUNC(GI54/12))))</f>
        <v/>
      </c>
      <c r="BE14" s="1608" t="str">
        <f t="shared" ref="BE14:BE45" si="50">IF(ISERROR(GI54),"",IF(GI54="","",IF(BD14="P",GI54,GI54-(BD14*12))))</f>
        <v/>
      </c>
      <c r="BF14" s="1616" t="str">
        <f t="shared" ref="BF14:BG45" si="51">IF(ISBLANK(EJ14),"",EJ14)</f>
        <v/>
      </c>
      <c r="BG14" s="1618" t="str">
        <f t="shared" si="51"/>
        <v/>
      </c>
      <c r="BH14" s="1291"/>
      <c r="BJ14" s="915" t="str">
        <f>IF(OR(ISBLANK(A14),A14=""),"",A14)</f>
        <v/>
      </c>
      <c r="BK14" s="913" t="e">
        <f t="shared" ref="BK14:BK45" si="52">IF($BK$1,IF(BJ14=BJ13,BK13,IF(AND(BJ14&lt;&gt;"",OR(B14=0,B14="")),TRUE,FALSE)),FALSE)</f>
        <v>#REF!</v>
      </c>
      <c r="BL14" s="908" t="b">
        <v>0</v>
      </c>
      <c r="BM14" s="908">
        <f t="shared" ref="BM14:BM45" si="53">IF(C14="",0,VALUE(IF(BN14="","",LEFT(C14,SEARCH(BN14,C14)-1))))</f>
        <v>0</v>
      </c>
      <c r="BN14" s="908">
        <f t="shared" ref="BN14:BN45" si="54">IF(C14="",0,IF(NOT(ISERROR(SEARCH("VG",C14))),"VG",IF(NOT(ISERROR(SEARCH("BG",C14))),"BG",IF(NOT(ISERROR(SEARCH("G",C14))),"G"))))</f>
        <v>0</v>
      </c>
      <c r="BO14" s="908">
        <f t="shared" ref="BO14:BO45" si="55">IF(C14="",0,VALUE(MID(C14,SEARCH(BN14,C14)+LEN(BN14),SEARCH("N",C14)-SEARCH(BN14,C14)-LEN(BN14))))</f>
        <v>0</v>
      </c>
      <c r="BP14" s="908">
        <f t="shared" ref="BP14:BP45" si="56">IF(ISERROR(SEARCH("F", C14)),IF(C14="",0,IF(NOT(ISERROR(SEARCH("/", C14))),VALUE(MID(C14,SEARCH("N",C14)+1,SEARCH("/", C14)-SEARCH("N",C14)-1))&amp;"/"&amp;VALUE(MID(C14,SEARCH("/",C14)+1,SEARCH("K", C14)-SEARCH("/",C14)-1)),VALUE(MID(C14,SEARCH("N",C14)+1,SEARCH("K", C14)-SEARCH("N",C14)-1)))),IF(C14="",0,IF(NOT(ISERROR(SEARCH("/", C14))),VALUE(MID(C14,SEARCH("N",C14)+1,SEARCH("/", C14)-SEARCH("N",C14)-1))&amp;"/"&amp;VALUE(MID(C14,SEARCH("/",C14)+1,SEARCH("F", C14)-SEARCH("/",C14)-1)),VALUE(MID(C14,SEARCH("N",C14)+1,SEARCH("F", C14)-SEARCH("N",C14)-1)))))</f>
        <v>0</v>
      </c>
      <c r="BQ14" s="908">
        <f t="shared" ref="BQ14:BQ45" si="57">IF(ISERROR(SEARCH("F",C14)),IF(C14="",0,IF(SEARCH("K",C14)=LEN(C14),0,VALUE(MID(C14,SEARCH("K",C14)+1,LEN(C14))))),IF(C14="",0,IF(SEARCH("F",C14)=LEN(C14),0,VALUE(MID(C14,SEARCH("F",C14)+1,LEN(C14))))))</f>
        <v>0</v>
      </c>
      <c r="BR14" s="908" t="b">
        <f t="shared" ref="BR14:BR45" si="58">IF(OR(ISERROR(BM14),ISERROR(BN14),ISERROR(BO14),ISERROR(BP14),ISERROR(BQ14)),FALSE,TRUE)</f>
        <v>1</v>
      </c>
      <c r="BS14" s="1216">
        <f t="shared" ref="BS14:BS45" si="59">6+IF(LEFT(I14,1)="R",IF(ISNUMBER(G14),G14*12,0)+IF(ISNUMBER(H14),H14,0),0)</f>
        <v>6</v>
      </c>
      <c r="BT14" s="909" t="str">
        <f t="shared" ref="BT14:BT45" si="60">IF(IF(ISNUMBER(S14),S14*12,0)+IF(ISNUMBER(T14),T14,0)&gt;0,IF(AND(IF(ISNUMBER(S14),S14*12,0)+IF(ISNUMBER(T14),T14,0)&gt;=$FE$4/2+$EX$6,IF(ISNUMBER(S14),S14*12,0)+IF(ISNUMBER(T14),T14,0)&lt;=(BS14-($FE$4/2+$EX$6))+IF(I14="X",2,0)),"Yes","No"),"No")</f>
        <v>No</v>
      </c>
      <c r="BU14" s="1216">
        <f t="shared" ref="BU14:BU45" si="61">6+IF(LEFT(L14,1)="R",IF(ISNUMBER(J14),J14*12,0)+IF(ISNUMBER(K14),K14,0),0)</f>
        <v>6</v>
      </c>
      <c r="BV14" s="909" t="str">
        <f t="shared" ref="BV14:BV45" si="62">IF(IF(ISNUMBER(U14),U14*12,0)+IF(ISNUMBER(V14),V14,0)&gt;0,IF(AND(IF(ISNUMBER(U14),U14*12,0)+IF(ISNUMBER(V14),V14,0)&gt;=$FE$4/2+$EX$6,IF(ISNUMBER(U14),U14*12,0)+IF(ISNUMBER(V14),V14,0)&lt;=(BU14-($FE$4/2+$EX$6))+IF(L14="X",2,0)),"Yes","No"),"No")</f>
        <v>No</v>
      </c>
      <c r="BW14" s="910">
        <f t="shared" ref="BW14:BW45" si="63">IF(AB14="",0,1)+IF(AC14="",0,1)+IF(AD14="",0,1)+IF(AE14="",0,1)+IF(AF14="",0,1)+IF(AG14="",0,1)+IF(AH14="",0,1)+IF(AI14="",0,1)+IF(AJ14="",0,1)+IF(AK14="",0,1)+IF(AL14="",0,1)+IF(AM14="",0,1)+IF(AN14="",0,1)+IF(AO14="",0,1)+IF(AP14="",0,1)+IF(AQ14="",0,1)+IF(AR14="",0,1)+IF(AS14="",0,1)+IF(AT14="",0,1)+IF(AU14="",0,1)+IF(AV14="",0,1)+IF(AW14="",0,1)+IF(AX14="",0,1)+IF(AY14="",0,1)+IF(AZ14="",0,1)+IF(BA14="",0,1)+IF(BB14="",0,1)+IF(BC14="",0,1)+IF(BD14="",0,1)+IF(BE14="",0,1)+IF(BF14="",0,1)+IF(BG14="",0,1)</f>
        <v>0</v>
      </c>
      <c r="BX14" s="911" t="str">
        <f t="shared" ref="BX14:BX45" si="64">IF(AND(AB14="",BW14&gt;0),BX13,IF(ISBLANK(AB14),"",AB14))</f>
        <v/>
      </c>
      <c r="BY14" s="911" t="b">
        <f t="shared" ref="BY14:BY45" si="65">IF(ISERROR(VLOOKUP(BX14,$BJ$14:$BL$45,3,FALSE)),FALSE,VLOOKUP(BX14,$BJ$14:$BL$45,3,FALSE))</f>
        <v>0</v>
      </c>
      <c r="BZ14" s="910" t="e">
        <f>IF($BK$1,IF(BX14="",FALSE,IF(ISERROR(VLOOKUP(BX14,$A$14:$B$45,2,FALSE)),FALSE,IF(VLOOKUP(BX14,$A$14:$B$45,2,FALSE)=0,TRUE,FALSE))))</f>
        <v>#REF!</v>
      </c>
      <c r="CB14" s="616"/>
      <c r="CC14" s="1566"/>
      <c r="CD14" s="642"/>
      <c r="CE14" s="643"/>
      <c r="CF14" s="644"/>
      <c r="CG14" s="655"/>
      <c r="CH14" s="656"/>
      <c r="CI14" s="657"/>
      <c r="CJ14" s="656"/>
      <c r="CK14" s="657"/>
      <c r="CL14" s="658"/>
      <c r="CM14" s="691"/>
      <c r="CN14" s="1493"/>
      <c r="CO14" s="1494"/>
      <c r="CP14" s="1495"/>
      <c r="CQ14" s="655"/>
      <c r="CR14" s="656"/>
      <c r="CS14" s="657"/>
      <c r="CT14" s="656"/>
      <c r="CU14" s="657"/>
      <c r="CV14" s="658"/>
      <c r="CW14" s="691"/>
      <c r="CX14" s="1493"/>
      <c r="CY14" s="1494"/>
      <c r="CZ14" s="1495"/>
      <c r="DA14" s="659"/>
      <c r="DB14" s="648"/>
      <c r="DC14" s="649"/>
      <c r="DD14" s="672"/>
      <c r="DE14" s="673"/>
      <c r="DF14" s="58"/>
      <c r="DG14" s="58"/>
      <c r="DH14" s="616"/>
      <c r="DI14" s="608"/>
      <c r="DJ14" s="636"/>
      <c r="DK14" s="1244"/>
      <c r="DL14" s="609"/>
      <c r="DM14" s="637"/>
      <c r="DN14" s="1247"/>
      <c r="DO14" s="610"/>
      <c r="DP14" s="611"/>
      <c r="DQ14" s="1293"/>
      <c r="DR14" s="612"/>
      <c r="DS14" s="1293"/>
      <c r="DT14" s="1296"/>
      <c r="DU14" s="1297"/>
      <c r="DV14" s="622"/>
      <c r="DW14" s="1250"/>
      <c r="DX14" s="623"/>
      <c r="DY14" s="624"/>
      <c r="DZ14" s="622"/>
      <c r="EA14" s="1250"/>
      <c r="EB14" s="623"/>
      <c r="EC14" s="624"/>
      <c r="ED14" s="622"/>
      <c r="EE14" s="1250"/>
      <c r="EF14" s="623"/>
      <c r="EG14" s="624"/>
      <c r="EH14" s="622"/>
      <c r="EI14" s="1250"/>
      <c r="EJ14" s="623"/>
      <c r="EK14" s="625"/>
      <c r="EL14" s="147"/>
      <c r="EM14" s="1511" t="str">
        <f t="shared" ref="EM14:EM45" si="66">IF(ISBLANK(CB14),"",CB14)</f>
        <v/>
      </c>
      <c r="EN14" s="1300" t="str">
        <f t="shared" ref="EN14:EN45" si="67">IF(DQ54=DR54,"",CONCATENATE(IF(CL14&lt;0,"NS ","FS "),IF(DR54="ERR","Slot Only",CONCATENATE("Slot @ ",DQ54))))</f>
        <v/>
      </c>
      <c r="EO14" s="1301" t="str">
        <f t="shared" ref="EO14:EO45" si="68">IF(DX54=DY54,"",CONCATENATE(IF(CV14&lt;0,"FS ","NS "),IF(DY54="ERR","Slot Only",CONCATENATE("Slot @ ",DX54))))</f>
        <v/>
      </c>
      <c r="EP14" s="1302" t="str">
        <f t="shared" ref="EP14:EP45" si="69">IF(EC54="","",IF(CI54&lt;&gt;EC54,CONCATENATE("LE slots @ ",CI54," Ga."),IF(CR54&lt;&gt;EC54,CONCATENATE("RE slots @ ",CR54," Ga."),"")))</f>
        <v/>
      </c>
      <c r="EQ14" s="1308" t="str">
        <f t="shared" ref="EQ14:EQ45" si="70">IF(AND(ET14&lt;&gt;"",CL14&lt;&gt;"",EU14&lt;&gt;"",CV14&lt;&gt;""),"BE",IF(AND(ET14&lt;&gt;"",CL14&lt;&gt;""),"LE",IF(AND(EU14&lt;&gt;"",CV14&lt;&gt;""),"RE","")))</f>
        <v/>
      </c>
      <c r="ER14" s="1311" t="str">
        <f t="shared" ref="ER14:ER45" si="71">IF(ISBLANK(CO14),"",IF(CEILING(DB54,0.125)&lt;=DC54+$FA$4,"",CEILING(DB54,0.125)))</f>
        <v/>
      </c>
      <c r="ES14" s="1312" t="str">
        <f t="shared" ref="ES14:ES45" si="72">IF(ISBLANK(CY14),"",IF(CEILING(DH54,0.125)&lt;=DI54+$FA$4,"",CEILING(DH54,0.125)))</f>
        <v/>
      </c>
      <c r="ET14" s="1313" t="str">
        <f t="shared" ref="ET14:ET45" si="73">IF(CG14="","",IF($FB$4&gt;EV54,EV54,""))</f>
        <v/>
      </c>
      <c r="EU14" s="1314"/>
      <c r="EX14" s="870" t="str">
        <f>CONCATENATE(BX14,AC14)</f>
        <v/>
      </c>
      <c r="EY14" s="872" t="str">
        <f t="shared" ref="EY14:EY45" si="74">IF(OR(ISBLANK(AB14),AB14=""),"",VLOOKUP(LEFT(EX14,LEN(EX14)-1),$BJ$14:$BO$45,6,FALSE)=SUMIF($EX$14:$EX$45,EX14,$AF$14:$AF$45)+2)</f>
        <v/>
      </c>
      <c r="EZ14" s="872" t="str">
        <f>IF(AB14="","",IF(VLOOKUP(BX14,$A$14:$F$45,6,FALSE)="",0,HLOOKUP(VLOOKUP(BX14,$A$14:$F$45,6,FALSE),$FG$4:$FI$5,2,TRUE)))</f>
        <v/>
      </c>
      <c r="FA14" s="891" t="str">
        <f ca="1">IF(FB15="","",FB14=FF14)</f>
        <v/>
      </c>
      <c r="FB14" s="892" t="str">
        <f>IF(BX14="","",VLOOKUP(BX14,$A$14:$K$45,4,FALSE)*12+VLOOKUP(BX14,$A$14:$K$45,5,FALSE)-(IF(ISNUMBER(VLOOKUP(BX14,$A$14:$K$45,7,FALSE)),VLOOKUP(BX14,$A$14:$K$45,7,FALSE),0)*12+IF(ISNUMBER(VLOOKUP(BX14,$A$14:$K$45,8,FALSE)),VLOOKUP(BX14,$A$14:$K$45,8,FALSE),0))-(IF(ISNUMBER(VLOOKUP(BX14,$A$14:$K$45,10,FALSE)),VLOOKUP(BX14,$A$14:$K$45,10,FALSE),0)*12+IF(ISNUMBER(VLOOKUP(BX14,$A$14:$K$45,11,FALSE)),VLOOKUP(BX14,$A$14:$K$45,11,FALSE),0)))</f>
        <v/>
      </c>
      <c r="FC14" s="892">
        <f t="shared" ref="FC14:FC45" si="75">IF(ISNUMBER(AD14),AD14,0)*12+IF(ISNUMBER(AE14),AE14,0)</f>
        <v>0</v>
      </c>
      <c r="FD14" s="892">
        <f t="shared" ref="FD14:FD45" si="76">IF(ISNUMBER(AF14),AF14,0)*(IF(ISNUMBER(AG14),AG14,0)*12+IF(ISNUMBER(AH14),AH14,0))</f>
        <v>0</v>
      </c>
      <c r="FE14" s="892">
        <f t="shared" ref="FE14:FE45" si="77">IF(ISNUMBER(AI14),AI14,0)*12+IF(ISNUMBER(AJ14),AJ14,0)</f>
        <v>0</v>
      </c>
      <c r="FF14" s="892">
        <f ca="1">SUM(FC14:FE14)+IF(FE14=0,FF15,0)</f>
        <v>0</v>
      </c>
      <c r="FN14" s="703" t="b">
        <v>0</v>
      </c>
      <c r="FO14" s="703" t="b">
        <f t="shared" ref="FO14:FO45" si="78">NOT(ISERROR(VLOOKUP(A14,$AB$14:$AB$45,1,FALSE)))</f>
        <v>1</v>
      </c>
      <c r="FP14" s="703" t="b">
        <v>0</v>
      </c>
      <c r="FQ14" s="703" t="b">
        <f>NOT(ISERROR(VLOOKUP(AB14,$A$14:$A$45,1,FALSE)))</f>
        <v>1</v>
      </c>
      <c r="FW14" s="1"/>
      <c r="FX14" s="1"/>
      <c r="FZ14" s="1"/>
      <c r="GA14" s="524" t="str">
        <f t="shared" ref="GA14:GA45" si="79">IF(GF14="","",CE14)</f>
        <v/>
      </c>
      <c r="GB14" s="566" t="str">
        <f t="shared" ref="GB14:GB45" si="80">IF(GF14="","",CF14)</f>
        <v/>
      </c>
      <c r="GC14" s="568" t="str">
        <f t="shared" ref="GC14:GC45" si="81">IF(GF14="","",IF(CD54="",0,CD54))</f>
        <v/>
      </c>
      <c r="GD14" s="569" t="str">
        <f t="shared" ref="GD14:GD45" si="82">IF(GF14="","",IF(CM54="",0,CM54))</f>
        <v/>
      </c>
      <c r="GE14" s="567" t="str">
        <f t="shared" ref="GE14:GE45" si="83">IF(GF14="","",IF(ISBLANK(DA14),IF(X14=Y14,0,MAX(ABS(X14),ABS(Y14))*IF(X14&lt;0,-1,1)),DA14))</f>
        <v/>
      </c>
      <c r="GF14" s="525" t="str">
        <f t="shared" ref="GF14:GF45" si="84">IF(A14=0,"",A14)</f>
        <v/>
      </c>
      <c r="GG14" s="1056"/>
      <c r="GH14" s="1057"/>
      <c r="GI14" s="1056"/>
      <c r="GJ14" s="1057"/>
      <c r="GK14" s="1523">
        <f t="shared" ref="GK14:GK45" si="85">IF(D14="",0,D14*12+E14)</f>
        <v>0</v>
      </c>
      <c r="GL14" s="1523" t="e">
        <f t="shared" ref="GL14:GL45" si="86">(GA14*12+GB14+GC14+GD14)/COS(ATAN(ABS(GE14/12)))</f>
        <v>#VALUE!</v>
      </c>
      <c r="GM14" s="1524" t="e">
        <f>IF(ABS(GK14-GL14)&gt;=#REF!,ABS(GK14-GL14),0)</f>
        <v>#VALUE!</v>
      </c>
      <c r="GO14" s="56"/>
      <c r="GP14" s="56"/>
      <c r="GZ14" s="56"/>
      <c r="HA14" s="1159"/>
      <c r="HB14" s="1160"/>
      <c r="HC14" s="1160"/>
      <c r="HD14" s="1161"/>
      <c r="HE14" s="1162"/>
      <c r="HF14" s="1160"/>
      <c r="HG14" s="1160"/>
      <c r="HH14" s="1160"/>
      <c r="HI14" s="1160"/>
      <c r="HJ14" s="1160"/>
      <c r="HK14" s="1160"/>
      <c r="HL14" s="1160"/>
      <c r="HM14" s="1160"/>
      <c r="HN14" s="1160"/>
      <c r="HO14" s="1160"/>
      <c r="HP14" s="1160"/>
      <c r="HQ14" s="1160"/>
      <c r="HR14" s="1160"/>
      <c r="HS14" s="1160"/>
      <c r="HT14" s="1160"/>
      <c r="HU14" s="1160"/>
      <c r="HV14" s="1160"/>
      <c r="HW14" s="1160"/>
      <c r="HX14" s="1160"/>
      <c r="HY14" s="1164"/>
      <c r="HZ14" s="1164"/>
      <c r="IA14" s="1164"/>
      <c r="IB14" s="1164"/>
      <c r="IC14" s="1164"/>
      <c r="ID14" s="1179"/>
      <c r="IE14" s="1174"/>
      <c r="IF14" s="1175"/>
      <c r="IG14" s="1176"/>
      <c r="IH14" s="1177"/>
      <c r="II14" s="1175"/>
      <c r="IJ14" s="1176"/>
      <c r="IK14" s="1177"/>
      <c r="IL14" s="1175"/>
      <c r="IM14" s="1175"/>
      <c r="IN14" s="1175"/>
      <c r="IO14" s="1175"/>
      <c r="IP14" s="1175"/>
      <c r="IQ14" s="1175"/>
      <c r="IR14" s="1175"/>
      <c r="IS14" s="1176"/>
      <c r="IT14" s="1177"/>
      <c r="IU14" s="1175"/>
      <c r="IV14" s="1175"/>
      <c r="IW14" s="1176"/>
      <c r="IX14" s="1177"/>
      <c r="IY14" s="1175"/>
      <c r="IZ14" s="1175"/>
      <c r="JA14" s="1176"/>
      <c r="JB14" s="1177"/>
      <c r="JC14" s="1175"/>
      <c r="JD14" s="1175"/>
      <c r="JE14" s="1176"/>
      <c r="JF14" s="1177"/>
      <c r="JG14" s="1175"/>
      <c r="JH14" s="1175"/>
      <c r="JI14" s="1175"/>
      <c r="JJ14" s="1178"/>
      <c r="JK14" s="1175"/>
      <c r="JL14" s="1102">
        <f>IF(JK14="",0,1)</f>
        <v>0</v>
      </c>
      <c r="JM14" s="1127"/>
      <c r="JN14" s="1127"/>
      <c r="JO14" s="1127"/>
    </row>
    <row r="15" spans="1:276" ht="12.6" customHeight="1" x14ac:dyDescent="0.25">
      <c r="A15" s="1132" t="str">
        <f t="shared" si="0"/>
        <v/>
      </c>
      <c r="B15" s="1586" t="str">
        <f t="shared" si="1"/>
        <v/>
      </c>
      <c r="C15" s="1133" t="str">
        <f t="shared" si="2"/>
        <v/>
      </c>
      <c r="D15" s="1134" t="str">
        <f t="shared" si="3"/>
        <v/>
      </c>
      <c r="E15" s="1135" t="str">
        <f t="shared" si="4"/>
        <v/>
      </c>
      <c r="F15" s="1136" t="str">
        <f t="shared" si="5"/>
        <v/>
      </c>
      <c r="G15" s="1137" t="str">
        <f t="shared" si="6"/>
        <v/>
      </c>
      <c r="H15" s="1138" t="str">
        <f t="shared" si="7"/>
        <v/>
      </c>
      <c r="I15" s="1139" t="str">
        <f t="shared" si="8"/>
        <v/>
      </c>
      <c r="J15" s="1134" t="str">
        <f t="shared" si="9"/>
        <v/>
      </c>
      <c r="K15" s="1138" t="str">
        <f t="shared" si="10"/>
        <v/>
      </c>
      <c r="L15" s="1140" t="str">
        <f t="shared" si="11"/>
        <v/>
      </c>
      <c r="M15" s="1141" t="str">
        <f t="shared" si="12"/>
        <v/>
      </c>
      <c r="N15" s="1142" t="str">
        <f t="shared" si="12"/>
        <v/>
      </c>
      <c r="O15" s="1137" t="str">
        <f t="shared" si="13"/>
        <v/>
      </c>
      <c r="P15" s="1138" t="str">
        <f t="shared" si="14"/>
        <v/>
      </c>
      <c r="Q15" s="1134" t="str">
        <f t="shared" si="15"/>
        <v/>
      </c>
      <c r="R15" s="1135" t="str">
        <f t="shared" si="16"/>
        <v/>
      </c>
      <c r="S15" s="1143" t="str">
        <f t="shared" si="17"/>
        <v/>
      </c>
      <c r="T15" s="1138" t="str">
        <f t="shared" si="18"/>
        <v/>
      </c>
      <c r="U15" s="1134" t="str">
        <f t="shared" si="19"/>
        <v/>
      </c>
      <c r="V15" s="1138" t="str">
        <f t="shared" si="20"/>
        <v/>
      </c>
      <c r="W15" s="1142">
        <f t="shared" si="21"/>
        <v>0</v>
      </c>
      <c r="X15" s="1144" t="e">
        <f t="shared" si="22"/>
        <v>#REF!</v>
      </c>
      <c r="Y15" s="1145" t="e">
        <f t="shared" si="23"/>
        <v>#REF!</v>
      </c>
      <c r="Z15" s="1587" t="str">
        <f t="shared" si="24"/>
        <v/>
      </c>
      <c r="AA15" s="1152" t="str">
        <f t="shared" si="25"/>
        <v/>
      </c>
      <c r="AB15" s="1132" t="str">
        <f t="shared" si="26"/>
        <v/>
      </c>
      <c r="AC15" s="1139" t="str">
        <f t="shared" si="26"/>
        <v/>
      </c>
      <c r="AD15" s="1134" t="str">
        <f t="shared" ca="1" si="27"/>
        <v/>
      </c>
      <c r="AE15" s="1138" t="str">
        <f t="shared" ca="1" si="28"/>
        <v/>
      </c>
      <c r="AF15" s="1139" t="str">
        <f t="shared" ca="1" si="29"/>
        <v/>
      </c>
      <c r="AG15" s="1134" t="str">
        <f t="shared" ca="1" si="30"/>
        <v/>
      </c>
      <c r="AH15" s="1138" t="str">
        <f t="shared" ca="1" si="31"/>
        <v/>
      </c>
      <c r="AI15" s="1134" t="str">
        <f t="shared" ca="1" si="32"/>
        <v/>
      </c>
      <c r="AJ15" s="1138" t="str">
        <f t="shared" ca="1" si="33"/>
        <v/>
      </c>
      <c r="AK15" s="1619" t="str">
        <f t="shared" si="34"/>
        <v/>
      </c>
      <c r="AL15" s="1620" t="str">
        <f t="shared" si="34"/>
        <v/>
      </c>
      <c r="AM15" s="1621" t="str">
        <f t="shared" si="34"/>
        <v/>
      </c>
      <c r="AN15" s="1139" t="str">
        <f t="shared" si="34"/>
        <v/>
      </c>
      <c r="AO15" s="1142" t="str">
        <f t="shared" si="34"/>
        <v/>
      </c>
      <c r="AP15" s="1141" t="str">
        <f t="shared" si="35"/>
        <v/>
      </c>
      <c r="AQ15" s="1623" t="str">
        <f t="shared" si="36"/>
        <v/>
      </c>
      <c r="AR15" s="1137" t="str">
        <f t="shared" si="37"/>
        <v/>
      </c>
      <c r="AS15" s="1138" t="str">
        <f t="shared" si="38"/>
        <v/>
      </c>
      <c r="AT15" s="1624" t="str">
        <f t="shared" si="39"/>
        <v/>
      </c>
      <c r="AU15" s="1625" t="str">
        <f t="shared" si="40"/>
        <v/>
      </c>
      <c r="AV15" s="1143" t="str">
        <f t="shared" si="41"/>
        <v/>
      </c>
      <c r="AW15" s="1138" t="str">
        <f t="shared" si="42"/>
        <v/>
      </c>
      <c r="AX15" s="1624" t="str">
        <f t="shared" si="43"/>
        <v/>
      </c>
      <c r="AY15" s="1625" t="str">
        <f t="shared" si="44"/>
        <v/>
      </c>
      <c r="AZ15" s="1143" t="str">
        <f t="shared" si="45"/>
        <v/>
      </c>
      <c r="BA15" s="1138" t="str">
        <f t="shared" si="46"/>
        <v/>
      </c>
      <c r="BB15" s="1624" t="str">
        <f t="shared" si="47"/>
        <v/>
      </c>
      <c r="BC15" s="1625" t="str">
        <f t="shared" si="48"/>
        <v/>
      </c>
      <c r="BD15" s="1143" t="str">
        <f t="shared" si="49"/>
        <v/>
      </c>
      <c r="BE15" s="1138" t="str">
        <f t="shared" si="50"/>
        <v/>
      </c>
      <c r="BF15" s="1624" t="str">
        <f t="shared" si="51"/>
        <v/>
      </c>
      <c r="BG15" s="1625" t="str">
        <f t="shared" si="51"/>
        <v/>
      </c>
      <c r="BH15" s="1291"/>
      <c r="BJ15" s="915" t="str">
        <f>IF(AND(OR(ISBLANK(A15),A15=""),Z15&lt;&gt;""),BJ14,IF(OR(ISBLANK(A15),A15=""),"",A15))</f>
        <v/>
      </c>
      <c r="BK15" s="913" t="e">
        <f t="shared" si="52"/>
        <v>#REF!</v>
      </c>
      <c r="BL15" s="908" t="b">
        <v>0</v>
      </c>
      <c r="BM15" s="908">
        <f t="shared" si="53"/>
        <v>0</v>
      </c>
      <c r="BN15" s="908">
        <f t="shared" si="54"/>
        <v>0</v>
      </c>
      <c r="BO15" s="908">
        <f t="shared" si="55"/>
        <v>0</v>
      </c>
      <c r="BP15" s="908">
        <f t="shared" si="56"/>
        <v>0</v>
      </c>
      <c r="BQ15" s="908">
        <f t="shared" si="57"/>
        <v>0</v>
      </c>
      <c r="BR15" s="908" t="b">
        <f t="shared" si="58"/>
        <v>1</v>
      </c>
      <c r="BS15" s="1216">
        <f t="shared" si="59"/>
        <v>6</v>
      </c>
      <c r="BT15" s="909" t="str">
        <f t="shared" si="60"/>
        <v>No</v>
      </c>
      <c r="BU15" s="1216">
        <f t="shared" si="61"/>
        <v>6</v>
      </c>
      <c r="BV15" s="909" t="str">
        <f t="shared" si="62"/>
        <v>No</v>
      </c>
      <c r="BW15" s="910">
        <f t="shared" ca="1" si="63"/>
        <v>0</v>
      </c>
      <c r="BX15" s="911" t="str">
        <f t="shared" ca="1" si="64"/>
        <v/>
      </c>
      <c r="BY15" s="911" t="b">
        <f t="shared" ca="1" si="65"/>
        <v>0</v>
      </c>
      <c r="BZ15" s="910" t="e">
        <f t="shared" ref="BZ15:BZ45" si="87">IF($BK$1,IF(BX15="",FALSE,IF(ISERROR(VLOOKUP(BX15,$A$14:$B$45,2,FALSE)),FALSE,IF(VLOOKUP(BX15,$A$14:$B$45,2,FALSE)=0,TRUE,FALSE))))</f>
        <v>#REF!</v>
      </c>
      <c r="CB15" s="616"/>
      <c r="CC15" s="1567"/>
      <c r="CD15" s="645"/>
      <c r="CE15" s="646"/>
      <c r="CF15" s="647"/>
      <c r="CG15" s="660"/>
      <c r="CH15" s="661"/>
      <c r="CI15" s="662"/>
      <c r="CJ15" s="661"/>
      <c r="CK15" s="662"/>
      <c r="CL15" s="663"/>
      <c r="CM15" s="692"/>
      <c r="CN15" s="687"/>
      <c r="CO15" s="1430"/>
      <c r="CP15" s="839"/>
      <c r="CQ15" s="660"/>
      <c r="CR15" s="661"/>
      <c r="CS15" s="662"/>
      <c r="CT15" s="661"/>
      <c r="CU15" s="662"/>
      <c r="CV15" s="663"/>
      <c r="CW15" s="692"/>
      <c r="CX15" s="687"/>
      <c r="CY15" s="1430"/>
      <c r="CZ15" s="839"/>
      <c r="DA15" s="665"/>
      <c r="DB15" s="648"/>
      <c r="DC15" s="649"/>
      <c r="DD15" s="674"/>
      <c r="DE15" s="675"/>
      <c r="DF15" s="58"/>
      <c r="DG15" s="58"/>
      <c r="DH15" s="616"/>
      <c r="DI15" s="617"/>
      <c r="DJ15" s="638"/>
      <c r="DK15" s="1245"/>
      <c r="DL15" s="618"/>
      <c r="DM15" s="639"/>
      <c r="DN15" s="1248"/>
      <c r="DO15" s="619"/>
      <c r="DP15" s="620"/>
      <c r="DQ15" s="1294"/>
      <c r="DR15" s="621"/>
      <c r="DS15" s="1294"/>
      <c r="DT15" s="1296"/>
      <c r="DU15" s="1297"/>
      <c r="DV15" s="622"/>
      <c r="DW15" s="1250"/>
      <c r="DX15" s="623"/>
      <c r="DY15" s="624"/>
      <c r="DZ15" s="622"/>
      <c r="EA15" s="1250"/>
      <c r="EB15" s="623"/>
      <c r="EC15" s="624"/>
      <c r="ED15" s="622"/>
      <c r="EE15" s="1250"/>
      <c r="EF15" s="623"/>
      <c r="EG15" s="624"/>
      <c r="EH15" s="622"/>
      <c r="EI15" s="1250"/>
      <c r="EJ15" s="623"/>
      <c r="EK15" s="625"/>
      <c r="EL15" s="147"/>
      <c r="EM15" s="1513" t="str">
        <f t="shared" si="66"/>
        <v/>
      </c>
      <c r="EN15" s="1303" t="str">
        <f t="shared" si="67"/>
        <v/>
      </c>
      <c r="EO15" s="1304" t="str">
        <f t="shared" si="68"/>
        <v/>
      </c>
      <c r="EP15" s="1305" t="str">
        <f t="shared" si="69"/>
        <v/>
      </c>
      <c r="EQ15" s="1309" t="str">
        <f t="shared" si="70"/>
        <v/>
      </c>
      <c r="ER15" s="1315" t="str">
        <f t="shared" si="71"/>
        <v/>
      </c>
      <c r="ES15" s="1316" t="str">
        <f t="shared" si="72"/>
        <v/>
      </c>
      <c r="ET15" s="1317" t="str">
        <f t="shared" si="73"/>
        <v/>
      </c>
      <c r="EU15" s="1318" t="str">
        <f t="shared" ref="EU15:EU45" si="88">IF(CQ15="","",IF($FB$4&gt;EW55,EW55,""))</f>
        <v/>
      </c>
      <c r="EX15" s="870" t="str">
        <f t="shared" ref="EX15:EX45" ca="1" si="89">IF(AND(AC15="",BX15=BX14),EX14,CONCATENATE(BX15,AC15))</f>
        <v/>
      </c>
      <c r="EY15" s="872" t="str">
        <f t="shared" si="74"/>
        <v/>
      </c>
      <c r="EZ15" s="872" t="str">
        <f t="shared" ref="EZ15:EZ45" si="90">IF(AB15="","",IF(VLOOKUP(BX15,$A$14:$F$45,6,FALSE)="",0,HLOOKUP(VLOOKUP(BX15,$A$14:$F$45,6,FALSE),$FG$4:$FI$5,2,TRUE)))</f>
        <v/>
      </c>
      <c r="FA15" s="891" t="str">
        <f ca="1">IF(FB15="","",IF(FC15=0,FA14,FB15=FF15))</f>
        <v/>
      </c>
      <c r="FB15" s="892" t="str">
        <f t="shared" ref="FB15:FB45" ca="1" si="91">IF(BX15="","",VLOOKUP(BX15,$A$14:$K$45,4,FALSE)*12+VLOOKUP(BX15,$A$14:$K$45,5,FALSE)-(IF(ISNUMBER(VLOOKUP(BX15,$A$14:$K$45,7,FALSE)),VLOOKUP(BX15,$A$14:$K$45,7,FALSE),0)*12+IF(ISNUMBER(VLOOKUP(BX15,$A$14:$K$45,8,FALSE)),VLOOKUP(BX15,$A$14:$K$45,8,FALSE),0))-(IF(ISNUMBER(VLOOKUP(BX15,$A$14:$K$45,10,FALSE)),VLOOKUP(BX15,$A$14:$K$45,10,FALSE),0)*12+IF(ISNUMBER(VLOOKUP(BX15,$A$14:$K$45,11,FALSE)),VLOOKUP(BX15,$A$14:$K$45,11,FALSE),0)))</f>
        <v/>
      </c>
      <c r="FC15" s="892">
        <f t="shared" ca="1" si="75"/>
        <v>0</v>
      </c>
      <c r="FD15" s="892">
        <f t="shared" ca="1" si="76"/>
        <v>0</v>
      </c>
      <c r="FE15" s="892">
        <f t="shared" ca="1" si="77"/>
        <v>0</v>
      </c>
      <c r="FF15" s="892">
        <f t="shared" ref="FF15:FF45" ca="1" si="92">SUM(FC15:FE15)+IF(FE15=0,FF16,0)</f>
        <v>0</v>
      </c>
      <c r="FN15" s="703" t="b">
        <v>0</v>
      </c>
      <c r="FO15" s="703" t="b">
        <f t="shared" si="78"/>
        <v>1</v>
      </c>
      <c r="FP15" s="1254" t="b">
        <v>0</v>
      </c>
      <c r="FQ15" s="703" t="b">
        <f t="shared" ref="FQ15:FQ45" si="93">NOT(ISERROR(VLOOKUP(AB15,$A$14:$A$45,1,FALSE)))</f>
        <v>1</v>
      </c>
      <c r="FW15" s="1"/>
      <c r="FX15" s="1"/>
      <c r="FZ15" s="1"/>
      <c r="GA15" s="524" t="str">
        <f t="shared" si="79"/>
        <v/>
      </c>
      <c r="GB15" s="566" t="str">
        <f t="shared" si="80"/>
        <v/>
      </c>
      <c r="GC15" s="568" t="str">
        <f t="shared" si="81"/>
        <v/>
      </c>
      <c r="GD15" s="569" t="str">
        <f t="shared" si="82"/>
        <v/>
      </c>
      <c r="GE15" s="567" t="str">
        <f t="shared" si="83"/>
        <v/>
      </c>
      <c r="GF15" s="525" t="str">
        <f t="shared" si="84"/>
        <v/>
      </c>
      <c r="GG15" s="1056"/>
      <c r="GH15" s="1058"/>
      <c r="GI15" s="1056"/>
      <c r="GJ15" s="1058"/>
      <c r="GK15" s="1523">
        <f t="shared" si="85"/>
        <v>0</v>
      </c>
      <c r="GL15" s="1523" t="e">
        <f t="shared" si="86"/>
        <v>#VALUE!</v>
      </c>
      <c r="GM15" s="1524" t="e">
        <f>IF(ABS(GK15-GL15)&gt;=#REF!,ABS(GK15-GL15),0)</f>
        <v>#VALUE!</v>
      </c>
      <c r="GO15" s="56"/>
      <c r="GP15" s="56"/>
      <c r="GZ15" s="56"/>
      <c r="HA15" s="1159"/>
      <c r="HB15" s="1160"/>
      <c r="HC15" s="1160"/>
      <c r="HD15" s="1161"/>
      <c r="HE15" s="1162"/>
      <c r="HF15" s="1160"/>
      <c r="HG15" s="1160"/>
      <c r="HH15" s="1160"/>
      <c r="HI15" s="1160"/>
      <c r="HJ15" s="1160"/>
      <c r="HK15" s="1160"/>
      <c r="HL15" s="1160"/>
      <c r="HM15" s="1160"/>
      <c r="HN15" s="1160"/>
      <c r="HO15" s="1160"/>
      <c r="HP15" s="1160"/>
      <c r="HQ15" s="1160"/>
      <c r="HR15" s="1160"/>
      <c r="HS15" s="1160"/>
      <c r="HT15" s="1160"/>
      <c r="HU15" s="1160"/>
      <c r="HV15" s="1160"/>
      <c r="HW15" s="1160"/>
      <c r="HX15" s="1160"/>
      <c r="HY15" s="1164"/>
      <c r="HZ15" s="1164"/>
      <c r="IA15" s="1164"/>
      <c r="IB15" s="1164"/>
      <c r="IC15" s="1164"/>
      <c r="ID15" s="1179"/>
      <c r="IE15" s="1159"/>
      <c r="IF15" s="1160"/>
      <c r="IG15" s="1161"/>
      <c r="IH15" s="1162"/>
      <c r="II15" s="1160"/>
      <c r="IJ15" s="1161"/>
      <c r="IK15" s="1162"/>
      <c r="IL15" s="1160"/>
      <c r="IM15" s="1160"/>
      <c r="IN15" s="1160"/>
      <c r="IO15" s="1160"/>
      <c r="IP15" s="1160"/>
      <c r="IQ15" s="1160"/>
      <c r="IR15" s="1160"/>
      <c r="IS15" s="1161"/>
      <c r="IT15" s="1162"/>
      <c r="IU15" s="1160"/>
      <c r="IV15" s="1160"/>
      <c r="IW15" s="1161"/>
      <c r="IX15" s="1162"/>
      <c r="IY15" s="1160"/>
      <c r="IZ15" s="1160"/>
      <c r="JA15" s="1161"/>
      <c r="JB15" s="1162"/>
      <c r="JC15" s="1160"/>
      <c r="JD15" s="1160"/>
      <c r="JE15" s="1161"/>
      <c r="JF15" s="1162"/>
      <c r="JG15" s="1160"/>
      <c r="JH15" s="1160"/>
      <c r="JI15" s="1160"/>
      <c r="JJ15" s="1163"/>
      <c r="JK15" s="1160"/>
      <c r="JL15" s="1103">
        <f ca="1">IF(ISBLANK(JK15),IF(JL14=0,0,IF(VALUE(OFFSET(JK15,JL14*-1,0))&lt;JL14+1,0,JL14+1)),1)</f>
        <v>0</v>
      </c>
    </row>
    <row r="16" spans="1:276" ht="12.6" customHeight="1" x14ac:dyDescent="0.25">
      <c r="A16" s="1132" t="str">
        <f t="shared" si="0"/>
        <v/>
      </c>
      <c r="B16" s="1586" t="str">
        <f t="shared" si="1"/>
        <v/>
      </c>
      <c r="C16" s="1133" t="str">
        <f t="shared" si="2"/>
        <v/>
      </c>
      <c r="D16" s="1134" t="str">
        <f t="shared" si="3"/>
        <v/>
      </c>
      <c r="E16" s="1135" t="str">
        <f t="shared" si="4"/>
        <v/>
      </c>
      <c r="F16" s="1136" t="str">
        <f t="shared" si="5"/>
        <v/>
      </c>
      <c r="G16" s="1137" t="str">
        <f t="shared" si="6"/>
        <v/>
      </c>
      <c r="H16" s="1138" t="str">
        <f t="shared" si="7"/>
        <v/>
      </c>
      <c r="I16" s="1139" t="str">
        <f t="shared" si="8"/>
        <v/>
      </c>
      <c r="J16" s="1134" t="str">
        <f t="shared" si="9"/>
        <v/>
      </c>
      <c r="K16" s="1138" t="str">
        <f t="shared" si="10"/>
        <v/>
      </c>
      <c r="L16" s="1140" t="str">
        <f t="shared" si="11"/>
        <v/>
      </c>
      <c r="M16" s="1141" t="str">
        <f t="shared" si="12"/>
        <v/>
      </c>
      <c r="N16" s="1142" t="str">
        <f t="shared" si="12"/>
        <v/>
      </c>
      <c r="O16" s="1137" t="str">
        <f t="shared" si="13"/>
        <v/>
      </c>
      <c r="P16" s="1138" t="str">
        <f t="shared" si="14"/>
        <v/>
      </c>
      <c r="Q16" s="1134" t="str">
        <f t="shared" si="15"/>
        <v/>
      </c>
      <c r="R16" s="1135" t="str">
        <f t="shared" si="16"/>
        <v/>
      </c>
      <c r="S16" s="1143" t="str">
        <f t="shared" si="17"/>
        <v/>
      </c>
      <c r="T16" s="1138" t="str">
        <f t="shared" si="18"/>
        <v/>
      </c>
      <c r="U16" s="1134" t="str">
        <f t="shared" si="19"/>
        <v/>
      </c>
      <c r="V16" s="1138" t="str">
        <f t="shared" si="20"/>
        <v/>
      </c>
      <c r="W16" s="1142">
        <f t="shared" si="21"/>
        <v>0</v>
      </c>
      <c r="X16" s="1144" t="e">
        <f t="shared" si="22"/>
        <v>#REF!</v>
      </c>
      <c r="Y16" s="1145" t="e">
        <f t="shared" si="23"/>
        <v>#REF!</v>
      </c>
      <c r="Z16" s="1587" t="str">
        <f t="shared" si="24"/>
        <v/>
      </c>
      <c r="AA16" s="1152" t="str">
        <f t="shared" si="25"/>
        <v/>
      </c>
      <c r="AB16" s="1132" t="str">
        <f t="shared" si="26"/>
        <v/>
      </c>
      <c r="AC16" s="1139" t="str">
        <f t="shared" si="26"/>
        <v/>
      </c>
      <c r="AD16" s="1134" t="str">
        <f t="shared" ca="1" si="27"/>
        <v/>
      </c>
      <c r="AE16" s="1138" t="str">
        <f t="shared" ca="1" si="28"/>
        <v/>
      </c>
      <c r="AF16" s="1139" t="str">
        <f t="shared" ca="1" si="29"/>
        <v/>
      </c>
      <c r="AG16" s="1134" t="str">
        <f t="shared" ca="1" si="30"/>
        <v/>
      </c>
      <c r="AH16" s="1138" t="str">
        <f t="shared" ca="1" si="31"/>
        <v/>
      </c>
      <c r="AI16" s="1134" t="str">
        <f t="shared" ca="1" si="32"/>
        <v/>
      </c>
      <c r="AJ16" s="1138" t="str">
        <f t="shared" ca="1" si="33"/>
        <v/>
      </c>
      <c r="AK16" s="1619" t="str">
        <f t="shared" si="34"/>
        <v/>
      </c>
      <c r="AL16" s="1620" t="str">
        <f t="shared" si="34"/>
        <v/>
      </c>
      <c r="AM16" s="1621" t="str">
        <f t="shared" si="34"/>
        <v/>
      </c>
      <c r="AN16" s="1139" t="str">
        <f t="shared" si="34"/>
        <v/>
      </c>
      <c r="AO16" s="1142" t="str">
        <f t="shared" si="34"/>
        <v/>
      </c>
      <c r="AP16" s="1141" t="str">
        <f t="shared" si="35"/>
        <v/>
      </c>
      <c r="AQ16" s="1623" t="str">
        <f t="shared" si="36"/>
        <v/>
      </c>
      <c r="AR16" s="1137" t="str">
        <f t="shared" si="37"/>
        <v/>
      </c>
      <c r="AS16" s="1138" t="str">
        <f t="shared" si="38"/>
        <v/>
      </c>
      <c r="AT16" s="1624" t="str">
        <f t="shared" si="39"/>
        <v/>
      </c>
      <c r="AU16" s="1625" t="str">
        <f t="shared" si="40"/>
        <v/>
      </c>
      <c r="AV16" s="1143" t="str">
        <f t="shared" si="41"/>
        <v/>
      </c>
      <c r="AW16" s="1138" t="str">
        <f t="shared" si="42"/>
        <v/>
      </c>
      <c r="AX16" s="1624" t="str">
        <f t="shared" si="43"/>
        <v/>
      </c>
      <c r="AY16" s="1625" t="str">
        <f t="shared" si="44"/>
        <v/>
      </c>
      <c r="AZ16" s="1143" t="str">
        <f t="shared" si="45"/>
        <v/>
      </c>
      <c r="BA16" s="1138" t="str">
        <f t="shared" si="46"/>
        <v/>
      </c>
      <c r="BB16" s="1624" t="str">
        <f t="shared" si="47"/>
        <v/>
      </c>
      <c r="BC16" s="1625" t="str">
        <f t="shared" si="48"/>
        <v/>
      </c>
      <c r="BD16" s="1143" t="str">
        <f t="shared" si="49"/>
        <v/>
      </c>
      <c r="BE16" s="1138" t="str">
        <f t="shared" si="50"/>
        <v/>
      </c>
      <c r="BF16" s="1624" t="str">
        <f t="shared" si="51"/>
        <v/>
      </c>
      <c r="BG16" s="1625" t="str">
        <f t="shared" si="51"/>
        <v/>
      </c>
      <c r="BH16" s="1291"/>
      <c r="BJ16" s="915" t="str">
        <f t="shared" ref="BJ16:BJ45" si="94">IF(AND(OR(ISBLANK(A16),A16=""),Z16&lt;&gt;""),BJ15,IF(OR(ISBLANK(A16),A16=""),"",A16))</f>
        <v/>
      </c>
      <c r="BK16" s="913" t="e">
        <f t="shared" si="52"/>
        <v>#REF!</v>
      </c>
      <c r="BL16" s="908" t="b">
        <v>0</v>
      </c>
      <c r="BM16" s="908">
        <f t="shared" si="53"/>
        <v>0</v>
      </c>
      <c r="BN16" s="908">
        <f t="shared" si="54"/>
        <v>0</v>
      </c>
      <c r="BO16" s="908">
        <f t="shared" si="55"/>
        <v>0</v>
      </c>
      <c r="BP16" s="908">
        <f t="shared" si="56"/>
        <v>0</v>
      </c>
      <c r="BQ16" s="908">
        <f t="shared" si="57"/>
        <v>0</v>
      </c>
      <c r="BR16" s="908" t="b">
        <f t="shared" si="58"/>
        <v>1</v>
      </c>
      <c r="BS16" s="1216">
        <f t="shared" si="59"/>
        <v>6</v>
      </c>
      <c r="BT16" s="909" t="str">
        <f t="shared" si="60"/>
        <v>No</v>
      </c>
      <c r="BU16" s="1216">
        <f t="shared" si="61"/>
        <v>6</v>
      </c>
      <c r="BV16" s="909" t="str">
        <f t="shared" si="62"/>
        <v>No</v>
      </c>
      <c r="BW16" s="910">
        <f t="shared" ca="1" si="63"/>
        <v>0</v>
      </c>
      <c r="BX16" s="911" t="str">
        <f t="shared" ca="1" si="64"/>
        <v/>
      </c>
      <c r="BY16" s="911" t="b">
        <f t="shared" ca="1" si="65"/>
        <v>0</v>
      </c>
      <c r="BZ16" s="910" t="e">
        <f t="shared" si="87"/>
        <v>#REF!</v>
      </c>
      <c r="CB16" s="616"/>
      <c r="CC16" s="1567"/>
      <c r="CD16" s="645"/>
      <c r="CE16" s="646"/>
      <c r="CF16" s="647"/>
      <c r="CG16" s="660"/>
      <c r="CH16" s="661"/>
      <c r="CI16" s="662"/>
      <c r="CJ16" s="661"/>
      <c r="CK16" s="662"/>
      <c r="CL16" s="663"/>
      <c r="CM16" s="692"/>
      <c r="CN16" s="687"/>
      <c r="CO16" s="1430"/>
      <c r="CP16" s="839"/>
      <c r="CQ16" s="660"/>
      <c r="CR16" s="661"/>
      <c r="CS16" s="662"/>
      <c r="CT16" s="661"/>
      <c r="CU16" s="662"/>
      <c r="CV16" s="663"/>
      <c r="CW16" s="692"/>
      <c r="CX16" s="687"/>
      <c r="CY16" s="1430"/>
      <c r="CZ16" s="839"/>
      <c r="DA16" s="665"/>
      <c r="DB16" s="648"/>
      <c r="DC16" s="649"/>
      <c r="DD16" s="674"/>
      <c r="DE16" s="675"/>
      <c r="DF16" s="58"/>
      <c r="DG16" s="58"/>
      <c r="DH16" s="616"/>
      <c r="DI16" s="617"/>
      <c r="DJ16" s="638"/>
      <c r="DK16" s="1245"/>
      <c r="DL16" s="618"/>
      <c r="DM16" s="639"/>
      <c r="DN16" s="1248"/>
      <c r="DO16" s="619"/>
      <c r="DP16" s="620"/>
      <c r="DQ16" s="1294"/>
      <c r="DR16" s="621"/>
      <c r="DS16" s="1294"/>
      <c r="DT16" s="1296"/>
      <c r="DU16" s="1297"/>
      <c r="DV16" s="622"/>
      <c r="DW16" s="1250"/>
      <c r="DX16" s="623"/>
      <c r="DY16" s="624"/>
      <c r="DZ16" s="622"/>
      <c r="EA16" s="1250"/>
      <c r="EB16" s="623"/>
      <c r="EC16" s="624"/>
      <c r="ED16" s="622"/>
      <c r="EE16" s="1250"/>
      <c r="EF16" s="623"/>
      <c r="EG16" s="624"/>
      <c r="EH16" s="622"/>
      <c r="EI16" s="1250"/>
      <c r="EJ16" s="623"/>
      <c r="EK16" s="625"/>
      <c r="EL16" s="147"/>
      <c r="EM16" s="1513" t="str">
        <f t="shared" si="66"/>
        <v/>
      </c>
      <c r="EN16" s="1303" t="str">
        <f t="shared" si="67"/>
        <v/>
      </c>
      <c r="EO16" s="1304" t="str">
        <f t="shared" si="68"/>
        <v/>
      </c>
      <c r="EP16" s="1305" t="str">
        <f t="shared" si="69"/>
        <v/>
      </c>
      <c r="EQ16" s="1309" t="str">
        <f t="shared" si="70"/>
        <v/>
      </c>
      <c r="ER16" s="1315" t="str">
        <f t="shared" si="71"/>
        <v/>
      </c>
      <c r="ES16" s="1316" t="str">
        <f t="shared" si="72"/>
        <v/>
      </c>
      <c r="ET16" s="1317" t="str">
        <f t="shared" si="73"/>
        <v/>
      </c>
      <c r="EU16" s="1318" t="str">
        <f t="shared" si="88"/>
        <v/>
      </c>
      <c r="EX16" s="870" t="str">
        <f t="shared" ca="1" si="89"/>
        <v/>
      </c>
      <c r="EY16" s="872" t="str">
        <f t="shared" si="74"/>
        <v/>
      </c>
      <c r="EZ16" s="872" t="str">
        <f t="shared" si="90"/>
        <v/>
      </c>
      <c r="FA16" s="891" t="str">
        <f t="shared" ref="FA16:FA45" ca="1" si="95">IF(FB16="","",IF(FC16=0,FA15,FB16=FF16))</f>
        <v/>
      </c>
      <c r="FB16" s="892" t="str">
        <f t="shared" ca="1" si="91"/>
        <v/>
      </c>
      <c r="FC16" s="892">
        <f t="shared" ca="1" si="75"/>
        <v>0</v>
      </c>
      <c r="FD16" s="892">
        <f t="shared" ca="1" si="76"/>
        <v>0</v>
      </c>
      <c r="FE16" s="892">
        <f t="shared" ca="1" si="77"/>
        <v>0</v>
      </c>
      <c r="FF16" s="892">
        <f t="shared" ca="1" si="92"/>
        <v>0</v>
      </c>
      <c r="FN16" s="703" t="b">
        <v>0</v>
      </c>
      <c r="FO16" s="703" t="b">
        <f t="shared" si="78"/>
        <v>1</v>
      </c>
      <c r="FP16" s="1254" t="b">
        <v>0</v>
      </c>
      <c r="FQ16" s="703" t="b">
        <f t="shared" si="93"/>
        <v>1</v>
      </c>
      <c r="FW16" s="1"/>
      <c r="FX16" s="1"/>
      <c r="FZ16" s="1"/>
      <c r="GA16" s="524" t="str">
        <f t="shared" si="79"/>
        <v/>
      </c>
      <c r="GB16" s="566" t="str">
        <f t="shared" si="80"/>
        <v/>
      </c>
      <c r="GC16" s="568" t="str">
        <f t="shared" si="81"/>
        <v/>
      </c>
      <c r="GD16" s="569" t="str">
        <f t="shared" si="82"/>
        <v/>
      </c>
      <c r="GE16" s="567" t="str">
        <f t="shared" si="83"/>
        <v/>
      </c>
      <c r="GF16" s="525" t="str">
        <f t="shared" si="84"/>
        <v/>
      </c>
      <c r="GG16" s="1056"/>
      <c r="GH16" s="1058"/>
      <c r="GI16" s="1056"/>
      <c r="GJ16" s="1058"/>
      <c r="GK16" s="1523">
        <f t="shared" si="85"/>
        <v>0</v>
      </c>
      <c r="GL16" s="1523" t="e">
        <f t="shared" si="86"/>
        <v>#VALUE!</v>
      </c>
      <c r="GM16" s="1524" t="e">
        <f>IF(ABS(GK16-GL16)&gt;=#REF!,ABS(GK16-GL16),0)</f>
        <v>#VALUE!</v>
      </c>
      <c r="GN16" s="56"/>
      <c r="GO16" s="57"/>
      <c r="GP16" s="57"/>
      <c r="GZ16" s="57"/>
      <c r="HA16" s="1159"/>
      <c r="HB16" s="1160"/>
      <c r="HC16" s="1160"/>
      <c r="HD16" s="1161"/>
      <c r="HE16" s="1162"/>
      <c r="HF16" s="1160"/>
      <c r="HG16" s="1160"/>
      <c r="HH16" s="1160"/>
      <c r="HI16" s="1160"/>
      <c r="HJ16" s="1160"/>
      <c r="HK16" s="1160"/>
      <c r="HL16" s="1160"/>
      <c r="HM16" s="1160"/>
      <c r="HN16" s="1160"/>
      <c r="HO16" s="1160"/>
      <c r="HP16" s="1160"/>
      <c r="HQ16" s="1160"/>
      <c r="HR16" s="1160"/>
      <c r="HS16" s="1160"/>
      <c r="HT16" s="1160"/>
      <c r="HU16" s="1160"/>
      <c r="HV16" s="1160"/>
      <c r="HW16" s="1160"/>
      <c r="HX16" s="1160"/>
      <c r="HY16" s="1164"/>
      <c r="HZ16" s="1164"/>
      <c r="IA16" s="1164"/>
      <c r="IB16" s="1164"/>
      <c r="IC16" s="1164"/>
      <c r="ID16" s="1179"/>
      <c r="IE16" s="1159"/>
      <c r="IF16" s="1160"/>
      <c r="IG16" s="1161"/>
      <c r="IH16" s="1162"/>
      <c r="II16" s="1160"/>
      <c r="IJ16" s="1161"/>
      <c r="IK16" s="1162"/>
      <c r="IL16" s="1160"/>
      <c r="IM16" s="1160"/>
      <c r="IN16" s="1160"/>
      <c r="IO16" s="1160"/>
      <c r="IP16" s="1160"/>
      <c r="IQ16" s="1160"/>
      <c r="IR16" s="1160"/>
      <c r="IS16" s="1161"/>
      <c r="IT16" s="1162"/>
      <c r="IU16" s="1160"/>
      <c r="IV16" s="1160"/>
      <c r="IW16" s="1161"/>
      <c r="IX16" s="1162"/>
      <c r="IY16" s="1160"/>
      <c r="IZ16" s="1160"/>
      <c r="JA16" s="1161"/>
      <c r="JB16" s="1162"/>
      <c r="JC16" s="1160"/>
      <c r="JD16" s="1160"/>
      <c r="JE16" s="1161"/>
      <c r="JF16" s="1162"/>
      <c r="JG16" s="1160"/>
      <c r="JH16" s="1160"/>
      <c r="JI16" s="1160"/>
      <c r="JJ16" s="1163"/>
      <c r="JK16" s="1160"/>
      <c r="JL16" s="1103">
        <f t="shared" ref="JL16:JL45" ca="1" si="96">IF(ISBLANK(JK16),IF(JL15=0,0,IF(VALUE(OFFSET(JK16,JL15*-1,0))&lt;JL15+1,0,JL15+1)),1)</f>
        <v>0</v>
      </c>
    </row>
    <row r="17" spans="1:272" ht="12.6" customHeight="1" x14ac:dyDescent="0.25">
      <c r="A17" s="1132" t="str">
        <f t="shared" si="0"/>
        <v/>
      </c>
      <c r="B17" s="1586" t="str">
        <f t="shared" si="1"/>
        <v/>
      </c>
      <c r="C17" s="1133" t="str">
        <f t="shared" si="2"/>
        <v/>
      </c>
      <c r="D17" s="1134" t="str">
        <f t="shared" si="3"/>
        <v/>
      </c>
      <c r="E17" s="1135" t="str">
        <f t="shared" si="4"/>
        <v/>
      </c>
      <c r="F17" s="1136" t="str">
        <f t="shared" si="5"/>
        <v/>
      </c>
      <c r="G17" s="1137" t="str">
        <f t="shared" si="6"/>
        <v/>
      </c>
      <c r="H17" s="1138" t="str">
        <f t="shared" si="7"/>
        <v/>
      </c>
      <c r="I17" s="1139" t="str">
        <f t="shared" si="8"/>
        <v/>
      </c>
      <c r="J17" s="1134" t="str">
        <f t="shared" si="9"/>
        <v/>
      </c>
      <c r="K17" s="1138" t="str">
        <f t="shared" si="10"/>
        <v/>
      </c>
      <c r="L17" s="1140" t="str">
        <f t="shared" si="11"/>
        <v/>
      </c>
      <c r="M17" s="1141" t="str">
        <f t="shared" si="12"/>
        <v/>
      </c>
      <c r="N17" s="1142" t="str">
        <f t="shared" si="12"/>
        <v/>
      </c>
      <c r="O17" s="1137" t="str">
        <f t="shared" si="13"/>
        <v/>
      </c>
      <c r="P17" s="1138" t="str">
        <f t="shared" si="14"/>
        <v/>
      </c>
      <c r="Q17" s="1134" t="str">
        <f t="shared" si="15"/>
        <v/>
      </c>
      <c r="R17" s="1135" t="str">
        <f t="shared" si="16"/>
        <v/>
      </c>
      <c r="S17" s="1143" t="str">
        <f t="shared" si="17"/>
        <v/>
      </c>
      <c r="T17" s="1138" t="str">
        <f t="shared" si="18"/>
        <v/>
      </c>
      <c r="U17" s="1134" t="str">
        <f t="shared" si="19"/>
        <v/>
      </c>
      <c r="V17" s="1138" t="str">
        <f t="shared" si="20"/>
        <v/>
      </c>
      <c r="W17" s="1142">
        <f t="shared" si="21"/>
        <v>0</v>
      </c>
      <c r="X17" s="1144" t="e">
        <f t="shared" si="22"/>
        <v>#REF!</v>
      </c>
      <c r="Y17" s="1145" t="e">
        <f t="shared" si="23"/>
        <v>#REF!</v>
      </c>
      <c r="Z17" s="1587" t="str">
        <f t="shared" si="24"/>
        <v/>
      </c>
      <c r="AA17" s="1152" t="str">
        <f t="shared" si="25"/>
        <v/>
      </c>
      <c r="AB17" s="1132" t="str">
        <f t="shared" si="26"/>
        <v/>
      </c>
      <c r="AC17" s="1139" t="str">
        <f t="shared" si="26"/>
        <v/>
      </c>
      <c r="AD17" s="1134" t="str">
        <f t="shared" ca="1" si="27"/>
        <v/>
      </c>
      <c r="AE17" s="1138" t="str">
        <f t="shared" ca="1" si="28"/>
        <v/>
      </c>
      <c r="AF17" s="1139" t="str">
        <f t="shared" ca="1" si="29"/>
        <v/>
      </c>
      <c r="AG17" s="1134" t="str">
        <f t="shared" ca="1" si="30"/>
        <v/>
      </c>
      <c r="AH17" s="1138" t="str">
        <f t="shared" ca="1" si="31"/>
        <v/>
      </c>
      <c r="AI17" s="1134" t="str">
        <f t="shared" ca="1" si="32"/>
        <v/>
      </c>
      <c r="AJ17" s="1138" t="str">
        <f t="shared" ca="1" si="33"/>
        <v/>
      </c>
      <c r="AK17" s="1619" t="str">
        <f t="shared" si="34"/>
        <v/>
      </c>
      <c r="AL17" s="1620" t="str">
        <f t="shared" si="34"/>
        <v/>
      </c>
      <c r="AM17" s="1621" t="str">
        <f t="shared" si="34"/>
        <v/>
      </c>
      <c r="AN17" s="1139" t="str">
        <f t="shared" si="34"/>
        <v/>
      </c>
      <c r="AO17" s="1142" t="str">
        <f t="shared" si="34"/>
        <v/>
      </c>
      <c r="AP17" s="1141" t="str">
        <f t="shared" si="35"/>
        <v/>
      </c>
      <c r="AQ17" s="1623" t="str">
        <f t="shared" si="36"/>
        <v/>
      </c>
      <c r="AR17" s="1137" t="str">
        <f t="shared" si="37"/>
        <v/>
      </c>
      <c r="AS17" s="1138" t="str">
        <f t="shared" si="38"/>
        <v/>
      </c>
      <c r="AT17" s="1624" t="str">
        <f t="shared" si="39"/>
        <v/>
      </c>
      <c r="AU17" s="1625" t="str">
        <f t="shared" si="40"/>
        <v/>
      </c>
      <c r="AV17" s="1143" t="str">
        <f t="shared" si="41"/>
        <v/>
      </c>
      <c r="AW17" s="1138" t="str">
        <f t="shared" si="42"/>
        <v/>
      </c>
      <c r="AX17" s="1624" t="str">
        <f t="shared" si="43"/>
        <v/>
      </c>
      <c r="AY17" s="1625" t="str">
        <f t="shared" si="44"/>
        <v/>
      </c>
      <c r="AZ17" s="1143" t="str">
        <f t="shared" si="45"/>
        <v/>
      </c>
      <c r="BA17" s="1138" t="str">
        <f t="shared" si="46"/>
        <v/>
      </c>
      <c r="BB17" s="1624" t="str">
        <f t="shared" si="47"/>
        <v/>
      </c>
      <c r="BC17" s="1625" t="str">
        <f t="shared" si="48"/>
        <v/>
      </c>
      <c r="BD17" s="1143" t="str">
        <f t="shared" si="49"/>
        <v/>
      </c>
      <c r="BE17" s="1138" t="str">
        <f t="shared" si="50"/>
        <v/>
      </c>
      <c r="BF17" s="1624" t="str">
        <f t="shared" si="51"/>
        <v/>
      </c>
      <c r="BG17" s="1625" t="str">
        <f t="shared" si="51"/>
        <v/>
      </c>
      <c r="BH17" s="1291"/>
      <c r="BJ17" s="915" t="str">
        <f t="shared" si="94"/>
        <v/>
      </c>
      <c r="BK17" s="913" t="e">
        <f t="shared" si="52"/>
        <v>#REF!</v>
      </c>
      <c r="BL17" s="908" t="b">
        <v>0</v>
      </c>
      <c r="BM17" s="908">
        <f t="shared" si="53"/>
        <v>0</v>
      </c>
      <c r="BN17" s="908">
        <f t="shared" si="54"/>
        <v>0</v>
      </c>
      <c r="BO17" s="908">
        <f t="shared" si="55"/>
        <v>0</v>
      </c>
      <c r="BP17" s="908">
        <f t="shared" si="56"/>
        <v>0</v>
      </c>
      <c r="BQ17" s="908">
        <f t="shared" si="57"/>
        <v>0</v>
      </c>
      <c r="BR17" s="908" t="b">
        <f t="shared" si="58"/>
        <v>1</v>
      </c>
      <c r="BS17" s="1216">
        <f t="shared" si="59"/>
        <v>6</v>
      </c>
      <c r="BT17" s="909" t="str">
        <f t="shared" si="60"/>
        <v>No</v>
      </c>
      <c r="BU17" s="1216">
        <f t="shared" si="61"/>
        <v>6</v>
      </c>
      <c r="BV17" s="909" t="str">
        <f t="shared" si="62"/>
        <v>No</v>
      </c>
      <c r="BW17" s="910">
        <f t="shared" ca="1" si="63"/>
        <v>0</v>
      </c>
      <c r="BX17" s="911" t="str">
        <f t="shared" ca="1" si="64"/>
        <v/>
      </c>
      <c r="BY17" s="911" t="b">
        <f t="shared" ca="1" si="65"/>
        <v>0</v>
      </c>
      <c r="BZ17" s="910" t="e">
        <f t="shared" si="87"/>
        <v>#REF!</v>
      </c>
      <c r="CB17" s="616"/>
      <c r="CC17" s="1567"/>
      <c r="CD17" s="645"/>
      <c r="CE17" s="646"/>
      <c r="CF17" s="647"/>
      <c r="CG17" s="660"/>
      <c r="CH17" s="661"/>
      <c r="CI17" s="662"/>
      <c r="CJ17" s="661"/>
      <c r="CK17" s="662"/>
      <c r="CL17" s="663"/>
      <c r="CM17" s="692"/>
      <c r="CN17" s="687"/>
      <c r="CO17" s="1430"/>
      <c r="CP17" s="839"/>
      <c r="CQ17" s="660"/>
      <c r="CR17" s="661"/>
      <c r="CS17" s="662"/>
      <c r="CT17" s="661"/>
      <c r="CU17" s="662"/>
      <c r="CV17" s="663"/>
      <c r="CW17" s="692"/>
      <c r="CX17" s="687"/>
      <c r="CY17" s="1430"/>
      <c r="CZ17" s="839"/>
      <c r="DA17" s="665"/>
      <c r="DB17" s="648"/>
      <c r="DC17" s="649"/>
      <c r="DD17" s="674"/>
      <c r="DE17" s="675"/>
      <c r="DF17" s="58"/>
      <c r="DG17" s="58"/>
      <c r="DH17" s="616"/>
      <c r="DI17" s="617"/>
      <c r="DJ17" s="638"/>
      <c r="DK17" s="1245"/>
      <c r="DL17" s="618"/>
      <c r="DM17" s="639"/>
      <c r="DN17" s="1248"/>
      <c r="DO17" s="619"/>
      <c r="DP17" s="620"/>
      <c r="DQ17" s="1294"/>
      <c r="DR17" s="621"/>
      <c r="DS17" s="1294"/>
      <c r="DT17" s="1296"/>
      <c r="DU17" s="1297"/>
      <c r="DV17" s="622"/>
      <c r="DW17" s="1250"/>
      <c r="DX17" s="623"/>
      <c r="DY17" s="624"/>
      <c r="DZ17" s="622"/>
      <c r="EA17" s="1250"/>
      <c r="EB17" s="623"/>
      <c r="EC17" s="624"/>
      <c r="ED17" s="622"/>
      <c r="EE17" s="1250"/>
      <c r="EF17" s="623"/>
      <c r="EG17" s="624"/>
      <c r="EH17" s="622"/>
      <c r="EI17" s="1250"/>
      <c r="EJ17" s="623"/>
      <c r="EK17" s="625"/>
      <c r="EL17" s="147"/>
      <c r="EM17" s="1513" t="str">
        <f t="shared" si="66"/>
        <v/>
      </c>
      <c r="EN17" s="1303" t="str">
        <f t="shared" si="67"/>
        <v/>
      </c>
      <c r="EO17" s="1304" t="str">
        <f t="shared" si="68"/>
        <v/>
      </c>
      <c r="EP17" s="1305" t="str">
        <f t="shared" si="69"/>
        <v/>
      </c>
      <c r="EQ17" s="1309" t="str">
        <f t="shared" si="70"/>
        <v/>
      </c>
      <c r="ER17" s="1315" t="str">
        <f t="shared" si="71"/>
        <v/>
      </c>
      <c r="ES17" s="1316" t="str">
        <f t="shared" si="72"/>
        <v/>
      </c>
      <c r="ET17" s="1317" t="str">
        <f t="shared" si="73"/>
        <v/>
      </c>
      <c r="EU17" s="1318" t="str">
        <f t="shared" si="88"/>
        <v/>
      </c>
      <c r="EX17" s="870" t="str">
        <f t="shared" ca="1" si="89"/>
        <v/>
      </c>
      <c r="EY17" s="872" t="str">
        <f t="shared" si="74"/>
        <v/>
      </c>
      <c r="EZ17" s="872" t="str">
        <f t="shared" si="90"/>
        <v/>
      </c>
      <c r="FA17" s="891" t="str">
        <f t="shared" ca="1" si="95"/>
        <v/>
      </c>
      <c r="FB17" s="892" t="str">
        <f t="shared" ca="1" si="91"/>
        <v/>
      </c>
      <c r="FC17" s="892">
        <f t="shared" ca="1" si="75"/>
        <v>0</v>
      </c>
      <c r="FD17" s="892">
        <f t="shared" ca="1" si="76"/>
        <v>0</v>
      </c>
      <c r="FE17" s="892">
        <f t="shared" ca="1" si="77"/>
        <v>0</v>
      </c>
      <c r="FF17" s="892">
        <f t="shared" ca="1" si="92"/>
        <v>0</v>
      </c>
      <c r="FN17" s="703" t="b">
        <v>0</v>
      </c>
      <c r="FO17" s="703" t="b">
        <f t="shared" si="78"/>
        <v>1</v>
      </c>
      <c r="FP17" s="1254" t="b">
        <v>0</v>
      </c>
      <c r="FQ17" s="703" t="b">
        <f t="shared" si="93"/>
        <v>1</v>
      </c>
      <c r="FW17" s="1"/>
      <c r="FX17" s="1"/>
      <c r="FZ17" s="1"/>
      <c r="GA17" s="524" t="str">
        <f t="shared" si="79"/>
        <v/>
      </c>
      <c r="GB17" s="566" t="str">
        <f t="shared" si="80"/>
        <v/>
      </c>
      <c r="GC17" s="568" t="str">
        <f t="shared" si="81"/>
        <v/>
      </c>
      <c r="GD17" s="569" t="str">
        <f t="shared" si="82"/>
        <v/>
      </c>
      <c r="GE17" s="567" t="str">
        <f t="shared" si="83"/>
        <v/>
      </c>
      <c r="GF17" s="525" t="str">
        <f t="shared" si="84"/>
        <v/>
      </c>
      <c r="GG17" s="1056"/>
      <c r="GH17" s="1058"/>
      <c r="GI17" s="1056"/>
      <c r="GJ17" s="1058"/>
      <c r="GK17" s="1523">
        <f t="shared" si="85"/>
        <v>0</v>
      </c>
      <c r="GL17" s="1523" t="e">
        <f t="shared" si="86"/>
        <v>#VALUE!</v>
      </c>
      <c r="GM17" s="1524" t="e">
        <f>IF(ABS(GK17-GL17)&gt;=#REF!,ABS(GK17-GL17),0)</f>
        <v>#VALUE!</v>
      </c>
      <c r="HA17" s="1159"/>
      <c r="HB17" s="1160"/>
      <c r="HC17" s="1160"/>
      <c r="HD17" s="1161"/>
      <c r="HE17" s="1162"/>
      <c r="HF17" s="1160"/>
      <c r="HG17" s="1160"/>
      <c r="HH17" s="1160"/>
      <c r="HI17" s="1160"/>
      <c r="HJ17" s="1160"/>
      <c r="HK17" s="1160"/>
      <c r="HL17" s="1160"/>
      <c r="HM17" s="1160"/>
      <c r="HN17" s="1160"/>
      <c r="HO17" s="1160"/>
      <c r="HP17" s="1160"/>
      <c r="HQ17" s="1160"/>
      <c r="HR17" s="1160"/>
      <c r="HS17" s="1160"/>
      <c r="HT17" s="1160"/>
      <c r="HU17" s="1160"/>
      <c r="HV17" s="1160"/>
      <c r="HW17" s="1160"/>
      <c r="HX17" s="1160"/>
      <c r="HY17" s="1164"/>
      <c r="HZ17" s="1164"/>
      <c r="IA17" s="1164"/>
      <c r="IB17" s="1164"/>
      <c r="IC17" s="1164"/>
      <c r="ID17" s="1179"/>
      <c r="IE17" s="1159"/>
      <c r="IF17" s="1160"/>
      <c r="IG17" s="1161"/>
      <c r="IH17" s="1162"/>
      <c r="II17" s="1160"/>
      <c r="IJ17" s="1161"/>
      <c r="IK17" s="1162"/>
      <c r="IL17" s="1160"/>
      <c r="IM17" s="1160"/>
      <c r="IN17" s="1160"/>
      <c r="IO17" s="1160"/>
      <c r="IP17" s="1160"/>
      <c r="IQ17" s="1160"/>
      <c r="IR17" s="1160"/>
      <c r="IS17" s="1161"/>
      <c r="IT17" s="1162"/>
      <c r="IU17" s="1160"/>
      <c r="IV17" s="1160"/>
      <c r="IW17" s="1161"/>
      <c r="IX17" s="1162"/>
      <c r="IY17" s="1160"/>
      <c r="IZ17" s="1160"/>
      <c r="JA17" s="1161"/>
      <c r="JB17" s="1162"/>
      <c r="JC17" s="1160"/>
      <c r="JD17" s="1160"/>
      <c r="JE17" s="1161"/>
      <c r="JF17" s="1162"/>
      <c r="JG17" s="1160"/>
      <c r="JH17" s="1160"/>
      <c r="JI17" s="1160"/>
      <c r="JJ17" s="1163"/>
      <c r="JK17" s="1160"/>
      <c r="JL17" s="1103">
        <f t="shared" ca="1" si="96"/>
        <v>0</v>
      </c>
    </row>
    <row r="18" spans="1:272" ht="12.6" customHeight="1" x14ac:dyDescent="0.25">
      <c r="A18" s="1132" t="str">
        <f t="shared" si="0"/>
        <v/>
      </c>
      <c r="B18" s="1586" t="str">
        <f t="shared" si="1"/>
        <v/>
      </c>
      <c r="C18" s="1133" t="str">
        <f t="shared" si="2"/>
        <v/>
      </c>
      <c r="D18" s="1134" t="str">
        <f t="shared" si="3"/>
        <v/>
      </c>
      <c r="E18" s="1135" t="str">
        <f t="shared" si="4"/>
        <v/>
      </c>
      <c r="F18" s="1136" t="str">
        <f t="shared" si="5"/>
        <v/>
      </c>
      <c r="G18" s="1137" t="str">
        <f t="shared" si="6"/>
        <v/>
      </c>
      <c r="H18" s="1138" t="str">
        <f t="shared" si="7"/>
        <v/>
      </c>
      <c r="I18" s="1139" t="str">
        <f t="shared" si="8"/>
        <v/>
      </c>
      <c r="J18" s="1134" t="str">
        <f t="shared" si="9"/>
        <v/>
      </c>
      <c r="K18" s="1138" t="str">
        <f t="shared" si="10"/>
        <v/>
      </c>
      <c r="L18" s="1140" t="str">
        <f t="shared" si="11"/>
        <v/>
      </c>
      <c r="M18" s="1141" t="str">
        <f t="shared" si="12"/>
        <v/>
      </c>
      <c r="N18" s="1142" t="str">
        <f t="shared" si="12"/>
        <v/>
      </c>
      <c r="O18" s="1137" t="str">
        <f t="shared" si="13"/>
        <v/>
      </c>
      <c r="P18" s="1138" t="str">
        <f t="shared" si="14"/>
        <v/>
      </c>
      <c r="Q18" s="1134" t="str">
        <f t="shared" si="15"/>
        <v/>
      </c>
      <c r="R18" s="1135" t="str">
        <f t="shared" si="16"/>
        <v/>
      </c>
      <c r="S18" s="1143" t="str">
        <f t="shared" si="17"/>
        <v/>
      </c>
      <c r="T18" s="1138" t="str">
        <f t="shared" si="18"/>
        <v/>
      </c>
      <c r="U18" s="1134" t="str">
        <f t="shared" si="19"/>
        <v/>
      </c>
      <c r="V18" s="1138" t="str">
        <f t="shared" si="20"/>
        <v/>
      </c>
      <c r="W18" s="1142">
        <f t="shared" si="21"/>
        <v>0</v>
      </c>
      <c r="X18" s="1144" t="e">
        <f t="shared" si="22"/>
        <v>#REF!</v>
      </c>
      <c r="Y18" s="1145" t="e">
        <f t="shared" si="23"/>
        <v>#REF!</v>
      </c>
      <c r="Z18" s="1587" t="str">
        <f t="shared" si="24"/>
        <v/>
      </c>
      <c r="AA18" s="1152" t="str">
        <f t="shared" si="25"/>
        <v/>
      </c>
      <c r="AB18" s="1132" t="str">
        <f t="shared" si="26"/>
        <v/>
      </c>
      <c r="AC18" s="1139" t="str">
        <f t="shared" si="26"/>
        <v/>
      </c>
      <c r="AD18" s="1134" t="str">
        <f t="shared" ca="1" si="27"/>
        <v/>
      </c>
      <c r="AE18" s="1138" t="str">
        <f t="shared" ca="1" si="28"/>
        <v/>
      </c>
      <c r="AF18" s="1139" t="str">
        <f t="shared" ca="1" si="29"/>
        <v/>
      </c>
      <c r="AG18" s="1134" t="str">
        <f t="shared" ca="1" si="30"/>
        <v/>
      </c>
      <c r="AH18" s="1138" t="str">
        <f t="shared" ca="1" si="31"/>
        <v/>
      </c>
      <c r="AI18" s="1134" t="str">
        <f t="shared" ca="1" si="32"/>
        <v/>
      </c>
      <c r="AJ18" s="1138" t="str">
        <f t="shared" ca="1" si="33"/>
        <v/>
      </c>
      <c r="AK18" s="1619" t="str">
        <f t="shared" si="34"/>
        <v/>
      </c>
      <c r="AL18" s="1620" t="str">
        <f t="shared" si="34"/>
        <v/>
      </c>
      <c r="AM18" s="1621" t="str">
        <f t="shared" si="34"/>
        <v/>
      </c>
      <c r="AN18" s="1139" t="str">
        <f t="shared" si="34"/>
        <v/>
      </c>
      <c r="AO18" s="1142" t="str">
        <f t="shared" si="34"/>
        <v/>
      </c>
      <c r="AP18" s="1141" t="str">
        <f t="shared" si="35"/>
        <v/>
      </c>
      <c r="AQ18" s="1623" t="str">
        <f t="shared" si="36"/>
        <v/>
      </c>
      <c r="AR18" s="1137" t="str">
        <f t="shared" si="37"/>
        <v/>
      </c>
      <c r="AS18" s="1138" t="str">
        <f t="shared" si="38"/>
        <v/>
      </c>
      <c r="AT18" s="1624" t="str">
        <f t="shared" si="39"/>
        <v/>
      </c>
      <c r="AU18" s="1625" t="str">
        <f t="shared" si="40"/>
        <v/>
      </c>
      <c r="AV18" s="1143" t="str">
        <f t="shared" si="41"/>
        <v/>
      </c>
      <c r="AW18" s="1138" t="str">
        <f t="shared" si="42"/>
        <v/>
      </c>
      <c r="AX18" s="1624" t="str">
        <f t="shared" si="43"/>
        <v/>
      </c>
      <c r="AY18" s="1625" t="str">
        <f t="shared" si="44"/>
        <v/>
      </c>
      <c r="AZ18" s="1143" t="str">
        <f t="shared" si="45"/>
        <v/>
      </c>
      <c r="BA18" s="1138" t="str">
        <f t="shared" si="46"/>
        <v/>
      </c>
      <c r="BB18" s="1624" t="str">
        <f t="shared" si="47"/>
        <v/>
      </c>
      <c r="BC18" s="1625" t="str">
        <f t="shared" si="48"/>
        <v/>
      </c>
      <c r="BD18" s="1143" t="str">
        <f t="shared" si="49"/>
        <v/>
      </c>
      <c r="BE18" s="1138" t="str">
        <f t="shared" si="50"/>
        <v/>
      </c>
      <c r="BF18" s="1624" t="str">
        <f t="shared" si="51"/>
        <v/>
      </c>
      <c r="BG18" s="1625" t="str">
        <f t="shared" si="51"/>
        <v/>
      </c>
      <c r="BH18" s="1291"/>
      <c r="BJ18" s="915" t="str">
        <f t="shared" si="94"/>
        <v/>
      </c>
      <c r="BK18" s="913" t="e">
        <f t="shared" si="52"/>
        <v>#REF!</v>
      </c>
      <c r="BL18" s="908" t="b">
        <v>0</v>
      </c>
      <c r="BM18" s="908">
        <f t="shared" si="53"/>
        <v>0</v>
      </c>
      <c r="BN18" s="908">
        <f t="shared" si="54"/>
        <v>0</v>
      </c>
      <c r="BO18" s="908">
        <f t="shared" si="55"/>
        <v>0</v>
      </c>
      <c r="BP18" s="908">
        <f t="shared" si="56"/>
        <v>0</v>
      </c>
      <c r="BQ18" s="908">
        <f t="shared" si="57"/>
        <v>0</v>
      </c>
      <c r="BR18" s="908" t="b">
        <f t="shared" si="58"/>
        <v>1</v>
      </c>
      <c r="BS18" s="1216">
        <f t="shared" si="59"/>
        <v>6</v>
      </c>
      <c r="BT18" s="909" t="str">
        <f t="shared" si="60"/>
        <v>No</v>
      </c>
      <c r="BU18" s="1216">
        <f t="shared" si="61"/>
        <v>6</v>
      </c>
      <c r="BV18" s="909" t="str">
        <f t="shared" si="62"/>
        <v>No</v>
      </c>
      <c r="BW18" s="910">
        <f t="shared" ca="1" si="63"/>
        <v>0</v>
      </c>
      <c r="BX18" s="911" t="str">
        <f t="shared" ca="1" si="64"/>
        <v/>
      </c>
      <c r="BY18" s="911" t="b">
        <f t="shared" ca="1" si="65"/>
        <v>0</v>
      </c>
      <c r="BZ18" s="910" t="e">
        <f t="shared" si="87"/>
        <v>#REF!</v>
      </c>
      <c r="CB18" s="616"/>
      <c r="CC18" s="1567"/>
      <c r="CD18" s="645"/>
      <c r="CE18" s="646"/>
      <c r="CF18" s="647"/>
      <c r="CG18" s="660"/>
      <c r="CH18" s="661"/>
      <c r="CI18" s="662"/>
      <c r="CJ18" s="661"/>
      <c r="CK18" s="662"/>
      <c r="CL18" s="663"/>
      <c r="CM18" s="692"/>
      <c r="CN18" s="687"/>
      <c r="CO18" s="1430"/>
      <c r="CP18" s="839"/>
      <c r="CQ18" s="660"/>
      <c r="CR18" s="661"/>
      <c r="CS18" s="662"/>
      <c r="CT18" s="661"/>
      <c r="CU18" s="662"/>
      <c r="CV18" s="663"/>
      <c r="CW18" s="692"/>
      <c r="CX18" s="687"/>
      <c r="CY18" s="1430"/>
      <c r="CZ18" s="839"/>
      <c r="DA18" s="665"/>
      <c r="DB18" s="648"/>
      <c r="DC18" s="649"/>
      <c r="DD18" s="674"/>
      <c r="DE18" s="675"/>
      <c r="DF18" s="58"/>
      <c r="DG18" s="58"/>
      <c r="DH18" s="616"/>
      <c r="DI18" s="617"/>
      <c r="DJ18" s="638"/>
      <c r="DK18" s="1245"/>
      <c r="DL18" s="618"/>
      <c r="DM18" s="639"/>
      <c r="DN18" s="1248"/>
      <c r="DO18" s="619"/>
      <c r="DP18" s="620"/>
      <c r="DQ18" s="1294"/>
      <c r="DR18" s="621"/>
      <c r="DS18" s="1294"/>
      <c r="DT18" s="1296"/>
      <c r="DU18" s="1297"/>
      <c r="DV18" s="622"/>
      <c r="DW18" s="1250"/>
      <c r="DX18" s="623"/>
      <c r="DY18" s="624"/>
      <c r="DZ18" s="622"/>
      <c r="EA18" s="1250"/>
      <c r="EB18" s="623"/>
      <c r="EC18" s="624"/>
      <c r="ED18" s="622"/>
      <c r="EE18" s="1250"/>
      <c r="EF18" s="623"/>
      <c r="EG18" s="624"/>
      <c r="EH18" s="622"/>
      <c r="EI18" s="1250"/>
      <c r="EJ18" s="623"/>
      <c r="EK18" s="625"/>
      <c r="EL18" s="147"/>
      <c r="EM18" s="1513" t="str">
        <f t="shared" si="66"/>
        <v/>
      </c>
      <c r="EN18" s="1303" t="str">
        <f t="shared" si="67"/>
        <v/>
      </c>
      <c r="EO18" s="1304" t="str">
        <f t="shared" si="68"/>
        <v/>
      </c>
      <c r="EP18" s="1305" t="str">
        <f t="shared" si="69"/>
        <v/>
      </c>
      <c r="EQ18" s="1309" t="str">
        <f t="shared" si="70"/>
        <v/>
      </c>
      <c r="ER18" s="1315" t="str">
        <f t="shared" si="71"/>
        <v/>
      </c>
      <c r="ES18" s="1316" t="str">
        <f t="shared" si="72"/>
        <v/>
      </c>
      <c r="ET18" s="1317" t="str">
        <f t="shared" si="73"/>
        <v/>
      </c>
      <c r="EU18" s="1318" t="str">
        <f t="shared" si="88"/>
        <v/>
      </c>
      <c r="EX18" s="870" t="str">
        <f t="shared" ca="1" si="89"/>
        <v/>
      </c>
      <c r="EY18" s="872" t="str">
        <f t="shared" si="74"/>
        <v/>
      </c>
      <c r="EZ18" s="872" t="str">
        <f t="shared" si="90"/>
        <v/>
      </c>
      <c r="FA18" s="891" t="str">
        <f t="shared" ca="1" si="95"/>
        <v/>
      </c>
      <c r="FB18" s="892" t="str">
        <f t="shared" ca="1" si="91"/>
        <v/>
      </c>
      <c r="FC18" s="892">
        <f t="shared" ca="1" si="75"/>
        <v>0</v>
      </c>
      <c r="FD18" s="892">
        <f t="shared" ca="1" si="76"/>
        <v>0</v>
      </c>
      <c r="FE18" s="892">
        <f t="shared" ca="1" si="77"/>
        <v>0</v>
      </c>
      <c r="FF18" s="892">
        <f t="shared" ca="1" si="92"/>
        <v>0</v>
      </c>
      <c r="FN18" s="703" t="b">
        <v>0</v>
      </c>
      <c r="FO18" s="703" t="b">
        <f t="shared" si="78"/>
        <v>1</v>
      </c>
      <c r="FP18" s="1254" t="b">
        <v>0</v>
      </c>
      <c r="FQ18" s="703" t="b">
        <f t="shared" si="93"/>
        <v>1</v>
      </c>
      <c r="FW18" s="1"/>
      <c r="FX18" s="1"/>
      <c r="FZ18" s="1"/>
      <c r="GA18" s="524" t="str">
        <f t="shared" si="79"/>
        <v/>
      </c>
      <c r="GB18" s="566" t="str">
        <f t="shared" si="80"/>
        <v/>
      </c>
      <c r="GC18" s="568" t="str">
        <f t="shared" si="81"/>
        <v/>
      </c>
      <c r="GD18" s="569" t="str">
        <f t="shared" si="82"/>
        <v/>
      </c>
      <c r="GE18" s="567" t="str">
        <f t="shared" si="83"/>
        <v/>
      </c>
      <c r="GF18" s="525" t="str">
        <f t="shared" si="84"/>
        <v/>
      </c>
      <c r="GG18" s="1056"/>
      <c r="GH18" s="1058"/>
      <c r="GI18" s="1056"/>
      <c r="GJ18" s="1058"/>
      <c r="GK18" s="1523">
        <f t="shared" si="85"/>
        <v>0</v>
      </c>
      <c r="GL18" s="1523" t="e">
        <f t="shared" si="86"/>
        <v>#VALUE!</v>
      </c>
      <c r="GM18" s="1524" t="e">
        <f>IF(ABS(GK18-GL18)&gt;=#REF!,ABS(GK18-GL18),0)</f>
        <v>#VALUE!</v>
      </c>
      <c r="HA18" s="1159"/>
      <c r="HB18" s="1160"/>
      <c r="HC18" s="1160"/>
      <c r="HD18" s="1161"/>
      <c r="HE18" s="1162"/>
      <c r="HF18" s="1160"/>
      <c r="HG18" s="1160"/>
      <c r="HH18" s="1160"/>
      <c r="HI18" s="1160"/>
      <c r="HJ18" s="1160"/>
      <c r="HK18" s="1160"/>
      <c r="HL18" s="1160"/>
      <c r="HM18" s="1160"/>
      <c r="HN18" s="1160"/>
      <c r="HO18" s="1160"/>
      <c r="HP18" s="1160"/>
      <c r="HQ18" s="1160"/>
      <c r="HR18" s="1160"/>
      <c r="HS18" s="1160"/>
      <c r="HT18" s="1160"/>
      <c r="HU18" s="1160"/>
      <c r="HV18" s="1160"/>
      <c r="HW18" s="1160"/>
      <c r="HX18" s="1160"/>
      <c r="HY18" s="1164"/>
      <c r="HZ18" s="1164"/>
      <c r="IA18" s="1164"/>
      <c r="IB18" s="1164"/>
      <c r="IC18" s="1164"/>
      <c r="ID18" s="1179"/>
      <c r="IE18" s="1159"/>
      <c r="IF18" s="1160"/>
      <c r="IG18" s="1161"/>
      <c r="IH18" s="1162"/>
      <c r="II18" s="1160"/>
      <c r="IJ18" s="1161"/>
      <c r="IK18" s="1162"/>
      <c r="IL18" s="1160"/>
      <c r="IM18" s="1160"/>
      <c r="IN18" s="1160"/>
      <c r="IO18" s="1160"/>
      <c r="IP18" s="1160"/>
      <c r="IQ18" s="1160"/>
      <c r="IR18" s="1160"/>
      <c r="IS18" s="1161"/>
      <c r="IT18" s="1162"/>
      <c r="IU18" s="1160"/>
      <c r="IV18" s="1160"/>
      <c r="IW18" s="1161"/>
      <c r="IX18" s="1162"/>
      <c r="IY18" s="1160"/>
      <c r="IZ18" s="1160"/>
      <c r="JA18" s="1161"/>
      <c r="JB18" s="1162"/>
      <c r="JC18" s="1160"/>
      <c r="JD18" s="1160"/>
      <c r="JE18" s="1161"/>
      <c r="JF18" s="1162"/>
      <c r="JG18" s="1160"/>
      <c r="JH18" s="1160"/>
      <c r="JI18" s="1160"/>
      <c r="JJ18" s="1163"/>
      <c r="JK18" s="1160"/>
      <c r="JL18" s="1103">
        <f t="shared" ca="1" si="96"/>
        <v>0</v>
      </c>
    </row>
    <row r="19" spans="1:272" ht="12.6" customHeight="1" x14ac:dyDescent="0.25">
      <c r="A19" s="1132" t="str">
        <f t="shared" si="0"/>
        <v/>
      </c>
      <c r="B19" s="1586" t="str">
        <f t="shared" si="1"/>
        <v/>
      </c>
      <c r="C19" s="1133" t="str">
        <f t="shared" si="2"/>
        <v/>
      </c>
      <c r="D19" s="1134" t="str">
        <f t="shared" si="3"/>
        <v/>
      </c>
      <c r="E19" s="1135" t="str">
        <f t="shared" si="4"/>
        <v/>
      </c>
      <c r="F19" s="1136" t="str">
        <f t="shared" si="5"/>
        <v/>
      </c>
      <c r="G19" s="1137" t="str">
        <f t="shared" si="6"/>
        <v/>
      </c>
      <c r="H19" s="1138" t="str">
        <f t="shared" si="7"/>
        <v/>
      </c>
      <c r="I19" s="1139" t="str">
        <f t="shared" si="8"/>
        <v/>
      </c>
      <c r="J19" s="1134" t="str">
        <f t="shared" si="9"/>
        <v/>
      </c>
      <c r="K19" s="1138" t="str">
        <f t="shared" si="10"/>
        <v/>
      </c>
      <c r="L19" s="1140" t="str">
        <f t="shared" si="11"/>
        <v/>
      </c>
      <c r="M19" s="1141" t="str">
        <f t="shared" si="12"/>
        <v/>
      </c>
      <c r="N19" s="1142" t="str">
        <f t="shared" si="12"/>
        <v/>
      </c>
      <c r="O19" s="1137" t="str">
        <f t="shared" si="13"/>
        <v/>
      </c>
      <c r="P19" s="1138" t="str">
        <f t="shared" si="14"/>
        <v/>
      </c>
      <c r="Q19" s="1134" t="str">
        <f t="shared" si="15"/>
        <v/>
      </c>
      <c r="R19" s="1135" t="str">
        <f t="shared" si="16"/>
        <v/>
      </c>
      <c r="S19" s="1143" t="str">
        <f t="shared" si="17"/>
        <v/>
      </c>
      <c r="T19" s="1138" t="str">
        <f t="shared" si="18"/>
        <v/>
      </c>
      <c r="U19" s="1134" t="str">
        <f t="shared" si="19"/>
        <v/>
      </c>
      <c r="V19" s="1138" t="str">
        <f t="shared" si="20"/>
        <v/>
      </c>
      <c r="W19" s="1142">
        <f t="shared" si="21"/>
        <v>0</v>
      </c>
      <c r="X19" s="1144" t="e">
        <f t="shared" si="22"/>
        <v>#REF!</v>
      </c>
      <c r="Y19" s="1145" t="e">
        <f t="shared" si="23"/>
        <v>#REF!</v>
      </c>
      <c r="Z19" s="1587" t="str">
        <f t="shared" si="24"/>
        <v/>
      </c>
      <c r="AA19" s="1152" t="str">
        <f t="shared" si="25"/>
        <v/>
      </c>
      <c r="AB19" s="1132" t="str">
        <f t="shared" si="26"/>
        <v/>
      </c>
      <c r="AC19" s="1139" t="str">
        <f t="shared" si="26"/>
        <v/>
      </c>
      <c r="AD19" s="1134" t="str">
        <f t="shared" ca="1" si="27"/>
        <v/>
      </c>
      <c r="AE19" s="1138" t="str">
        <f t="shared" ca="1" si="28"/>
        <v/>
      </c>
      <c r="AF19" s="1139" t="str">
        <f t="shared" ca="1" si="29"/>
        <v/>
      </c>
      <c r="AG19" s="1134" t="str">
        <f t="shared" ca="1" si="30"/>
        <v/>
      </c>
      <c r="AH19" s="1138" t="str">
        <f t="shared" ca="1" si="31"/>
        <v/>
      </c>
      <c r="AI19" s="1134" t="str">
        <f t="shared" ca="1" si="32"/>
        <v/>
      </c>
      <c r="AJ19" s="1138" t="str">
        <f t="shared" ca="1" si="33"/>
        <v/>
      </c>
      <c r="AK19" s="1619" t="str">
        <f t="shared" si="34"/>
        <v/>
      </c>
      <c r="AL19" s="1620" t="str">
        <f t="shared" si="34"/>
        <v/>
      </c>
      <c r="AM19" s="1621" t="str">
        <f t="shared" si="34"/>
        <v/>
      </c>
      <c r="AN19" s="1139" t="str">
        <f t="shared" si="34"/>
        <v/>
      </c>
      <c r="AO19" s="1142" t="str">
        <f t="shared" si="34"/>
        <v/>
      </c>
      <c r="AP19" s="1141" t="str">
        <f t="shared" si="35"/>
        <v/>
      </c>
      <c r="AQ19" s="1623" t="str">
        <f t="shared" si="36"/>
        <v/>
      </c>
      <c r="AR19" s="1137" t="str">
        <f t="shared" si="37"/>
        <v/>
      </c>
      <c r="AS19" s="1138" t="str">
        <f t="shared" si="38"/>
        <v/>
      </c>
      <c r="AT19" s="1624" t="str">
        <f t="shared" si="39"/>
        <v/>
      </c>
      <c r="AU19" s="1625" t="str">
        <f t="shared" si="40"/>
        <v/>
      </c>
      <c r="AV19" s="1143" t="str">
        <f t="shared" si="41"/>
        <v/>
      </c>
      <c r="AW19" s="1138" t="str">
        <f t="shared" si="42"/>
        <v/>
      </c>
      <c r="AX19" s="1624" t="str">
        <f t="shared" si="43"/>
        <v/>
      </c>
      <c r="AY19" s="1625" t="str">
        <f t="shared" si="44"/>
        <v/>
      </c>
      <c r="AZ19" s="1143" t="str">
        <f t="shared" si="45"/>
        <v/>
      </c>
      <c r="BA19" s="1138" t="str">
        <f t="shared" si="46"/>
        <v/>
      </c>
      <c r="BB19" s="1624" t="str">
        <f t="shared" si="47"/>
        <v/>
      </c>
      <c r="BC19" s="1625" t="str">
        <f t="shared" si="48"/>
        <v/>
      </c>
      <c r="BD19" s="1143" t="str">
        <f t="shared" si="49"/>
        <v/>
      </c>
      <c r="BE19" s="1138" t="str">
        <f t="shared" si="50"/>
        <v/>
      </c>
      <c r="BF19" s="1624" t="str">
        <f t="shared" si="51"/>
        <v/>
      </c>
      <c r="BG19" s="1625" t="str">
        <f t="shared" si="51"/>
        <v/>
      </c>
      <c r="BH19" s="1291"/>
      <c r="BJ19" s="915" t="str">
        <f t="shared" si="94"/>
        <v/>
      </c>
      <c r="BK19" s="913" t="e">
        <f t="shared" si="52"/>
        <v>#REF!</v>
      </c>
      <c r="BL19" s="908" t="b">
        <v>0</v>
      </c>
      <c r="BM19" s="908">
        <f t="shared" si="53"/>
        <v>0</v>
      </c>
      <c r="BN19" s="908">
        <f t="shared" si="54"/>
        <v>0</v>
      </c>
      <c r="BO19" s="908">
        <f t="shared" si="55"/>
        <v>0</v>
      </c>
      <c r="BP19" s="908">
        <f t="shared" si="56"/>
        <v>0</v>
      </c>
      <c r="BQ19" s="908">
        <f t="shared" si="57"/>
        <v>0</v>
      </c>
      <c r="BR19" s="908" t="b">
        <f t="shared" si="58"/>
        <v>1</v>
      </c>
      <c r="BS19" s="1216">
        <f t="shared" si="59"/>
        <v>6</v>
      </c>
      <c r="BT19" s="909" t="str">
        <f t="shared" si="60"/>
        <v>No</v>
      </c>
      <c r="BU19" s="1216">
        <f t="shared" si="61"/>
        <v>6</v>
      </c>
      <c r="BV19" s="909" t="str">
        <f t="shared" si="62"/>
        <v>No</v>
      </c>
      <c r="BW19" s="910">
        <f t="shared" ca="1" si="63"/>
        <v>0</v>
      </c>
      <c r="BX19" s="911" t="str">
        <f t="shared" ca="1" si="64"/>
        <v/>
      </c>
      <c r="BY19" s="911" t="b">
        <f t="shared" ca="1" si="65"/>
        <v>0</v>
      </c>
      <c r="BZ19" s="910" t="e">
        <f t="shared" si="87"/>
        <v>#REF!</v>
      </c>
      <c r="CB19" s="616"/>
      <c r="CC19" s="1567"/>
      <c r="CD19" s="645"/>
      <c r="CE19" s="646"/>
      <c r="CF19" s="647"/>
      <c r="CG19" s="660"/>
      <c r="CH19" s="661"/>
      <c r="CI19" s="662"/>
      <c r="CJ19" s="661"/>
      <c r="CK19" s="662"/>
      <c r="CL19" s="663"/>
      <c r="CM19" s="692"/>
      <c r="CN19" s="687"/>
      <c r="CO19" s="1430"/>
      <c r="CP19" s="839"/>
      <c r="CQ19" s="660"/>
      <c r="CR19" s="661"/>
      <c r="CS19" s="662"/>
      <c r="CT19" s="661"/>
      <c r="CU19" s="662"/>
      <c r="CV19" s="663"/>
      <c r="CW19" s="692"/>
      <c r="CX19" s="687"/>
      <c r="CY19" s="1430"/>
      <c r="CZ19" s="839"/>
      <c r="DA19" s="665"/>
      <c r="DB19" s="648"/>
      <c r="DC19" s="649"/>
      <c r="DD19" s="674"/>
      <c r="DE19" s="675"/>
      <c r="DF19" s="58"/>
      <c r="DG19" s="58"/>
      <c r="DH19" s="616"/>
      <c r="DI19" s="617"/>
      <c r="DJ19" s="638"/>
      <c r="DK19" s="1245"/>
      <c r="DL19" s="618"/>
      <c r="DM19" s="639"/>
      <c r="DN19" s="1248"/>
      <c r="DO19" s="619"/>
      <c r="DP19" s="620"/>
      <c r="DQ19" s="1294"/>
      <c r="DR19" s="621"/>
      <c r="DS19" s="1294"/>
      <c r="DT19" s="1296"/>
      <c r="DU19" s="1297"/>
      <c r="DV19" s="622"/>
      <c r="DW19" s="1250"/>
      <c r="DX19" s="623"/>
      <c r="DY19" s="624"/>
      <c r="DZ19" s="622"/>
      <c r="EA19" s="1250"/>
      <c r="EB19" s="623"/>
      <c r="EC19" s="624"/>
      <c r="ED19" s="622"/>
      <c r="EE19" s="1250"/>
      <c r="EF19" s="623"/>
      <c r="EG19" s="624"/>
      <c r="EH19" s="622"/>
      <c r="EI19" s="1250"/>
      <c r="EJ19" s="623"/>
      <c r="EK19" s="625"/>
      <c r="EL19" s="147"/>
      <c r="EM19" s="1513" t="str">
        <f t="shared" si="66"/>
        <v/>
      </c>
      <c r="EN19" s="1303" t="str">
        <f t="shared" si="67"/>
        <v/>
      </c>
      <c r="EO19" s="1304" t="str">
        <f t="shared" si="68"/>
        <v/>
      </c>
      <c r="EP19" s="1305" t="str">
        <f t="shared" si="69"/>
        <v/>
      </c>
      <c r="EQ19" s="1309" t="str">
        <f t="shared" si="70"/>
        <v/>
      </c>
      <c r="ER19" s="1315" t="str">
        <f t="shared" si="71"/>
        <v/>
      </c>
      <c r="ES19" s="1316" t="str">
        <f t="shared" si="72"/>
        <v/>
      </c>
      <c r="ET19" s="1317" t="str">
        <f t="shared" si="73"/>
        <v/>
      </c>
      <c r="EU19" s="1318" t="str">
        <f t="shared" si="88"/>
        <v/>
      </c>
      <c r="EX19" s="870" t="str">
        <f t="shared" ca="1" si="89"/>
        <v/>
      </c>
      <c r="EY19" s="872" t="str">
        <f t="shared" si="74"/>
        <v/>
      </c>
      <c r="EZ19" s="872" t="str">
        <f t="shared" si="90"/>
        <v/>
      </c>
      <c r="FA19" s="891" t="str">
        <f t="shared" ca="1" si="95"/>
        <v/>
      </c>
      <c r="FB19" s="892" t="str">
        <f t="shared" ca="1" si="91"/>
        <v/>
      </c>
      <c r="FC19" s="892">
        <f t="shared" ca="1" si="75"/>
        <v>0</v>
      </c>
      <c r="FD19" s="892">
        <f t="shared" ca="1" si="76"/>
        <v>0</v>
      </c>
      <c r="FE19" s="892">
        <f t="shared" ca="1" si="77"/>
        <v>0</v>
      </c>
      <c r="FF19" s="892">
        <f t="shared" ca="1" si="92"/>
        <v>0</v>
      </c>
      <c r="FN19" s="703" t="b">
        <v>0</v>
      </c>
      <c r="FO19" s="703" t="b">
        <f t="shared" si="78"/>
        <v>1</v>
      </c>
      <c r="FP19" s="1254" t="b">
        <v>0</v>
      </c>
      <c r="FQ19" s="703" t="b">
        <f t="shared" si="93"/>
        <v>1</v>
      </c>
      <c r="FW19" s="1"/>
      <c r="FX19" s="1"/>
      <c r="FZ19" s="1"/>
      <c r="GA19" s="524" t="str">
        <f t="shared" si="79"/>
        <v/>
      </c>
      <c r="GB19" s="566" t="str">
        <f t="shared" si="80"/>
        <v/>
      </c>
      <c r="GC19" s="568" t="str">
        <f t="shared" si="81"/>
        <v/>
      </c>
      <c r="GD19" s="569" t="str">
        <f t="shared" si="82"/>
        <v/>
      </c>
      <c r="GE19" s="567" t="str">
        <f t="shared" si="83"/>
        <v/>
      </c>
      <c r="GF19" s="525" t="str">
        <f t="shared" si="84"/>
        <v/>
      </c>
      <c r="GG19" s="1056"/>
      <c r="GH19" s="1058"/>
      <c r="GI19" s="1056"/>
      <c r="GJ19" s="1058"/>
      <c r="GK19" s="1523">
        <f t="shared" si="85"/>
        <v>0</v>
      </c>
      <c r="GL19" s="1523" t="e">
        <f t="shared" si="86"/>
        <v>#VALUE!</v>
      </c>
      <c r="GM19" s="1524" t="e">
        <f>IF(ABS(GK19-GL19)&gt;=#REF!,ABS(GK19-GL19),0)</f>
        <v>#VALUE!</v>
      </c>
      <c r="GZ19" s="56"/>
      <c r="HA19" s="1159"/>
      <c r="HB19" s="1160"/>
      <c r="HC19" s="1160"/>
      <c r="HD19" s="1161"/>
      <c r="HE19" s="1162"/>
      <c r="HF19" s="1160"/>
      <c r="HG19" s="1160"/>
      <c r="HH19" s="1160"/>
      <c r="HI19" s="1160"/>
      <c r="HJ19" s="1160"/>
      <c r="HK19" s="1160"/>
      <c r="HL19" s="1160"/>
      <c r="HM19" s="1160"/>
      <c r="HN19" s="1160"/>
      <c r="HO19" s="1160"/>
      <c r="HP19" s="1160"/>
      <c r="HQ19" s="1160"/>
      <c r="HR19" s="1160"/>
      <c r="HS19" s="1160"/>
      <c r="HT19" s="1160"/>
      <c r="HU19" s="1160"/>
      <c r="HV19" s="1160"/>
      <c r="HW19" s="1160"/>
      <c r="HX19" s="1160"/>
      <c r="HY19" s="1164"/>
      <c r="HZ19" s="1164"/>
      <c r="IA19" s="1164"/>
      <c r="IB19" s="1164"/>
      <c r="IC19" s="1164"/>
      <c r="ID19" s="1179"/>
      <c r="IE19" s="1159"/>
      <c r="IF19" s="1160"/>
      <c r="IG19" s="1161"/>
      <c r="IH19" s="1162"/>
      <c r="II19" s="1160"/>
      <c r="IJ19" s="1161"/>
      <c r="IK19" s="1162"/>
      <c r="IL19" s="1160"/>
      <c r="IM19" s="1160"/>
      <c r="IN19" s="1160"/>
      <c r="IO19" s="1160"/>
      <c r="IP19" s="1160"/>
      <c r="IQ19" s="1160"/>
      <c r="IR19" s="1160"/>
      <c r="IS19" s="1161"/>
      <c r="IT19" s="1162"/>
      <c r="IU19" s="1160"/>
      <c r="IV19" s="1160"/>
      <c r="IW19" s="1161"/>
      <c r="IX19" s="1162"/>
      <c r="IY19" s="1160"/>
      <c r="IZ19" s="1160"/>
      <c r="JA19" s="1161"/>
      <c r="JB19" s="1162"/>
      <c r="JC19" s="1160"/>
      <c r="JD19" s="1160"/>
      <c r="JE19" s="1161"/>
      <c r="JF19" s="1162"/>
      <c r="JG19" s="1160"/>
      <c r="JH19" s="1160"/>
      <c r="JI19" s="1160"/>
      <c r="JJ19" s="1163"/>
      <c r="JK19" s="1160"/>
      <c r="JL19" s="1103">
        <f t="shared" ca="1" si="96"/>
        <v>0</v>
      </c>
    </row>
    <row r="20" spans="1:272" ht="12.6" customHeight="1" x14ac:dyDescent="0.25">
      <c r="A20" s="1132" t="str">
        <f t="shared" si="0"/>
        <v/>
      </c>
      <c r="B20" s="1586" t="str">
        <f t="shared" si="1"/>
        <v/>
      </c>
      <c r="C20" s="1133" t="str">
        <f t="shared" si="2"/>
        <v/>
      </c>
      <c r="D20" s="1134" t="str">
        <f t="shared" si="3"/>
        <v/>
      </c>
      <c r="E20" s="1135" t="str">
        <f t="shared" si="4"/>
        <v/>
      </c>
      <c r="F20" s="1136" t="str">
        <f t="shared" si="5"/>
        <v/>
      </c>
      <c r="G20" s="1137" t="str">
        <f t="shared" si="6"/>
        <v/>
      </c>
      <c r="H20" s="1138" t="str">
        <f t="shared" si="7"/>
        <v/>
      </c>
      <c r="I20" s="1139" t="str">
        <f t="shared" si="8"/>
        <v/>
      </c>
      <c r="J20" s="1134" t="str">
        <f t="shared" si="9"/>
        <v/>
      </c>
      <c r="K20" s="1138" t="str">
        <f t="shared" si="10"/>
        <v/>
      </c>
      <c r="L20" s="1140" t="str">
        <f t="shared" si="11"/>
        <v/>
      </c>
      <c r="M20" s="1141" t="str">
        <f t="shared" si="12"/>
        <v/>
      </c>
      <c r="N20" s="1142" t="str">
        <f t="shared" si="12"/>
        <v/>
      </c>
      <c r="O20" s="1137" t="str">
        <f t="shared" si="13"/>
        <v/>
      </c>
      <c r="P20" s="1138" t="str">
        <f t="shared" si="14"/>
        <v/>
      </c>
      <c r="Q20" s="1134" t="str">
        <f t="shared" si="15"/>
        <v/>
      </c>
      <c r="R20" s="1135" t="str">
        <f t="shared" si="16"/>
        <v/>
      </c>
      <c r="S20" s="1143" t="str">
        <f t="shared" si="17"/>
        <v/>
      </c>
      <c r="T20" s="1138" t="str">
        <f t="shared" si="18"/>
        <v/>
      </c>
      <c r="U20" s="1134" t="str">
        <f t="shared" si="19"/>
        <v/>
      </c>
      <c r="V20" s="1138" t="str">
        <f t="shared" si="20"/>
        <v/>
      </c>
      <c r="W20" s="1142">
        <f t="shared" si="21"/>
        <v>0</v>
      </c>
      <c r="X20" s="1144" t="e">
        <f t="shared" si="22"/>
        <v>#REF!</v>
      </c>
      <c r="Y20" s="1145" t="e">
        <f t="shared" si="23"/>
        <v>#REF!</v>
      </c>
      <c r="Z20" s="1587" t="str">
        <f t="shared" si="24"/>
        <v/>
      </c>
      <c r="AA20" s="1152" t="str">
        <f t="shared" si="25"/>
        <v/>
      </c>
      <c r="AB20" s="1132" t="str">
        <f t="shared" si="26"/>
        <v/>
      </c>
      <c r="AC20" s="1139" t="str">
        <f t="shared" si="26"/>
        <v/>
      </c>
      <c r="AD20" s="1134" t="str">
        <f t="shared" ca="1" si="27"/>
        <v/>
      </c>
      <c r="AE20" s="1138" t="str">
        <f t="shared" ca="1" si="28"/>
        <v/>
      </c>
      <c r="AF20" s="1139" t="str">
        <f t="shared" ca="1" si="29"/>
        <v/>
      </c>
      <c r="AG20" s="1134" t="str">
        <f t="shared" ca="1" si="30"/>
        <v/>
      </c>
      <c r="AH20" s="1138" t="str">
        <f t="shared" ca="1" si="31"/>
        <v/>
      </c>
      <c r="AI20" s="1134" t="str">
        <f t="shared" ca="1" si="32"/>
        <v/>
      </c>
      <c r="AJ20" s="1138" t="str">
        <f t="shared" ca="1" si="33"/>
        <v/>
      </c>
      <c r="AK20" s="1619" t="str">
        <f t="shared" si="34"/>
        <v/>
      </c>
      <c r="AL20" s="1620" t="str">
        <f t="shared" si="34"/>
        <v/>
      </c>
      <c r="AM20" s="1621" t="str">
        <f t="shared" si="34"/>
        <v/>
      </c>
      <c r="AN20" s="1139" t="str">
        <f t="shared" si="34"/>
        <v/>
      </c>
      <c r="AO20" s="1142" t="str">
        <f t="shared" si="34"/>
        <v/>
      </c>
      <c r="AP20" s="1141" t="str">
        <f t="shared" si="35"/>
        <v/>
      </c>
      <c r="AQ20" s="1623" t="str">
        <f t="shared" si="36"/>
        <v/>
      </c>
      <c r="AR20" s="1137" t="str">
        <f t="shared" si="37"/>
        <v/>
      </c>
      <c r="AS20" s="1138" t="str">
        <f t="shared" si="38"/>
        <v/>
      </c>
      <c r="AT20" s="1624" t="str">
        <f t="shared" si="39"/>
        <v/>
      </c>
      <c r="AU20" s="1625" t="str">
        <f t="shared" si="40"/>
        <v/>
      </c>
      <c r="AV20" s="1143" t="str">
        <f t="shared" si="41"/>
        <v/>
      </c>
      <c r="AW20" s="1138" t="str">
        <f t="shared" si="42"/>
        <v/>
      </c>
      <c r="AX20" s="1624" t="str">
        <f t="shared" si="43"/>
        <v/>
      </c>
      <c r="AY20" s="1625" t="str">
        <f t="shared" si="44"/>
        <v/>
      </c>
      <c r="AZ20" s="1143" t="str">
        <f t="shared" si="45"/>
        <v/>
      </c>
      <c r="BA20" s="1138" t="str">
        <f t="shared" si="46"/>
        <v/>
      </c>
      <c r="BB20" s="1624" t="str">
        <f t="shared" si="47"/>
        <v/>
      </c>
      <c r="BC20" s="1625" t="str">
        <f t="shared" si="48"/>
        <v/>
      </c>
      <c r="BD20" s="1143" t="str">
        <f t="shared" si="49"/>
        <v/>
      </c>
      <c r="BE20" s="1138" t="str">
        <f t="shared" si="50"/>
        <v/>
      </c>
      <c r="BF20" s="1624" t="str">
        <f t="shared" si="51"/>
        <v/>
      </c>
      <c r="BG20" s="1625" t="str">
        <f t="shared" si="51"/>
        <v/>
      </c>
      <c r="BH20" s="1291"/>
      <c r="BJ20" s="915" t="str">
        <f t="shared" si="94"/>
        <v/>
      </c>
      <c r="BK20" s="913" t="e">
        <f t="shared" si="52"/>
        <v>#REF!</v>
      </c>
      <c r="BL20" s="908" t="b">
        <v>0</v>
      </c>
      <c r="BM20" s="908">
        <f t="shared" si="53"/>
        <v>0</v>
      </c>
      <c r="BN20" s="908">
        <f t="shared" si="54"/>
        <v>0</v>
      </c>
      <c r="BO20" s="908">
        <f t="shared" si="55"/>
        <v>0</v>
      </c>
      <c r="BP20" s="908">
        <f t="shared" si="56"/>
        <v>0</v>
      </c>
      <c r="BQ20" s="908">
        <f t="shared" si="57"/>
        <v>0</v>
      </c>
      <c r="BR20" s="908" t="b">
        <f t="shared" si="58"/>
        <v>1</v>
      </c>
      <c r="BS20" s="1216">
        <f t="shared" si="59"/>
        <v>6</v>
      </c>
      <c r="BT20" s="909" t="str">
        <f t="shared" si="60"/>
        <v>No</v>
      </c>
      <c r="BU20" s="1216">
        <f t="shared" si="61"/>
        <v>6</v>
      </c>
      <c r="BV20" s="909" t="str">
        <f t="shared" si="62"/>
        <v>No</v>
      </c>
      <c r="BW20" s="910">
        <f t="shared" ca="1" si="63"/>
        <v>0</v>
      </c>
      <c r="BX20" s="911" t="str">
        <f t="shared" ca="1" si="64"/>
        <v/>
      </c>
      <c r="BY20" s="911" t="b">
        <f t="shared" ca="1" si="65"/>
        <v>0</v>
      </c>
      <c r="BZ20" s="910" t="e">
        <f t="shared" si="87"/>
        <v>#REF!</v>
      </c>
      <c r="CB20" s="616"/>
      <c r="CC20" s="1567"/>
      <c r="CD20" s="645"/>
      <c r="CE20" s="646"/>
      <c r="CF20" s="647"/>
      <c r="CG20" s="660"/>
      <c r="CH20" s="661"/>
      <c r="CI20" s="662"/>
      <c r="CJ20" s="661"/>
      <c r="CK20" s="662"/>
      <c r="CL20" s="663"/>
      <c r="CM20" s="692"/>
      <c r="CN20" s="687"/>
      <c r="CO20" s="1430"/>
      <c r="CP20" s="839"/>
      <c r="CQ20" s="660"/>
      <c r="CR20" s="661"/>
      <c r="CS20" s="662"/>
      <c r="CT20" s="661"/>
      <c r="CU20" s="662"/>
      <c r="CV20" s="663"/>
      <c r="CW20" s="692"/>
      <c r="CX20" s="687"/>
      <c r="CY20" s="1430"/>
      <c r="CZ20" s="839"/>
      <c r="DA20" s="665"/>
      <c r="DB20" s="648"/>
      <c r="DC20" s="649"/>
      <c r="DD20" s="674"/>
      <c r="DE20" s="675"/>
      <c r="DF20" s="58"/>
      <c r="DG20" s="58"/>
      <c r="DH20" s="616"/>
      <c r="DI20" s="617"/>
      <c r="DJ20" s="638"/>
      <c r="DK20" s="1245"/>
      <c r="DL20" s="618"/>
      <c r="DM20" s="639"/>
      <c r="DN20" s="1248"/>
      <c r="DO20" s="619"/>
      <c r="DP20" s="620"/>
      <c r="DQ20" s="1294"/>
      <c r="DR20" s="621"/>
      <c r="DS20" s="1294"/>
      <c r="DT20" s="1296"/>
      <c r="DU20" s="1297"/>
      <c r="DV20" s="622"/>
      <c r="DW20" s="1250"/>
      <c r="DX20" s="623"/>
      <c r="DY20" s="624"/>
      <c r="DZ20" s="622"/>
      <c r="EA20" s="1250"/>
      <c r="EB20" s="623"/>
      <c r="EC20" s="624"/>
      <c r="ED20" s="622"/>
      <c r="EE20" s="1250"/>
      <c r="EF20" s="623"/>
      <c r="EG20" s="624"/>
      <c r="EH20" s="622"/>
      <c r="EI20" s="1250"/>
      <c r="EJ20" s="623"/>
      <c r="EK20" s="625"/>
      <c r="EL20" s="147"/>
      <c r="EM20" s="1513" t="str">
        <f t="shared" si="66"/>
        <v/>
      </c>
      <c r="EN20" s="1303" t="str">
        <f t="shared" si="67"/>
        <v/>
      </c>
      <c r="EO20" s="1304" t="str">
        <f t="shared" si="68"/>
        <v/>
      </c>
      <c r="EP20" s="1305" t="str">
        <f t="shared" si="69"/>
        <v/>
      </c>
      <c r="EQ20" s="1309" t="str">
        <f t="shared" si="70"/>
        <v/>
      </c>
      <c r="ER20" s="1315" t="str">
        <f t="shared" si="71"/>
        <v/>
      </c>
      <c r="ES20" s="1316" t="str">
        <f t="shared" si="72"/>
        <v/>
      </c>
      <c r="ET20" s="1317" t="str">
        <f t="shared" si="73"/>
        <v/>
      </c>
      <c r="EU20" s="1318" t="str">
        <f t="shared" si="88"/>
        <v/>
      </c>
      <c r="EX20" s="870" t="str">
        <f t="shared" ca="1" si="89"/>
        <v/>
      </c>
      <c r="EY20" s="872" t="str">
        <f t="shared" si="74"/>
        <v/>
      </c>
      <c r="EZ20" s="872" t="str">
        <f t="shared" si="90"/>
        <v/>
      </c>
      <c r="FA20" s="891" t="str">
        <f t="shared" ca="1" si="95"/>
        <v/>
      </c>
      <c r="FB20" s="892" t="str">
        <f t="shared" ca="1" si="91"/>
        <v/>
      </c>
      <c r="FC20" s="892">
        <f t="shared" ca="1" si="75"/>
        <v>0</v>
      </c>
      <c r="FD20" s="892">
        <f t="shared" ca="1" si="76"/>
        <v>0</v>
      </c>
      <c r="FE20" s="892">
        <f t="shared" ca="1" si="77"/>
        <v>0</v>
      </c>
      <c r="FF20" s="892">
        <f t="shared" ca="1" si="92"/>
        <v>0</v>
      </c>
      <c r="FN20" s="703" t="b">
        <v>0</v>
      </c>
      <c r="FO20" s="703" t="b">
        <f t="shared" si="78"/>
        <v>1</v>
      </c>
      <c r="FP20" s="1254" t="b">
        <v>0</v>
      </c>
      <c r="FQ20" s="703" t="b">
        <f t="shared" si="93"/>
        <v>1</v>
      </c>
      <c r="FW20" s="1"/>
      <c r="FX20" s="1"/>
      <c r="FZ20" s="1"/>
      <c r="GA20" s="524" t="str">
        <f t="shared" si="79"/>
        <v/>
      </c>
      <c r="GB20" s="566" t="str">
        <f t="shared" si="80"/>
        <v/>
      </c>
      <c r="GC20" s="568" t="str">
        <f t="shared" si="81"/>
        <v/>
      </c>
      <c r="GD20" s="569" t="str">
        <f t="shared" si="82"/>
        <v/>
      </c>
      <c r="GE20" s="567" t="str">
        <f t="shared" si="83"/>
        <v/>
      </c>
      <c r="GF20" s="525" t="str">
        <f t="shared" si="84"/>
        <v/>
      </c>
      <c r="GG20" s="1056"/>
      <c r="GH20" s="1058"/>
      <c r="GI20" s="1056"/>
      <c r="GJ20" s="1058"/>
      <c r="GK20" s="1523">
        <f t="shared" si="85"/>
        <v>0</v>
      </c>
      <c r="GL20" s="1523" t="e">
        <f t="shared" si="86"/>
        <v>#VALUE!</v>
      </c>
      <c r="GM20" s="1524" t="e">
        <f>IF(ABS(GK20-GL20)&gt;=#REF!,ABS(GK20-GL20),0)</f>
        <v>#VALUE!</v>
      </c>
      <c r="GZ20" s="56"/>
      <c r="HA20" s="1159"/>
      <c r="HB20" s="1160"/>
      <c r="HC20" s="1160"/>
      <c r="HD20" s="1161"/>
      <c r="HE20" s="1162"/>
      <c r="HF20" s="1160"/>
      <c r="HG20" s="1160"/>
      <c r="HH20" s="1160"/>
      <c r="HI20" s="1160"/>
      <c r="HJ20" s="1160"/>
      <c r="HK20" s="1160"/>
      <c r="HL20" s="1160"/>
      <c r="HM20" s="1160"/>
      <c r="HN20" s="1160"/>
      <c r="HO20" s="1160"/>
      <c r="HP20" s="1160"/>
      <c r="HQ20" s="1160"/>
      <c r="HR20" s="1160"/>
      <c r="HS20" s="1160"/>
      <c r="HT20" s="1160"/>
      <c r="HU20" s="1160"/>
      <c r="HV20" s="1160"/>
      <c r="HW20" s="1160"/>
      <c r="HX20" s="1160"/>
      <c r="HY20" s="1164"/>
      <c r="HZ20" s="1164"/>
      <c r="IA20" s="1164"/>
      <c r="IB20" s="1164"/>
      <c r="IC20" s="1164"/>
      <c r="ID20" s="1179"/>
      <c r="IE20" s="1159"/>
      <c r="IF20" s="1160"/>
      <c r="IG20" s="1161"/>
      <c r="IH20" s="1162"/>
      <c r="II20" s="1160"/>
      <c r="IJ20" s="1161"/>
      <c r="IK20" s="1162"/>
      <c r="IL20" s="1160"/>
      <c r="IM20" s="1160"/>
      <c r="IN20" s="1160"/>
      <c r="IO20" s="1160"/>
      <c r="IP20" s="1160"/>
      <c r="IQ20" s="1160"/>
      <c r="IR20" s="1160"/>
      <c r="IS20" s="1161"/>
      <c r="IT20" s="1162"/>
      <c r="IU20" s="1160"/>
      <c r="IV20" s="1160"/>
      <c r="IW20" s="1161"/>
      <c r="IX20" s="1162"/>
      <c r="IY20" s="1160"/>
      <c r="IZ20" s="1160"/>
      <c r="JA20" s="1161"/>
      <c r="JB20" s="1162"/>
      <c r="JC20" s="1160"/>
      <c r="JD20" s="1160"/>
      <c r="JE20" s="1161"/>
      <c r="JF20" s="1162"/>
      <c r="JG20" s="1160"/>
      <c r="JH20" s="1160"/>
      <c r="JI20" s="1160"/>
      <c r="JJ20" s="1163"/>
      <c r="JK20" s="1160"/>
      <c r="JL20" s="1103">
        <f t="shared" ca="1" si="96"/>
        <v>0</v>
      </c>
    </row>
    <row r="21" spans="1:272" ht="12.6" customHeight="1" x14ac:dyDescent="0.25">
      <c r="A21" s="1132" t="str">
        <f t="shared" si="0"/>
        <v/>
      </c>
      <c r="B21" s="1586" t="str">
        <f t="shared" si="1"/>
        <v/>
      </c>
      <c r="C21" s="1133" t="str">
        <f t="shared" si="2"/>
        <v/>
      </c>
      <c r="D21" s="1134" t="str">
        <f t="shared" si="3"/>
        <v/>
      </c>
      <c r="E21" s="1135" t="str">
        <f t="shared" si="4"/>
        <v/>
      </c>
      <c r="F21" s="1136" t="str">
        <f t="shared" si="5"/>
        <v/>
      </c>
      <c r="G21" s="1137" t="str">
        <f t="shared" si="6"/>
        <v/>
      </c>
      <c r="H21" s="1138" t="str">
        <f t="shared" si="7"/>
        <v/>
      </c>
      <c r="I21" s="1139" t="str">
        <f t="shared" si="8"/>
        <v/>
      </c>
      <c r="J21" s="1134" t="str">
        <f t="shared" si="9"/>
        <v/>
      </c>
      <c r="K21" s="1138" t="str">
        <f t="shared" si="10"/>
        <v/>
      </c>
      <c r="L21" s="1140" t="str">
        <f t="shared" si="11"/>
        <v/>
      </c>
      <c r="M21" s="1141" t="str">
        <f t="shared" si="12"/>
        <v/>
      </c>
      <c r="N21" s="1142" t="str">
        <f t="shared" si="12"/>
        <v/>
      </c>
      <c r="O21" s="1137" t="str">
        <f t="shared" si="13"/>
        <v/>
      </c>
      <c r="P21" s="1138" t="str">
        <f t="shared" si="14"/>
        <v/>
      </c>
      <c r="Q21" s="1134" t="str">
        <f t="shared" si="15"/>
        <v/>
      </c>
      <c r="R21" s="1135" t="str">
        <f t="shared" si="16"/>
        <v/>
      </c>
      <c r="S21" s="1143" t="str">
        <f t="shared" si="17"/>
        <v/>
      </c>
      <c r="T21" s="1138" t="str">
        <f t="shared" si="18"/>
        <v/>
      </c>
      <c r="U21" s="1134" t="str">
        <f t="shared" si="19"/>
        <v/>
      </c>
      <c r="V21" s="1138" t="str">
        <f t="shared" si="20"/>
        <v/>
      </c>
      <c r="W21" s="1142">
        <f t="shared" si="21"/>
        <v>0</v>
      </c>
      <c r="X21" s="1144" t="e">
        <f t="shared" si="22"/>
        <v>#REF!</v>
      </c>
      <c r="Y21" s="1145" t="e">
        <f t="shared" si="23"/>
        <v>#REF!</v>
      </c>
      <c r="Z21" s="1587" t="str">
        <f t="shared" si="24"/>
        <v/>
      </c>
      <c r="AA21" s="1152" t="str">
        <f t="shared" si="25"/>
        <v/>
      </c>
      <c r="AB21" s="1132" t="str">
        <f t="shared" si="26"/>
        <v/>
      </c>
      <c r="AC21" s="1139" t="str">
        <f t="shared" si="26"/>
        <v/>
      </c>
      <c r="AD21" s="1134" t="str">
        <f t="shared" ca="1" si="27"/>
        <v/>
      </c>
      <c r="AE21" s="1138" t="str">
        <f t="shared" ca="1" si="28"/>
        <v/>
      </c>
      <c r="AF21" s="1139" t="str">
        <f t="shared" ca="1" si="29"/>
        <v/>
      </c>
      <c r="AG21" s="1134" t="str">
        <f t="shared" ca="1" si="30"/>
        <v/>
      </c>
      <c r="AH21" s="1138" t="str">
        <f t="shared" ca="1" si="31"/>
        <v/>
      </c>
      <c r="AI21" s="1134" t="str">
        <f t="shared" ca="1" si="32"/>
        <v/>
      </c>
      <c r="AJ21" s="1138" t="str">
        <f t="shared" ca="1" si="33"/>
        <v/>
      </c>
      <c r="AK21" s="1619" t="str">
        <f t="shared" si="34"/>
        <v/>
      </c>
      <c r="AL21" s="1620" t="str">
        <f t="shared" si="34"/>
        <v/>
      </c>
      <c r="AM21" s="1621" t="str">
        <f t="shared" si="34"/>
        <v/>
      </c>
      <c r="AN21" s="1139" t="str">
        <f t="shared" si="34"/>
        <v/>
      </c>
      <c r="AO21" s="1142" t="str">
        <f t="shared" si="34"/>
        <v/>
      </c>
      <c r="AP21" s="1141" t="str">
        <f t="shared" si="35"/>
        <v/>
      </c>
      <c r="AQ21" s="1623" t="str">
        <f t="shared" si="36"/>
        <v/>
      </c>
      <c r="AR21" s="1137" t="str">
        <f t="shared" si="37"/>
        <v/>
      </c>
      <c r="AS21" s="1138" t="str">
        <f t="shared" si="38"/>
        <v/>
      </c>
      <c r="AT21" s="1624" t="str">
        <f t="shared" si="39"/>
        <v/>
      </c>
      <c r="AU21" s="1625" t="str">
        <f t="shared" si="40"/>
        <v/>
      </c>
      <c r="AV21" s="1143" t="str">
        <f t="shared" si="41"/>
        <v/>
      </c>
      <c r="AW21" s="1138" t="str">
        <f t="shared" si="42"/>
        <v/>
      </c>
      <c r="AX21" s="1624" t="str">
        <f t="shared" si="43"/>
        <v/>
      </c>
      <c r="AY21" s="1625" t="str">
        <f t="shared" si="44"/>
        <v/>
      </c>
      <c r="AZ21" s="1143" t="str">
        <f t="shared" si="45"/>
        <v/>
      </c>
      <c r="BA21" s="1138" t="str">
        <f t="shared" si="46"/>
        <v/>
      </c>
      <c r="BB21" s="1624" t="str">
        <f t="shared" si="47"/>
        <v/>
      </c>
      <c r="BC21" s="1625" t="str">
        <f t="shared" si="48"/>
        <v/>
      </c>
      <c r="BD21" s="1143" t="str">
        <f t="shared" si="49"/>
        <v/>
      </c>
      <c r="BE21" s="1138" t="str">
        <f t="shared" si="50"/>
        <v/>
      </c>
      <c r="BF21" s="1624" t="str">
        <f t="shared" si="51"/>
        <v/>
      </c>
      <c r="BG21" s="1625" t="str">
        <f t="shared" si="51"/>
        <v/>
      </c>
      <c r="BH21" s="1291"/>
      <c r="BJ21" s="915" t="str">
        <f t="shared" si="94"/>
        <v/>
      </c>
      <c r="BK21" s="913" t="e">
        <f t="shared" si="52"/>
        <v>#REF!</v>
      </c>
      <c r="BL21" s="908" t="b">
        <v>0</v>
      </c>
      <c r="BM21" s="908">
        <f t="shared" si="53"/>
        <v>0</v>
      </c>
      <c r="BN21" s="908">
        <f t="shared" si="54"/>
        <v>0</v>
      </c>
      <c r="BO21" s="908">
        <f t="shared" si="55"/>
        <v>0</v>
      </c>
      <c r="BP21" s="908">
        <f t="shared" si="56"/>
        <v>0</v>
      </c>
      <c r="BQ21" s="908">
        <f t="shared" si="57"/>
        <v>0</v>
      </c>
      <c r="BR21" s="908" t="b">
        <f t="shared" si="58"/>
        <v>1</v>
      </c>
      <c r="BS21" s="1216">
        <f t="shared" si="59"/>
        <v>6</v>
      </c>
      <c r="BT21" s="909" t="str">
        <f t="shared" si="60"/>
        <v>No</v>
      </c>
      <c r="BU21" s="1216">
        <f t="shared" si="61"/>
        <v>6</v>
      </c>
      <c r="BV21" s="909" t="str">
        <f t="shared" si="62"/>
        <v>No</v>
      </c>
      <c r="BW21" s="910">
        <f t="shared" ca="1" si="63"/>
        <v>0</v>
      </c>
      <c r="BX21" s="911" t="str">
        <f t="shared" ca="1" si="64"/>
        <v/>
      </c>
      <c r="BY21" s="911" t="b">
        <f t="shared" ca="1" si="65"/>
        <v>0</v>
      </c>
      <c r="BZ21" s="910" t="e">
        <f t="shared" si="87"/>
        <v>#REF!</v>
      </c>
      <c r="CB21" s="616"/>
      <c r="CC21" s="1567"/>
      <c r="CD21" s="645"/>
      <c r="CE21" s="646"/>
      <c r="CF21" s="647"/>
      <c r="CG21" s="660"/>
      <c r="CH21" s="661"/>
      <c r="CI21" s="662"/>
      <c r="CJ21" s="661"/>
      <c r="CK21" s="662"/>
      <c r="CL21" s="663"/>
      <c r="CM21" s="692"/>
      <c r="CN21" s="687"/>
      <c r="CO21" s="1430"/>
      <c r="CP21" s="839"/>
      <c r="CQ21" s="660"/>
      <c r="CR21" s="661"/>
      <c r="CS21" s="662"/>
      <c r="CT21" s="661"/>
      <c r="CU21" s="662"/>
      <c r="CV21" s="663"/>
      <c r="CW21" s="692"/>
      <c r="CX21" s="687"/>
      <c r="CY21" s="1430"/>
      <c r="CZ21" s="839"/>
      <c r="DA21" s="665"/>
      <c r="DB21" s="648"/>
      <c r="DC21" s="649"/>
      <c r="DD21" s="674"/>
      <c r="DE21" s="675"/>
      <c r="DF21" s="58"/>
      <c r="DG21" s="58"/>
      <c r="DH21" s="616"/>
      <c r="DI21" s="617"/>
      <c r="DJ21" s="638"/>
      <c r="DK21" s="1245"/>
      <c r="DL21" s="618"/>
      <c r="DM21" s="639"/>
      <c r="DN21" s="1248"/>
      <c r="DO21" s="619"/>
      <c r="DP21" s="620"/>
      <c r="DQ21" s="1294"/>
      <c r="DR21" s="621"/>
      <c r="DS21" s="1294"/>
      <c r="DT21" s="1296"/>
      <c r="DU21" s="1297"/>
      <c r="DV21" s="622"/>
      <c r="DW21" s="1250"/>
      <c r="DX21" s="623"/>
      <c r="DY21" s="624"/>
      <c r="DZ21" s="622"/>
      <c r="EA21" s="1250"/>
      <c r="EB21" s="623"/>
      <c r="EC21" s="624"/>
      <c r="ED21" s="622"/>
      <c r="EE21" s="1250"/>
      <c r="EF21" s="623"/>
      <c r="EG21" s="624"/>
      <c r="EH21" s="622"/>
      <c r="EI21" s="1250"/>
      <c r="EJ21" s="623"/>
      <c r="EK21" s="625"/>
      <c r="EL21" s="147"/>
      <c r="EM21" s="1513" t="str">
        <f t="shared" si="66"/>
        <v/>
      </c>
      <c r="EN21" s="1303" t="str">
        <f t="shared" si="67"/>
        <v/>
      </c>
      <c r="EO21" s="1304" t="str">
        <f t="shared" si="68"/>
        <v/>
      </c>
      <c r="EP21" s="1305" t="str">
        <f t="shared" si="69"/>
        <v/>
      </c>
      <c r="EQ21" s="1309" t="str">
        <f t="shared" si="70"/>
        <v/>
      </c>
      <c r="ER21" s="1315" t="str">
        <f t="shared" si="71"/>
        <v/>
      </c>
      <c r="ES21" s="1316" t="str">
        <f t="shared" si="72"/>
        <v/>
      </c>
      <c r="ET21" s="1317" t="str">
        <f t="shared" si="73"/>
        <v/>
      </c>
      <c r="EU21" s="1318" t="str">
        <f t="shared" si="88"/>
        <v/>
      </c>
      <c r="EX21" s="870" t="str">
        <f t="shared" ca="1" si="89"/>
        <v/>
      </c>
      <c r="EY21" s="872" t="str">
        <f t="shared" si="74"/>
        <v/>
      </c>
      <c r="EZ21" s="872" t="str">
        <f t="shared" si="90"/>
        <v/>
      </c>
      <c r="FA21" s="891" t="str">
        <f t="shared" ca="1" si="95"/>
        <v/>
      </c>
      <c r="FB21" s="892" t="str">
        <f t="shared" ca="1" si="91"/>
        <v/>
      </c>
      <c r="FC21" s="892">
        <f t="shared" ca="1" si="75"/>
        <v>0</v>
      </c>
      <c r="FD21" s="892">
        <f t="shared" ca="1" si="76"/>
        <v>0</v>
      </c>
      <c r="FE21" s="892">
        <f t="shared" ca="1" si="77"/>
        <v>0</v>
      </c>
      <c r="FF21" s="892">
        <f t="shared" ca="1" si="92"/>
        <v>0</v>
      </c>
      <c r="FN21" s="703" t="b">
        <v>0</v>
      </c>
      <c r="FO21" s="703" t="b">
        <f t="shared" si="78"/>
        <v>1</v>
      </c>
      <c r="FP21" s="703" t="b">
        <v>0</v>
      </c>
      <c r="FQ21" s="703" t="b">
        <f t="shared" si="93"/>
        <v>1</v>
      </c>
      <c r="FW21" s="8"/>
      <c r="FX21" s="8"/>
      <c r="FZ21" s="8"/>
      <c r="GA21" s="524" t="str">
        <f t="shared" si="79"/>
        <v/>
      </c>
      <c r="GB21" s="566" t="str">
        <f t="shared" si="80"/>
        <v/>
      </c>
      <c r="GC21" s="568" t="str">
        <f t="shared" si="81"/>
        <v/>
      </c>
      <c r="GD21" s="569" t="str">
        <f t="shared" si="82"/>
        <v/>
      </c>
      <c r="GE21" s="567" t="str">
        <f t="shared" si="83"/>
        <v/>
      </c>
      <c r="GF21" s="525" t="str">
        <f t="shared" si="84"/>
        <v/>
      </c>
      <c r="GG21" s="1056"/>
      <c r="GH21" s="1058"/>
      <c r="GI21" s="1056"/>
      <c r="GJ21" s="1058"/>
      <c r="GK21" s="1523">
        <f t="shared" si="85"/>
        <v>0</v>
      </c>
      <c r="GL21" s="1523" t="e">
        <f t="shared" si="86"/>
        <v>#VALUE!</v>
      </c>
      <c r="GM21" s="1524" t="e">
        <f>IF(ABS(GK21-GL21)&gt;=#REF!,ABS(GK21-GL21),0)</f>
        <v>#VALUE!</v>
      </c>
      <c r="HA21" s="1159"/>
      <c r="HB21" s="1160"/>
      <c r="HC21" s="1160"/>
      <c r="HD21" s="1161"/>
      <c r="HE21" s="1162"/>
      <c r="HF21" s="1160"/>
      <c r="HG21" s="1160"/>
      <c r="HH21" s="1160"/>
      <c r="HI21" s="1160"/>
      <c r="HJ21" s="1160"/>
      <c r="HK21" s="1160"/>
      <c r="HL21" s="1160"/>
      <c r="HM21" s="1160"/>
      <c r="HN21" s="1160"/>
      <c r="HO21" s="1160"/>
      <c r="HP21" s="1160"/>
      <c r="HQ21" s="1160"/>
      <c r="HR21" s="1160"/>
      <c r="HS21" s="1160"/>
      <c r="HT21" s="1160"/>
      <c r="HU21" s="1160"/>
      <c r="HV21" s="1160"/>
      <c r="HW21" s="1160"/>
      <c r="HX21" s="1160"/>
      <c r="HY21" s="1164"/>
      <c r="HZ21" s="1164"/>
      <c r="IA21" s="1164"/>
      <c r="IB21" s="1164"/>
      <c r="IC21" s="1164"/>
      <c r="ID21" s="1179"/>
      <c r="IE21" s="1159"/>
      <c r="IF21" s="1160"/>
      <c r="IG21" s="1161"/>
      <c r="IH21" s="1162"/>
      <c r="II21" s="1160"/>
      <c r="IJ21" s="1161"/>
      <c r="IK21" s="1162"/>
      <c r="IL21" s="1160"/>
      <c r="IM21" s="1160"/>
      <c r="IN21" s="1160"/>
      <c r="IO21" s="1160"/>
      <c r="IP21" s="1160"/>
      <c r="IQ21" s="1160"/>
      <c r="IR21" s="1160"/>
      <c r="IS21" s="1161"/>
      <c r="IT21" s="1162"/>
      <c r="IU21" s="1160"/>
      <c r="IV21" s="1160"/>
      <c r="IW21" s="1161"/>
      <c r="IX21" s="1162"/>
      <c r="IY21" s="1160"/>
      <c r="IZ21" s="1160"/>
      <c r="JA21" s="1161"/>
      <c r="JB21" s="1162"/>
      <c r="JC21" s="1160"/>
      <c r="JD21" s="1160"/>
      <c r="JE21" s="1161"/>
      <c r="JF21" s="1162"/>
      <c r="JG21" s="1160"/>
      <c r="JH21" s="1160"/>
      <c r="JI21" s="1160"/>
      <c r="JJ21" s="1163"/>
      <c r="JK21" s="1160"/>
      <c r="JL21" s="1103">
        <f t="shared" ca="1" si="96"/>
        <v>0</v>
      </c>
    </row>
    <row r="22" spans="1:272" ht="12.6" customHeight="1" x14ac:dyDescent="0.25">
      <c r="A22" s="1132" t="str">
        <f t="shared" si="0"/>
        <v/>
      </c>
      <c r="B22" s="1586" t="str">
        <f t="shared" si="1"/>
        <v/>
      </c>
      <c r="C22" s="1133" t="str">
        <f t="shared" si="2"/>
        <v/>
      </c>
      <c r="D22" s="1134" t="str">
        <f t="shared" si="3"/>
        <v/>
      </c>
      <c r="E22" s="1135" t="str">
        <f t="shared" si="4"/>
        <v/>
      </c>
      <c r="F22" s="1136" t="str">
        <f t="shared" si="5"/>
        <v/>
      </c>
      <c r="G22" s="1137" t="str">
        <f t="shared" si="6"/>
        <v/>
      </c>
      <c r="H22" s="1138" t="str">
        <f t="shared" si="7"/>
        <v/>
      </c>
      <c r="I22" s="1139" t="str">
        <f t="shared" si="8"/>
        <v/>
      </c>
      <c r="J22" s="1134" t="str">
        <f t="shared" si="9"/>
        <v/>
      </c>
      <c r="K22" s="1138" t="str">
        <f t="shared" si="10"/>
        <v/>
      </c>
      <c r="L22" s="1140" t="str">
        <f t="shared" si="11"/>
        <v/>
      </c>
      <c r="M22" s="1141" t="str">
        <f t="shared" si="12"/>
        <v/>
      </c>
      <c r="N22" s="1142" t="str">
        <f t="shared" si="12"/>
        <v/>
      </c>
      <c r="O22" s="1137" t="str">
        <f t="shared" si="13"/>
        <v/>
      </c>
      <c r="P22" s="1138" t="str">
        <f t="shared" si="14"/>
        <v/>
      </c>
      <c r="Q22" s="1134" t="str">
        <f t="shared" si="15"/>
        <v/>
      </c>
      <c r="R22" s="1135" t="str">
        <f t="shared" si="16"/>
        <v/>
      </c>
      <c r="S22" s="1143" t="str">
        <f t="shared" si="17"/>
        <v/>
      </c>
      <c r="T22" s="1138" t="str">
        <f t="shared" si="18"/>
        <v/>
      </c>
      <c r="U22" s="1134" t="str">
        <f t="shared" si="19"/>
        <v/>
      </c>
      <c r="V22" s="1138" t="str">
        <f t="shared" si="20"/>
        <v/>
      </c>
      <c r="W22" s="1142">
        <f t="shared" si="21"/>
        <v>0</v>
      </c>
      <c r="X22" s="1144" t="e">
        <f t="shared" si="22"/>
        <v>#REF!</v>
      </c>
      <c r="Y22" s="1145" t="e">
        <f t="shared" si="23"/>
        <v>#REF!</v>
      </c>
      <c r="Z22" s="1587" t="str">
        <f t="shared" si="24"/>
        <v/>
      </c>
      <c r="AA22" s="1152" t="str">
        <f t="shared" si="25"/>
        <v/>
      </c>
      <c r="AB22" s="1132" t="str">
        <f t="shared" si="26"/>
        <v/>
      </c>
      <c r="AC22" s="1139" t="str">
        <f t="shared" si="26"/>
        <v/>
      </c>
      <c r="AD22" s="1134" t="str">
        <f t="shared" ca="1" si="27"/>
        <v/>
      </c>
      <c r="AE22" s="1138" t="str">
        <f t="shared" ca="1" si="28"/>
        <v/>
      </c>
      <c r="AF22" s="1139" t="str">
        <f t="shared" ca="1" si="29"/>
        <v/>
      </c>
      <c r="AG22" s="1134" t="str">
        <f t="shared" ca="1" si="30"/>
        <v/>
      </c>
      <c r="AH22" s="1138" t="str">
        <f t="shared" ca="1" si="31"/>
        <v/>
      </c>
      <c r="AI22" s="1134" t="str">
        <f t="shared" ca="1" si="32"/>
        <v/>
      </c>
      <c r="AJ22" s="1138" t="str">
        <f t="shared" ca="1" si="33"/>
        <v/>
      </c>
      <c r="AK22" s="1619" t="str">
        <f t="shared" si="34"/>
        <v/>
      </c>
      <c r="AL22" s="1620" t="str">
        <f t="shared" si="34"/>
        <v/>
      </c>
      <c r="AM22" s="1621" t="str">
        <f t="shared" si="34"/>
        <v/>
      </c>
      <c r="AN22" s="1139" t="str">
        <f t="shared" si="34"/>
        <v/>
      </c>
      <c r="AO22" s="1142" t="str">
        <f t="shared" si="34"/>
        <v/>
      </c>
      <c r="AP22" s="1141" t="str">
        <f t="shared" si="35"/>
        <v/>
      </c>
      <c r="AQ22" s="1623" t="str">
        <f t="shared" si="36"/>
        <v/>
      </c>
      <c r="AR22" s="1137" t="str">
        <f t="shared" si="37"/>
        <v/>
      </c>
      <c r="AS22" s="1138" t="str">
        <f t="shared" si="38"/>
        <v/>
      </c>
      <c r="AT22" s="1624" t="str">
        <f t="shared" si="39"/>
        <v/>
      </c>
      <c r="AU22" s="1625" t="str">
        <f t="shared" si="40"/>
        <v/>
      </c>
      <c r="AV22" s="1143" t="str">
        <f t="shared" si="41"/>
        <v/>
      </c>
      <c r="AW22" s="1138" t="str">
        <f t="shared" si="42"/>
        <v/>
      </c>
      <c r="AX22" s="1624" t="str">
        <f t="shared" si="43"/>
        <v/>
      </c>
      <c r="AY22" s="1625" t="str">
        <f t="shared" si="44"/>
        <v/>
      </c>
      <c r="AZ22" s="1143" t="str">
        <f t="shared" si="45"/>
        <v/>
      </c>
      <c r="BA22" s="1138" t="str">
        <f t="shared" si="46"/>
        <v/>
      </c>
      <c r="BB22" s="1624" t="str">
        <f t="shared" si="47"/>
        <v/>
      </c>
      <c r="BC22" s="1625" t="str">
        <f t="shared" si="48"/>
        <v/>
      </c>
      <c r="BD22" s="1143" t="str">
        <f t="shared" si="49"/>
        <v/>
      </c>
      <c r="BE22" s="1138" t="str">
        <f t="shared" si="50"/>
        <v/>
      </c>
      <c r="BF22" s="1624" t="str">
        <f t="shared" si="51"/>
        <v/>
      </c>
      <c r="BG22" s="1625" t="str">
        <f t="shared" si="51"/>
        <v/>
      </c>
      <c r="BH22" s="1291"/>
      <c r="BJ22" s="915" t="str">
        <f t="shared" si="94"/>
        <v/>
      </c>
      <c r="BK22" s="913" t="e">
        <f t="shared" si="52"/>
        <v>#REF!</v>
      </c>
      <c r="BL22" s="908" t="b">
        <v>0</v>
      </c>
      <c r="BM22" s="908">
        <f t="shared" si="53"/>
        <v>0</v>
      </c>
      <c r="BN22" s="908">
        <f t="shared" si="54"/>
        <v>0</v>
      </c>
      <c r="BO22" s="908">
        <f t="shared" si="55"/>
        <v>0</v>
      </c>
      <c r="BP22" s="908">
        <f t="shared" si="56"/>
        <v>0</v>
      </c>
      <c r="BQ22" s="908">
        <f t="shared" si="57"/>
        <v>0</v>
      </c>
      <c r="BR22" s="908" t="b">
        <f t="shared" si="58"/>
        <v>1</v>
      </c>
      <c r="BS22" s="1216">
        <f t="shared" si="59"/>
        <v>6</v>
      </c>
      <c r="BT22" s="909" t="str">
        <f t="shared" si="60"/>
        <v>No</v>
      </c>
      <c r="BU22" s="1216">
        <f t="shared" si="61"/>
        <v>6</v>
      </c>
      <c r="BV22" s="909" t="str">
        <f t="shared" si="62"/>
        <v>No</v>
      </c>
      <c r="BW22" s="910">
        <f t="shared" ca="1" si="63"/>
        <v>0</v>
      </c>
      <c r="BX22" s="911" t="str">
        <f t="shared" ca="1" si="64"/>
        <v/>
      </c>
      <c r="BY22" s="911" t="b">
        <f t="shared" ca="1" si="65"/>
        <v>0</v>
      </c>
      <c r="BZ22" s="910" t="e">
        <f t="shared" si="87"/>
        <v>#REF!</v>
      </c>
      <c r="CB22" s="616"/>
      <c r="CC22" s="1567"/>
      <c r="CD22" s="645"/>
      <c r="CE22" s="646"/>
      <c r="CF22" s="647"/>
      <c r="CG22" s="660"/>
      <c r="CH22" s="661"/>
      <c r="CI22" s="662"/>
      <c r="CJ22" s="661"/>
      <c r="CK22" s="662"/>
      <c r="CL22" s="663"/>
      <c r="CM22" s="692"/>
      <c r="CN22" s="687"/>
      <c r="CO22" s="1430"/>
      <c r="CP22" s="839"/>
      <c r="CQ22" s="660"/>
      <c r="CR22" s="661"/>
      <c r="CS22" s="662"/>
      <c r="CT22" s="661"/>
      <c r="CU22" s="662"/>
      <c r="CV22" s="663"/>
      <c r="CW22" s="692"/>
      <c r="CX22" s="687"/>
      <c r="CY22" s="1430"/>
      <c r="CZ22" s="839"/>
      <c r="DA22" s="665"/>
      <c r="DB22" s="648"/>
      <c r="DC22" s="649"/>
      <c r="DD22" s="674"/>
      <c r="DE22" s="675"/>
      <c r="DF22" s="58"/>
      <c r="DG22" s="58"/>
      <c r="DH22" s="616"/>
      <c r="DI22" s="617"/>
      <c r="DJ22" s="638"/>
      <c r="DK22" s="1245"/>
      <c r="DL22" s="618"/>
      <c r="DM22" s="639"/>
      <c r="DN22" s="1248"/>
      <c r="DO22" s="619"/>
      <c r="DP22" s="620"/>
      <c r="DQ22" s="1294"/>
      <c r="DR22" s="621"/>
      <c r="DS22" s="1294"/>
      <c r="DT22" s="1296"/>
      <c r="DU22" s="1297"/>
      <c r="DV22" s="622"/>
      <c r="DW22" s="1250"/>
      <c r="DX22" s="623"/>
      <c r="DY22" s="624"/>
      <c r="DZ22" s="622"/>
      <c r="EA22" s="1250"/>
      <c r="EB22" s="623"/>
      <c r="EC22" s="624"/>
      <c r="ED22" s="622"/>
      <c r="EE22" s="1250"/>
      <c r="EF22" s="623"/>
      <c r="EG22" s="624"/>
      <c r="EH22" s="622"/>
      <c r="EI22" s="1250"/>
      <c r="EJ22" s="623"/>
      <c r="EK22" s="625"/>
      <c r="EL22" s="147"/>
      <c r="EM22" s="1513" t="str">
        <f t="shared" si="66"/>
        <v/>
      </c>
      <c r="EN22" s="1303" t="str">
        <f t="shared" si="67"/>
        <v/>
      </c>
      <c r="EO22" s="1304" t="str">
        <f t="shared" si="68"/>
        <v/>
      </c>
      <c r="EP22" s="1305" t="str">
        <f t="shared" si="69"/>
        <v/>
      </c>
      <c r="EQ22" s="1309" t="str">
        <f t="shared" si="70"/>
        <v/>
      </c>
      <c r="ER22" s="1315" t="str">
        <f t="shared" si="71"/>
        <v/>
      </c>
      <c r="ES22" s="1316" t="str">
        <f t="shared" si="72"/>
        <v/>
      </c>
      <c r="ET22" s="1317" t="str">
        <f t="shared" si="73"/>
        <v/>
      </c>
      <c r="EU22" s="1318" t="str">
        <f t="shared" si="88"/>
        <v/>
      </c>
      <c r="EX22" s="870" t="str">
        <f t="shared" ca="1" si="89"/>
        <v/>
      </c>
      <c r="EY22" s="872" t="str">
        <f t="shared" si="74"/>
        <v/>
      </c>
      <c r="EZ22" s="872" t="str">
        <f t="shared" si="90"/>
        <v/>
      </c>
      <c r="FA22" s="891" t="str">
        <f t="shared" ca="1" si="95"/>
        <v/>
      </c>
      <c r="FB22" s="892" t="str">
        <f t="shared" ca="1" si="91"/>
        <v/>
      </c>
      <c r="FC22" s="892">
        <f t="shared" ca="1" si="75"/>
        <v>0</v>
      </c>
      <c r="FD22" s="892">
        <f t="shared" ca="1" si="76"/>
        <v>0</v>
      </c>
      <c r="FE22" s="892">
        <f t="shared" ca="1" si="77"/>
        <v>0</v>
      </c>
      <c r="FF22" s="892">
        <f t="shared" ca="1" si="92"/>
        <v>0</v>
      </c>
      <c r="FN22" s="703" t="b">
        <v>0</v>
      </c>
      <c r="FO22" s="703" t="b">
        <f t="shared" si="78"/>
        <v>1</v>
      </c>
      <c r="FP22" s="703" t="b">
        <v>0</v>
      </c>
      <c r="FQ22" s="703" t="b">
        <f t="shared" si="93"/>
        <v>1</v>
      </c>
      <c r="FW22" s="8"/>
      <c r="FX22" s="8"/>
      <c r="FZ22" s="8"/>
      <c r="GA22" s="524" t="str">
        <f t="shared" si="79"/>
        <v/>
      </c>
      <c r="GB22" s="566" t="str">
        <f t="shared" si="80"/>
        <v/>
      </c>
      <c r="GC22" s="568" t="str">
        <f t="shared" si="81"/>
        <v/>
      </c>
      <c r="GD22" s="569" t="str">
        <f t="shared" si="82"/>
        <v/>
      </c>
      <c r="GE22" s="567" t="str">
        <f t="shared" si="83"/>
        <v/>
      </c>
      <c r="GF22" s="525" t="str">
        <f t="shared" si="84"/>
        <v/>
      </c>
      <c r="GG22" s="1056"/>
      <c r="GH22" s="1058"/>
      <c r="GI22" s="1056"/>
      <c r="GJ22" s="1058"/>
      <c r="GK22" s="1523">
        <f t="shared" si="85"/>
        <v>0</v>
      </c>
      <c r="GL22" s="1523" t="e">
        <f t="shared" si="86"/>
        <v>#VALUE!</v>
      </c>
      <c r="GM22" s="1524" t="e">
        <f>IF(ABS(GK22-GL22)&gt;=#REF!,ABS(GK22-GL22),0)</f>
        <v>#VALUE!</v>
      </c>
      <c r="HA22" s="1159"/>
      <c r="HB22" s="1160"/>
      <c r="HC22" s="1160"/>
      <c r="HD22" s="1161"/>
      <c r="HE22" s="1162"/>
      <c r="HF22" s="1160"/>
      <c r="HG22" s="1160"/>
      <c r="HH22" s="1160"/>
      <c r="HI22" s="1160"/>
      <c r="HJ22" s="1160"/>
      <c r="HK22" s="1160"/>
      <c r="HL22" s="1160"/>
      <c r="HM22" s="1160"/>
      <c r="HN22" s="1160"/>
      <c r="HO22" s="1160"/>
      <c r="HP22" s="1160"/>
      <c r="HQ22" s="1160"/>
      <c r="HR22" s="1160"/>
      <c r="HS22" s="1160"/>
      <c r="HT22" s="1160"/>
      <c r="HU22" s="1160"/>
      <c r="HV22" s="1160"/>
      <c r="HW22" s="1160"/>
      <c r="HX22" s="1160"/>
      <c r="HY22" s="1164"/>
      <c r="HZ22" s="1164"/>
      <c r="IA22" s="1164"/>
      <c r="IB22" s="1164"/>
      <c r="IC22" s="1164"/>
      <c r="ID22" s="1179"/>
      <c r="IE22" s="1159"/>
      <c r="IF22" s="1160"/>
      <c r="IG22" s="1161"/>
      <c r="IH22" s="1162"/>
      <c r="II22" s="1160"/>
      <c r="IJ22" s="1161"/>
      <c r="IK22" s="1162"/>
      <c r="IL22" s="1160"/>
      <c r="IM22" s="1160"/>
      <c r="IN22" s="1160"/>
      <c r="IO22" s="1160"/>
      <c r="IP22" s="1160"/>
      <c r="IQ22" s="1160"/>
      <c r="IR22" s="1160"/>
      <c r="IS22" s="1161"/>
      <c r="IT22" s="1162"/>
      <c r="IU22" s="1160"/>
      <c r="IV22" s="1160"/>
      <c r="IW22" s="1161"/>
      <c r="IX22" s="1162"/>
      <c r="IY22" s="1160"/>
      <c r="IZ22" s="1160"/>
      <c r="JA22" s="1161"/>
      <c r="JB22" s="1162"/>
      <c r="JC22" s="1160"/>
      <c r="JD22" s="1160"/>
      <c r="JE22" s="1161"/>
      <c r="JF22" s="1162"/>
      <c r="JG22" s="1160"/>
      <c r="JH22" s="1160"/>
      <c r="JI22" s="1160"/>
      <c r="JJ22" s="1163"/>
      <c r="JK22" s="1160"/>
      <c r="JL22" s="1103">
        <f t="shared" ca="1" si="96"/>
        <v>0</v>
      </c>
    </row>
    <row r="23" spans="1:272" ht="12.6" customHeight="1" x14ac:dyDescent="0.25">
      <c r="A23" s="1132" t="str">
        <f t="shared" si="0"/>
        <v/>
      </c>
      <c r="B23" s="1586" t="str">
        <f t="shared" si="1"/>
        <v/>
      </c>
      <c r="C23" s="1133" t="str">
        <f t="shared" si="2"/>
        <v/>
      </c>
      <c r="D23" s="1134" t="str">
        <f t="shared" si="3"/>
        <v/>
      </c>
      <c r="E23" s="1135" t="str">
        <f t="shared" si="4"/>
        <v/>
      </c>
      <c r="F23" s="1136" t="str">
        <f t="shared" si="5"/>
        <v/>
      </c>
      <c r="G23" s="1137" t="str">
        <f t="shared" si="6"/>
        <v/>
      </c>
      <c r="H23" s="1138" t="str">
        <f t="shared" si="7"/>
        <v/>
      </c>
      <c r="I23" s="1139" t="str">
        <f t="shared" si="8"/>
        <v/>
      </c>
      <c r="J23" s="1134" t="str">
        <f t="shared" si="9"/>
        <v/>
      </c>
      <c r="K23" s="1138" t="str">
        <f t="shared" si="10"/>
        <v/>
      </c>
      <c r="L23" s="1140" t="str">
        <f t="shared" si="11"/>
        <v/>
      </c>
      <c r="M23" s="1141" t="str">
        <f t="shared" si="12"/>
        <v/>
      </c>
      <c r="N23" s="1142" t="str">
        <f t="shared" si="12"/>
        <v/>
      </c>
      <c r="O23" s="1137" t="str">
        <f t="shared" si="13"/>
        <v/>
      </c>
      <c r="P23" s="1138" t="str">
        <f t="shared" si="14"/>
        <v/>
      </c>
      <c r="Q23" s="1134" t="str">
        <f t="shared" si="15"/>
        <v/>
      </c>
      <c r="R23" s="1135" t="str">
        <f t="shared" si="16"/>
        <v/>
      </c>
      <c r="S23" s="1143" t="str">
        <f t="shared" si="17"/>
        <v/>
      </c>
      <c r="T23" s="1138" t="str">
        <f t="shared" si="18"/>
        <v/>
      </c>
      <c r="U23" s="1134" t="str">
        <f t="shared" si="19"/>
        <v/>
      </c>
      <c r="V23" s="1138" t="str">
        <f t="shared" si="20"/>
        <v/>
      </c>
      <c r="W23" s="1142">
        <f t="shared" si="21"/>
        <v>0</v>
      </c>
      <c r="X23" s="1144" t="e">
        <f t="shared" si="22"/>
        <v>#REF!</v>
      </c>
      <c r="Y23" s="1145" t="e">
        <f t="shared" si="23"/>
        <v>#REF!</v>
      </c>
      <c r="Z23" s="1587" t="str">
        <f t="shared" si="24"/>
        <v/>
      </c>
      <c r="AA23" s="1152" t="str">
        <f t="shared" si="25"/>
        <v/>
      </c>
      <c r="AB23" s="1132" t="str">
        <f t="shared" si="26"/>
        <v/>
      </c>
      <c r="AC23" s="1139" t="str">
        <f t="shared" si="26"/>
        <v/>
      </c>
      <c r="AD23" s="1134" t="str">
        <f t="shared" ca="1" si="27"/>
        <v/>
      </c>
      <c r="AE23" s="1138" t="str">
        <f t="shared" ca="1" si="28"/>
        <v/>
      </c>
      <c r="AF23" s="1139" t="str">
        <f t="shared" ca="1" si="29"/>
        <v/>
      </c>
      <c r="AG23" s="1134" t="str">
        <f t="shared" ca="1" si="30"/>
        <v/>
      </c>
      <c r="AH23" s="1138" t="str">
        <f t="shared" ca="1" si="31"/>
        <v/>
      </c>
      <c r="AI23" s="1134" t="str">
        <f t="shared" ca="1" si="32"/>
        <v/>
      </c>
      <c r="AJ23" s="1138" t="str">
        <f t="shared" ca="1" si="33"/>
        <v/>
      </c>
      <c r="AK23" s="1619" t="str">
        <f t="shared" si="34"/>
        <v/>
      </c>
      <c r="AL23" s="1620" t="str">
        <f t="shared" si="34"/>
        <v/>
      </c>
      <c r="AM23" s="1621" t="str">
        <f t="shared" si="34"/>
        <v/>
      </c>
      <c r="AN23" s="1139" t="str">
        <f t="shared" si="34"/>
        <v/>
      </c>
      <c r="AO23" s="1142" t="str">
        <f t="shared" si="34"/>
        <v/>
      </c>
      <c r="AP23" s="1141" t="str">
        <f t="shared" si="35"/>
        <v/>
      </c>
      <c r="AQ23" s="1623" t="str">
        <f t="shared" si="36"/>
        <v/>
      </c>
      <c r="AR23" s="1137" t="str">
        <f t="shared" si="37"/>
        <v/>
      </c>
      <c r="AS23" s="1138" t="str">
        <f t="shared" si="38"/>
        <v/>
      </c>
      <c r="AT23" s="1624" t="str">
        <f t="shared" si="39"/>
        <v/>
      </c>
      <c r="AU23" s="1625" t="str">
        <f t="shared" si="40"/>
        <v/>
      </c>
      <c r="AV23" s="1143" t="str">
        <f t="shared" si="41"/>
        <v/>
      </c>
      <c r="AW23" s="1138" t="str">
        <f t="shared" si="42"/>
        <v/>
      </c>
      <c r="AX23" s="1624" t="str">
        <f t="shared" si="43"/>
        <v/>
      </c>
      <c r="AY23" s="1625" t="str">
        <f t="shared" si="44"/>
        <v/>
      </c>
      <c r="AZ23" s="1143" t="str">
        <f t="shared" si="45"/>
        <v/>
      </c>
      <c r="BA23" s="1138" t="str">
        <f t="shared" si="46"/>
        <v/>
      </c>
      <c r="BB23" s="1624" t="str">
        <f t="shared" si="47"/>
        <v/>
      </c>
      <c r="BC23" s="1625" t="str">
        <f t="shared" si="48"/>
        <v/>
      </c>
      <c r="BD23" s="1143" t="str">
        <f t="shared" si="49"/>
        <v/>
      </c>
      <c r="BE23" s="1138" t="str">
        <f t="shared" si="50"/>
        <v/>
      </c>
      <c r="BF23" s="1624" t="str">
        <f t="shared" si="51"/>
        <v/>
      </c>
      <c r="BG23" s="1625" t="str">
        <f t="shared" si="51"/>
        <v/>
      </c>
      <c r="BH23" s="1291"/>
      <c r="BJ23" s="915" t="str">
        <f t="shared" si="94"/>
        <v/>
      </c>
      <c r="BK23" s="913" t="e">
        <f t="shared" si="52"/>
        <v>#REF!</v>
      </c>
      <c r="BL23" s="908" t="b">
        <v>0</v>
      </c>
      <c r="BM23" s="908">
        <f t="shared" si="53"/>
        <v>0</v>
      </c>
      <c r="BN23" s="908">
        <f t="shared" si="54"/>
        <v>0</v>
      </c>
      <c r="BO23" s="908">
        <f t="shared" si="55"/>
        <v>0</v>
      </c>
      <c r="BP23" s="908">
        <f t="shared" si="56"/>
        <v>0</v>
      </c>
      <c r="BQ23" s="908">
        <f t="shared" si="57"/>
        <v>0</v>
      </c>
      <c r="BR23" s="908" t="b">
        <f t="shared" si="58"/>
        <v>1</v>
      </c>
      <c r="BS23" s="1216">
        <f t="shared" si="59"/>
        <v>6</v>
      </c>
      <c r="BT23" s="909" t="str">
        <f t="shared" si="60"/>
        <v>No</v>
      </c>
      <c r="BU23" s="1216">
        <f t="shared" si="61"/>
        <v>6</v>
      </c>
      <c r="BV23" s="909" t="str">
        <f t="shared" si="62"/>
        <v>No</v>
      </c>
      <c r="BW23" s="910">
        <f t="shared" ca="1" si="63"/>
        <v>0</v>
      </c>
      <c r="BX23" s="911" t="str">
        <f t="shared" ca="1" si="64"/>
        <v/>
      </c>
      <c r="BY23" s="911" t="b">
        <f t="shared" ca="1" si="65"/>
        <v>0</v>
      </c>
      <c r="BZ23" s="910" t="e">
        <f t="shared" si="87"/>
        <v>#REF!</v>
      </c>
      <c r="CB23" s="616"/>
      <c r="CC23" s="1567"/>
      <c r="CD23" s="645"/>
      <c r="CE23" s="646"/>
      <c r="CF23" s="647"/>
      <c r="CG23" s="660"/>
      <c r="CH23" s="661"/>
      <c r="CI23" s="662"/>
      <c r="CJ23" s="661"/>
      <c r="CK23" s="662"/>
      <c r="CL23" s="663"/>
      <c r="CM23" s="692"/>
      <c r="CN23" s="687"/>
      <c r="CO23" s="1430"/>
      <c r="CP23" s="839"/>
      <c r="CQ23" s="660"/>
      <c r="CR23" s="661"/>
      <c r="CS23" s="662"/>
      <c r="CT23" s="661"/>
      <c r="CU23" s="662"/>
      <c r="CV23" s="663"/>
      <c r="CW23" s="692"/>
      <c r="CX23" s="687"/>
      <c r="CY23" s="1430"/>
      <c r="CZ23" s="839"/>
      <c r="DA23" s="665"/>
      <c r="DB23" s="648"/>
      <c r="DC23" s="649"/>
      <c r="DD23" s="674"/>
      <c r="DE23" s="675"/>
      <c r="DF23" s="58"/>
      <c r="DG23" s="58"/>
      <c r="DH23" s="616"/>
      <c r="DI23" s="617"/>
      <c r="DJ23" s="638"/>
      <c r="DK23" s="1245"/>
      <c r="DL23" s="618"/>
      <c r="DM23" s="639"/>
      <c r="DN23" s="1248"/>
      <c r="DO23" s="619"/>
      <c r="DP23" s="620"/>
      <c r="DQ23" s="1294"/>
      <c r="DR23" s="621"/>
      <c r="DS23" s="1294"/>
      <c r="DT23" s="1296"/>
      <c r="DU23" s="1297"/>
      <c r="DV23" s="622"/>
      <c r="DW23" s="1250"/>
      <c r="DX23" s="623"/>
      <c r="DY23" s="624"/>
      <c r="DZ23" s="622"/>
      <c r="EA23" s="1250"/>
      <c r="EB23" s="623"/>
      <c r="EC23" s="624"/>
      <c r="ED23" s="622"/>
      <c r="EE23" s="1250"/>
      <c r="EF23" s="623"/>
      <c r="EG23" s="624"/>
      <c r="EH23" s="622"/>
      <c r="EI23" s="1250"/>
      <c r="EJ23" s="623"/>
      <c r="EK23" s="625"/>
      <c r="EL23" s="147"/>
      <c r="EM23" s="1513" t="str">
        <f t="shared" si="66"/>
        <v/>
      </c>
      <c r="EN23" s="1303" t="str">
        <f t="shared" si="67"/>
        <v/>
      </c>
      <c r="EO23" s="1304" t="str">
        <f t="shared" si="68"/>
        <v/>
      </c>
      <c r="EP23" s="1305" t="str">
        <f t="shared" si="69"/>
        <v/>
      </c>
      <c r="EQ23" s="1309" t="str">
        <f t="shared" si="70"/>
        <v/>
      </c>
      <c r="ER23" s="1315" t="str">
        <f t="shared" si="71"/>
        <v/>
      </c>
      <c r="ES23" s="1316" t="str">
        <f t="shared" si="72"/>
        <v/>
      </c>
      <c r="ET23" s="1317" t="str">
        <f t="shared" si="73"/>
        <v/>
      </c>
      <c r="EU23" s="1318" t="str">
        <f t="shared" si="88"/>
        <v/>
      </c>
      <c r="EX23" s="870" t="str">
        <f t="shared" ca="1" si="89"/>
        <v/>
      </c>
      <c r="EY23" s="872" t="str">
        <f t="shared" si="74"/>
        <v/>
      </c>
      <c r="EZ23" s="872" t="str">
        <f t="shared" si="90"/>
        <v/>
      </c>
      <c r="FA23" s="891" t="str">
        <f t="shared" ca="1" si="95"/>
        <v/>
      </c>
      <c r="FB23" s="892" t="str">
        <f t="shared" ca="1" si="91"/>
        <v/>
      </c>
      <c r="FC23" s="892">
        <f t="shared" ca="1" si="75"/>
        <v>0</v>
      </c>
      <c r="FD23" s="892">
        <f t="shared" ca="1" si="76"/>
        <v>0</v>
      </c>
      <c r="FE23" s="892">
        <f t="shared" ca="1" si="77"/>
        <v>0</v>
      </c>
      <c r="FF23" s="892">
        <f t="shared" ca="1" si="92"/>
        <v>0</v>
      </c>
      <c r="FN23" s="703" t="b">
        <v>0</v>
      </c>
      <c r="FO23" s="703" t="b">
        <f t="shared" si="78"/>
        <v>1</v>
      </c>
      <c r="FP23" s="703" t="b">
        <v>0</v>
      </c>
      <c r="FQ23" s="703" t="b">
        <f t="shared" si="93"/>
        <v>1</v>
      </c>
      <c r="FW23" s="1"/>
      <c r="FX23" s="1"/>
      <c r="FZ23" s="1"/>
      <c r="GA23" s="524" t="str">
        <f t="shared" si="79"/>
        <v/>
      </c>
      <c r="GB23" s="566" t="str">
        <f t="shared" si="80"/>
        <v/>
      </c>
      <c r="GC23" s="568" t="str">
        <f t="shared" si="81"/>
        <v/>
      </c>
      <c r="GD23" s="569" t="str">
        <f t="shared" si="82"/>
        <v/>
      </c>
      <c r="GE23" s="567" t="str">
        <f t="shared" si="83"/>
        <v/>
      </c>
      <c r="GF23" s="525" t="str">
        <f t="shared" si="84"/>
        <v/>
      </c>
      <c r="GG23" s="1056"/>
      <c r="GH23" s="1058"/>
      <c r="GI23" s="1056"/>
      <c r="GJ23" s="1058"/>
      <c r="GK23" s="1523">
        <f t="shared" si="85"/>
        <v>0</v>
      </c>
      <c r="GL23" s="1523" t="e">
        <f t="shared" si="86"/>
        <v>#VALUE!</v>
      </c>
      <c r="GM23" s="1524" t="e">
        <f>IF(ABS(GK23-GL23)&gt;=#REF!,ABS(GK23-GL23),0)</f>
        <v>#VALUE!</v>
      </c>
      <c r="HA23" s="1159"/>
      <c r="HB23" s="1160"/>
      <c r="HC23" s="1160"/>
      <c r="HD23" s="1161"/>
      <c r="HE23" s="1162"/>
      <c r="HF23" s="1160"/>
      <c r="HG23" s="1160"/>
      <c r="HH23" s="1160"/>
      <c r="HI23" s="1160"/>
      <c r="HJ23" s="1160"/>
      <c r="HK23" s="1160"/>
      <c r="HL23" s="1160"/>
      <c r="HM23" s="1160"/>
      <c r="HN23" s="1160"/>
      <c r="HO23" s="1160"/>
      <c r="HP23" s="1160"/>
      <c r="HQ23" s="1160"/>
      <c r="HR23" s="1160"/>
      <c r="HS23" s="1160"/>
      <c r="HT23" s="1160"/>
      <c r="HU23" s="1160"/>
      <c r="HV23" s="1160"/>
      <c r="HW23" s="1160"/>
      <c r="HX23" s="1160"/>
      <c r="HY23" s="1164"/>
      <c r="HZ23" s="1164"/>
      <c r="IA23" s="1164"/>
      <c r="IB23" s="1164"/>
      <c r="IC23" s="1164"/>
      <c r="ID23" s="1179"/>
      <c r="IE23" s="1159"/>
      <c r="IF23" s="1160"/>
      <c r="IG23" s="1161"/>
      <c r="IH23" s="1162"/>
      <c r="II23" s="1160"/>
      <c r="IJ23" s="1161"/>
      <c r="IK23" s="1162"/>
      <c r="IL23" s="1160"/>
      <c r="IM23" s="1160"/>
      <c r="IN23" s="1160"/>
      <c r="IO23" s="1160"/>
      <c r="IP23" s="1160"/>
      <c r="IQ23" s="1160"/>
      <c r="IR23" s="1160"/>
      <c r="IS23" s="1161"/>
      <c r="IT23" s="1162"/>
      <c r="IU23" s="1160"/>
      <c r="IV23" s="1160"/>
      <c r="IW23" s="1161"/>
      <c r="IX23" s="1162"/>
      <c r="IY23" s="1160"/>
      <c r="IZ23" s="1160"/>
      <c r="JA23" s="1161"/>
      <c r="JB23" s="1162"/>
      <c r="JC23" s="1160"/>
      <c r="JD23" s="1160"/>
      <c r="JE23" s="1161"/>
      <c r="JF23" s="1162"/>
      <c r="JG23" s="1160"/>
      <c r="JH23" s="1160"/>
      <c r="JI23" s="1160"/>
      <c r="JJ23" s="1163"/>
      <c r="JK23" s="1160"/>
      <c r="JL23" s="1103">
        <f t="shared" ca="1" si="96"/>
        <v>0</v>
      </c>
    </row>
    <row r="24" spans="1:272" ht="12.6" customHeight="1" x14ac:dyDescent="0.25">
      <c r="A24" s="1132" t="str">
        <f t="shared" si="0"/>
        <v/>
      </c>
      <c r="B24" s="1586" t="str">
        <f t="shared" si="1"/>
        <v/>
      </c>
      <c r="C24" s="1133" t="str">
        <f t="shared" si="2"/>
        <v/>
      </c>
      <c r="D24" s="1134" t="str">
        <f t="shared" si="3"/>
        <v/>
      </c>
      <c r="E24" s="1135" t="str">
        <f t="shared" si="4"/>
        <v/>
      </c>
      <c r="F24" s="1136" t="str">
        <f t="shared" si="5"/>
        <v/>
      </c>
      <c r="G24" s="1137" t="str">
        <f t="shared" si="6"/>
        <v/>
      </c>
      <c r="H24" s="1138" t="str">
        <f t="shared" si="7"/>
        <v/>
      </c>
      <c r="I24" s="1139" t="str">
        <f t="shared" si="8"/>
        <v/>
      </c>
      <c r="J24" s="1134" t="str">
        <f t="shared" si="9"/>
        <v/>
      </c>
      <c r="K24" s="1138" t="str">
        <f t="shared" si="10"/>
        <v/>
      </c>
      <c r="L24" s="1140" t="str">
        <f t="shared" si="11"/>
        <v/>
      </c>
      <c r="M24" s="1141" t="str">
        <f t="shared" si="12"/>
        <v/>
      </c>
      <c r="N24" s="1142" t="str">
        <f t="shared" si="12"/>
        <v/>
      </c>
      <c r="O24" s="1137" t="str">
        <f t="shared" si="13"/>
        <v/>
      </c>
      <c r="P24" s="1138" t="str">
        <f t="shared" si="14"/>
        <v/>
      </c>
      <c r="Q24" s="1134" t="str">
        <f t="shared" si="15"/>
        <v/>
      </c>
      <c r="R24" s="1135" t="str">
        <f t="shared" si="16"/>
        <v/>
      </c>
      <c r="S24" s="1143" t="str">
        <f t="shared" si="17"/>
        <v/>
      </c>
      <c r="T24" s="1138" t="str">
        <f t="shared" si="18"/>
        <v/>
      </c>
      <c r="U24" s="1134" t="str">
        <f t="shared" si="19"/>
        <v/>
      </c>
      <c r="V24" s="1138" t="str">
        <f t="shared" si="20"/>
        <v/>
      </c>
      <c r="W24" s="1142">
        <f t="shared" si="21"/>
        <v>0</v>
      </c>
      <c r="X24" s="1144" t="e">
        <f t="shared" si="22"/>
        <v>#REF!</v>
      </c>
      <c r="Y24" s="1145" t="e">
        <f t="shared" si="23"/>
        <v>#REF!</v>
      </c>
      <c r="Z24" s="1587" t="str">
        <f t="shared" si="24"/>
        <v/>
      </c>
      <c r="AA24" s="1152" t="str">
        <f t="shared" si="25"/>
        <v/>
      </c>
      <c r="AB24" s="1132" t="str">
        <f t="shared" si="26"/>
        <v/>
      </c>
      <c r="AC24" s="1139" t="str">
        <f t="shared" si="26"/>
        <v/>
      </c>
      <c r="AD24" s="1134" t="str">
        <f t="shared" ca="1" si="27"/>
        <v/>
      </c>
      <c r="AE24" s="1138" t="str">
        <f t="shared" ca="1" si="28"/>
        <v/>
      </c>
      <c r="AF24" s="1139" t="str">
        <f t="shared" ca="1" si="29"/>
        <v/>
      </c>
      <c r="AG24" s="1134" t="str">
        <f t="shared" ca="1" si="30"/>
        <v/>
      </c>
      <c r="AH24" s="1138" t="str">
        <f t="shared" ca="1" si="31"/>
        <v/>
      </c>
      <c r="AI24" s="1134" t="str">
        <f t="shared" ca="1" si="32"/>
        <v/>
      </c>
      <c r="AJ24" s="1138" t="str">
        <f t="shared" ca="1" si="33"/>
        <v/>
      </c>
      <c r="AK24" s="1619" t="str">
        <f t="shared" si="34"/>
        <v/>
      </c>
      <c r="AL24" s="1620" t="str">
        <f t="shared" si="34"/>
        <v/>
      </c>
      <c r="AM24" s="1621" t="str">
        <f t="shared" si="34"/>
        <v/>
      </c>
      <c r="AN24" s="1139" t="str">
        <f t="shared" si="34"/>
        <v/>
      </c>
      <c r="AO24" s="1142" t="str">
        <f t="shared" si="34"/>
        <v/>
      </c>
      <c r="AP24" s="1141" t="str">
        <f t="shared" si="35"/>
        <v/>
      </c>
      <c r="AQ24" s="1623" t="str">
        <f t="shared" si="36"/>
        <v/>
      </c>
      <c r="AR24" s="1137" t="str">
        <f t="shared" si="37"/>
        <v/>
      </c>
      <c r="AS24" s="1138" t="str">
        <f t="shared" si="38"/>
        <v/>
      </c>
      <c r="AT24" s="1624" t="str">
        <f t="shared" si="39"/>
        <v/>
      </c>
      <c r="AU24" s="1625" t="str">
        <f t="shared" si="40"/>
        <v/>
      </c>
      <c r="AV24" s="1143" t="str">
        <f t="shared" si="41"/>
        <v/>
      </c>
      <c r="AW24" s="1138" t="str">
        <f t="shared" si="42"/>
        <v/>
      </c>
      <c r="AX24" s="1624" t="str">
        <f t="shared" si="43"/>
        <v/>
      </c>
      <c r="AY24" s="1625" t="str">
        <f t="shared" si="44"/>
        <v/>
      </c>
      <c r="AZ24" s="1143" t="str">
        <f t="shared" si="45"/>
        <v/>
      </c>
      <c r="BA24" s="1138" t="str">
        <f t="shared" si="46"/>
        <v/>
      </c>
      <c r="BB24" s="1624" t="str">
        <f t="shared" si="47"/>
        <v/>
      </c>
      <c r="BC24" s="1625" t="str">
        <f t="shared" si="48"/>
        <v/>
      </c>
      <c r="BD24" s="1143" t="str">
        <f t="shared" si="49"/>
        <v/>
      </c>
      <c r="BE24" s="1138" t="str">
        <f t="shared" si="50"/>
        <v/>
      </c>
      <c r="BF24" s="1624" t="str">
        <f t="shared" si="51"/>
        <v/>
      </c>
      <c r="BG24" s="1625" t="str">
        <f t="shared" si="51"/>
        <v/>
      </c>
      <c r="BH24" s="1291"/>
      <c r="BJ24" s="915" t="str">
        <f t="shared" si="94"/>
        <v/>
      </c>
      <c r="BK24" s="913" t="e">
        <f t="shared" si="52"/>
        <v>#REF!</v>
      </c>
      <c r="BL24" s="908" t="b">
        <v>0</v>
      </c>
      <c r="BM24" s="908">
        <f t="shared" si="53"/>
        <v>0</v>
      </c>
      <c r="BN24" s="908">
        <f t="shared" si="54"/>
        <v>0</v>
      </c>
      <c r="BO24" s="908">
        <f t="shared" si="55"/>
        <v>0</v>
      </c>
      <c r="BP24" s="908">
        <f t="shared" si="56"/>
        <v>0</v>
      </c>
      <c r="BQ24" s="908">
        <f t="shared" si="57"/>
        <v>0</v>
      </c>
      <c r="BR24" s="908" t="b">
        <f t="shared" si="58"/>
        <v>1</v>
      </c>
      <c r="BS24" s="1216">
        <f t="shared" si="59"/>
        <v>6</v>
      </c>
      <c r="BT24" s="909" t="str">
        <f t="shared" si="60"/>
        <v>No</v>
      </c>
      <c r="BU24" s="1216">
        <f t="shared" si="61"/>
        <v>6</v>
      </c>
      <c r="BV24" s="909" t="str">
        <f t="shared" si="62"/>
        <v>No</v>
      </c>
      <c r="BW24" s="910">
        <f t="shared" ca="1" si="63"/>
        <v>0</v>
      </c>
      <c r="BX24" s="911" t="str">
        <f t="shared" ca="1" si="64"/>
        <v/>
      </c>
      <c r="BY24" s="911" t="b">
        <f t="shared" ca="1" si="65"/>
        <v>0</v>
      </c>
      <c r="BZ24" s="910" t="e">
        <f t="shared" si="87"/>
        <v>#REF!</v>
      </c>
      <c r="CB24" s="616"/>
      <c r="CC24" s="1567"/>
      <c r="CD24" s="645"/>
      <c r="CE24" s="646"/>
      <c r="CF24" s="647"/>
      <c r="CG24" s="660"/>
      <c r="CH24" s="661"/>
      <c r="CI24" s="662"/>
      <c r="CJ24" s="661"/>
      <c r="CK24" s="662"/>
      <c r="CL24" s="663"/>
      <c r="CM24" s="692"/>
      <c r="CN24" s="687"/>
      <c r="CO24" s="1430"/>
      <c r="CP24" s="839"/>
      <c r="CQ24" s="660"/>
      <c r="CR24" s="661"/>
      <c r="CS24" s="662"/>
      <c r="CT24" s="661"/>
      <c r="CU24" s="662"/>
      <c r="CV24" s="663"/>
      <c r="CW24" s="692"/>
      <c r="CX24" s="687"/>
      <c r="CY24" s="1430"/>
      <c r="CZ24" s="839"/>
      <c r="DA24" s="665"/>
      <c r="DB24" s="648"/>
      <c r="DC24" s="649"/>
      <c r="DD24" s="674"/>
      <c r="DE24" s="675"/>
      <c r="DF24" s="58"/>
      <c r="DG24" s="58"/>
      <c r="DH24" s="616"/>
      <c r="DI24" s="617"/>
      <c r="DJ24" s="638"/>
      <c r="DK24" s="1245"/>
      <c r="DL24" s="618"/>
      <c r="DM24" s="639"/>
      <c r="DN24" s="1248"/>
      <c r="DO24" s="619"/>
      <c r="DP24" s="620"/>
      <c r="DQ24" s="1294"/>
      <c r="DR24" s="621"/>
      <c r="DS24" s="1294"/>
      <c r="DT24" s="1296"/>
      <c r="DU24" s="1297"/>
      <c r="DV24" s="622"/>
      <c r="DW24" s="1250"/>
      <c r="DX24" s="623"/>
      <c r="DY24" s="624"/>
      <c r="DZ24" s="622"/>
      <c r="EA24" s="1250"/>
      <c r="EB24" s="623"/>
      <c r="EC24" s="624"/>
      <c r="ED24" s="622"/>
      <c r="EE24" s="1250"/>
      <c r="EF24" s="623"/>
      <c r="EG24" s="624"/>
      <c r="EH24" s="622"/>
      <c r="EI24" s="1250"/>
      <c r="EJ24" s="623"/>
      <c r="EK24" s="625"/>
      <c r="EL24" s="147"/>
      <c r="EM24" s="1513" t="str">
        <f t="shared" si="66"/>
        <v/>
      </c>
      <c r="EN24" s="1303" t="str">
        <f t="shared" si="67"/>
        <v/>
      </c>
      <c r="EO24" s="1304" t="str">
        <f t="shared" si="68"/>
        <v/>
      </c>
      <c r="EP24" s="1305" t="str">
        <f t="shared" si="69"/>
        <v/>
      </c>
      <c r="EQ24" s="1309" t="str">
        <f t="shared" si="70"/>
        <v/>
      </c>
      <c r="ER24" s="1315" t="str">
        <f t="shared" si="71"/>
        <v/>
      </c>
      <c r="ES24" s="1316" t="str">
        <f t="shared" si="72"/>
        <v/>
      </c>
      <c r="ET24" s="1317" t="str">
        <f t="shared" si="73"/>
        <v/>
      </c>
      <c r="EU24" s="1318" t="str">
        <f t="shared" si="88"/>
        <v/>
      </c>
      <c r="EX24" s="870" t="str">
        <f t="shared" ca="1" si="89"/>
        <v/>
      </c>
      <c r="EY24" s="872" t="str">
        <f t="shared" si="74"/>
        <v/>
      </c>
      <c r="EZ24" s="872" t="str">
        <f t="shared" si="90"/>
        <v/>
      </c>
      <c r="FA24" s="891" t="str">
        <f t="shared" ca="1" si="95"/>
        <v/>
      </c>
      <c r="FB24" s="892" t="str">
        <f t="shared" ca="1" si="91"/>
        <v/>
      </c>
      <c r="FC24" s="892">
        <f t="shared" ca="1" si="75"/>
        <v>0</v>
      </c>
      <c r="FD24" s="892">
        <f t="shared" ca="1" si="76"/>
        <v>0</v>
      </c>
      <c r="FE24" s="892">
        <f t="shared" ca="1" si="77"/>
        <v>0</v>
      </c>
      <c r="FF24" s="892">
        <f t="shared" ca="1" si="92"/>
        <v>0</v>
      </c>
      <c r="FN24" s="703" t="b">
        <v>0</v>
      </c>
      <c r="FO24" s="703" t="b">
        <f t="shared" si="78"/>
        <v>1</v>
      </c>
      <c r="FP24" s="703" t="b">
        <v>0</v>
      </c>
      <c r="FQ24" s="703" t="b">
        <f t="shared" si="93"/>
        <v>1</v>
      </c>
      <c r="FW24" s="1"/>
      <c r="FX24" s="1"/>
      <c r="FZ24" s="1"/>
      <c r="GA24" s="524" t="str">
        <f t="shared" si="79"/>
        <v/>
      </c>
      <c r="GB24" s="566" t="str">
        <f t="shared" si="80"/>
        <v/>
      </c>
      <c r="GC24" s="568" t="str">
        <f t="shared" si="81"/>
        <v/>
      </c>
      <c r="GD24" s="569" t="str">
        <f t="shared" si="82"/>
        <v/>
      </c>
      <c r="GE24" s="567" t="str">
        <f t="shared" si="83"/>
        <v/>
      </c>
      <c r="GF24" s="525" t="str">
        <f t="shared" si="84"/>
        <v/>
      </c>
      <c r="GG24" s="1056"/>
      <c r="GH24" s="1058"/>
      <c r="GI24" s="1056"/>
      <c r="GJ24" s="1058"/>
      <c r="GK24" s="1523">
        <f t="shared" si="85"/>
        <v>0</v>
      </c>
      <c r="GL24" s="1523" t="e">
        <f t="shared" si="86"/>
        <v>#VALUE!</v>
      </c>
      <c r="GM24" s="1524" t="e">
        <f>IF(ABS(GK24-GL24)&gt;=#REF!,ABS(GK24-GL24),0)</f>
        <v>#VALUE!</v>
      </c>
      <c r="HA24" s="1159"/>
      <c r="HB24" s="1160"/>
      <c r="HC24" s="1160"/>
      <c r="HD24" s="1161"/>
      <c r="HE24" s="1162"/>
      <c r="HF24" s="1160"/>
      <c r="HG24" s="1160"/>
      <c r="HH24" s="1160"/>
      <c r="HI24" s="1160"/>
      <c r="HJ24" s="1160"/>
      <c r="HK24" s="1160"/>
      <c r="HL24" s="1160"/>
      <c r="HM24" s="1160"/>
      <c r="HN24" s="1160"/>
      <c r="HO24" s="1160"/>
      <c r="HP24" s="1160"/>
      <c r="HQ24" s="1160"/>
      <c r="HR24" s="1160"/>
      <c r="HS24" s="1160"/>
      <c r="HT24" s="1160"/>
      <c r="HU24" s="1160"/>
      <c r="HV24" s="1160"/>
      <c r="HW24" s="1160"/>
      <c r="HX24" s="1160"/>
      <c r="HY24" s="1164"/>
      <c r="HZ24" s="1164"/>
      <c r="IA24" s="1164"/>
      <c r="IB24" s="1164"/>
      <c r="IC24" s="1164"/>
      <c r="ID24" s="1179"/>
      <c r="IE24" s="1159"/>
      <c r="IF24" s="1160"/>
      <c r="IG24" s="1161"/>
      <c r="IH24" s="1162"/>
      <c r="II24" s="1160"/>
      <c r="IJ24" s="1161"/>
      <c r="IK24" s="1162"/>
      <c r="IL24" s="1160"/>
      <c r="IM24" s="1160"/>
      <c r="IN24" s="1160"/>
      <c r="IO24" s="1160"/>
      <c r="IP24" s="1160"/>
      <c r="IQ24" s="1160"/>
      <c r="IR24" s="1160"/>
      <c r="IS24" s="1161"/>
      <c r="IT24" s="1162"/>
      <c r="IU24" s="1160"/>
      <c r="IV24" s="1160"/>
      <c r="IW24" s="1161"/>
      <c r="IX24" s="1162"/>
      <c r="IY24" s="1160"/>
      <c r="IZ24" s="1160"/>
      <c r="JA24" s="1161"/>
      <c r="JB24" s="1162"/>
      <c r="JC24" s="1160"/>
      <c r="JD24" s="1160"/>
      <c r="JE24" s="1161"/>
      <c r="JF24" s="1162"/>
      <c r="JG24" s="1160"/>
      <c r="JH24" s="1160"/>
      <c r="JI24" s="1160"/>
      <c r="JJ24" s="1163"/>
      <c r="JK24" s="1160"/>
      <c r="JL24" s="1103">
        <f t="shared" ca="1" si="96"/>
        <v>0</v>
      </c>
    </row>
    <row r="25" spans="1:272" ht="12.6" customHeight="1" x14ac:dyDescent="0.25">
      <c r="A25" s="1132" t="str">
        <f t="shared" si="0"/>
        <v/>
      </c>
      <c r="B25" s="1586" t="str">
        <f t="shared" si="1"/>
        <v/>
      </c>
      <c r="C25" s="1133" t="str">
        <f t="shared" si="2"/>
        <v/>
      </c>
      <c r="D25" s="1134" t="str">
        <f t="shared" si="3"/>
        <v/>
      </c>
      <c r="E25" s="1135" t="str">
        <f t="shared" si="4"/>
        <v/>
      </c>
      <c r="F25" s="1136" t="str">
        <f t="shared" si="5"/>
        <v/>
      </c>
      <c r="G25" s="1137" t="str">
        <f t="shared" si="6"/>
        <v/>
      </c>
      <c r="H25" s="1138" t="str">
        <f t="shared" si="7"/>
        <v/>
      </c>
      <c r="I25" s="1139" t="str">
        <f t="shared" si="8"/>
        <v/>
      </c>
      <c r="J25" s="1134" t="str">
        <f t="shared" si="9"/>
        <v/>
      </c>
      <c r="K25" s="1138" t="str">
        <f t="shared" si="10"/>
        <v/>
      </c>
      <c r="L25" s="1140" t="str">
        <f t="shared" si="11"/>
        <v/>
      </c>
      <c r="M25" s="1141" t="str">
        <f t="shared" si="12"/>
        <v/>
      </c>
      <c r="N25" s="1142" t="str">
        <f t="shared" si="12"/>
        <v/>
      </c>
      <c r="O25" s="1137" t="str">
        <f t="shared" si="13"/>
        <v/>
      </c>
      <c r="P25" s="1138" t="str">
        <f t="shared" si="14"/>
        <v/>
      </c>
      <c r="Q25" s="1134" t="str">
        <f t="shared" si="15"/>
        <v/>
      </c>
      <c r="R25" s="1135" t="str">
        <f t="shared" si="16"/>
        <v/>
      </c>
      <c r="S25" s="1143" t="str">
        <f t="shared" si="17"/>
        <v/>
      </c>
      <c r="T25" s="1138" t="str">
        <f t="shared" si="18"/>
        <v/>
      </c>
      <c r="U25" s="1134" t="str">
        <f t="shared" si="19"/>
        <v/>
      </c>
      <c r="V25" s="1138" t="str">
        <f t="shared" si="20"/>
        <v/>
      </c>
      <c r="W25" s="1142">
        <f t="shared" si="21"/>
        <v>0</v>
      </c>
      <c r="X25" s="1144" t="e">
        <f t="shared" si="22"/>
        <v>#REF!</v>
      </c>
      <c r="Y25" s="1145" t="e">
        <f t="shared" si="23"/>
        <v>#REF!</v>
      </c>
      <c r="Z25" s="1587" t="str">
        <f t="shared" si="24"/>
        <v/>
      </c>
      <c r="AA25" s="1152" t="str">
        <f t="shared" si="25"/>
        <v/>
      </c>
      <c r="AB25" s="1132" t="str">
        <f t="shared" si="26"/>
        <v/>
      </c>
      <c r="AC25" s="1139" t="str">
        <f t="shared" si="26"/>
        <v/>
      </c>
      <c r="AD25" s="1134" t="str">
        <f t="shared" ca="1" si="27"/>
        <v/>
      </c>
      <c r="AE25" s="1138" t="str">
        <f t="shared" ca="1" si="28"/>
        <v/>
      </c>
      <c r="AF25" s="1139" t="str">
        <f t="shared" ca="1" si="29"/>
        <v/>
      </c>
      <c r="AG25" s="1134" t="str">
        <f t="shared" ca="1" si="30"/>
        <v/>
      </c>
      <c r="AH25" s="1138" t="str">
        <f t="shared" ca="1" si="31"/>
        <v/>
      </c>
      <c r="AI25" s="1134" t="str">
        <f t="shared" ca="1" si="32"/>
        <v/>
      </c>
      <c r="AJ25" s="1138" t="str">
        <f t="shared" ca="1" si="33"/>
        <v/>
      </c>
      <c r="AK25" s="1619" t="str">
        <f t="shared" si="34"/>
        <v/>
      </c>
      <c r="AL25" s="1620" t="str">
        <f t="shared" si="34"/>
        <v/>
      </c>
      <c r="AM25" s="1621" t="str">
        <f t="shared" si="34"/>
        <v/>
      </c>
      <c r="AN25" s="1139" t="str">
        <f t="shared" si="34"/>
        <v/>
      </c>
      <c r="AO25" s="1142" t="str">
        <f t="shared" si="34"/>
        <v/>
      </c>
      <c r="AP25" s="1141" t="str">
        <f t="shared" si="35"/>
        <v/>
      </c>
      <c r="AQ25" s="1623" t="str">
        <f t="shared" si="36"/>
        <v/>
      </c>
      <c r="AR25" s="1137" t="str">
        <f t="shared" si="37"/>
        <v/>
      </c>
      <c r="AS25" s="1138" t="str">
        <f t="shared" si="38"/>
        <v/>
      </c>
      <c r="AT25" s="1624" t="str">
        <f t="shared" si="39"/>
        <v/>
      </c>
      <c r="AU25" s="1625" t="str">
        <f t="shared" si="40"/>
        <v/>
      </c>
      <c r="AV25" s="1143" t="str">
        <f t="shared" si="41"/>
        <v/>
      </c>
      <c r="AW25" s="1138" t="str">
        <f t="shared" si="42"/>
        <v/>
      </c>
      <c r="AX25" s="1624" t="str">
        <f t="shared" si="43"/>
        <v/>
      </c>
      <c r="AY25" s="1625" t="str">
        <f t="shared" si="44"/>
        <v/>
      </c>
      <c r="AZ25" s="1143" t="str">
        <f t="shared" si="45"/>
        <v/>
      </c>
      <c r="BA25" s="1138" t="str">
        <f t="shared" si="46"/>
        <v/>
      </c>
      <c r="BB25" s="1624" t="str">
        <f t="shared" si="47"/>
        <v/>
      </c>
      <c r="BC25" s="1625" t="str">
        <f t="shared" si="48"/>
        <v/>
      </c>
      <c r="BD25" s="1143" t="str">
        <f t="shared" si="49"/>
        <v/>
      </c>
      <c r="BE25" s="1138" t="str">
        <f t="shared" si="50"/>
        <v/>
      </c>
      <c r="BF25" s="1624" t="str">
        <f t="shared" si="51"/>
        <v/>
      </c>
      <c r="BG25" s="1625" t="str">
        <f t="shared" si="51"/>
        <v/>
      </c>
      <c r="BH25" s="1291"/>
      <c r="BJ25" s="915" t="str">
        <f t="shared" si="94"/>
        <v/>
      </c>
      <c r="BK25" s="913" t="e">
        <f t="shared" si="52"/>
        <v>#REF!</v>
      </c>
      <c r="BL25" s="908" t="b">
        <v>0</v>
      </c>
      <c r="BM25" s="908">
        <f t="shared" si="53"/>
        <v>0</v>
      </c>
      <c r="BN25" s="908">
        <f t="shared" si="54"/>
        <v>0</v>
      </c>
      <c r="BO25" s="908">
        <f t="shared" si="55"/>
        <v>0</v>
      </c>
      <c r="BP25" s="908">
        <f t="shared" si="56"/>
        <v>0</v>
      </c>
      <c r="BQ25" s="908">
        <f t="shared" si="57"/>
        <v>0</v>
      </c>
      <c r="BR25" s="908" t="b">
        <f t="shared" si="58"/>
        <v>1</v>
      </c>
      <c r="BS25" s="1216">
        <f t="shared" si="59"/>
        <v>6</v>
      </c>
      <c r="BT25" s="909" t="str">
        <f t="shared" si="60"/>
        <v>No</v>
      </c>
      <c r="BU25" s="1216">
        <f t="shared" si="61"/>
        <v>6</v>
      </c>
      <c r="BV25" s="909" t="str">
        <f t="shared" si="62"/>
        <v>No</v>
      </c>
      <c r="BW25" s="910">
        <f t="shared" ca="1" si="63"/>
        <v>0</v>
      </c>
      <c r="BX25" s="911" t="str">
        <f t="shared" ca="1" si="64"/>
        <v/>
      </c>
      <c r="BY25" s="911" t="b">
        <f t="shared" ca="1" si="65"/>
        <v>0</v>
      </c>
      <c r="BZ25" s="910" t="e">
        <f t="shared" si="87"/>
        <v>#REF!</v>
      </c>
      <c r="CB25" s="616"/>
      <c r="CC25" s="1567"/>
      <c r="CD25" s="645"/>
      <c r="CE25" s="646"/>
      <c r="CF25" s="647"/>
      <c r="CG25" s="660"/>
      <c r="CH25" s="661"/>
      <c r="CI25" s="662"/>
      <c r="CJ25" s="661"/>
      <c r="CK25" s="662"/>
      <c r="CL25" s="663"/>
      <c r="CM25" s="692"/>
      <c r="CN25" s="687"/>
      <c r="CO25" s="1430"/>
      <c r="CP25" s="839"/>
      <c r="CQ25" s="660"/>
      <c r="CR25" s="661"/>
      <c r="CS25" s="662"/>
      <c r="CT25" s="661"/>
      <c r="CU25" s="662"/>
      <c r="CV25" s="663"/>
      <c r="CW25" s="692"/>
      <c r="CX25" s="687"/>
      <c r="CY25" s="1430"/>
      <c r="CZ25" s="839"/>
      <c r="DA25" s="665"/>
      <c r="DB25" s="648"/>
      <c r="DC25" s="649"/>
      <c r="DD25" s="674"/>
      <c r="DE25" s="675"/>
      <c r="DF25" s="58"/>
      <c r="DG25" s="58"/>
      <c r="DH25" s="616"/>
      <c r="DI25" s="617"/>
      <c r="DJ25" s="638"/>
      <c r="DK25" s="1245"/>
      <c r="DL25" s="618"/>
      <c r="DM25" s="639"/>
      <c r="DN25" s="1248"/>
      <c r="DO25" s="619"/>
      <c r="DP25" s="620"/>
      <c r="DQ25" s="1294"/>
      <c r="DR25" s="621"/>
      <c r="DS25" s="1294"/>
      <c r="DT25" s="1296"/>
      <c r="DU25" s="1297"/>
      <c r="DV25" s="622"/>
      <c r="DW25" s="1250"/>
      <c r="DX25" s="623"/>
      <c r="DY25" s="624"/>
      <c r="DZ25" s="622"/>
      <c r="EA25" s="1250"/>
      <c r="EB25" s="623"/>
      <c r="EC25" s="624"/>
      <c r="ED25" s="622"/>
      <c r="EE25" s="1250"/>
      <c r="EF25" s="623"/>
      <c r="EG25" s="624"/>
      <c r="EH25" s="622"/>
      <c r="EI25" s="1250"/>
      <c r="EJ25" s="623"/>
      <c r="EK25" s="625"/>
      <c r="EL25" s="147"/>
      <c r="EM25" s="1513" t="str">
        <f t="shared" si="66"/>
        <v/>
      </c>
      <c r="EN25" s="1303" t="str">
        <f t="shared" si="67"/>
        <v/>
      </c>
      <c r="EO25" s="1304" t="str">
        <f t="shared" si="68"/>
        <v/>
      </c>
      <c r="EP25" s="1305" t="str">
        <f t="shared" si="69"/>
        <v/>
      </c>
      <c r="EQ25" s="1309" t="str">
        <f t="shared" si="70"/>
        <v/>
      </c>
      <c r="ER25" s="1315" t="str">
        <f t="shared" si="71"/>
        <v/>
      </c>
      <c r="ES25" s="1316" t="str">
        <f t="shared" si="72"/>
        <v/>
      </c>
      <c r="ET25" s="1317" t="str">
        <f t="shared" si="73"/>
        <v/>
      </c>
      <c r="EU25" s="1318" t="str">
        <f t="shared" si="88"/>
        <v/>
      </c>
      <c r="EX25" s="870" t="str">
        <f t="shared" ca="1" si="89"/>
        <v/>
      </c>
      <c r="EY25" s="872" t="str">
        <f t="shared" si="74"/>
        <v/>
      </c>
      <c r="EZ25" s="872" t="str">
        <f t="shared" si="90"/>
        <v/>
      </c>
      <c r="FA25" s="891" t="str">
        <f t="shared" ca="1" si="95"/>
        <v/>
      </c>
      <c r="FB25" s="892" t="str">
        <f t="shared" ca="1" si="91"/>
        <v/>
      </c>
      <c r="FC25" s="892">
        <f t="shared" ca="1" si="75"/>
        <v>0</v>
      </c>
      <c r="FD25" s="892">
        <f t="shared" ca="1" si="76"/>
        <v>0</v>
      </c>
      <c r="FE25" s="892">
        <f t="shared" ca="1" si="77"/>
        <v>0</v>
      </c>
      <c r="FF25" s="892">
        <f t="shared" ca="1" si="92"/>
        <v>0</v>
      </c>
      <c r="FN25" s="703" t="b">
        <v>0</v>
      </c>
      <c r="FO25" s="703" t="b">
        <f t="shared" si="78"/>
        <v>1</v>
      </c>
      <c r="FP25" s="703" t="b">
        <v>0</v>
      </c>
      <c r="FQ25" s="703" t="b">
        <f t="shared" si="93"/>
        <v>1</v>
      </c>
      <c r="FW25" s="1"/>
      <c r="FX25" s="1"/>
      <c r="FZ25" s="1"/>
      <c r="GA25" s="524" t="str">
        <f t="shared" si="79"/>
        <v/>
      </c>
      <c r="GB25" s="566" t="str">
        <f t="shared" si="80"/>
        <v/>
      </c>
      <c r="GC25" s="568" t="str">
        <f t="shared" si="81"/>
        <v/>
      </c>
      <c r="GD25" s="569" t="str">
        <f t="shared" si="82"/>
        <v/>
      </c>
      <c r="GE25" s="567" t="str">
        <f t="shared" si="83"/>
        <v/>
      </c>
      <c r="GF25" s="525" t="str">
        <f t="shared" si="84"/>
        <v/>
      </c>
      <c r="GG25" s="1056"/>
      <c r="GH25" s="1058"/>
      <c r="GI25" s="1056"/>
      <c r="GJ25" s="1058"/>
      <c r="GK25" s="1523">
        <f t="shared" si="85"/>
        <v>0</v>
      </c>
      <c r="GL25" s="1523" t="e">
        <f t="shared" si="86"/>
        <v>#VALUE!</v>
      </c>
      <c r="GM25" s="1524" t="e">
        <f>IF(ABS(GK25-GL25)&gt;=#REF!,ABS(GK25-GL25),0)</f>
        <v>#VALUE!</v>
      </c>
      <c r="HA25" s="1159"/>
      <c r="HB25" s="1160"/>
      <c r="HC25" s="1160"/>
      <c r="HD25" s="1161"/>
      <c r="HE25" s="1162"/>
      <c r="HF25" s="1160"/>
      <c r="HG25" s="1160"/>
      <c r="HH25" s="1160"/>
      <c r="HI25" s="1160"/>
      <c r="HJ25" s="1160"/>
      <c r="HK25" s="1160"/>
      <c r="HL25" s="1160"/>
      <c r="HM25" s="1160"/>
      <c r="HN25" s="1160"/>
      <c r="HO25" s="1160"/>
      <c r="HP25" s="1160"/>
      <c r="HQ25" s="1160"/>
      <c r="HR25" s="1160"/>
      <c r="HS25" s="1160"/>
      <c r="HT25" s="1160"/>
      <c r="HU25" s="1160"/>
      <c r="HV25" s="1160"/>
      <c r="HW25" s="1160"/>
      <c r="HX25" s="1160"/>
      <c r="HY25" s="1164"/>
      <c r="HZ25" s="1164"/>
      <c r="IA25" s="1164"/>
      <c r="IB25" s="1164"/>
      <c r="IC25" s="1164"/>
      <c r="ID25" s="1179"/>
      <c r="IE25" s="1159"/>
      <c r="IF25" s="1160"/>
      <c r="IG25" s="1161"/>
      <c r="IH25" s="1162"/>
      <c r="II25" s="1160"/>
      <c r="IJ25" s="1161"/>
      <c r="IK25" s="1162"/>
      <c r="IL25" s="1160"/>
      <c r="IM25" s="1160"/>
      <c r="IN25" s="1160"/>
      <c r="IO25" s="1160"/>
      <c r="IP25" s="1160"/>
      <c r="IQ25" s="1160"/>
      <c r="IR25" s="1160"/>
      <c r="IS25" s="1161"/>
      <c r="IT25" s="1162"/>
      <c r="IU25" s="1160"/>
      <c r="IV25" s="1160"/>
      <c r="IW25" s="1161"/>
      <c r="IX25" s="1162"/>
      <c r="IY25" s="1160"/>
      <c r="IZ25" s="1160"/>
      <c r="JA25" s="1161"/>
      <c r="JB25" s="1162"/>
      <c r="JC25" s="1160"/>
      <c r="JD25" s="1160"/>
      <c r="JE25" s="1161"/>
      <c r="JF25" s="1162"/>
      <c r="JG25" s="1160"/>
      <c r="JH25" s="1160"/>
      <c r="JI25" s="1160"/>
      <c r="JJ25" s="1163"/>
      <c r="JK25" s="1160"/>
      <c r="JL25" s="1103">
        <f t="shared" ca="1" si="96"/>
        <v>0</v>
      </c>
    </row>
    <row r="26" spans="1:272" ht="12.6" customHeight="1" x14ac:dyDescent="0.25">
      <c r="A26" s="1132" t="str">
        <f t="shared" si="0"/>
        <v/>
      </c>
      <c r="B26" s="1586" t="str">
        <f t="shared" si="1"/>
        <v/>
      </c>
      <c r="C26" s="1133" t="str">
        <f t="shared" si="2"/>
        <v/>
      </c>
      <c r="D26" s="1134" t="str">
        <f t="shared" si="3"/>
        <v/>
      </c>
      <c r="E26" s="1135" t="str">
        <f t="shared" si="4"/>
        <v/>
      </c>
      <c r="F26" s="1136" t="str">
        <f t="shared" si="5"/>
        <v/>
      </c>
      <c r="G26" s="1137" t="str">
        <f t="shared" si="6"/>
        <v/>
      </c>
      <c r="H26" s="1138" t="str">
        <f t="shared" si="7"/>
        <v/>
      </c>
      <c r="I26" s="1139" t="str">
        <f t="shared" si="8"/>
        <v/>
      </c>
      <c r="J26" s="1134" t="str">
        <f t="shared" si="9"/>
        <v/>
      </c>
      <c r="K26" s="1138" t="str">
        <f t="shared" si="10"/>
        <v/>
      </c>
      <c r="L26" s="1140" t="str">
        <f t="shared" si="11"/>
        <v/>
      </c>
      <c r="M26" s="1141" t="str">
        <f t="shared" si="12"/>
        <v/>
      </c>
      <c r="N26" s="1142" t="str">
        <f t="shared" si="12"/>
        <v/>
      </c>
      <c r="O26" s="1137" t="str">
        <f t="shared" si="13"/>
        <v/>
      </c>
      <c r="P26" s="1138" t="str">
        <f t="shared" si="14"/>
        <v/>
      </c>
      <c r="Q26" s="1134" t="str">
        <f t="shared" si="15"/>
        <v/>
      </c>
      <c r="R26" s="1135" t="str">
        <f t="shared" si="16"/>
        <v/>
      </c>
      <c r="S26" s="1143" t="str">
        <f t="shared" si="17"/>
        <v/>
      </c>
      <c r="T26" s="1138" t="str">
        <f t="shared" si="18"/>
        <v/>
      </c>
      <c r="U26" s="1134" t="str">
        <f t="shared" si="19"/>
        <v/>
      </c>
      <c r="V26" s="1138" t="str">
        <f t="shared" si="20"/>
        <v/>
      </c>
      <c r="W26" s="1142">
        <f t="shared" si="21"/>
        <v>0</v>
      </c>
      <c r="X26" s="1144" t="e">
        <f t="shared" si="22"/>
        <v>#REF!</v>
      </c>
      <c r="Y26" s="1145" t="e">
        <f t="shared" si="23"/>
        <v>#REF!</v>
      </c>
      <c r="Z26" s="1587" t="str">
        <f t="shared" si="24"/>
        <v/>
      </c>
      <c r="AA26" s="1152" t="str">
        <f t="shared" si="25"/>
        <v/>
      </c>
      <c r="AB26" s="1132" t="str">
        <f t="shared" si="26"/>
        <v/>
      </c>
      <c r="AC26" s="1139" t="str">
        <f t="shared" si="26"/>
        <v/>
      </c>
      <c r="AD26" s="1134" t="str">
        <f t="shared" ca="1" si="27"/>
        <v/>
      </c>
      <c r="AE26" s="1138" t="str">
        <f t="shared" ca="1" si="28"/>
        <v/>
      </c>
      <c r="AF26" s="1139" t="str">
        <f t="shared" ca="1" si="29"/>
        <v/>
      </c>
      <c r="AG26" s="1134" t="str">
        <f t="shared" ca="1" si="30"/>
        <v/>
      </c>
      <c r="AH26" s="1138" t="str">
        <f t="shared" ca="1" si="31"/>
        <v/>
      </c>
      <c r="AI26" s="1134" t="str">
        <f t="shared" ca="1" si="32"/>
        <v/>
      </c>
      <c r="AJ26" s="1138" t="str">
        <f t="shared" ca="1" si="33"/>
        <v/>
      </c>
      <c r="AK26" s="1619" t="str">
        <f t="shared" si="34"/>
        <v/>
      </c>
      <c r="AL26" s="1620" t="str">
        <f t="shared" si="34"/>
        <v/>
      </c>
      <c r="AM26" s="1621" t="str">
        <f t="shared" si="34"/>
        <v/>
      </c>
      <c r="AN26" s="1139" t="str">
        <f t="shared" si="34"/>
        <v/>
      </c>
      <c r="AO26" s="1142" t="str">
        <f t="shared" si="34"/>
        <v/>
      </c>
      <c r="AP26" s="1141" t="str">
        <f t="shared" si="35"/>
        <v/>
      </c>
      <c r="AQ26" s="1623" t="str">
        <f t="shared" si="36"/>
        <v/>
      </c>
      <c r="AR26" s="1137" t="str">
        <f t="shared" si="37"/>
        <v/>
      </c>
      <c r="AS26" s="1138" t="str">
        <f t="shared" si="38"/>
        <v/>
      </c>
      <c r="AT26" s="1624" t="str">
        <f t="shared" si="39"/>
        <v/>
      </c>
      <c r="AU26" s="1625" t="str">
        <f t="shared" si="40"/>
        <v/>
      </c>
      <c r="AV26" s="1143" t="str">
        <f t="shared" si="41"/>
        <v/>
      </c>
      <c r="AW26" s="1138" t="str">
        <f t="shared" si="42"/>
        <v/>
      </c>
      <c r="AX26" s="1624" t="str">
        <f t="shared" si="43"/>
        <v/>
      </c>
      <c r="AY26" s="1625" t="str">
        <f t="shared" si="44"/>
        <v/>
      </c>
      <c r="AZ26" s="1143" t="str">
        <f t="shared" si="45"/>
        <v/>
      </c>
      <c r="BA26" s="1138" t="str">
        <f t="shared" si="46"/>
        <v/>
      </c>
      <c r="BB26" s="1624" t="str">
        <f t="shared" si="47"/>
        <v/>
      </c>
      <c r="BC26" s="1625" t="str">
        <f t="shared" si="48"/>
        <v/>
      </c>
      <c r="BD26" s="1143" t="str">
        <f t="shared" si="49"/>
        <v/>
      </c>
      <c r="BE26" s="1138" t="str">
        <f t="shared" si="50"/>
        <v/>
      </c>
      <c r="BF26" s="1624" t="str">
        <f t="shared" si="51"/>
        <v/>
      </c>
      <c r="BG26" s="1625" t="str">
        <f t="shared" si="51"/>
        <v/>
      </c>
      <c r="BH26" s="1291"/>
      <c r="BJ26" s="915" t="str">
        <f t="shared" si="94"/>
        <v/>
      </c>
      <c r="BK26" s="913" t="e">
        <f t="shared" si="52"/>
        <v>#REF!</v>
      </c>
      <c r="BL26" s="908" t="b">
        <v>0</v>
      </c>
      <c r="BM26" s="908">
        <f t="shared" si="53"/>
        <v>0</v>
      </c>
      <c r="BN26" s="908">
        <f t="shared" si="54"/>
        <v>0</v>
      </c>
      <c r="BO26" s="908">
        <f t="shared" si="55"/>
        <v>0</v>
      </c>
      <c r="BP26" s="908">
        <f t="shared" si="56"/>
        <v>0</v>
      </c>
      <c r="BQ26" s="908">
        <f t="shared" si="57"/>
        <v>0</v>
      </c>
      <c r="BR26" s="908" t="b">
        <f t="shared" si="58"/>
        <v>1</v>
      </c>
      <c r="BS26" s="1216">
        <f t="shared" si="59"/>
        <v>6</v>
      </c>
      <c r="BT26" s="909" t="str">
        <f t="shared" si="60"/>
        <v>No</v>
      </c>
      <c r="BU26" s="1216">
        <f t="shared" si="61"/>
        <v>6</v>
      </c>
      <c r="BV26" s="909" t="str">
        <f t="shared" si="62"/>
        <v>No</v>
      </c>
      <c r="BW26" s="910">
        <f t="shared" ca="1" si="63"/>
        <v>0</v>
      </c>
      <c r="BX26" s="911" t="str">
        <f t="shared" ca="1" si="64"/>
        <v/>
      </c>
      <c r="BY26" s="911" t="b">
        <f t="shared" ca="1" si="65"/>
        <v>0</v>
      </c>
      <c r="BZ26" s="910" t="e">
        <f t="shared" si="87"/>
        <v>#REF!</v>
      </c>
      <c r="CB26" s="616"/>
      <c r="CC26" s="1567"/>
      <c r="CD26" s="645"/>
      <c r="CE26" s="646"/>
      <c r="CF26" s="647"/>
      <c r="CG26" s="660"/>
      <c r="CH26" s="661"/>
      <c r="CI26" s="662"/>
      <c r="CJ26" s="661"/>
      <c r="CK26" s="662"/>
      <c r="CL26" s="663"/>
      <c r="CM26" s="692"/>
      <c r="CN26" s="687"/>
      <c r="CO26" s="1430"/>
      <c r="CP26" s="839"/>
      <c r="CQ26" s="660"/>
      <c r="CR26" s="661"/>
      <c r="CS26" s="662"/>
      <c r="CT26" s="661"/>
      <c r="CU26" s="662"/>
      <c r="CV26" s="663"/>
      <c r="CW26" s="692"/>
      <c r="CX26" s="687"/>
      <c r="CY26" s="1430"/>
      <c r="CZ26" s="839"/>
      <c r="DA26" s="665"/>
      <c r="DB26" s="648"/>
      <c r="DC26" s="649"/>
      <c r="DD26" s="674"/>
      <c r="DE26" s="675"/>
      <c r="DF26" s="58"/>
      <c r="DG26" s="58"/>
      <c r="DH26" s="616"/>
      <c r="DI26" s="617"/>
      <c r="DJ26" s="638"/>
      <c r="DK26" s="1245"/>
      <c r="DL26" s="618"/>
      <c r="DM26" s="639"/>
      <c r="DN26" s="1248"/>
      <c r="DO26" s="619"/>
      <c r="DP26" s="620"/>
      <c r="DQ26" s="1294"/>
      <c r="DR26" s="621"/>
      <c r="DS26" s="1294"/>
      <c r="DT26" s="1296"/>
      <c r="DU26" s="1297"/>
      <c r="DV26" s="622"/>
      <c r="DW26" s="1250"/>
      <c r="DX26" s="623"/>
      <c r="DY26" s="624"/>
      <c r="DZ26" s="622"/>
      <c r="EA26" s="1250"/>
      <c r="EB26" s="623"/>
      <c r="EC26" s="624"/>
      <c r="ED26" s="622"/>
      <c r="EE26" s="1250"/>
      <c r="EF26" s="623"/>
      <c r="EG26" s="624"/>
      <c r="EH26" s="622"/>
      <c r="EI26" s="1250"/>
      <c r="EJ26" s="623"/>
      <c r="EK26" s="625"/>
      <c r="EL26" s="147"/>
      <c r="EM26" s="1513" t="str">
        <f t="shared" si="66"/>
        <v/>
      </c>
      <c r="EN26" s="1303" t="str">
        <f t="shared" si="67"/>
        <v/>
      </c>
      <c r="EO26" s="1304" t="str">
        <f t="shared" si="68"/>
        <v/>
      </c>
      <c r="EP26" s="1305" t="str">
        <f t="shared" si="69"/>
        <v/>
      </c>
      <c r="EQ26" s="1309" t="str">
        <f t="shared" si="70"/>
        <v/>
      </c>
      <c r="ER26" s="1315" t="str">
        <f t="shared" si="71"/>
        <v/>
      </c>
      <c r="ES26" s="1316" t="str">
        <f t="shared" si="72"/>
        <v/>
      </c>
      <c r="ET26" s="1317" t="str">
        <f t="shared" si="73"/>
        <v/>
      </c>
      <c r="EU26" s="1318" t="str">
        <f t="shared" si="88"/>
        <v/>
      </c>
      <c r="EX26" s="870" t="str">
        <f t="shared" ca="1" si="89"/>
        <v/>
      </c>
      <c r="EY26" s="872" t="str">
        <f t="shared" si="74"/>
        <v/>
      </c>
      <c r="EZ26" s="872" t="str">
        <f t="shared" si="90"/>
        <v/>
      </c>
      <c r="FA26" s="891" t="str">
        <f t="shared" ca="1" si="95"/>
        <v/>
      </c>
      <c r="FB26" s="892" t="str">
        <f t="shared" ca="1" si="91"/>
        <v/>
      </c>
      <c r="FC26" s="892">
        <f t="shared" ca="1" si="75"/>
        <v>0</v>
      </c>
      <c r="FD26" s="892">
        <f t="shared" ca="1" si="76"/>
        <v>0</v>
      </c>
      <c r="FE26" s="892">
        <f t="shared" ca="1" si="77"/>
        <v>0</v>
      </c>
      <c r="FF26" s="892">
        <f t="shared" ca="1" si="92"/>
        <v>0</v>
      </c>
      <c r="FN26" s="703" t="b">
        <v>0</v>
      </c>
      <c r="FO26" s="703" t="b">
        <f t="shared" si="78"/>
        <v>1</v>
      </c>
      <c r="FP26" s="703" t="b">
        <v>0</v>
      </c>
      <c r="FQ26" s="703" t="b">
        <f t="shared" si="93"/>
        <v>1</v>
      </c>
      <c r="FW26" s="1"/>
      <c r="FX26" s="1"/>
      <c r="FZ26" s="1"/>
      <c r="GA26" s="524" t="str">
        <f t="shared" si="79"/>
        <v/>
      </c>
      <c r="GB26" s="566" t="str">
        <f t="shared" si="80"/>
        <v/>
      </c>
      <c r="GC26" s="568" t="str">
        <f t="shared" si="81"/>
        <v/>
      </c>
      <c r="GD26" s="569" t="str">
        <f t="shared" si="82"/>
        <v/>
      </c>
      <c r="GE26" s="567" t="str">
        <f t="shared" si="83"/>
        <v/>
      </c>
      <c r="GF26" s="525" t="str">
        <f t="shared" si="84"/>
        <v/>
      </c>
      <c r="GG26" s="1056"/>
      <c r="GH26" s="1058"/>
      <c r="GI26" s="1056"/>
      <c r="GJ26" s="1058"/>
      <c r="GK26" s="1523">
        <f t="shared" si="85"/>
        <v>0</v>
      </c>
      <c r="GL26" s="1523" t="e">
        <f t="shared" si="86"/>
        <v>#VALUE!</v>
      </c>
      <c r="GM26" s="1524" t="e">
        <f>IF(ABS(GK26-GL26)&gt;=#REF!,ABS(GK26-GL26),0)</f>
        <v>#VALUE!</v>
      </c>
      <c r="GZ26" s="65"/>
      <c r="HA26" s="1159"/>
      <c r="HB26" s="1160"/>
      <c r="HC26" s="1160"/>
      <c r="HD26" s="1161"/>
      <c r="HE26" s="1162"/>
      <c r="HF26" s="1160"/>
      <c r="HG26" s="1160"/>
      <c r="HH26" s="1160"/>
      <c r="HI26" s="1160"/>
      <c r="HJ26" s="1160"/>
      <c r="HK26" s="1160"/>
      <c r="HL26" s="1160"/>
      <c r="HM26" s="1160"/>
      <c r="HN26" s="1160"/>
      <c r="HO26" s="1160"/>
      <c r="HP26" s="1160"/>
      <c r="HQ26" s="1160"/>
      <c r="HR26" s="1160"/>
      <c r="HS26" s="1160"/>
      <c r="HT26" s="1160"/>
      <c r="HU26" s="1160"/>
      <c r="HV26" s="1160"/>
      <c r="HW26" s="1160"/>
      <c r="HX26" s="1160"/>
      <c r="HY26" s="1164"/>
      <c r="HZ26" s="1164"/>
      <c r="IA26" s="1164"/>
      <c r="IB26" s="1164"/>
      <c r="IC26" s="1164"/>
      <c r="ID26" s="1179"/>
      <c r="IE26" s="1159"/>
      <c r="IF26" s="1160"/>
      <c r="IG26" s="1161"/>
      <c r="IH26" s="1162"/>
      <c r="II26" s="1160"/>
      <c r="IJ26" s="1161"/>
      <c r="IK26" s="1162"/>
      <c r="IL26" s="1160"/>
      <c r="IM26" s="1160"/>
      <c r="IN26" s="1160"/>
      <c r="IO26" s="1160"/>
      <c r="IP26" s="1160"/>
      <c r="IQ26" s="1160"/>
      <c r="IR26" s="1160"/>
      <c r="IS26" s="1161"/>
      <c r="IT26" s="1162"/>
      <c r="IU26" s="1160"/>
      <c r="IV26" s="1160"/>
      <c r="IW26" s="1161"/>
      <c r="IX26" s="1162"/>
      <c r="IY26" s="1160"/>
      <c r="IZ26" s="1160"/>
      <c r="JA26" s="1161"/>
      <c r="JB26" s="1162"/>
      <c r="JC26" s="1160"/>
      <c r="JD26" s="1160"/>
      <c r="JE26" s="1161"/>
      <c r="JF26" s="1162"/>
      <c r="JG26" s="1160"/>
      <c r="JH26" s="1160"/>
      <c r="JI26" s="1160"/>
      <c r="JJ26" s="1163"/>
      <c r="JK26" s="1160"/>
      <c r="JL26" s="1103">
        <f t="shared" ca="1" si="96"/>
        <v>0</v>
      </c>
    </row>
    <row r="27" spans="1:272" ht="12.6" customHeight="1" x14ac:dyDescent="0.25">
      <c r="A27" s="1132" t="str">
        <f t="shared" si="0"/>
        <v/>
      </c>
      <c r="B27" s="1586" t="str">
        <f t="shared" si="1"/>
        <v/>
      </c>
      <c r="C27" s="1133" t="str">
        <f t="shared" si="2"/>
        <v/>
      </c>
      <c r="D27" s="1134" t="str">
        <f t="shared" si="3"/>
        <v/>
      </c>
      <c r="E27" s="1135" t="str">
        <f t="shared" si="4"/>
        <v/>
      </c>
      <c r="F27" s="1136" t="str">
        <f t="shared" si="5"/>
        <v/>
      </c>
      <c r="G27" s="1137" t="str">
        <f t="shared" si="6"/>
        <v/>
      </c>
      <c r="H27" s="1138" t="str">
        <f t="shared" si="7"/>
        <v/>
      </c>
      <c r="I27" s="1139" t="str">
        <f t="shared" si="8"/>
        <v/>
      </c>
      <c r="J27" s="1134" t="str">
        <f t="shared" si="9"/>
        <v/>
      </c>
      <c r="K27" s="1138" t="str">
        <f t="shared" si="10"/>
        <v/>
      </c>
      <c r="L27" s="1140" t="str">
        <f t="shared" si="11"/>
        <v/>
      </c>
      <c r="M27" s="1141" t="str">
        <f t="shared" si="12"/>
        <v/>
      </c>
      <c r="N27" s="1142" t="str">
        <f t="shared" si="12"/>
        <v/>
      </c>
      <c r="O27" s="1137" t="str">
        <f t="shared" si="13"/>
        <v/>
      </c>
      <c r="P27" s="1138" t="str">
        <f t="shared" si="14"/>
        <v/>
      </c>
      <c r="Q27" s="1134" t="str">
        <f t="shared" si="15"/>
        <v/>
      </c>
      <c r="R27" s="1135" t="str">
        <f t="shared" si="16"/>
        <v/>
      </c>
      <c r="S27" s="1143" t="str">
        <f t="shared" si="17"/>
        <v/>
      </c>
      <c r="T27" s="1138" t="str">
        <f t="shared" si="18"/>
        <v/>
      </c>
      <c r="U27" s="1134" t="str">
        <f t="shared" si="19"/>
        <v/>
      </c>
      <c r="V27" s="1138" t="str">
        <f t="shared" si="20"/>
        <v/>
      </c>
      <c r="W27" s="1142">
        <f t="shared" si="21"/>
        <v>0</v>
      </c>
      <c r="X27" s="1144" t="e">
        <f t="shared" si="22"/>
        <v>#REF!</v>
      </c>
      <c r="Y27" s="1145" t="e">
        <f t="shared" si="23"/>
        <v>#REF!</v>
      </c>
      <c r="Z27" s="1587" t="str">
        <f t="shared" si="24"/>
        <v/>
      </c>
      <c r="AA27" s="1152" t="str">
        <f t="shared" si="25"/>
        <v/>
      </c>
      <c r="AB27" s="1132" t="str">
        <f t="shared" si="26"/>
        <v/>
      </c>
      <c r="AC27" s="1139" t="str">
        <f t="shared" si="26"/>
        <v/>
      </c>
      <c r="AD27" s="1134" t="str">
        <f t="shared" ca="1" si="27"/>
        <v/>
      </c>
      <c r="AE27" s="1138" t="str">
        <f t="shared" ca="1" si="28"/>
        <v/>
      </c>
      <c r="AF27" s="1139" t="str">
        <f t="shared" ca="1" si="29"/>
        <v/>
      </c>
      <c r="AG27" s="1134" t="str">
        <f t="shared" ca="1" si="30"/>
        <v/>
      </c>
      <c r="AH27" s="1138" t="str">
        <f t="shared" ca="1" si="31"/>
        <v/>
      </c>
      <c r="AI27" s="1134" t="str">
        <f t="shared" ca="1" si="32"/>
        <v/>
      </c>
      <c r="AJ27" s="1138" t="str">
        <f t="shared" ca="1" si="33"/>
        <v/>
      </c>
      <c r="AK27" s="1619" t="str">
        <f t="shared" si="34"/>
        <v/>
      </c>
      <c r="AL27" s="1620" t="str">
        <f t="shared" si="34"/>
        <v/>
      </c>
      <c r="AM27" s="1621" t="str">
        <f t="shared" si="34"/>
        <v/>
      </c>
      <c r="AN27" s="1139" t="str">
        <f t="shared" si="34"/>
        <v/>
      </c>
      <c r="AO27" s="1142" t="str">
        <f t="shared" si="34"/>
        <v/>
      </c>
      <c r="AP27" s="1141" t="str">
        <f t="shared" si="35"/>
        <v/>
      </c>
      <c r="AQ27" s="1623" t="str">
        <f t="shared" si="36"/>
        <v/>
      </c>
      <c r="AR27" s="1137" t="str">
        <f t="shared" si="37"/>
        <v/>
      </c>
      <c r="AS27" s="1138" t="str">
        <f t="shared" si="38"/>
        <v/>
      </c>
      <c r="AT27" s="1624" t="str">
        <f t="shared" si="39"/>
        <v/>
      </c>
      <c r="AU27" s="1625" t="str">
        <f t="shared" si="40"/>
        <v/>
      </c>
      <c r="AV27" s="1143" t="str">
        <f t="shared" si="41"/>
        <v/>
      </c>
      <c r="AW27" s="1138" t="str">
        <f t="shared" si="42"/>
        <v/>
      </c>
      <c r="AX27" s="1624" t="str">
        <f t="shared" si="43"/>
        <v/>
      </c>
      <c r="AY27" s="1625" t="str">
        <f t="shared" si="44"/>
        <v/>
      </c>
      <c r="AZ27" s="1143" t="str">
        <f t="shared" si="45"/>
        <v/>
      </c>
      <c r="BA27" s="1138" t="str">
        <f t="shared" si="46"/>
        <v/>
      </c>
      <c r="BB27" s="1624" t="str">
        <f t="shared" si="47"/>
        <v/>
      </c>
      <c r="BC27" s="1625" t="str">
        <f t="shared" si="48"/>
        <v/>
      </c>
      <c r="BD27" s="1143" t="str">
        <f t="shared" si="49"/>
        <v/>
      </c>
      <c r="BE27" s="1138" t="str">
        <f t="shared" si="50"/>
        <v/>
      </c>
      <c r="BF27" s="1624" t="str">
        <f t="shared" si="51"/>
        <v/>
      </c>
      <c r="BG27" s="1625" t="str">
        <f t="shared" si="51"/>
        <v/>
      </c>
      <c r="BH27" s="1291"/>
      <c r="BJ27" s="915" t="str">
        <f t="shared" si="94"/>
        <v/>
      </c>
      <c r="BK27" s="913" t="e">
        <f t="shared" si="52"/>
        <v>#REF!</v>
      </c>
      <c r="BL27" s="908" t="b">
        <v>0</v>
      </c>
      <c r="BM27" s="908">
        <f t="shared" si="53"/>
        <v>0</v>
      </c>
      <c r="BN27" s="908">
        <f t="shared" si="54"/>
        <v>0</v>
      </c>
      <c r="BO27" s="908">
        <f t="shared" si="55"/>
        <v>0</v>
      </c>
      <c r="BP27" s="908">
        <f t="shared" si="56"/>
        <v>0</v>
      </c>
      <c r="BQ27" s="908">
        <f t="shared" si="57"/>
        <v>0</v>
      </c>
      <c r="BR27" s="908" t="b">
        <f t="shared" si="58"/>
        <v>1</v>
      </c>
      <c r="BS27" s="1216">
        <f t="shared" si="59"/>
        <v>6</v>
      </c>
      <c r="BT27" s="909" t="str">
        <f t="shared" si="60"/>
        <v>No</v>
      </c>
      <c r="BU27" s="1216">
        <f t="shared" si="61"/>
        <v>6</v>
      </c>
      <c r="BV27" s="909" t="str">
        <f t="shared" si="62"/>
        <v>No</v>
      </c>
      <c r="BW27" s="910">
        <f t="shared" ca="1" si="63"/>
        <v>0</v>
      </c>
      <c r="BX27" s="911" t="str">
        <f t="shared" ca="1" si="64"/>
        <v/>
      </c>
      <c r="BY27" s="911" t="b">
        <f t="shared" ca="1" si="65"/>
        <v>0</v>
      </c>
      <c r="BZ27" s="910" t="e">
        <f t="shared" si="87"/>
        <v>#REF!</v>
      </c>
      <c r="CB27" s="616"/>
      <c r="CC27" s="1567"/>
      <c r="CD27" s="645"/>
      <c r="CE27" s="646"/>
      <c r="CF27" s="647"/>
      <c r="CG27" s="660"/>
      <c r="CH27" s="661"/>
      <c r="CI27" s="662"/>
      <c r="CJ27" s="661"/>
      <c r="CK27" s="662"/>
      <c r="CL27" s="663"/>
      <c r="CM27" s="692"/>
      <c r="CN27" s="687"/>
      <c r="CO27" s="1430"/>
      <c r="CP27" s="839"/>
      <c r="CQ27" s="660"/>
      <c r="CR27" s="661"/>
      <c r="CS27" s="662"/>
      <c r="CT27" s="661"/>
      <c r="CU27" s="662"/>
      <c r="CV27" s="663"/>
      <c r="CW27" s="692"/>
      <c r="CX27" s="687"/>
      <c r="CY27" s="1430"/>
      <c r="CZ27" s="839"/>
      <c r="DA27" s="665"/>
      <c r="DB27" s="648"/>
      <c r="DC27" s="649"/>
      <c r="DD27" s="674"/>
      <c r="DE27" s="675"/>
      <c r="DF27" s="58"/>
      <c r="DG27" s="58"/>
      <c r="DH27" s="616"/>
      <c r="DI27" s="617"/>
      <c r="DJ27" s="638"/>
      <c r="DK27" s="1245"/>
      <c r="DL27" s="618"/>
      <c r="DM27" s="639"/>
      <c r="DN27" s="1248"/>
      <c r="DO27" s="619"/>
      <c r="DP27" s="620"/>
      <c r="DQ27" s="1294"/>
      <c r="DR27" s="621"/>
      <c r="DS27" s="1294"/>
      <c r="DT27" s="1296"/>
      <c r="DU27" s="1297"/>
      <c r="DV27" s="622"/>
      <c r="DW27" s="1250"/>
      <c r="DX27" s="623"/>
      <c r="DY27" s="624"/>
      <c r="DZ27" s="622"/>
      <c r="EA27" s="1250"/>
      <c r="EB27" s="623"/>
      <c r="EC27" s="624"/>
      <c r="ED27" s="622"/>
      <c r="EE27" s="1250"/>
      <c r="EF27" s="623"/>
      <c r="EG27" s="624"/>
      <c r="EH27" s="622"/>
      <c r="EI27" s="1250"/>
      <c r="EJ27" s="623"/>
      <c r="EK27" s="625"/>
      <c r="EL27" s="147"/>
      <c r="EM27" s="1513" t="str">
        <f t="shared" si="66"/>
        <v/>
      </c>
      <c r="EN27" s="1303" t="str">
        <f t="shared" si="67"/>
        <v/>
      </c>
      <c r="EO27" s="1304" t="str">
        <f t="shared" si="68"/>
        <v/>
      </c>
      <c r="EP27" s="1305" t="str">
        <f t="shared" si="69"/>
        <v/>
      </c>
      <c r="EQ27" s="1309" t="str">
        <f t="shared" si="70"/>
        <v/>
      </c>
      <c r="ER27" s="1315" t="str">
        <f t="shared" si="71"/>
        <v/>
      </c>
      <c r="ES27" s="1316" t="str">
        <f t="shared" si="72"/>
        <v/>
      </c>
      <c r="ET27" s="1317" t="str">
        <f t="shared" si="73"/>
        <v/>
      </c>
      <c r="EU27" s="1318" t="str">
        <f t="shared" si="88"/>
        <v/>
      </c>
      <c r="EX27" s="870" t="str">
        <f t="shared" ca="1" si="89"/>
        <v/>
      </c>
      <c r="EY27" s="872" t="str">
        <f t="shared" si="74"/>
        <v/>
      </c>
      <c r="EZ27" s="872" t="str">
        <f t="shared" si="90"/>
        <v/>
      </c>
      <c r="FA27" s="891" t="str">
        <f t="shared" ca="1" si="95"/>
        <v/>
      </c>
      <c r="FB27" s="892" t="str">
        <f t="shared" ca="1" si="91"/>
        <v/>
      </c>
      <c r="FC27" s="892">
        <f t="shared" ca="1" si="75"/>
        <v>0</v>
      </c>
      <c r="FD27" s="892">
        <f t="shared" ca="1" si="76"/>
        <v>0</v>
      </c>
      <c r="FE27" s="892">
        <f t="shared" ca="1" si="77"/>
        <v>0</v>
      </c>
      <c r="FF27" s="892">
        <f t="shared" ca="1" si="92"/>
        <v>0</v>
      </c>
      <c r="FN27" s="703" t="b">
        <v>0</v>
      </c>
      <c r="FO27" s="703" t="b">
        <f t="shared" si="78"/>
        <v>1</v>
      </c>
      <c r="FP27" s="703" t="b">
        <v>0</v>
      </c>
      <c r="FQ27" s="703" t="b">
        <f t="shared" si="93"/>
        <v>1</v>
      </c>
      <c r="FW27" s="1"/>
      <c r="FX27" s="1"/>
      <c r="FZ27" s="1"/>
      <c r="GA27" s="524" t="str">
        <f t="shared" si="79"/>
        <v/>
      </c>
      <c r="GB27" s="566" t="str">
        <f t="shared" si="80"/>
        <v/>
      </c>
      <c r="GC27" s="568" t="str">
        <f t="shared" si="81"/>
        <v/>
      </c>
      <c r="GD27" s="569" t="str">
        <f t="shared" si="82"/>
        <v/>
      </c>
      <c r="GE27" s="567" t="str">
        <f t="shared" si="83"/>
        <v/>
      </c>
      <c r="GF27" s="525" t="str">
        <f t="shared" si="84"/>
        <v/>
      </c>
      <c r="GG27" s="1056"/>
      <c r="GH27" s="1058"/>
      <c r="GI27" s="1056"/>
      <c r="GJ27" s="1058"/>
      <c r="GK27" s="1523">
        <f t="shared" si="85"/>
        <v>0</v>
      </c>
      <c r="GL27" s="1523" t="e">
        <f t="shared" si="86"/>
        <v>#VALUE!</v>
      </c>
      <c r="GM27" s="1524" t="e">
        <f>IF(ABS(GK27-GL27)&gt;=#REF!,ABS(GK27-GL27),0)</f>
        <v>#VALUE!</v>
      </c>
      <c r="GZ27" s="65"/>
      <c r="HA27" s="1159"/>
      <c r="HB27" s="1160"/>
      <c r="HC27" s="1160"/>
      <c r="HD27" s="1161"/>
      <c r="HE27" s="1162"/>
      <c r="HF27" s="1160"/>
      <c r="HG27" s="1160"/>
      <c r="HH27" s="1160"/>
      <c r="HI27" s="1160"/>
      <c r="HJ27" s="1160"/>
      <c r="HK27" s="1160"/>
      <c r="HL27" s="1160"/>
      <c r="HM27" s="1160"/>
      <c r="HN27" s="1160"/>
      <c r="HO27" s="1160"/>
      <c r="HP27" s="1160"/>
      <c r="HQ27" s="1160"/>
      <c r="HR27" s="1160"/>
      <c r="HS27" s="1160"/>
      <c r="HT27" s="1160"/>
      <c r="HU27" s="1160"/>
      <c r="HV27" s="1160"/>
      <c r="HW27" s="1160"/>
      <c r="HX27" s="1160"/>
      <c r="HY27" s="1164"/>
      <c r="HZ27" s="1164"/>
      <c r="IA27" s="1164"/>
      <c r="IB27" s="1164"/>
      <c r="IC27" s="1164"/>
      <c r="ID27" s="1179"/>
      <c r="IE27" s="1159"/>
      <c r="IF27" s="1160"/>
      <c r="IG27" s="1161"/>
      <c r="IH27" s="1162"/>
      <c r="II27" s="1160"/>
      <c r="IJ27" s="1161"/>
      <c r="IK27" s="1162"/>
      <c r="IL27" s="1160"/>
      <c r="IM27" s="1160"/>
      <c r="IN27" s="1160"/>
      <c r="IO27" s="1160"/>
      <c r="IP27" s="1160"/>
      <c r="IQ27" s="1160"/>
      <c r="IR27" s="1160"/>
      <c r="IS27" s="1161"/>
      <c r="IT27" s="1162"/>
      <c r="IU27" s="1160"/>
      <c r="IV27" s="1160"/>
      <c r="IW27" s="1161"/>
      <c r="IX27" s="1162"/>
      <c r="IY27" s="1160"/>
      <c r="IZ27" s="1160"/>
      <c r="JA27" s="1161"/>
      <c r="JB27" s="1162"/>
      <c r="JC27" s="1160"/>
      <c r="JD27" s="1160"/>
      <c r="JE27" s="1161"/>
      <c r="JF27" s="1162"/>
      <c r="JG27" s="1160"/>
      <c r="JH27" s="1160"/>
      <c r="JI27" s="1160"/>
      <c r="JJ27" s="1163"/>
      <c r="JK27" s="1160"/>
      <c r="JL27" s="1103">
        <f t="shared" ca="1" si="96"/>
        <v>0</v>
      </c>
    </row>
    <row r="28" spans="1:272" ht="12.6" customHeight="1" x14ac:dyDescent="0.3">
      <c r="A28" s="1132" t="str">
        <f t="shared" si="0"/>
        <v/>
      </c>
      <c r="B28" s="1586" t="str">
        <f t="shared" si="1"/>
        <v/>
      </c>
      <c r="C28" s="1133" t="str">
        <f t="shared" si="2"/>
        <v/>
      </c>
      <c r="D28" s="1134" t="str">
        <f t="shared" si="3"/>
        <v/>
      </c>
      <c r="E28" s="1135" t="str">
        <f t="shared" si="4"/>
        <v/>
      </c>
      <c r="F28" s="1136" t="str">
        <f t="shared" si="5"/>
        <v/>
      </c>
      <c r="G28" s="1137" t="str">
        <f t="shared" si="6"/>
        <v/>
      </c>
      <c r="H28" s="1138" t="str">
        <f t="shared" si="7"/>
        <v/>
      </c>
      <c r="I28" s="1139" t="str">
        <f t="shared" si="8"/>
        <v/>
      </c>
      <c r="J28" s="1134" t="str">
        <f t="shared" si="9"/>
        <v/>
      </c>
      <c r="K28" s="1138" t="str">
        <f t="shared" si="10"/>
        <v/>
      </c>
      <c r="L28" s="1140" t="str">
        <f t="shared" si="11"/>
        <v/>
      </c>
      <c r="M28" s="1141" t="str">
        <f t="shared" si="12"/>
        <v/>
      </c>
      <c r="N28" s="1142" t="str">
        <f t="shared" si="12"/>
        <v/>
      </c>
      <c r="O28" s="1137" t="str">
        <f t="shared" si="13"/>
        <v/>
      </c>
      <c r="P28" s="1138" t="str">
        <f t="shared" si="14"/>
        <v/>
      </c>
      <c r="Q28" s="1134" t="str">
        <f t="shared" si="15"/>
        <v/>
      </c>
      <c r="R28" s="1135" t="str">
        <f t="shared" si="16"/>
        <v/>
      </c>
      <c r="S28" s="1143" t="str">
        <f t="shared" si="17"/>
        <v/>
      </c>
      <c r="T28" s="1138" t="str">
        <f t="shared" si="18"/>
        <v/>
      </c>
      <c r="U28" s="1134" t="str">
        <f t="shared" si="19"/>
        <v/>
      </c>
      <c r="V28" s="1138" t="str">
        <f t="shared" si="20"/>
        <v/>
      </c>
      <c r="W28" s="1142">
        <f t="shared" si="21"/>
        <v>0</v>
      </c>
      <c r="X28" s="1144" t="e">
        <f t="shared" si="22"/>
        <v>#REF!</v>
      </c>
      <c r="Y28" s="1145" t="e">
        <f t="shared" si="23"/>
        <v>#REF!</v>
      </c>
      <c r="Z28" s="1587" t="str">
        <f t="shared" si="24"/>
        <v/>
      </c>
      <c r="AA28" s="1152" t="str">
        <f t="shared" si="25"/>
        <v/>
      </c>
      <c r="AB28" s="1132" t="str">
        <f t="shared" si="26"/>
        <v/>
      </c>
      <c r="AC28" s="1139" t="str">
        <f t="shared" si="26"/>
        <v/>
      </c>
      <c r="AD28" s="1134" t="str">
        <f t="shared" ca="1" si="27"/>
        <v/>
      </c>
      <c r="AE28" s="1138" t="str">
        <f t="shared" ca="1" si="28"/>
        <v/>
      </c>
      <c r="AF28" s="1139" t="str">
        <f t="shared" ca="1" si="29"/>
        <v/>
      </c>
      <c r="AG28" s="1134" t="str">
        <f t="shared" ca="1" si="30"/>
        <v/>
      </c>
      <c r="AH28" s="1138" t="str">
        <f t="shared" ca="1" si="31"/>
        <v/>
      </c>
      <c r="AI28" s="1134" t="str">
        <f t="shared" ca="1" si="32"/>
        <v/>
      </c>
      <c r="AJ28" s="1138" t="str">
        <f t="shared" ca="1" si="33"/>
        <v/>
      </c>
      <c r="AK28" s="1619" t="str">
        <f t="shared" si="34"/>
        <v/>
      </c>
      <c r="AL28" s="1620" t="str">
        <f t="shared" si="34"/>
        <v/>
      </c>
      <c r="AM28" s="1621" t="str">
        <f t="shared" si="34"/>
        <v/>
      </c>
      <c r="AN28" s="1139" t="str">
        <f t="shared" si="34"/>
        <v/>
      </c>
      <c r="AO28" s="1142" t="str">
        <f t="shared" si="34"/>
        <v/>
      </c>
      <c r="AP28" s="1141" t="str">
        <f t="shared" si="35"/>
        <v/>
      </c>
      <c r="AQ28" s="1623" t="str">
        <f t="shared" si="36"/>
        <v/>
      </c>
      <c r="AR28" s="1137" t="str">
        <f t="shared" si="37"/>
        <v/>
      </c>
      <c r="AS28" s="1138" t="str">
        <f t="shared" si="38"/>
        <v/>
      </c>
      <c r="AT28" s="1624" t="str">
        <f t="shared" si="39"/>
        <v/>
      </c>
      <c r="AU28" s="1625" t="str">
        <f t="shared" si="40"/>
        <v/>
      </c>
      <c r="AV28" s="1143" t="str">
        <f t="shared" si="41"/>
        <v/>
      </c>
      <c r="AW28" s="1138" t="str">
        <f t="shared" si="42"/>
        <v/>
      </c>
      <c r="AX28" s="1624" t="str">
        <f t="shared" si="43"/>
        <v/>
      </c>
      <c r="AY28" s="1625" t="str">
        <f t="shared" si="44"/>
        <v/>
      </c>
      <c r="AZ28" s="1143" t="str">
        <f t="shared" si="45"/>
        <v/>
      </c>
      <c r="BA28" s="1138" t="str">
        <f t="shared" si="46"/>
        <v/>
      </c>
      <c r="BB28" s="1624" t="str">
        <f t="shared" si="47"/>
        <v/>
      </c>
      <c r="BC28" s="1625" t="str">
        <f t="shared" si="48"/>
        <v/>
      </c>
      <c r="BD28" s="1143" t="str">
        <f t="shared" si="49"/>
        <v/>
      </c>
      <c r="BE28" s="1138" t="str">
        <f t="shared" si="50"/>
        <v/>
      </c>
      <c r="BF28" s="1624" t="str">
        <f t="shared" si="51"/>
        <v/>
      </c>
      <c r="BG28" s="1625" t="str">
        <f t="shared" si="51"/>
        <v/>
      </c>
      <c r="BH28" s="1291"/>
      <c r="BJ28" s="915" t="str">
        <f t="shared" si="94"/>
        <v/>
      </c>
      <c r="BK28" s="913" t="e">
        <f t="shared" si="52"/>
        <v>#REF!</v>
      </c>
      <c r="BL28" s="908" t="b">
        <v>0</v>
      </c>
      <c r="BM28" s="908">
        <f t="shared" si="53"/>
        <v>0</v>
      </c>
      <c r="BN28" s="908">
        <f t="shared" si="54"/>
        <v>0</v>
      </c>
      <c r="BO28" s="908">
        <f t="shared" si="55"/>
        <v>0</v>
      </c>
      <c r="BP28" s="908">
        <f t="shared" si="56"/>
        <v>0</v>
      </c>
      <c r="BQ28" s="908">
        <f t="shared" si="57"/>
        <v>0</v>
      </c>
      <c r="BR28" s="908" t="b">
        <f t="shared" si="58"/>
        <v>1</v>
      </c>
      <c r="BS28" s="1216">
        <f t="shared" si="59"/>
        <v>6</v>
      </c>
      <c r="BT28" s="909" t="str">
        <f t="shared" si="60"/>
        <v>No</v>
      </c>
      <c r="BU28" s="1216">
        <f t="shared" si="61"/>
        <v>6</v>
      </c>
      <c r="BV28" s="909" t="str">
        <f t="shared" si="62"/>
        <v>No</v>
      </c>
      <c r="BW28" s="910">
        <f t="shared" ca="1" si="63"/>
        <v>0</v>
      </c>
      <c r="BX28" s="911" t="str">
        <f t="shared" ca="1" si="64"/>
        <v/>
      </c>
      <c r="BY28" s="911" t="b">
        <f t="shared" ca="1" si="65"/>
        <v>0</v>
      </c>
      <c r="BZ28" s="910" t="e">
        <f t="shared" si="87"/>
        <v>#REF!</v>
      </c>
      <c r="CB28" s="616"/>
      <c r="CC28" s="1567"/>
      <c r="CD28" s="645"/>
      <c r="CE28" s="646"/>
      <c r="CF28" s="647"/>
      <c r="CG28" s="660"/>
      <c r="CH28" s="661"/>
      <c r="CI28" s="662"/>
      <c r="CJ28" s="661"/>
      <c r="CK28" s="662"/>
      <c r="CL28" s="663"/>
      <c r="CM28" s="692"/>
      <c r="CN28" s="687"/>
      <c r="CO28" s="1430"/>
      <c r="CP28" s="839"/>
      <c r="CQ28" s="660"/>
      <c r="CR28" s="661"/>
      <c r="CS28" s="662"/>
      <c r="CT28" s="661"/>
      <c r="CU28" s="662"/>
      <c r="CV28" s="663"/>
      <c r="CW28" s="692"/>
      <c r="CX28" s="687"/>
      <c r="CY28" s="1430"/>
      <c r="CZ28" s="839"/>
      <c r="DA28" s="665"/>
      <c r="DB28" s="648"/>
      <c r="DC28" s="649"/>
      <c r="DD28" s="674"/>
      <c r="DE28" s="675"/>
      <c r="DF28" s="58"/>
      <c r="DG28" s="58"/>
      <c r="DH28" s="616"/>
      <c r="DI28" s="617"/>
      <c r="DJ28" s="638"/>
      <c r="DK28" s="1245"/>
      <c r="DL28" s="618"/>
      <c r="DM28" s="639"/>
      <c r="DN28" s="1248"/>
      <c r="DO28" s="619"/>
      <c r="DP28" s="620"/>
      <c r="DQ28" s="1294"/>
      <c r="DR28" s="621"/>
      <c r="DS28" s="1294"/>
      <c r="DT28" s="1296"/>
      <c r="DU28" s="1297"/>
      <c r="DV28" s="622"/>
      <c r="DW28" s="1250"/>
      <c r="DX28" s="623"/>
      <c r="DY28" s="624"/>
      <c r="DZ28" s="622"/>
      <c r="EA28" s="1250"/>
      <c r="EB28" s="623"/>
      <c r="EC28" s="624"/>
      <c r="ED28" s="622"/>
      <c r="EE28" s="1250"/>
      <c r="EF28" s="623"/>
      <c r="EG28" s="624"/>
      <c r="EH28" s="622"/>
      <c r="EI28" s="1250"/>
      <c r="EJ28" s="623"/>
      <c r="EK28" s="625"/>
      <c r="EL28" s="147"/>
      <c r="EM28" s="1513" t="str">
        <f t="shared" si="66"/>
        <v/>
      </c>
      <c r="EN28" s="1303" t="str">
        <f t="shared" si="67"/>
        <v/>
      </c>
      <c r="EO28" s="1304" t="str">
        <f t="shared" si="68"/>
        <v/>
      </c>
      <c r="EP28" s="1305" t="str">
        <f t="shared" si="69"/>
        <v/>
      </c>
      <c r="EQ28" s="1309" t="str">
        <f t="shared" si="70"/>
        <v/>
      </c>
      <c r="ER28" s="1315" t="str">
        <f t="shared" si="71"/>
        <v/>
      </c>
      <c r="ES28" s="1316" t="str">
        <f t="shared" si="72"/>
        <v/>
      </c>
      <c r="ET28" s="1317" t="str">
        <f t="shared" si="73"/>
        <v/>
      </c>
      <c r="EU28" s="1318" t="str">
        <f t="shared" si="88"/>
        <v/>
      </c>
      <c r="EX28" s="870" t="str">
        <f t="shared" ca="1" si="89"/>
        <v/>
      </c>
      <c r="EY28" s="872" t="str">
        <f t="shared" si="74"/>
        <v/>
      </c>
      <c r="EZ28" s="872" t="str">
        <f t="shared" si="90"/>
        <v/>
      </c>
      <c r="FA28" s="891" t="str">
        <f t="shared" ca="1" si="95"/>
        <v/>
      </c>
      <c r="FB28" s="892" t="str">
        <f t="shared" ca="1" si="91"/>
        <v/>
      </c>
      <c r="FC28" s="892">
        <f t="shared" ca="1" si="75"/>
        <v>0</v>
      </c>
      <c r="FD28" s="892">
        <f t="shared" ca="1" si="76"/>
        <v>0</v>
      </c>
      <c r="FE28" s="892">
        <f t="shared" ca="1" si="77"/>
        <v>0</v>
      </c>
      <c r="FF28" s="892">
        <f t="shared" ca="1" si="92"/>
        <v>0</v>
      </c>
      <c r="FN28" s="703" t="b">
        <v>0</v>
      </c>
      <c r="FO28" s="703" t="b">
        <f t="shared" si="78"/>
        <v>1</v>
      </c>
      <c r="FP28" s="703" t="b">
        <v>0</v>
      </c>
      <c r="FQ28" s="703" t="b">
        <f t="shared" si="93"/>
        <v>1</v>
      </c>
      <c r="FW28" s="1"/>
      <c r="FX28" s="1"/>
      <c r="FZ28" s="1"/>
      <c r="GA28" s="524" t="str">
        <f t="shared" si="79"/>
        <v/>
      </c>
      <c r="GB28" s="566" t="str">
        <f t="shared" si="80"/>
        <v/>
      </c>
      <c r="GC28" s="568" t="str">
        <f t="shared" si="81"/>
        <v/>
      </c>
      <c r="GD28" s="569" t="str">
        <f t="shared" si="82"/>
        <v/>
      </c>
      <c r="GE28" s="567" t="str">
        <f t="shared" si="83"/>
        <v/>
      </c>
      <c r="GF28" s="525" t="str">
        <f t="shared" si="84"/>
        <v/>
      </c>
      <c r="GG28" s="1056"/>
      <c r="GH28" s="1058"/>
      <c r="GI28" s="1056"/>
      <c r="GJ28" s="1058"/>
      <c r="GK28" s="1523">
        <f t="shared" si="85"/>
        <v>0</v>
      </c>
      <c r="GL28" s="1523" t="e">
        <f t="shared" si="86"/>
        <v>#VALUE!</v>
      </c>
      <c r="GM28" s="1524" t="e">
        <f>IF(ABS(GK28-GL28)&gt;=#REF!,ABS(GK28-GL28),0)</f>
        <v>#VALUE!</v>
      </c>
      <c r="GZ28" s="64"/>
      <c r="HA28" s="1159"/>
      <c r="HB28" s="1160"/>
      <c r="HC28" s="1160"/>
      <c r="HD28" s="1161"/>
      <c r="HE28" s="1162"/>
      <c r="HF28" s="1160"/>
      <c r="HG28" s="1160"/>
      <c r="HH28" s="1160"/>
      <c r="HI28" s="1160"/>
      <c r="HJ28" s="1160"/>
      <c r="HK28" s="1160"/>
      <c r="HL28" s="1160"/>
      <c r="HM28" s="1160"/>
      <c r="HN28" s="1160"/>
      <c r="HO28" s="1160"/>
      <c r="HP28" s="1160"/>
      <c r="HQ28" s="1160"/>
      <c r="HR28" s="1160"/>
      <c r="HS28" s="1160"/>
      <c r="HT28" s="1160"/>
      <c r="HU28" s="1160"/>
      <c r="HV28" s="1160"/>
      <c r="HW28" s="1160"/>
      <c r="HX28" s="1160"/>
      <c r="HY28" s="1164"/>
      <c r="HZ28" s="1164"/>
      <c r="IA28" s="1164"/>
      <c r="IB28" s="1164"/>
      <c r="IC28" s="1164"/>
      <c r="ID28" s="1179"/>
      <c r="IE28" s="1159"/>
      <c r="IF28" s="1160"/>
      <c r="IG28" s="1161"/>
      <c r="IH28" s="1162"/>
      <c r="II28" s="1160"/>
      <c r="IJ28" s="1161"/>
      <c r="IK28" s="1162"/>
      <c r="IL28" s="1160"/>
      <c r="IM28" s="1160"/>
      <c r="IN28" s="1160"/>
      <c r="IO28" s="1160"/>
      <c r="IP28" s="1160"/>
      <c r="IQ28" s="1160"/>
      <c r="IR28" s="1160"/>
      <c r="IS28" s="1161"/>
      <c r="IT28" s="1162"/>
      <c r="IU28" s="1160"/>
      <c r="IV28" s="1160"/>
      <c r="IW28" s="1161"/>
      <c r="IX28" s="1162"/>
      <c r="IY28" s="1160"/>
      <c r="IZ28" s="1160"/>
      <c r="JA28" s="1161"/>
      <c r="JB28" s="1162"/>
      <c r="JC28" s="1160"/>
      <c r="JD28" s="1160"/>
      <c r="JE28" s="1161"/>
      <c r="JF28" s="1162"/>
      <c r="JG28" s="1160"/>
      <c r="JH28" s="1160"/>
      <c r="JI28" s="1160"/>
      <c r="JJ28" s="1163"/>
      <c r="JK28" s="1160"/>
      <c r="JL28" s="1103">
        <f t="shared" ca="1" si="96"/>
        <v>0</v>
      </c>
    </row>
    <row r="29" spans="1:272" ht="12.6" customHeight="1" x14ac:dyDescent="0.25">
      <c r="A29" s="1132" t="str">
        <f t="shared" si="0"/>
        <v/>
      </c>
      <c r="B29" s="1586" t="str">
        <f t="shared" si="1"/>
        <v/>
      </c>
      <c r="C29" s="1133" t="str">
        <f t="shared" si="2"/>
        <v/>
      </c>
      <c r="D29" s="1134" t="str">
        <f t="shared" si="3"/>
        <v/>
      </c>
      <c r="E29" s="1135" t="str">
        <f t="shared" si="4"/>
        <v/>
      </c>
      <c r="F29" s="1136" t="str">
        <f t="shared" si="5"/>
        <v/>
      </c>
      <c r="G29" s="1137" t="str">
        <f t="shared" si="6"/>
        <v/>
      </c>
      <c r="H29" s="1138" t="str">
        <f t="shared" si="7"/>
        <v/>
      </c>
      <c r="I29" s="1139" t="str">
        <f t="shared" si="8"/>
        <v/>
      </c>
      <c r="J29" s="1134" t="str">
        <f t="shared" si="9"/>
        <v/>
      </c>
      <c r="K29" s="1138" t="str">
        <f t="shared" si="10"/>
        <v/>
      </c>
      <c r="L29" s="1140" t="str">
        <f t="shared" si="11"/>
        <v/>
      </c>
      <c r="M29" s="1141" t="str">
        <f t="shared" si="12"/>
        <v/>
      </c>
      <c r="N29" s="1142" t="str">
        <f t="shared" si="12"/>
        <v/>
      </c>
      <c r="O29" s="1137" t="str">
        <f t="shared" si="13"/>
        <v/>
      </c>
      <c r="P29" s="1138" t="str">
        <f t="shared" si="14"/>
        <v/>
      </c>
      <c r="Q29" s="1134" t="str">
        <f t="shared" si="15"/>
        <v/>
      </c>
      <c r="R29" s="1135" t="str">
        <f t="shared" si="16"/>
        <v/>
      </c>
      <c r="S29" s="1143" t="str">
        <f t="shared" si="17"/>
        <v/>
      </c>
      <c r="T29" s="1138" t="str">
        <f t="shared" si="18"/>
        <v/>
      </c>
      <c r="U29" s="1134" t="str">
        <f t="shared" si="19"/>
        <v/>
      </c>
      <c r="V29" s="1138" t="str">
        <f t="shared" si="20"/>
        <v/>
      </c>
      <c r="W29" s="1142">
        <f t="shared" si="21"/>
        <v>0</v>
      </c>
      <c r="X29" s="1144" t="e">
        <f t="shared" si="22"/>
        <v>#REF!</v>
      </c>
      <c r="Y29" s="1145" t="e">
        <f t="shared" si="23"/>
        <v>#REF!</v>
      </c>
      <c r="Z29" s="1587" t="str">
        <f t="shared" si="24"/>
        <v/>
      </c>
      <c r="AA29" s="1152" t="str">
        <f t="shared" si="25"/>
        <v/>
      </c>
      <c r="AB29" s="1132" t="str">
        <f t="shared" si="26"/>
        <v/>
      </c>
      <c r="AC29" s="1139" t="str">
        <f t="shared" si="26"/>
        <v/>
      </c>
      <c r="AD29" s="1134" t="str">
        <f t="shared" ca="1" si="27"/>
        <v/>
      </c>
      <c r="AE29" s="1138" t="str">
        <f t="shared" ca="1" si="28"/>
        <v/>
      </c>
      <c r="AF29" s="1139" t="str">
        <f t="shared" ca="1" si="29"/>
        <v/>
      </c>
      <c r="AG29" s="1134" t="str">
        <f t="shared" ca="1" si="30"/>
        <v/>
      </c>
      <c r="AH29" s="1138" t="str">
        <f t="shared" ca="1" si="31"/>
        <v/>
      </c>
      <c r="AI29" s="1134" t="str">
        <f t="shared" ca="1" si="32"/>
        <v/>
      </c>
      <c r="AJ29" s="1138" t="str">
        <f t="shared" ca="1" si="33"/>
        <v/>
      </c>
      <c r="AK29" s="1619" t="str">
        <f t="shared" si="34"/>
        <v/>
      </c>
      <c r="AL29" s="1620" t="str">
        <f t="shared" si="34"/>
        <v/>
      </c>
      <c r="AM29" s="1621" t="str">
        <f t="shared" si="34"/>
        <v/>
      </c>
      <c r="AN29" s="1139" t="str">
        <f t="shared" si="34"/>
        <v/>
      </c>
      <c r="AO29" s="1142" t="str">
        <f t="shared" si="34"/>
        <v/>
      </c>
      <c r="AP29" s="1141" t="str">
        <f t="shared" si="35"/>
        <v/>
      </c>
      <c r="AQ29" s="1623" t="str">
        <f t="shared" si="36"/>
        <v/>
      </c>
      <c r="AR29" s="1137" t="str">
        <f t="shared" si="37"/>
        <v/>
      </c>
      <c r="AS29" s="1138" t="str">
        <f t="shared" si="38"/>
        <v/>
      </c>
      <c r="AT29" s="1624" t="str">
        <f t="shared" si="39"/>
        <v/>
      </c>
      <c r="AU29" s="1625" t="str">
        <f t="shared" si="40"/>
        <v/>
      </c>
      <c r="AV29" s="1143" t="str">
        <f t="shared" si="41"/>
        <v/>
      </c>
      <c r="AW29" s="1138" t="str">
        <f t="shared" si="42"/>
        <v/>
      </c>
      <c r="AX29" s="1624" t="str">
        <f t="shared" si="43"/>
        <v/>
      </c>
      <c r="AY29" s="1625" t="str">
        <f t="shared" si="44"/>
        <v/>
      </c>
      <c r="AZ29" s="1143" t="str">
        <f t="shared" si="45"/>
        <v/>
      </c>
      <c r="BA29" s="1138" t="str">
        <f t="shared" si="46"/>
        <v/>
      </c>
      <c r="BB29" s="1624" t="str">
        <f t="shared" si="47"/>
        <v/>
      </c>
      <c r="BC29" s="1625" t="str">
        <f t="shared" si="48"/>
        <v/>
      </c>
      <c r="BD29" s="1143" t="str">
        <f t="shared" si="49"/>
        <v/>
      </c>
      <c r="BE29" s="1138" t="str">
        <f t="shared" si="50"/>
        <v/>
      </c>
      <c r="BF29" s="1624" t="str">
        <f t="shared" si="51"/>
        <v/>
      </c>
      <c r="BG29" s="1625" t="str">
        <f t="shared" si="51"/>
        <v/>
      </c>
      <c r="BH29" s="1291"/>
      <c r="BJ29" s="915" t="str">
        <f t="shared" si="94"/>
        <v/>
      </c>
      <c r="BK29" s="913" t="e">
        <f t="shared" si="52"/>
        <v>#REF!</v>
      </c>
      <c r="BL29" s="908" t="b">
        <v>0</v>
      </c>
      <c r="BM29" s="908">
        <f t="shared" si="53"/>
        <v>0</v>
      </c>
      <c r="BN29" s="908">
        <f t="shared" si="54"/>
        <v>0</v>
      </c>
      <c r="BO29" s="908">
        <f t="shared" si="55"/>
        <v>0</v>
      </c>
      <c r="BP29" s="908">
        <f t="shared" si="56"/>
        <v>0</v>
      </c>
      <c r="BQ29" s="908">
        <f t="shared" si="57"/>
        <v>0</v>
      </c>
      <c r="BR29" s="908" t="b">
        <f t="shared" si="58"/>
        <v>1</v>
      </c>
      <c r="BS29" s="1216">
        <f t="shared" si="59"/>
        <v>6</v>
      </c>
      <c r="BT29" s="909" t="str">
        <f t="shared" si="60"/>
        <v>No</v>
      </c>
      <c r="BU29" s="1216">
        <f t="shared" si="61"/>
        <v>6</v>
      </c>
      <c r="BV29" s="909" t="str">
        <f t="shared" si="62"/>
        <v>No</v>
      </c>
      <c r="BW29" s="910">
        <f t="shared" ca="1" si="63"/>
        <v>0</v>
      </c>
      <c r="BX29" s="911" t="str">
        <f t="shared" ca="1" si="64"/>
        <v/>
      </c>
      <c r="BY29" s="911" t="b">
        <f t="shared" ca="1" si="65"/>
        <v>0</v>
      </c>
      <c r="BZ29" s="910" t="e">
        <f t="shared" si="87"/>
        <v>#REF!</v>
      </c>
      <c r="CB29" s="616"/>
      <c r="CC29" s="1567"/>
      <c r="CD29" s="645"/>
      <c r="CE29" s="646"/>
      <c r="CF29" s="647"/>
      <c r="CG29" s="660"/>
      <c r="CH29" s="661"/>
      <c r="CI29" s="662"/>
      <c r="CJ29" s="661"/>
      <c r="CK29" s="662"/>
      <c r="CL29" s="663"/>
      <c r="CM29" s="692"/>
      <c r="CN29" s="687"/>
      <c r="CO29" s="1430"/>
      <c r="CP29" s="839"/>
      <c r="CQ29" s="660"/>
      <c r="CR29" s="661"/>
      <c r="CS29" s="662"/>
      <c r="CT29" s="661"/>
      <c r="CU29" s="662"/>
      <c r="CV29" s="663"/>
      <c r="CW29" s="692"/>
      <c r="CX29" s="687"/>
      <c r="CY29" s="1430"/>
      <c r="CZ29" s="839"/>
      <c r="DA29" s="665"/>
      <c r="DB29" s="648"/>
      <c r="DC29" s="649"/>
      <c r="DD29" s="674"/>
      <c r="DE29" s="675"/>
      <c r="DF29" s="58"/>
      <c r="DG29" s="58"/>
      <c r="DH29" s="616"/>
      <c r="DI29" s="617"/>
      <c r="DJ29" s="638"/>
      <c r="DK29" s="1245"/>
      <c r="DL29" s="618"/>
      <c r="DM29" s="639"/>
      <c r="DN29" s="1248"/>
      <c r="DO29" s="619"/>
      <c r="DP29" s="620"/>
      <c r="DQ29" s="1294"/>
      <c r="DR29" s="621"/>
      <c r="DS29" s="1294"/>
      <c r="DT29" s="1296"/>
      <c r="DU29" s="1297"/>
      <c r="DV29" s="622"/>
      <c r="DW29" s="1250"/>
      <c r="DX29" s="623"/>
      <c r="DY29" s="624"/>
      <c r="DZ29" s="622"/>
      <c r="EA29" s="1250"/>
      <c r="EB29" s="623"/>
      <c r="EC29" s="624"/>
      <c r="ED29" s="622"/>
      <c r="EE29" s="1250"/>
      <c r="EF29" s="623"/>
      <c r="EG29" s="624"/>
      <c r="EH29" s="622"/>
      <c r="EI29" s="1250"/>
      <c r="EJ29" s="623"/>
      <c r="EK29" s="625"/>
      <c r="EL29" s="147"/>
      <c r="EM29" s="1513" t="str">
        <f t="shared" si="66"/>
        <v/>
      </c>
      <c r="EN29" s="1303" t="str">
        <f t="shared" si="67"/>
        <v/>
      </c>
      <c r="EO29" s="1304" t="str">
        <f t="shared" si="68"/>
        <v/>
      </c>
      <c r="EP29" s="1305" t="str">
        <f t="shared" si="69"/>
        <v/>
      </c>
      <c r="EQ29" s="1309" t="str">
        <f t="shared" si="70"/>
        <v/>
      </c>
      <c r="ER29" s="1315" t="str">
        <f t="shared" si="71"/>
        <v/>
      </c>
      <c r="ES29" s="1316" t="str">
        <f t="shared" si="72"/>
        <v/>
      </c>
      <c r="ET29" s="1317" t="str">
        <f t="shared" si="73"/>
        <v/>
      </c>
      <c r="EU29" s="1318" t="str">
        <f t="shared" si="88"/>
        <v/>
      </c>
      <c r="EX29" s="870" t="str">
        <f t="shared" ca="1" si="89"/>
        <v/>
      </c>
      <c r="EY29" s="872" t="str">
        <f t="shared" si="74"/>
        <v/>
      </c>
      <c r="EZ29" s="872" t="str">
        <f t="shared" si="90"/>
        <v/>
      </c>
      <c r="FA29" s="891" t="str">
        <f t="shared" ca="1" si="95"/>
        <v/>
      </c>
      <c r="FB29" s="892" t="str">
        <f t="shared" ca="1" si="91"/>
        <v/>
      </c>
      <c r="FC29" s="892">
        <f t="shared" ca="1" si="75"/>
        <v>0</v>
      </c>
      <c r="FD29" s="892">
        <f t="shared" ca="1" si="76"/>
        <v>0</v>
      </c>
      <c r="FE29" s="892">
        <f t="shared" ca="1" si="77"/>
        <v>0</v>
      </c>
      <c r="FF29" s="892">
        <f t="shared" ca="1" si="92"/>
        <v>0</v>
      </c>
      <c r="FN29" s="703" t="b">
        <v>0</v>
      </c>
      <c r="FO29" s="703" t="b">
        <f t="shared" si="78"/>
        <v>1</v>
      </c>
      <c r="FP29" s="703" t="b">
        <v>0</v>
      </c>
      <c r="FQ29" s="703" t="b">
        <f t="shared" si="93"/>
        <v>1</v>
      </c>
      <c r="FW29" s="1"/>
      <c r="FX29" s="1"/>
      <c r="FZ29" s="1"/>
      <c r="GA29" s="524" t="str">
        <f t="shared" si="79"/>
        <v/>
      </c>
      <c r="GB29" s="566" t="str">
        <f t="shared" si="80"/>
        <v/>
      </c>
      <c r="GC29" s="568" t="str">
        <f t="shared" si="81"/>
        <v/>
      </c>
      <c r="GD29" s="569" t="str">
        <f t="shared" si="82"/>
        <v/>
      </c>
      <c r="GE29" s="567" t="str">
        <f t="shared" si="83"/>
        <v/>
      </c>
      <c r="GF29" s="525" t="str">
        <f t="shared" si="84"/>
        <v/>
      </c>
      <c r="GG29" s="1056"/>
      <c r="GH29" s="1058"/>
      <c r="GI29" s="1056"/>
      <c r="GJ29" s="1058"/>
      <c r="GK29" s="1523">
        <f t="shared" si="85"/>
        <v>0</v>
      </c>
      <c r="GL29" s="1523" t="e">
        <f t="shared" si="86"/>
        <v>#VALUE!</v>
      </c>
      <c r="GM29" s="1524" t="e">
        <f>IF(ABS(GK29-GL29)&gt;=#REF!,ABS(GK29-GL29),0)</f>
        <v>#VALUE!</v>
      </c>
      <c r="HA29" s="1159"/>
      <c r="HB29" s="1160"/>
      <c r="HC29" s="1160"/>
      <c r="HD29" s="1161"/>
      <c r="HE29" s="1162"/>
      <c r="HF29" s="1160"/>
      <c r="HG29" s="1160"/>
      <c r="HH29" s="1160"/>
      <c r="HI29" s="1160"/>
      <c r="HJ29" s="1160"/>
      <c r="HK29" s="1160"/>
      <c r="HL29" s="1160"/>
      <c r="HM29" s="1160"/>
      <c r="HN29" s="1160"/>
      <c r="HO29" s="1160"/>
      <c r="HP29" s="1160"/>
      <c r="HQ29" s="1160"/>
      <c r="HR29" s="1160"/>
      <c r="HS29" s="1160"/>
      <c r="HT29" s="1160"/>
      <c r="HU29" s="1160"/>
      <c r="HV29" s="1160"/>
      <c r="HW29" s="1160"/>
      <c r="HX29" s="1160"/>
      <c r="HY29" s="1164"/>
      <c r="HZ29" s="1164"/>
      <c r="IA29" s="1164"/>
      <c r="IB29" s="1164"/>
      <c r="IC29" s="1164"/>
      <c r="ID29" s="1179"/>
      <c r="IE29" s="1159"/>
      <c r="IF29" s="1160"/>
      <c r="IG29" s="1161"/>
      <c r="IH29" s="1162"/>
      <c r="II29" s="1160"/>
      <c r="IJ29" s="1161"/>
      <c r="IK29" s="1162"/>
      <c r="IL29" s="1160"/>
      <c r="IM29" s="1160"/>
      <c r="IN29" s="1160"/>
      <c r="IO29" s="1160"/>
      <c r="IP29" s="1160"/>
      <c r="IQ29" s="1160"/>
      <c r="IR29" s="1160"/>
      <c r="IS29" s="1161"/>
      <c r="IT29" s="1162"/>
      <c r="IU29" s="1160"/>
      <c r="IV29" s="1160"/>
      <c r="IW29" s="1161"/>
      <c r="IX29" s="1162"/>
      <c r="IY29" s="1160"/>
      <c r="IZ29" s="1160"/>
      <c r="JA29" s="1161"/>
      <c r="JB29" s="1162"/>
      <c r="JC29" s="1160"/>
      <c r="JD29" s="1160"/>
      <c r="JE29" s="1161"/>
      <c r="JF29" s="1162"/>
      <c r="JG29" s="1160"/>
      <c r="JH29" s="1160"/>
      <c r="JI29" s="1160"/>
      <c r="JJ29" s="1163"/>
      <c r="JK29" s="1160"/>
      <c r="JL29" s="1103">
        <f t="shared" ca="1" si="96"/>
        <v>0</v>
      </c>
    </row>
    <row r="30" spans="1:272" s="65" customFormat="1" ht="12.6" customHeight="1" x14ac:dyDescent="0.25">
      <c r="A30" s="1132" t="str">
        <f t="shared" si="0"/>
        <v/>
      </c>
      <c r="B30" s="1586" t="str">
        <f t="shared" si="1"/>
        <v/>
      </c>
      <c r="C30" s="1133" t="str">
        <f t="shared" si="2"/>
        <v/>
      </c>
      <c r="D30" s="1134" t="str">
        <f t="shared" si="3"/>
        <v/>
      </c>
      <c r="E30" s="1135" t="str">
        <f t="shared" si="4"/>
        <v/>
      </c>
      <c r="F30" s="1136" t="str">
        <f t="shared" si="5"/>
        <v/>
      </c>
      <c r="G30" s="1137" t="str">
        <f t="shared" si="6"/>
        <v/>
      </c>
      <c r="H30" s="1138" t="str">
        <f t="shared" si="7"/>
        <v/>
      </c>
      <c r="I30" s="1139" t="str">
        <f t="shared" si="8"/>
        <v/>
      </c>
      <c r="J30" s="1134" t="str">
        <f t="shared" si="9"/>
        <v/>
      </c>
      <c r="K30" s="1138" t="str">
        <f t="shared" si="10"/>
        <v/>
      </c>
      <c r="L30" s="1140" t="str">
        <f t="shared" si="11"/>
        <v/>
      </c>
      <c r="M30" s="1141" t="str">
        <f t="shared" si="12"/>
        <v/>
      </c>
      <c r="N30" s="1142" t="str">
        <f t="shared" si="12"/>
        <v/>
      </c>
      <c r="O30" s="1137" t="str">
        <f t="shared" si="13"/>
        <v/>
      </c>
      <c r="P30" s="1138" t="str">
        <f t="shared" si="14"/>
        <v/>
      </c>
      <c r="Q30" s="1134" t="str">
        <f t="shared" si="15"/>
        <v/>
      </c>
      <c r="R30" s="1135" t="str">
        <f t="shared" si="16"/>
        <v/>
      </c>
      <c r="S30" s="1143" t="str">
        <f t="shared" si="17"/>
        <v/>
      </c>
      <c r="T30" s="1138" t="str">
        <f t="shared" si="18"/>
        <v/>
      </c>
      <c r="U30" s="1134" t="str">
        <f t="shared" si="19"/>
        <v/>
      </c>
      <c r="V30" s="1138" t="str">
        <f t="shared" si="20"/>
        <v/>
      </c>
      <c r="W30" s="1142">
        <f t="shared" si="21"/>
        <v>0</v>
      </c>
      <c r="X30" s="1144" t="e">
        <f t="shared" si="22"/>
        <v>#REF!</v>
      </c>
      <c r="Y30" s="1145" t="e">
        <f t="shared" si="23"/>
        <v>#REF!</v>
      </c>
      <c r="Z30" s="1587" t="str">
        <f t="shared" si="24"/>
        <v/>
      </c>
      <c r="AA30" s="1152" t="str">
        <f t="shared" si="25"/>
        <v/>
      </c>
      <c r="AB30" s="1132" t="str">
        <f t="shared" si="26"/>
        <v/>
      </c>
      <c r="AC30" s="1139" t="str">
        <f t="shared" si="26"/>
        <v/>
      </c>
      <c r="AD30" s="1134" t="str">
        <f t="shared" ca="1" si="27"/>
        <v/>
      </c>
      <c r="AE30" s="1138" t="str">
        <f t="shared" ca="1" si="28"/>
        <v/>
      </c>
      <c r="AF30" s="1139" t="str">
        <f t="shared" ca="1" si="29"/>
        <v/>
      </c>
      <c r="AG30" s="1134" t="str">
        <f t="shared" ca="1" si="30"/>
        <v/>
      </c>
      <c r="AH30" s="1138" t="str">
        <f t="shared" ca="1" si="31"/>
        <v/>
      </c>
      <c r="AI30" s="1134" t="str">
        <f t="shared" ca="1" si="32"/>
        <v/>
      </c>
      <c r="AJ30" s="1138" t="str">
        <f t="shared" ca="1" si="33"/>
        <v/>
      </c>
      <c r="AK30" s="1619" t="str">
        <f t="shared" si="34"/>
        <v/>
      </c>
      <c r="AL30" s="1620" t="str">
        <f t="shared" si="34"/>
        <v/>
      </c>
      <c r="AM30" s="1621" t="str">
        <f t="shared" si="34"/>
        <v/>
      </c>
      <c r="AN30" s="1139" t="str">
        <f t="shared" si="34"/>
        <v/>
      </c>
      <c r="AO30" s="1142" t="str">
        <f t="shared" si="34"/>
        <v/>
      </c>
      <c r="AP30" s="1141" t="str">
        <f t="shared" si="35"/>
        <v/>
      </c>
      <c r="AQ30" s="1623" t="str">
        <f t="shared" si="36"/>
        <v/>
      </c>
      <c r="AR30" s="1137" t="str">
        <f t="shared" si="37"/>
        <v/>
      </c>
      <c r="AS30" s="1138" t="str">
        <f t="shared" si="38"/>
        <v/>
      </c>
      <c r="AT30" s="1624" t="str">
        <f t="shared" si="39"/>
        <v/>
      </c>
      <c r="AU30" s="1625" t="str">
        <f t="shared" si="40"/>
        <v/>
      </c>
      <c r="AV30" s="1143" t="str">
        <f t="shared" si="41"/>
        <v/>
      </c>
      <c r="AW30" s="1138" t="str">
        <f t="shared" si="42"/>
        <v/>
      </c>
      <c r="AX30" s="1624" t="str">
        <f t="shared" si="43"/>
        <v/>
      </c>
      <c r="AY30" s="1625" t="str">
        <f t="shared" si="44"/>
        <v/>
      </c>
      <c r="AZ30" s="1143" t="str">
        <f t="shared" si="45"/>
        <v/>
      </c>
      <c r="BA30" s="1138" t="str">
        <f t="shared" si="46"/>
        <v/>
      </c>
      <c r="BB30" s="1624" t="str">
        <f t="shared" si="47"/>
        <v/>
      </c>
      <c r="BC30" s="1625" t="str">
        <f t="shared" si="48"/>
        <v/>
      </c>
      <c r="BD30" s="1143" t="str">
        <f t="shared" si="49"/>
        <v/>
      </c>
      <c r="BE30" s="1138" t="str">
        <f t="shared" si="50"/>
        <v/>
      </c>
      <c r="BF30" s="1624" t="str">
        <f t="shared" si="51"/>
        <v/>
      </c>
      <c r="BG30" s="1625" t="str">
        <f t="shared" si="51"/>
        <v/>
      </c>
      <c r="BH30" s="1291"/>
      <c r="BJ30" s="915" t="str">
        <f t="shared" si="94"/>
        <v/>
      </c>
      <c r="BK30" s="913" t="e">
        <f t="shared" si="52"/>
        <v>#REF!</v>
      </c>
      <c r="BL30" s="908" t="b">
        <v>0</v>
      </c>
      <c r="BM30" s="908">
        <f t="shared" si="53"/>
        <v>0</v>
      </c>
      <c r="BN30" s="908">
        <f t="shared" si="54"/>
        <v>0</v>
      </c>
      <c r="BO30" s="908">
        <f t="shared" si="55"/>
        <v>0</v>
      </c>
      <c r="BP30" s="908">
        <f t="shared" si="56"/>
        <v>0</v>
      </c>
      <c r="BQ30" s="908">
        <f t="shared" si="57"/>
        <v>0</v>
      </c>
      <c r="BR30" s="908" t="b">
        <f t="shared" si="58"/>
        <v>1</v>
      </c>
      <c r="BS30" s="1216">
        <f t="shared" si="59"/>
        <v>6</v>
      </c>
      <c r="BT30" s="909" t="str">
        <f t="shared" si="60"/>
        <v>No</v>
      </c>
      <c r="BU30" s="1216">
        <f t="shared" si="61"/>
        <v>6</v>
      </c>
      <c r="BV30" s="909" t="str">
        <f t="shared" si="62"/>
        <v>No</v>
      </c>
      <c r="BW30" s="910">
        <f t="shared" ca="1" si="63"/>
        <v>0</v>
      </c>
      <c r="BX30" s="911" t="str">
        <f t="shared" ca="1" si="64"/>
        <v/>
      </c>
      <c r="BY30" s="911" t="b">
        <f t="shared" ca="1" si="65"/>
        <v>0</v>
      </c>
      <c r="BZ30" s="910" t="e">
        <f t="shared" si="87"/>
        <v>#REF!</v>
      </c>
      <c r="CB30" s="616"/>
      <c r="CC30" s="1567"/>
      <c r="CD30" s="645"/>
      <c r="CE30" s="646"/>
      <c r="CF30" s="647"/>
      <c r="CG30" s="660"/>
      <c r="CH30" s="661"/>
      <c r="CI30" s="662"/>
      <c r="CJ30" s="661"/>
      <c r="CK30" s="662"/>
      <c r="CL30" s="663"/>
      <c r="CM30" s="692"/>
      <c r="CN30" s="687"/>
      <c r="CO30" s="1430"/>
      <c r="CP30" s="839"/>
      <c r="CQ30" s="660"/>
      <c r="CR30" s="661"/>
      <c r="CS30" s="662"/>
      <c r="CT30" s="661"/>
      <c r="CU30" s="662"/>
      <c r="CV30" s="663"/>
      <c r="CW30" s="692"/>
      <c r="CX30" s="687"/>
      <c r="CY30" s="1430"/>
      <c r="CZ30" s="839"/>
      <c r="DA30" s="665"/>
      <c r="DB30" s="648"/>
      <c r="DC30" s="649"/>
      <c r="DD30" s="674"/>
      <c r="DE30" s="675"/>
      <c r="DF30" s="58"/>
      <c r="DG30" s="58"/>
      <c r="DH30" s="616"/>
      <c r="DI30" s="617"/>
      <c r="DJ30" s="638"/>
      <c r="DK30" s="1245"/>
      <c r="DL30" s="618"/>
      <c r="DM30" s="639"/>
      <c r="DN30" s="1248"/>
      <c r="DO30" s="619"/>
      <c r="DP30" s="620"/>
      <c r="DQ30" s="1294"/>
      <c r="DR30" s="621"/>
      <c r="DS30" s="1294"/>
      <c r="DT30" s="1296"/>
      <c r="DU30" s="1297"/>
      <c r="DV30" s="622"/>
      <c r="DW30" s="1250"/>
      <c r="DX30" s="623"/>
      <c r="DY30" s="624"/>
      <c r="DZ30" s="622"/>
      <c r="EA30" s="1250"/>
      <c r="EB30" s="623"/>
      <c r="EC30" s="624"/>
      <c r="ED30" s="622"/>
      <c r="EE30" s="1250"/>
      <c r="EF30" s="623"/>
      <c r="EG30" s="624"/>
      <c r="EH30" s="622"/>
      <c r="EI30" s="1250"/>
      <c r="EJ30" s="623"/>
      <c r="EK30" s="625"/>
      <c r="EL30" s="147"/>
      <c r="EM30" s="1513" t="str">
        <f t="shared" si="66"/>
        <v/>
      </c>
      <c r="EN30" s="1303" t="str">
        <f t="shared" si="67"/>
        <v/>
      </c>
      <c r="EO30" s="1304" t="str">
        <f t="shared" si="68"/>
        <v/>
      </c>
      <c r="EP30" s="1305" t="str">
        <f t="shared" si="69"/>
        <v/>
      </c>
      <c r="EQ30" s="1309" t="str">
        <f t="shared" si="70"/>
        <v/>
      </c>
      <c r="ER30" s="1315" t="str">
        <f t="shared" si="71"/>
        <v/>
      </c>
      <c r="ES30" s="1316" t="str">
        <f t="shared" si="72"/>
        <v/>
      </c>
      <c r="ET30" s="1317" t="str">
        <f t="shared" si="73"/>
        <v/>
      </c>
      <c r="EU30" s="1318" t="str">
        <f t="shared" si="88"/>
        <v/>
      </c>
      <c r="EX30" s="870" t="str">
        <f t="shared" ca="1" si="89"/>
        <v/>
      </c>
      <c r="EY30" s="872" t="str">
        <f t="shared" si="74"/>
        <v/>
      </c>
      <c r="EZ30" s="872" t="str">
        <f t="shared" si="90"/>
        <v/>
      </c>
      <c r="FA30" s="891" t="str">
        <f t="shared" ca="1" si="95"/>
        <v/>
      </c>
      <c r="FB30" s="892" t="str">
        <f t="shared" ca="1" si="91"/>
        <v/>
      </c>
      <c r="FC30" s="892">
        <f t="shared" ca="1" si="75"/>
        <v>0</v>
      </c>
      <c r="FD30" s="892">
        <f t="shared" ca="1" si="76"/>
        <v>0</v>
      </c>
      <c r="FE30" s="892">
        <f t="shared" ca="1" si="77"/>
        <v>0</v>
      </c>
      <c r="FF30" s="892">
        <f t="shared" ca="1" si="92"/>
        <v>0</v>
      </c>
      <c r="FN30" s="703" t="b">
        <v>0</v>
      </c>
      <c r="FO30" s="704" t="b">
        <f t="shared" si="78"/>
        <v>1</v>
      </c>
      <c r="FP30" s="704" t="b">
        <v>0</v>
      </c>
      <c r="FQ30" s="704" t="b">
        <f t="shared" si="93"/>
        <v>1</v>
      </c>
      <c r="FW30" s="1"/>
      <c r="FX30" s="1"/>
      <c r="FZ30" s="1"/>
      <c r="GA30" s="524" t="str">
        <f t="shared" si="79"/>
        <v/>
      </c>
      <c r="GB30" s="566" t="str">
        <f t="shared" si="80"/>
        <v/>
      </c>
      <c r="GC30" s="568" t="str">
        <f t="shared" si="81"/>
        <v/>
      </c>
      <c r="GD30" s="569" t="str">
        <f t="shared" si="82"/>
        <v/>
      </c>
      <c r="GE30" s="567" t="str">
        <f t="shared" si="83"/>
        <v/>
      </c>
      <c r="GF30" s="525" t="str">
        <f t="shared" si="84"/>
        <v/>
      </c>
      <c r="GG30" s="1056"/>
      <c r="GH30" s="1058"/>
      <c r="GI30" s="1056"/>
      <c r="GJ30" s="1058"/>
      <c r="GK30" s="1523">
        <f t="shared" si="85"/>
        <v>0</v>
      </c>
      <c r="GL30" s="1523" t="e">
        <f t="shared" si="86"/>
        <v>#VALUE!</v>
      </c>
      <c r="GM30" s="1524" t="e">
        <f>IF(ABS(GK30-GL30)&gt;=#REF!,ABS(GK30-GL30),0)</f>
        <v>#VALUE!</v>
      </c>
      <c r="GZ30" s="46"/>
      <c r="HA30" s="1159"/>
      <c r="HB30" s="1160"/>
      <c r="HC30" s="1160"/>
      <c r="HD30" s="1161"/>
      <c r="HE30" s="1162"/>
      <c r="HF30" s="1160"/>
      <c r="HG30" s="1160"/>
      <c r="HH30" s="1160"/>
      <c r="HI30" s="1160"/>
      <c r="HJ30" s="1160"/>
      <c r="HK30" s="1160"/>
      <c r="HL30" s="1160"/>
      <c r="HM30" s="1160"/>
      <c r="HN30" s="1160"/>
      <c r="HO30" s="1160"/>
      <c r="HP30" s="1160"/>
      <c r="HQ30" s="1160"/>
      <c r="HR30" s="1160"/>
      <c r="HS30" s="1160"/>
      <c r="HT30" s="1160"/>
      <c r="HU30" s="1160"/>
      <c r="HV30" s="1160"/>
      <c r="HW30" s="1160"/>
      <c r="HX30" s="1160"/>
      <c r="HY30" s="1164"/>
      <c r="HZ30" s="1164"/>
      <c r="IA30" s="1164"/>
      <c r="IB30" s="1164"/>
      <c r="IC30" s="1164"/>
      <c r="ID30" s="1179"/>
      <c r="IE30" s="1159"/>
      <c r="IF30" s="1160"/>
      <c r="IG30" s="1161"/>
      <c r="IH30" s="1162"/>
      <c r="II30" s="1160"/>
      <c r="IJ30" s="1161"/>
      <c r="IK30" s="1162"/>
      <c r="IL30" s="1160"/>
      <c r="IM30" s="1160"/>
      <c r="IN30" s="1160"/>
      <c r="IO30" s="1160"/>
      <c r="IP30" s="1160"/>
      <c r="IQ30" s="1160"/>
      <c r="IR30" s="1160"/>
      <c r="IS30" s="1161"/>
      <c r="IT30" s="1162"/>
      <c r="IU30" s="1160"/>
      <c r="IV30" s="1160"/>
      <c r="IW30" s="1161"/>
      <c r="IX30" s="1162"/>
      <c r="IY30" s="1160"/>
      <c r="IZ30" s="1160"/>
      <c r="JA30" s="1161"/>
      <c r="JB30" s="1162"/>
      <c r="JC30" s="1160"/>
      <c r="JD30" s="1160"/>
      <c r="JE30" s="1161"/>
      <c r="JF30" s="1162"/>
      <c r="JG30" s="1160"/>
      <c r="JH30" s="1160"/>
      <c r="JI30" s="1160"/>
      <c r="JJ30" s="1166"/>
      <c r="JK30" s="1160"/>
      <c r="JL30" s="1103">
        <f t="shared" ca="1" si="96"/>
        <v>0</v>
      </c>
    </row>
    <row r="31" spans="1:272" s="65" customFormat="1" ht="12.6" customHeight="1" x14ac:dyDescent="0.25">
      <c r="A31" s="1132" t="str">
        <f t="shared" si="0"/>
        <v/>
      </c>
      <c r="B31" s="1586" t="str">
        <f t="shared" si="1"/>
        <v/>
      </c>
      <c r="C31" s="1133" t="str">
        <f t="shared" si="2"/>
        <v/>
      </c>
      <c r="D31" s="1134" t="str">
        <f t="shared" si="3"/>
        <v/>
      </c>
      <c r="E31" s="1135" t="str">
        <f t="shared" si="4"/>
        <v/>
      </c>
      <c r="F31" s="1136" t="str">
        <f t="shared" si="5"/>
        <v/>
      </c>
      <c r="G31" s="1137" t="str">
        <f t="shared" si="6"/>
        <v/>
      </c>
      <c r="H31" s="1138" t="str">
        <f t="shared" si="7"/>
        <v/>
      </c>
      <c r="I31" s="1139" t="str">
        <f t="shared" si="8"/>
        <v/>
      </c>
      <c r="J31" s="1134" t="str">
        <f t="shared" si="9"/>
        <v/>
      </c>
      <c r="K31" s="1138" t="str">
        <f t="shared" si="10"/>
        <v/>
      </c>
      <c r="L31" s="1140" t="str">
        <f t="shared" si="11"/>
        <v/>
      </c>
      <c r="M31" s="1141" t="str">
        <f t="shared" si="12"/>
        <v/>
      </c>
      <c r="N31" s="1142" t="str">
        <f t="shared" si="12"/>
        <v/>
      </c>
      <c r="O31" s="1137" t="str">
        <f t="shared" si="13"/>
        <v/>
      </c>
      <c r="P31" s="1138" t="str">
        <f t="shared" si="14"/>
        <v/>
      </c>
      <c r="Q31" s="1134" t="str">
        <f t="shared" si="15"/>
        <v/>
      </c>
      <c r="R31" s="1135" t="str">
        <f t="shared" si="16"/>
        <v/>
      </c>
      <c r="S31" s="1143" t="str">
        <f t="shared" si="17"/>
        <v/>
      </c>
      <c r="T31" s="1138" t="str">
        <f t="shared" si="18"/>
        <v/>
      </c>
      <c r="U31" s="1134" t="str">
        <f t="shared" si="19"/>
        <v/>
      </c>
      <c r="V31" s="1138" t="str">
        <f t="shared" si="20"/>
        <v/>
      </c>
      <c r="W31" s="1142">
        <f t="shared" si="21"/>
        <v>0</v>
      </c>
      <c r="X31" s="1144" t="e">
        <f t="shared" si="22"/>
        <v>#REF!</v>
      </c>
      <c r="Y31" s="1145" t="e">
        <f t="shared" si="23"/>
        <v>#REF!</v>
      </c>
      <c r="Z31" s="1587" t="str">
        <f t="shared" si="24"/>
        <v/>
      </c>
      <c r="AA31" s="1152" t="str">
        <f t="shared" si="25"/>
        <v/>
      </c>
      <c r="AB31" s="1132" t="str">
        <f t="shared" si="26"/>
        <v/>
      </c>
      <c r="AC31" s="1139" t="str">
        <f t="shared" si="26"/>
        <v/>
      </c>
      <c r="AD31" s="1134" t="str">
        <f t="shared" ca="1" si="27"/>
        <v/>
      </c>
      <c r="AE31" s="1138" t="str">
        <f t="shared" ca="1" si="28"/>
        <v/>
      </c>
      <c r="AF31" s="1139" t="str">
        <f t="shared" ca="1" si="29"/>
        <v/>
      </c>
      <c r="AG31" s="1134" t="str">
        <f t="shared" ca="1" si="30"/>
        <v/>
      </c>
      <c r="AH31" s="1138" t="str">
        <f t="shared" ca="1" si="31"/>
        <v/>
      </c>
      <c r="AI31" s="1134" t="str">
        <f t="shared" ca="1" si="32"/>
        <v/>
      </c>
      <c r="AJ31" s="1138" t="str">
        <f t="shared" ca="1" si="33"/>
        <v/>
      </c>
      <c r="AK31" s="1619" t="str">
        <f t="shared" si="34"/>
        <v/>
      </c>
      <c r="AL31" s="1620" t="str">
        <f t="shared" si="34"/>
        <v/>
      </c>
      <c r="AM31" s="1621" t="str">
        <f t="shared" si="34"/>
        <v/>
      </c>
      <c r="AN31" s="1139" t="str">
        <f t="shared" si="34"/>
        <v/>
      </c>
      <c r="AO31" s="1142" t="str">
        <f t="shared" si="34"/>
        <v/>
      </c>
      <c r="AP31" s="1141" t="str">
        <f t="shared" si="35"/>
        <v/>
      </c>
      <c r="AQ31" s="1623" t="str">
        <f t="shared" si="36"/>
        <v/>
      </c>
      <c r="AR31" s="1137" t="str">
        <f t="shared" si="37"/>
        <v/>
      </c>
      <c r="AS31" s="1138" t="str">
        <f t="shared" si="38"/>
        <v/>
      </c>
      <c r="AT31" s="1624" t="str">
        <f t="shared" si="39"/>
        <v/>
      </c>
      <c r="AU31" s="1625" t="str">
        <f t="shared" si="40"/>
        <v/>
      </c>
      <c r="AV31" s="1143" t="str">
        <f t="shared" si="41"/>
        <v/>
      </c>
      <c r="AW31" s="1138" t="str">
        <f t="shared" si="42"/>
        <v/>
      </c>
      <c r="AX31" s="1624" t="str">
        <f t="shared" si="43"/>
        <v/>
      </c>
      <c r="AY31" s="1625" t="str">
        <f t="shared" si="44"/>
        <v/>
      </c>
      <c r="AZ31" s="1143" t="str">
        <f t="shared" si="45"/>
        <v/>
      </c>
      <c r="BA31" s="1138" t="str">
        <f t="shared" si="46"/>
        <v/>
      </c>
      <c r="BB31" s="1624" t="str">
        <f t="shared" si="47"/>
        <v/>
      </c>
      <c r="BC31" s="1625" t="str">
        <f t="shared" si="48"/>
        <v/>
      </c>
      <c r="BD31" s="1143" t="str">
        <f t="shared" si="49"/>
        <v/>
      </c>
      <c r="BE31" s="1138" t="str">
        <f t="shared" si="50"/>
        <v/>
      </c>
      <c r="BF31" s="1624" t="str">
        <f t="shared" si="51"/>
        <v/>
      </c>
      <c r="BG31" s="1625" t="str">
        <f t="shared" si="51"/>
        <v/>
      </c>
      <c r="BH31" s="1291"/>
      <c r="BJ31" s="915" t="str">
        <f t="shared" si="94"/>
        <v/>
      </c>
      <c r="BK31" s="913" t="e">
        <f t="shared" si="52"/>
        <v>#REF!</v>
      </c>
      <c r="BL31" s="908" t="b">
        <v>0</v>
      </c>
      <c r="BM31" s="908">
        <f t="shared" si="53"/>
        <v>0</v>
      </c>
      <c r="BN31" s="908">
        <f t="shared" si="54"/>
        <v>0</v>
      </c>
      <c r="BO31" s="908">
        <f t="shared" si="55"/>
        <v>0</v>
      </c>
      <c r="BP31" s="908">
        <f t="shared" si="56"/>
        <v>0</v>
      </c>
      <c r="BQ31" s="908">
        <f t="shared" si="57"/>
        <v>0</v>
      </c>
      <c r="BR31" s="908" t="b">
        <f t="shared" si="58"/>
        <v>1</v>
      </c>
      <c r="BS31" s="1216">
        <f t="shared" si="59"/>
        <v>6</v>
      </c>
      <c r="BT31" s="909" t="str">
        <f t="shared" si="60"/>
        <v>No</v>
      </c>
      <c r="BU31" s="1216">
        <f t="shared" si="61"/>
        <v>6</v>
      </c>
      <c r="BV31" s="909" t="str">
        <f t="shared" si="62"/>
        <v>No</v>
      </c>
      <c r="BW31" s="910">
        <f t="shared" ca="1" si="63"/>
        <v>0</v>
      </c>
      <c r="BX31" s="911" t="str">
        <f t="shared" ca="1" si="64"/>
        <v/>
      </c>
      <c r="BY31" s="911" t="b">
        <f t="shared" ca="1" si="65"/>
        <v>0</v>
      </c>
      <c r="BZ31" s="910" t="e">
        <f t="shared" si="87"/>
        <v>#REF!</v>
      </c>
      <c r="CB31" s="616"/>
      <c r="CC31" s="1567"/>
      <c r="CD31" s="645"/>
      <c r="CE31" s="646"/>
      <c r="CF31" s="647"/>
      <c r="CG31" s="660"/>
      <c r="CH31" s="661"/>
      <c r="CI31" s="662"/>
      <c r="CJ31" s="661"/>
      <c r="CK31" s="662"/>
      <c r="CL31" s="663"/>
      <c r="CM31" s="692"/>
      <c r="CN31" s="687"/>
      <c r="CO31" s="1430"/>
      <c r="CP31" s="839"/>
      <c r="CQ31" s="660"/>
      <c r="CR31" s="661"/>
      <c r="CS31" s="662"/>
      <c r="CT31" s="661"/>
      <c r="CU31" s="662"/>
      <c r="CV31" s="663"/>
      <c r="CW31" s="692"/>
      <c r="CX31" s="687"/>
      <c r="CY31" s="1430"/>
      <c r="CZ31" s="839"/>
      <c r="DA31" s="665"/>
      <c r="DB31" s="648"/>
      <c r="DC31" s="649"/>
      <c r="DD31" s="674"/>
      <c r="DE31" s="675"/>
      <c r="DF31" s="58"/>
      <c r="DG31" s="58"/>
      <c r="DH31" s="616"/>
      <c r="DI31" s="617"/>
      <c r="DJ31" s="638"/>
      <c r="DK31" s="1245"/>
      <c r="DL31" s="618"/>
      <c r="DM31" s="639"/>
      <c r="DN31" s="1248"/>
      <c r="DO31" s="619"/>
      <c r="DP31" s="620"/>
      <c r="DQ31" s="1294"/>
      <c r="DR31" s="621"/>
      <c r="DS31" s="1294"/>
      <c r="DT31" s="1296"/>
      <c r="DU31" s="1297"/>
      <c r="DV31" s="622"/>
      <c r="DW31" s="1250"/>
      <c r="DX31" s="623"/>
      <c r="DY31" s="624"/>
      <c r="DZ31" s="622"/>
      <c r="EA31" s="1250"/>
      <c r="EB31" s="623"/>
      <c r="EC31" s="624"/>
      <c r="ED31" s="622"/>
      <c r="EE31" s="1250"/>
      <c r="EF31" s="623"/>
      <c r="EG31" s="624"/>
      <c r="EH31" s="622"/>
      <c r="EI31" s="1250"/>
      <c r="EJ31" s="623"/>
      <c r="EK31" s="625"/>
      <c r="EL31" s="147"/>
      <c r="EM31" s="1513" t="str">
        <f t="shared" si="66"/>
        <v/>
      </c>
      <c r="EN31" s="1303" t="str">
        <f t="shared" si="67"/>
        <v/>
      </c>
      <c r="EO31" s="1304" t="str">
        <f t="shared" si="68"/>
        <v/>
      </c>
      <c r="EP31" s="1305" t="str">
        <f t="shared" si="69"/>
        <v/>
      </c>
      <c r="EQ31" s="1309" t="str">
        <f t="shared" si="70"/>
        <v/>
      </c>
      <c r="ER31" s="1315" t="str">
        <f t="shared" si="71"/>
        <v/>
      </c>
      <c r="ES31" s="1316" t="str">
        <f t="shared" si="72"/>
        <v/>
      </c>
      <c r="ET31" s="1317" t="str">
        <f t="shared" si="73"/>
        <v/>
      </c>
      <c r="EU31" s="1318" t="str">
        <f t="shared" si="88"/>
        <v/>
      </c>
      <c r="EX31" s="870" t="str">
        <f t="shared" ca="1" si="89"/>
        <v/>
      </c>
      <c r="EY31" s="872" t="str">
        <f t="shared" si="74"/>
        <v/>
      </c>
      <c r="EZ31" s="872" t="str">
        <f t="shared" si="90"/>
        <v/>
      </c>
      <c r="FA31" s="891" t="str">
        <f t="shared" ca="1" si="95"/>
        <v/>
      </c>
      <c r="FB31" s="892" t="str">
        <f t="shared" ca="1" si="91"/>
        <v/>
      </c>
      <c r="FC31" s="892">
        <f t="shared" ca="1" si="75"/>
        <v>0</v>
      </c>
      <c r="FD31" s="892">
        <f t="shared" ca="1" si="76"/>
        <v>0</v>
      </c>
      <c r="FE31" s="892">
        <f t="shared" ca="1" si="77"/>
        <v>0</v>
      </c>
      <c r="FF31" s="892">
        <f t="shared" ca="1" si="92"/>
        <v>0</v>
      </c>
      <c r="FN31" s="703" t="b">
        <v>0</v>
      </c>
      <c r="FO31" s="704" t="b">
        <f t="shared" si="78"/>
        <v>1</v>
      </c>
      <c r="FP31" s="704" t="b">
        <v>0</v>
      </c>
      <c r="FQ31" s="704" t="b">
        <f t="shared" si="93"/>
        <v>1</v>
      </c>
      <c r="FW31" s="1"/>
      <c r="FX31" s="1"/>
      <c r="FZ31" s="1"/>
      <c r="GA31" s="524" t="str">
        <f t="shared" si="79"/>
        <v/>
      </c>
      <c r="GB31" s="566" t="str">
        <f t="shared" si="80"/>
        <v/>
      </c>
      <c r="GC31" s="568" t="str">
        <f t="shared" si="81"/>
        <v/>
      </c>
      <c r="GD31" s="569" t="str">
        <f t="shared" si="82"/>
        <v/>
      </c>
      <c r="GE31" s="567" t="str">
        <f t="shared" si="83"/>
        <v/>
      </c>
      <c r="GF31" s="525" t="str">
        <f t="shared" si="84"/>
        <v/>
      </c>
      <c r="GG31" s="1056"/>
      <c r="GH31" s="1058"/>
      <c r="GI31" s="1056"/>
      <c r="GJ31" s="1058"/>
      <c r="GK31" s="1523">
        <f t="shared" si="85"/>
        <v>0</v>
      </c>
      <c r="GL31" s="1523" t="e">
        <f t="shared" si="86"/>
        <v>#VALUE!</v>
      </c>
      <c r="GM31" s="1524" t="e">
        <f>IF(ABS(GK31-GL31)&gt;=#REF!,ABS(GK31-GL31),0)</f>
        <v>#VALUE!</v>
      </c>
      <c r="GZ31" s="46"/>
      <c r="HA31" s="1159"/>
      <c r="HB31" s="1160"/>
      <c r="HC31" s="1160"/>
      <c r="HD31" s="1161"/>
      <c r="HE31" s="1162"/>
      <c r="HF31" s="1160"/>
      <c r="HG31" s="1160"/>
      <c r="HH31" s="1160"/>
      <c r="HI31" s="1160"/>
      <c r="HJ31" s="1160"/>
      <c r="HK31" s="1160"/>
      <c r="HL31" s="1160"/>
      <c r="HM31" s="1160"/>
      <c r="HN31" s="1160"/>
      <c r="HO31" s="1160"/>
      <c r="HP31" s="1160"/>
      <c r="HQ31" s="1160"/>
      <c r="HR31" s="1160"/>
      <c r="HS31" s="1160"/>
      <c r="HT31" s="1160"/>
      <c r="HU31" s="1160"/>
      <c r="HV31" s="1160"/>
      <c r="HW31" s="1160"/>
      <c r="HX31" s="1160"/>
      <c r="HY31" s="1164"/>
      <c r="HZ31" s="1164"/>
      <c r="IA31" s="1164"/>
      <c r="IB31" s="1164"/>
      <c r="IC31" s="1164"/>
      <c r="ID31" s="1179"/>
      <c r="IE31" s="1159"/>
      <c r="IF31" s="1160"/>
      <c r="IG31" s="1161"/>
      <c r="IH31" s="1162"/>
      <c r="II31" s="1160"/>
      <c r="IJ31" s="1161"/>
      <c r="IK31" s="1162"/>
      <c r="IL31" s="1160"/>
      <c r="IM31" s="1160"/>
      <c r="IN31" s="1160"/>
      <c r="IO31" s="1160"/>
      <c r="IP31" s="1160"/>
      <c r="IQ31" s="1160"/>
      <c r="IR31" s="1160"/>
      <c r="IS31" s="1161"/>
      <c r="IT31" s="1162"/>
      <c r="IU31" s="1160"/>
      <c r="IV31" s="1160"/>
      <c r="IW31" s="1161"/>
      <c r="IX31" s="1162"/>
      <c r="IY31" s="1160"/>
      <c r="IZ31" s="1160"/>
      <c r="JA31" s="1161"/>
      <c r="JB31" s="1162"/>
      <c r="JC31" s="1160"/>
      <c r="JD31" s="1160"/>
      <c r="JE31" s="1161"/>
      <c r="JF31" s="1162"/>
      <c r="JG31" s="1160"/>
      <c r="JH31" s="1160"/>
      <c r="JI31" s="1160"/>
      <c r="JJ31" s="1166"/>
      <c r="JK31" s="1160"/>
      <c r="JL31" s="1103">
        <f t="shared" ca="1" si="96"/>
        <v>0</v>
      </c>
    </row>
    <row r="32" spans="1:272" ht="12.6" customHeight="1" x14ac:dyDescent="0.25">
      <c r="A32" s="1132" t="str">
        <f t="shared" si="0"/>
        <v/>
      </c>
      <c r="B32" s="1586" t="str">
        <f t="shared" si="1"/>
        <v/>
      </c>
      <c r="C32" s="1133" t="str">
        <f t="shared" si="2"/>
        <v/>
      </c>
      <c r="D32" s="1134" t="str">
        <f t="shared" si="3"/>
        <v/>
      </c>
      <c r="E32" s="1135" t="str">
        <f t="shared" si="4"/>
        <v/>
      </c>
      <c r="F32" s="1136" t="str">
        <f t="shared" si="5"/>
        <v/>
      </c>
      <c r="G32" s="1137" t="str">
        <f t="shared" si="6"/>
        <v/>
      </c>
      <c r="H32" s="1138" t="str">
        <f t="shared" si="7"/>
        <v/>
      </c>
      <c r="I32" s="1139" t="str">
        <f t="shared" si="8"/>
        <v/>
      </c>
      <c r="J32" s="1134" t="str">
        <f t="shared" si="9"/>
        <v/>
      </c>
      <c r="K32" s="1138" t="str">
        <f t="shared" si="10"/>
        <v/>
      </c>
      <c r="L32" s="1140" t="str">
        <f t="shared" si="11"/>
        <v/>
      </c>
      <c r="M32" s="1141" t="str">
        <f t="shared" si="12"/>
        <v/>
      </c>
      <c r="N32" s="1142" t="str">
        <f t="shared" si="12"/>
        <v/>
      </c>
      <c r="O32" s="1137" t="str">
        <f t="shared" si="13"/>
        <v/>
      </c>
      <c r="P32" s="1138" t="str">
        <f t="shared" si="14"/>
        <v/>
      </c>
      <c r="Q32" s="1134" t="str">
        <f t="shared" si="15"/>
        <v/>
      </c>
      <c r="R32" s="1135" t="str">
        <f t="shared" si="16"/>
        <v/>
      </c>
      <c r="S32" s="1143" t="str">
        <f t="shared" si="17"/>
        <v/>
      </c>
      <c r="T32" s="1138" t="str">
        <f t="shared" si="18"/>
        <v/>
      </c>
      <c r="U32" s="1134" t="str">
        <f t="shared" si="19"/>
        <v/>
      </c>
      <c r="V32" s="1138" t="str">
        <f t="shared" si="20"/>
        <v/>
      </c>
      <c r="W32" s="1142">
        <f t="shared" si="21"/>
        <v>0</v>
      </c>
      <c r="X32" s="1144" t="e">
        <f t="shared" si="22"/>
        <v>#REF!</v>
      </c>
      <c r="Y32" s="1145" t="e">
        <f t="shared" si="23"/>
        <v>#REF!</v>
      </c>
      <c r="Z32" s="1587" t="str">
        <f t="shared" si="24"/>
        <v/>
      </c>
      <c r="AA32" s="1152" t="str">
        <f t="shared" si="25"/>
        <v/>
      </c>
      <c r="AB32" s="1132" t="str">
        <f t="shared" si="26"/>
        <v/>
      </c>
      <c r="AC32" s="1139" t="str">
        <f t="shared" si="26"/>
        <v/>
      </c>
      <c r="AD32" s="1134" t="str">
        <f t="shared" ca="1" si="27"/>
        <v/>
      </c>
      <c r="AE32" s="1138" t="str">
        <f t="shared" ca="1" si="28"/>
        <v/>
      </c>
      <c r="AF32" s="1139" t="str">
        <f t="shared" ca="1" si="29"/>
        <v/>
      </c>
      <c r="AG32" s="1134" t="str">
        <f t="shared" ca="1" si="30"/>
        <v/>
      </c>
      <c r="AH32" s="1138" t="str">
        <f t="shared" ca="1" si="31"/>
        <v/>
      </c>
      <c r="AI32" s="1134" t="str">
        <f t="shared" ca="1" si="32"/>
        <v/>
      </c>
      <c r="AJ32" s="1138" t="str">
        <f t="shared" ca="1" si="33"/>
        <v/>
      </c>
      <c r="AK32" s="1619" t="str">
        <f t="shared" si="34"/>
        <v/>
      </c>
      <c r="AL32" s="1620" t="str">
        <f t="shared" si="34"/>
        <v/>
      </c>
      <c r="AM32" s="1621" t="str">
        <f t="shared" si="34"/>
        <v/>
      </c>
      <c r="AN32" s="1139" t="str">
        <f t="shared" si="34"/>
        <v/>
      </c>
      <c r="AO32" s="1142" t="str">
        <f t="shared" si="34"/>
        <v/>
      </c>
      <c r="AP32" s="1141" t="str">
        <f t="shared" si="35"/>
        <v/>
      </c>
      <c r="AQ32" s="1623" t="str">
        <f t="shared" si="36"/>
        <v/>
      </c>
      <c r="AR32" s="1137" t="str">
        <f t="shared" si="37"/>
        <v/>
      </c>
      <c r="AS32" s="1138" t="str">
        <f t="shared" si="38"/>
        <v/>
      </c>
      <c r="AT32" s="1624" t="str">
        <f t="shared" si="39"/>
        <v/>
      </c>
      <c r="AU32" s="1625" t="str">
        <f t="shared" si="40"/>
        <v/>
      </c>
      <c r="AV32" s="1143" t="str">
        <f t="shared" si="41"/>
        <v/>
      </c>
      <c r="AW32" s="1138" t="str">
        <f t="shared" si="42"/>
        <v/>
      </c>
      <c r="AX32" s="1624" t="str">
        <f t="shared" si="43"/>
        <v/>
      </c>
      <c r="AY32" s="1625" t="str">
        <f t="shared" si="44"/>
        <v/>
      </c>
      <c r="AZ32" s="1143" t="str">
        <f t="shared" si="45"/>
        <v/>
      </c>
      <c r="BA32" s="1138" t="str">
        <f t="shared" si="46"/>
        <v/>
      </c>
      <c r="BB32" s="1624" t="str">
        <f t="shared" si="47"/>
        <v/>
      </c>
      <c r="BC32" s="1625" t="str">
        <f t="shared" si="48"/>
        <v/>
      </c>
      <c r="BD32" s="1143" t="str">
        <f t="shared" si="49"/>
        <v/>
      </c>
      <c r="BE32" s="1138" t="str">
        <f t="shared" si="50"/>
        <v/>
      </c>
      <c r="BF32" s="1624" t="str">
        <f t="shared" si="51"/>
        <v/>
      </c>
      <c r="BG32" s="1625" t="str">
        <f t="shared" si="51"/>
        <v/>
      </c>
      <c r="BH32" s="1291"/>
      <c r="BJ32" s="915" t="str">
        <f t="shared" si="94"/>
        <v/>
      </c>
      <c r="BK32" s="913" t="e">
        <f t="shared" si="52"/>
        <v>#REF!</v>
      </c>
      <c r="BL32" s="908" t="b">
        <v>0</v>
      </c>
      <c r="BM32" s="908">
        <f t="shared" si="53"/>
        <v>0</v>
      </c>
      <c r="BN32" s="908">
        <f t="shared" si="54"/>
        <v>0</v>
      </c>
      <c r="BO32" s="908">
        <f t="shared" si="55"/>
        <v>0</v>
      </c>
      <c r="BP32" s="908">
        <f t="shared" si="56"/>
        <v>0</v>
      </c>
      <c r="BQ32" s="908">
        <f t="shared" si="57"/>
        <v>0</v>
      </c>
      <c r="BR32" s="908" t="b">
        <f t="shared" si="58"/>
        <v>1</v>
      </c>
      <c r="BS32" s="1216">
        <f t="shared" si="59"/>
        <v>6</v>
      </c>
      <c r="BT32" s="909" t="str">
        <f t="shared" si="60"/>
        <v>No</v>
      </c>
      <c r="BU32" s="1216">
        <f t="shared" si="61"/>
        <v>6</v>
      </c>
      <c r="BV32" s="909" t="str">
        <f t="shared" si="62"/>
        <v>No</v>
      </c>
      <c r="BW32" s="910">
        <f t="shared" ca="1" si="63"/>
        <v>0</v>
      </c>
      <c r="BX32" s="911" t="str">
        <f t="shared" ca="1" si="64"/>
        <v/>
      </c>
      <c r="BY32" s="911" t="b">
        <f t="shared" ca="1" si="65"/>
        <v>0</v>
      </c>
      <c r="BZ32" s="910" t="e">
        <f t="shared" si="87"/>
        <v>#REF!</v>
      </c>
      <c r="CB32" s="616"/>
      <c r="CC32" s="1567"/>
      <c r="CD32" s="645"/>
      <c r="CE32" s="646"/>
      <c r="CF32" s="647"/>
      <c r="CG32" s="660"/>
      <c r="CH32" s="661"/>
      <c r="CI32" s="662"/>
      <c r="CJ32" s="661"/>
      <c r="CK32" s="662"/>
      <c r="CL32" s="663"/>
      <c r="CM32" s="692"/>
      <c r="CN32" s="687"/>
      <c r="CO32" s="1430"/>
      <c r="CP32" s="839"/>
      <c r="CQ32" s="660"/>
      <c r="CR32" s="661"/>
      <c r="CS32" s="662"/>
      <c r="CT32" s="661"/>
      <c r="CU32" s="662"/>
      <c r="CV32" s="663"/>
      <c r="CW32" s="692"/>
      <c r="CX32" s="687"/>
      <c r="CY32" s="1430"/>
      <c r="CZ32" s="839"/>
      <c r="DA32" s="665"/>
      <c r="DB32" s="648"/>
      <c r="DC32" s="649"/>
      <c r="DD32" s="674"/>
      <c r="DE32" s="675"/>
      <c r="DF32" s="58"/>
      <c r="DG32" s="58"/>
      <c r="DH32" s="616"/>
      <c r="DI32" s="617"/>
      <c r="DJ32" s="638"/>
      <c r="DK32" s="1245"/>
      <c r="DL32" s="618"/>
      <c r="DM32" s="639"/>
      <c r="DN32" s="1248"/>
      <c r="DO32" s="619"/>
      <c r="DP32" s="620"/>
      <c r="DQ32" s="1294"/>
      <c r="DR32" s="621"/>
      <c r="DS32" s="1294"/>
      <c r="DT32" s="1296"/>
      <c r="DU32" s="1297"/>
      <c r="DV32" s="622"/>
      <c r="DW32" s="1250"/>
      <c r="DX32" s="623"/>
      <c r="DY32" s="624"/>
      <c r="DZ32" s="622"/>
      <c r="EA32" s="1250"/>
      <c r="EB32" s="623"/>
      <c r="EC32" s="624"/>
      <c r="ED32" s="622"/>
      <c r="EE32" s="1250"/>
      <c r="EF32" s="623"/>
      <c r="EG32" s="624"/>
      <c r="EH32" s="622"/>
      <c r="EI32" s="1250"/>
      <c r="EJ32" s="623"/>
      <c r="EK32" s="625"/>
      <c r="EL32" s="147"/>
      <c r="EM32" s="1513" t="str">
        <f t="shared" si="66"/>
        <v/>
      </c>
      <c r="EN32" s="1303" t="str">
        <f t="shared" si="67"/>
        <v/>
      </c>
      <c r="EO32" s="1304" t="str">
        <f t="shared" si="68"/>
        <v/>
      </c>
      <c r="EP32" s="1305" t="str">
        <f t="shared" si="69"/>
        <v/>
      </c>
      <c r="EQ32" s="1309" t="str">
        <f t="shared" si="70"/>
        <v/>
      </c>
      <c r="ER32" s="1315" t="str">
        <f t="shared" si="71"/>
        <v/>
      </c>
      <c r="ES32" s="1316" t="str">
        <f t="shared" si="72"/>
        <v/>
      </c>
      <c r="ET32" s="1317" t="str">
        <f t="shared" si="73"/>
        <v/>
      </c>
      <c r="EU32" s="1318" t="str">
        <f t="shared" si="88"/>
        <v/>
      </c>
      <c r="EX32" s="870" t="str">
        <f t="shared" ca="1" si="89"/>
        <v/>
      </c>
      <c r="EY32" s="872" t="str">
        <f t="shared" si="74"/>
        <v/>
      </c>
      <c r="EZ32" s="872" t="str">
        <f t="shared" si="90"/>
        <v/>
      </c>
      <c r="FA32" s="891" t="str">
        <f t="shared" ca="1" si="95"/>
        <v/>
      </c>
      <c r="FB32" s="892" t="str">
        <f t="shared" ca="1" si="91"/>
        <v/>
      </c>
      <c r="FC32" s="892">
        <f t="shared" ca="1" si="75"/>
        <v>0</v>
      </c>
      <c r="FD32" s="892">
        <f t="shared" ca="1" si="76"/>
        <v>0</v>
      </c>
      <c r="FE32" s="892">
        <f t="shared" ca="1" si="77"/>
        <v>0</v>
      </c>
      <c r="FF32" s="892">
        <f t="shared" ca="1" si="92"/>
        <v>0</v>
      </c>
      <c r="FN32" s="703" t="b">
        <v>0</v>
      </c>
      <c r="FO32" s="703" t="b">
        <f t="shared" si="78"/>
        <v>1</v>
      </c>
      <c r="FP32" s="703" t="b">
        <v>0</v>
      </c>
      <c r="FQ32" s="703" t="b">
        <f t="shared" si="93"/>
        <v>1</v>
      </c>
      <c r="FW32" s="1"/>
      <c r="FX32" s="1"/>
      <c r="FZ32" s="1"/>
      <c r="GA32" s="524" t="str">
        <f t="shared" si="79"/>
        <v/>
      </c>
      <c r="GB32" s="566" t="str">
        <f t="shared" si="80"/>
        <v/>
      </c>
      <c r="GC32" s="568" t="str">
        <f t="shared" si="81"/>
        <v/>
      </c>
      <c r="GD32" s="569" t="str">
        <f t="shared" si="82"/>
        <v/>
      </c>
      <c r="GE32" s="567" t="str">
        <f t="shared" si="83"/>
        <v/>
      </c>
      <c r="GF32" s="525" t="str">
        <f t="shared" si="84"/>
        <v/>
      </c>
      <c r="GG32" s="1056"/>
      <c r="GH32" s="1058"/>
      <c r="GI32" s="1056"/>
      <c r="GJ32" s="1058"/>
      <c r="GK32" s="1523">
        <f t="shared" si="85"/>
        <v>0</v>
      </c>
      <c r="GL32" s="1523" t="e">
        <f t="shared" si="86"/>
        <v>#VALUE!</v>
      </c>
      <c r="GM32" s="1524" t="e">
        <f>IF(ABS(GK32-GL32)&gt;=#REF!,ABS(GK32-GL32),0)</f>
        <v>#VALUE!</v>
      </c>
      <c r="HA32" s="1159"/>
      <c r="HB32" s="1160"/>
      <c r="HC32" s="1160"/>
      <c r="HD32" s="1161"/>
      <c r="HE32" s="1162"/>
      <c r="HF32" s="1160"/>
      <c r="HG32" s="1160"/>
      <c r="HH32" s="1160"/>
      <c r="HI32" s="1160"/>
      <c r="HJ32" s="1160"/>
      <c r="HK32" s="1160"/>
      <c r="HL32" s="1160"/>
      <c r="HM32" s="1160"/>
      <c r="HN32" s="1160"/>
      <c r="HO32" s="1160"/>
      <c r="HP32" s="1160"/>
      <c r="HQ32" s="1160"/>
      <c r="HR32" s="1160"/>
      <c r="HS32" s="1160"/>
      <c r="HT32" s="1160"/>
      <c r="HU32" s="1160"/>
      <c r="HV32" s="1160"/>
      <c r="HW32" s="1160"/>
      <c r="HX32" s="1160"/>
      <c r="HY32" s="1164"/>
      <c r="HZ32" s="1164"/>
      <c r="IA32" s="1164"/>
      <c r="IB32" s="1164"/>
      <c r="IC32" s="1164"/>
      <c r="ID32" s="1179"/>
      <c r="IE32" s="1159"/>
      <c r="IF32" s="1160"/>
      <c r="IG32" s="1161"/>
      <c r="IH32" s="1162"/>
      <c r="II32" s="1160"/>
      <c r="IJ32" s="1161"/>
      <c r="IK32" s="1162"/>
      <c r="IL32" s="1160"/>
      <c r="IM32" s="1160"/>
      <c r="IN32" s="1160"/>
      <c r="IO32" s="1160"/>
      <c r="IP32" s="1160"/>
      <c r="IQ32" s="1160"/>
      <c r="IR32" s="1160"/>
      <c r="IS32" s="1161"/>
      <c r="IT32" s="1162"/>
      <c r="IU32" s="1160"/>
      <c r="IV32" s="1160"/>
      <c r="IW32" s="1161"/>
      <c r="IX32" s="1162"/>
      <c r="IY32" s="1160"/>
      <c r="IZ32" s="1160"/>
      <c r="JA32" s="1161"/>
      <c r="JB32" s="1162"/>
      <c r="JC32" s="1160"/>
      <c r="JD32" s="1160"/>
      <c r="JE32" s="1161"/>
      <c r="JF32" s="1162"/>
      <c r="JG32" s="1160"/>
      <c r="JH32" s="1160"/>
      <c r="JI32" s="1160"/>
      <c r="JJ32" s="1163"/>
      <c r="JK32" s="1160"/>
      <c r="JL32" s="1103">
        <f t="shared" ca="1" si="96"/>
        <v>0</v>
      </c>
    </row>
    <row r="33" spans="1:272" ht="12.6" customHeight="1" x14ac:dyDescent="0.25">
      <c r="A33" s="1132" t="str">
        <f t="shared" si="0"/>
        <v/>
      </c>
      <c r="B33" s="1586" t="str">
        <f t="shared" si="1"/>
        <v/>
      </c>
      <c r="C33" s="1133" t="str">
        <f t="shared" si="2"/>
        <v/>
      </c>
      <c r="D33" s="1134" t="str">
        <f t="shared" si="3"/>
        <v/>
      </c>
      <c r="E33" s="1135" t="str">
        <f t="shared" si="4"/>
        <v/>
      </c>
      <c r="F33" s="1136" t="str">
        <f t="shared" si="5"/>
        <v/>
      </c>
      <c r="G33" s="1137" t="str">
        <f t="shared" si="6"/>
        <v/>
      </c>
      <c r="H33" s="1138" t="str">
        <f t="shared" si="7"/>
        <v/>
      </c>
      <c r="I33" s="1139" t="str">
        <f t="shared" si="8"/>
        <v/>
      </c>
      <c r="J33" s="1134" t="str">
        <f t="shared" si="9"/>
        <v/>
      </c>
      <c r="K33" s="1138" t="str">
        <f t="shared" si="10"/>
        <v/>
      </c>
      <c r="L33" s="1140" t="str">
        <f t="shared" si="11"/>
        <v/>
      </c>
      <c r="M33" s="1141" t="str">
        <f t="shared" si="12"/>
        <v/>
      </c>
      <c r="N33" s="1142" t="str">
        <f t="shared" si="12"/>
        <v/>
      </c>
      <c r="O33" s="1137" t="str">
        <f t="shared" si="13"/>
        <v/>
      </c>
      <c r="P33" s="1138" t="str">
        <f t="shared" si="14"/>
        <v/>
      </c>
      <c r="Q33" s="1134" t="str">
        <f t="shared" si="15"/>
        <v/>
      </c>
      <c r="R33" s="1135" t="str">
        <f t="shared" si="16"/>
        <v/>
      </c>
      <c r="S33" s="1143" t="str">
        <f t="shared" si="17"/>
        <v/>
      </c>
      <c r="T33" s="1138" t="str">
        <f t="shared" si="18"/>
        <v/>
      </c>
      <c r="U33" s="1134" t="str">
        <f t="shared" si="19"/>
        <v/>
      </c>
      <c r="V33" s="1138" t="str">
        <f t="shared" si="20"/>
        <v/>
      </c>
      <c r="W33" s="1142">
        <f t="shared" si="21"/>
        <v>0</v>
      </c>
      <c r="X33" s="1144" t="e">
        <f t="shared" si="22"/>
        <v>#REF!</v>
      </c>
      <c r="Y33" s="1145" t="e">
        <f t="shared" si="23"/>
        <v>#REF!</v>
      </c>
      <c r="Z33" s="1587" t="str">
        <f t="shared" si="24"/>
        <v/>
      </c>
      <c r="AA33" s="1152" t="str">
        <f t="shared" si="25"/>
        <v/>
      </c>
      <c r="AB33" s="1132" t="str">
        <f t="shared" si="26"/>
        <v/>
      </c>
      <c r="AC33" s="1139" t="str">
        <f t="shared" si="26"/>
        <v/>
      </c>
      <c r="AD33" s="1134" t="str">
        <f t="shared" ca="1" si="27"/>
        <v/>
      </c>
      <c r="AE33" s="1138" t="str">
        <f t="shared" ca="1" si="28"/>
        <v/>
      </c>
      <c r="AF33" s="1139" t="str">
        <f t="shared" ca="1" si="29"/>
        <v/>
      </c>
      <c r="AG33" s="1134" t="str">
        <f t="shared" ca="1" si="30"/>
        <v/>
      </c>
      <c r="AH33" s="1138" t="str">
        <f t="shared" ca="1" si="31"/>
        <v/>
      </c>
      <c r="AI33" s="1134" t="str">
        <f t="shared" ca="1" si="32"/>
        <v/>
      </c>
      <c r="AJ33" s="1138" t="str">
        <f t="shared" ca="1" si="33"/>
        <v/>
      </c>
      <c r="AK33" s="1619" t="str">
        <f t="shared" si="34"/>
        <v/>
      </c>
      <c r="AL33" s="1620" t="str">
        <f t="shared" si="34"/>
        <v/>
      </c>
      <c r="AM33" s="1621" t="str">
        <f t="shared" si="34"/>
        <v/>
      </c>
      <c r="AN33" s="1139" t="str">
        <f t="shared" si="34"/>
        <v/>
      </c>
      <c r="AO33" s="1142" t="str">
        <f t="shared" si="34"/>
        <v/>
      </c>
      <c r="AP33" s="1141" t="str">
        <f t="shared" si="35"/>
        <v/>
      </c>
      <c r="AQ33" s="1623" t="str">
        <f t="shared" si="36"/>
        <v/>
      </c>
      <c r="AR33" s="1137" t="str">
        <f t="shared" si="37"/>
        <v/>
      </c>
      <c r="AS33" s="1138" t="str">
        <f t="shared" si="38"/>
        <v/>
      </c>
      <c r="AT33" s="1624" t="str">
        <f t="shared" si="39"/>
        <v/>
      </c>
      <c r="AU33" s="1625" t="str">
        <f t="shared" si="40"/>
        <v/>
      </c>
      <c r="AV33" s="1143" t="str">
        <f t="shared" si="41"/>
        <v/>
      </c>
      <c r="AW33" s="1138" t="str">
        <f t="shared" si="42"/>
        <v/>
      </c>
      <c r="AX33" s="1624" t="str">
        <f t="shared" si="43"/>
        <v/>
      </c>
      <c r="AY33" s="1625" t="str">
        <f t="shared" si="44"/>
        <v/>
      </c>
      <c r="AZ33" s="1143" t="str">
        <f t="shared" si="45"/>
        <v/>
      </c>
      <c r="BA33" s="1138" t="str">
        <f t="shared" si="46"/>
        <v/>
      </c>
      <c r="BB33" s="1624" t="str">
        <f t="shared" si="47"/>
        <v/>
      </c>
      <c r="BC33" s="1625" t="str">
        <f t="shared" si="48"/>
        <v/>
      </c>
      <c r="BD33" s="1143" t="str">
        <f t="shared" si="49"/>
        <v/>
      </c>
      <c r="BE33" s="1138" t="str">
        <f t="shared" si="50"/>
        <v/>
      </c>
      <c r="BF33" s="1624" t="str">
        <f t="shared" si="51"/>
        <v/>
      </c>
      <c r="BG33" s="1625" t="str">
        <f t="shared" si="51"/>
        <v/>
      </c>
      <c r="BH33" s="1291"/>
      <c r="BJ33" s="915" t="str">
        <f t="shared" si="94"/>
        <v/>
      </c>
      <c r="BK33" s="913" t="e">
        <f t="shared" si="52"/>
        <v>#REF!</v>
      </c>
      <c r="BL33" s="908" t="b">
        <v>0</v>
      </c>
      <c r="BM33" s="908">
        <f t="shared" si="53"/>
        <v>0</v>
      </c>
      <c r="BN33" s="908">
        <f t="shared" si="54"/>
        <v>0</v>
      </c>
      <c r="BO33" s="908">
        <f t="shared" si="55"/>
        <v>0</v>
      </c>
      <c r="BP33" s="908">
        <f t="shared" si="56"/>
        <v>0</v>
      </c>
      <c r="BQ33" s="908">
        <f t="shared" si="57"/>
        <v>0</v>
      </c>
      <c r="BR33" s="908" t="b">
        <f t="shared" si="58"/>
        <v>1</v>
      </c>
      <c r="BS33" s="1216">
        <f t="shared" si="59"/>
        <v>6</v>
      </c>
      <c r="BT33" s="909" t="str">
        <f t="shared" si="60"/>
        <v>No</v>
      </c>
      <c r="BU33" s="1216">
        <f t="shared" si="61"/>
        <v>6</v>
      </c>
      <c r="BV33" s="909" t="str">
        <f t="shared" si="62"/>
        <v>No</v>
      </c>
      <c r="BW33" s="910">
        <f t="shared" ca="1" si="63"/>
        <v>0</v>
      </c>
      <c r="BX33" s="911" t="str">
        <f t="shared" ca="1" si="64"/>
        <v/>
      </c>
      <c r="BY33" s="911" t="b">
        <f t="shared" ca="1" si="65"/>
        <v>0</v>
      </c>
      <c r="BZ33" s="910" t="e">
        <f t="shared" si="87"/>
        <v>#REF!</v>
      </c>
      <c r="CB33" s="616"/>
      <c r="CC33" s="1567"/>
      <c r="CD33" s="645"/>
      <c r="CE33" s="646"/>
      <c r="CF33" s="647"/>
      <c r="CG33" s="660"/>
      <c r="CH33" s="661"/>
      <c r="CI33" s="662"/>
      <c r="CJ33" s="661"/>
      <c r="CK33" s="662"/>
      <c r="CL33" s="663"/>
      <c r="CM33" s="692"/>
      <c r="CN33" s="687"/>
      <c r="CO33" s="1430"/>
      <c r="CP33" s="839"/>
      <c r="CQ33" s="660"/>
      <c r="CR33" s="661"/>
      <c r="CS33" s="662"/>
      <c r="CT33" s="661"/>
      <c r="CU33" s="662"/>
      <c r="CV33" s="663"/>
      <c r="CW33" s="692"/>
      <c r="CX33" s="687"/>
      <c r="CY33" s="1430"/>
      <c r="CZ33" s="839"/>
      <c r="DA33" s="665"/>
      <c r="DB33" s="648"/>
      <c r="DC33" s="649"/>
      <c r="DD33" s="674"/>
      <c r="DE33" s="675"/>
      <c r="DF33" s="58"/>
      <c r="DG33" s="58"/>
      <c r="DH33" s="616"/>
      <c r="DI33" s="617"/>
      <c r="DJ33" s="638"/>
      <c r="DK33" s="1245"/>
      <c r="DL33" s="618"/>
      <c r="DM33" s="639"/>
      <c r="DN33" s="1248"/>
      <c r="DO33" s="619"/>
      <c r="DP33" s="620"/>
      <c r="DQ33" s="1294"/>
      <c r="DR33" s="621"/>
      <c r="DS33" s="1294"/>
      <c r="DT33" s="1296"/>
      <c r="DU33" s="1297"/>
      <c r="DV33" s="622"/>
      <c r="DW33" s="1250"/>
      <c r="DX33" s="623"/>
      <c r="DY33" s="624"/>
      <c r="DZ33" s="622"/>
      <c r="EA33" s="1250"/>
      <c r="EB33" s="623"/>
      <c r="EC33" s="624"/>
      <c r="ED33" s="622"/>
      <c r="EE33" s="1250"/>
      <c r="EF33" s="623"/>
      <c r="EG33" s="624"/>
      <c r="EH33" s="622"/>
      <c r="EI33" s="1250"/>
      <c r="EJ33" s="623"/>
      <c r="EK33" s="625"/>
      <c r="EL33" s="147"/>
      <c r="EM33" s="1513" t="str">
        <f t="shared" si="66"/>
        <v/>
      </c>
      <c r="EN33" s="1303" t="str">
        <f t="shared" si="67"/>
        <v/>
      </c>
      <c r="EO33" s="1304" t="str">
        <f t="shared" si="68"/>
        <v/>
      </c>
      <c r="EP33" s="1305" t="str">
        <f t="shared" si="69"/>
        <v/>
      </c>
      <c r="EQ33" s="1309" t="str">
        <f t="shared" si="70"/>
        <v/>
      </c>
      <c r="ER33" s="1315" t="str">
        <f t="shared" si="71"/>
        <v/>
      </c>
      <c r="ES33" s="1316" t="str">
        <f t="shared" si="72"/>
        <v/>
      </c>
      <c r="ET33" s="1317" t="str">
        <f t="shared" si="73"/>
        <v/>
      </c>
      <c r="EU33" s="1318" t="str">
        <f t="shared" si="88"/>
        <v/>
      </c>
      <c r="EX33" s="870" t="str">
        <f t="shared" ca="1" si="89"/>
        <v/>
      </c>
      <c r="EY33" s="872" t="str">
        <f t="shared" si="74"/>
        <v/>
      </c>
      <c r="EZ33" s="872" t="str">
        <f t="shared" si="90"/>
        <v/>
      </c>
      <c r="FA33" s="891" t="str">
        <f t="shared" ca="1" si="95"/>
        <v/>
      </c>
      <c r="FB33" s="892" t="str">
        <f t="shared" ca="1" si="91"/>
        <v/>
      </c>
      <c r="FC33" s="892">
        <f t="shared" ca="1" si="75"/>
        <v>0</v>
      </c>
      <c r="FD33" s="892">
        <f t="shared" ca="1" si="76"/>
        <v>0</v>
      </c>
      <c r="FE33" s="892">
        <f t="shared" ca="1" si="77"/>
        <v>0</v>
      </c>
      <c r="FF33" s="892">
        <f t="shared" ca="1" si="92"/>
        <v>0</v>
      </c>
      <c r="FN33" s="703" t="b">
        <v>0</v>
      </c>
      <c r="FO33" s="703" t="b">
        <f t="shared" si="78"/>
        <v>1</v>
      </c>
      <c r="FP33" s="703" t="b">
        <v>0</v>
      </c>
      <c r="FQ33" s="703" t="b">
        <f t="shared" si="93"/>
        <v>1</v>
      </c>
      <c r="FW33" s="1"/>
      <c r="FX33" s="1"/>
      <c r="FZ33" s="1"/>
      <c r="GA33" s="524" t="str">
        <f t="shared" si="79"/>
        <v/>
      </c>
      <c r="GB33" s="566" t="str">
        <f t="shared" si="80"/>
        <v/>
      </c>
      <c r="GC33" s="568" t="str">
        <f t="shared" si="81"/>
        <v/>
      </c>
      <c r="GD33" s="569" t="str">
        <f t="shared" si="82"/>
        <v/>
      </c>
      <c r="GE33" s="567" t="str">
        <f t="shared" si="83"/>
        <v/>
      </c>
      <c r="GF33" s="525" t="str">
        <f t="shared" si="84"/>
        <v/>
      </c>
      <c r="GG33" s="1056"/>
      <c r="GH33" s="1058"/>
      <c r="GI33" s="1056"/>
      <c r="GJ33" s="1058"/>
      <c r="GK33" s="1523">
        <f t="shared" si="85"/>
        <v>0</v>
      </c>
      <c r="GL33" s="1523" t="e">
        <f t="shared" si="86"/>
        <v>#VALUE!</v>
      </c>
      <c r="GM33" s="1524" t="e">
        <f>IF(ABS(GK33-GL33)&gt;=#REF!,ABS(GK33-GL33),0)</f>
        <v>#VALUE!</v>
      </c>
      <c r="HA33" s="1159"/>
      <c r="HB33" s="1160"/>
      <c r="HC33" s="1160"/>
      <c r="HD33" s="1161"/>
      <c r="HE33" s="1162"/>
      <c r="HF33" s="1160"/>
      <c r="HG33" s="1160"/>
      <c r="HH33" s="1160"/>
      <c r="HI33" s="1160"/>
      <c r="HJ33" s="1160"/>
      <c r="HK33" s="1160"/>
      <c r="HL33" s="1160"/>
      <c r="HM33" s="1160"/>
      <c r="HN33" s="1160"/>
      <c r="HO33" s="1160"/>
      <c r="HP33" s="1160"/>
      <c r="HQ33" s="1160"/>
      <c r="HR33" s="1160"/>
      <c r="HS33" s="1160"/>
      <c r="HT33" s="1160"/>
      <c r="HU33" s="1160"/>
      <c r="HV33" s="1160"/>
      <c r="HW33" s="1160"/>
      <c r="HX33" s="1160"/>
      <c r="HY33" s="1164"/>
      <c r="HZ33" s="1164"/>
      <c r="IA33" s="1164"/>
      <c r="IB33" s="1164"/>
      <c r="IC33" s="1164"/>
      <c r="ID33" s="1179"/>
      <c r="IE33" s="1159"/>
      <c r="IF33" s="1160"/>
      <c r="IG33" s="1161"/>
      <c r="IH33" s="1162"/>
      <c r="II33" s="1160"/>
      <c r="IJ33" s="1161"/>
      <c r="IK33" s="1162"/>
      <c r="IL33" s="1160"/>
      <c r="IM33" s="1160"/>
      <c r="IN33" s="1160"/>
      <c r="IO33" s="1160"/>
      <c r="IP33" s="1160"/>
      <c r="IQ33" s="1160"/>
      <c r="IR33" s="1160"/>
      <c r="IS33" s="1161"/>
      <c r="IT33" s="1162"/>
      <c r="IU33" s="1160"/>
      <c r="IV33" s="1160"/>
      <c r="IW33" s="1161"/>
      <c r="IX33" s="1162"/>
      <c r="IY33" s="1160"/>
      <c r="IZ33" s="1160"/>
      <c r="JA33" s="1161"/>
      <c r="JB33" s="1162"/>
      <c r="JC33" s="1160"/>
      <c r="JD33" s="1160"/>
      <c r="JE33" s="1161"/>
      <c r="JF33" s="1162"/>
      <c r="JG33" s="1160"/>
      <c r="JH33" s="1160"/>
      <c r="JI33" s="1160"/>
      <c r="JJ33" s="1163"/>
      <c r="JK33" s="1160"/>
      <c r="JL33" s="1103">
        <f t="shared" ca="1" si="96"/>
        <v>0</v>
      </c>
    </row>
    <row r="34" spans="1:272" ht="12.6" customHeight="1" x14ac:dyDescent="0.25">
      <c r="A34" s="1132" t="str">
        <f t="shared" si="0"/>
        <v/>
      </c>
      <c r="B34" s="1586" t="str">
        <f t="shared" si="1"/>
        <v/>
      </c>
      <c r="C34" s="1133" t="str">
        <f t="shared" si="2"/>
        <v/>
      </c>
      <c r="D34" s="1134" t="str">
        <f t="shared" si="3"/>
        <v/>
      </c>
      <c r="E34" s="1135" t="str">
        <f t="shared" si="4"/>
        <v/>
      </c>
      <c r="F34" s="1136" t="str">
        <f t="shared" si="5"/>
        <v/>
      </c>
      <c r="G34" s="1137" t="str">
        <f t="shared" si="6"/>
        <v/>
      </c>
      <c r="H34" s="1138" t="str">
        <f t="shared" si="7"/>
        <v/>
      </c>
      <c r="I34" s="1139" t="str">
        <f t="shared" si="8"/>
        <v/>
      </c>
      <c r="J34" s="1134" t="str">
        <f t="shared" si="9"/>
        <v/>
      </c>
      <c r="K34" s="1138" t="str">
        <f t="shared" si="10"/>
        <v/>
      </c>
      <c r="L34" s="1140" t="str">
        <f t="shared" si="11"/>
        <v/>
      </c>
      <c r="M34" s="1141" t="str">
        <f t="shared" si="12"/>
        <v/>
      </c>
      <c r="N34" s="1142" t="str">
        <f t="shared" si="12"/>
        <v/>
      </c>
      <c r="O34" s="1137" t="str">
        <f t="shared" si="13"/>
        <v/>
      </c>
      <c r="P34" s="1138" t="str">
        <f t="shared" si="14"/>
        <v/>
      </c>
      <c r="Q34" s="1134" t="str">
        <f t="shared" si="15"/>
        <v/>
      </c>
      <c r="R34" s="1135" t="str">
        <f t="shared" si="16"/>
        <v/>
      </c>
      <c r="S34" s="1143" t="str">
        <f t="shared" si="17"/>
        <v/>
      </c>
      <c r="T34" s="1138" t="str">
        <f t="shared" si="18"/>
        <v/>
      </c>
      <c r="U34" s="1134" t="str">
        <f t="shared" si="19"/>
        <v/>
      </c>
      <c r="V34" s="1138" t="str">
        <f t="shared" si="20"/>
        <v/>
      </c>
      <c r="W34" s="1142">
        <f t="shared" si="21"/>
        <v>0</v>
      </c>
      <c r="X34" s="1144" t="e">
        <f t="shared" si="22"/>
        <v>#REF!</v>
      </c>
      <c r="Y34" s="1145" t="e">
        <f t="shared" si="23"/>
        <v>#REF!</v>
      </c>
      <c r="Z34" s="1587" t="str">
        <f t="shared" si="24"/>
        <v/>
      </c>
      <c r="AA34" s="1152" t="str">
        <f t="shared" si="25"/>
        <v/>
      </c>
      <c r="AB34" s="1132" t="str">
        <f t="shared" si="26"/>
        <v/>
      </c>
      <c r="AC34" s="1139" t="str">
        <f t="shared" si="26"/>
        <v/>
      </c>
      <c r="AD34" s="1134" t="str">
        <f t="shared" ca="1" si="27"/>
        <v/>
      </c>
      <c r="AE34" s="1138" t="str">
        <f t="shared" ca="1" si="28"/>
        <v/>
      </c>
      <c r="AF34" s="1139" t="str">
        <f t="shared" ca="1" si="29"/>
        <v/>
      </c>
      <c r="AG34" s="1134" t="str">
        <f t="shared" ca="1" si="30"/>
        <v/>
      </c>
      <c r="AH34" s="1138" t="str">
        <f t="shared" ca="1" si="31"/>
        <v/>
      </c>
      <c r="AI34" s="1134" t="str">
        <f t="shared" ca="1" si="32"/>
        <v/>
      </c>
      <c r="AJ34" s="1138" t="str">
        <f t="shared" ca="1" si="33"/>
        <v/>
      </c>
      <c r="AK34" s="1619" t="str">
        <f t="shared" si="34"/>
        <v/>
      </c>
      <c r="AL34" s="1620" t="str">
        <f t="shared" si="34"/>
        <v/>
      </c>
      <c r="AM34" s="1621" t="str">
        <f t="shared" si="34"/>
        <v/>
      </c>
      <c r="AN34" s="1139" t="str">
        <f t="shared" si="34"/>
        <v/>
      </c>
      <c r="AO34" s="1142" t="str">
        <f t="shared" si="34"/>
        <v/>
      </c>
      <c r="AP34" s="1141" t="str">
        <f t="shared" si="35"/>
        <v/>
      </c>
      <c r="AQ34" s="1623" t="str">
        <f t="shared" si="36"/>
        <v/>
      </c>
      <c r="AR34" s="1137" t="str">
        <f t="shared" si="37"/>
        <v/>
      </c>
      <c r="AS34" s="1138" t="str">
        <f t="shared" si="38"/>
        <v/>
      </c>
      <c r="AT34" s="1624" t="str">
        <f t="shared" si="39"/>
        <v/>
      </c>
      <c r="AU34" s="1625" t="str">
        <f t="shared" si="40"/>
        <v/>
      </c>
      <c r="AV34" s="1143" t="str">
        <f t="shared" si="41"/>
        <v/>
      </c>
      <c r="AW34" s="1138" t="str">
        <f t="shared" si="42"/>
        <v/>
      </c>
      <c r="AX34" s="1624" t="str">
        <f t="shared" si="43"/>
        <v/>
      </c>
      <c r="AY34" s="1625" t="str">
        <f t="shared" si="44"/>
        <v/>
      </c>
      <c r="AZ34" s="1143" t="str">
        <f t="shared" si="45"/>
        <v/>
      </c>
      <c r="BA34" s="1138" t="str">
        <f t="shared" si="46"/>
        <v/>
      </c>
      <c r="BB34" s="1624" t="str">
        <f t="shared" si="47"/>
        <v/>
      </c>
      <c r="BC34" s="1625" t="str">
        <f t="shared" si="48"/>
        <v/>
      </c>
      <c r="BD34" s="1143" t="str">
        <f t="shared" si="49"/>
        <v/>
      </c>
      <c r="BE34" s="1138" t="str">
        <f t="shared" si="50"/>
        <v/>
      </c>
      <c r="BF34" s="1624" t="str">
        <f t="shared" si="51"/>
        <v/>
      </c>
      <c r="BG34" s="1625" t="str">
        <f t="shared" si="51"/>
        <v/>
      </c>
      <c r="BH34" s="1291"/>
      <c r="BJ34" s="915" t="str">
        <f t="shared" si="94"/>
        <v/>
      </c>
      <c r="BK34" s="913" t="e">
        <f t="shared" si="52"/>
        <v>#REF!</v>
      </c>
      <c r="BL34" s="908" t="b">
        <v>0</v>
      </c>
      <c r="BM34" s="908">
        <f t="shared" si="53"/>
        <v>0</v>
      </c>
      <c r="BN34" s="908">
        <f t="shared" si="54"/>
        <v>0</v>
      </c>
      <c r="BO34" s="908">
        <f t="shared" si="55"/>
        <v>0</v>
      </c>
      <c r="BP34" s="908">
        <f t="shared" si="56"/>
        <v>0</v>
      </c>
      <c r="BQ34" s="908">
        <f t="shared" si="57"/>
        <v>0</v>
      </c>
      <c r="BR34" s="908" t="b">
        <f t="shared" si="58"/>
        <v>1</v>
      </c>
      <c r="BS34" s="1216">
        <f t="shared" si="59"/>
        <v>6</v>
      </c>
      <c r="BT34" s="909" t="str">
        <f t="shared" si="60"/>
        <v>No</v>
      </c>
      <c r="BU34" s="1216">
        <f t="shared" si="61"/>
        <v>6</v>
      </c>
      <c r="BV34" s="909" t="str">
        <f t="shared" si="62"/>
        <v>No</v>
      </c>
      <c r="BW34" s="910">
        <f t="shared" ca="1" si="63"/>
        <v>0</v>
      </c>
      <c r="BX34" s="911" t="str">
        <f t="shared" ca="1" si="64"/>
        <v/>
      </c>
      <c r="BY34" s="911" t="b">
        <f t="shared" ca="1" si="65"/>
        <v>0</v>
      </c>
      <c r="BZ34" s="910" t="e">
        <f t="shared" si="87"/>
        <v>#REF!</v>
      </c>
      <c r="CB34" s="616"/>
      <c r="CC34" s="1567"/>
      <c r="CD34" s="645"/>
      <c r="CE34" s="646"/>
      <c r="CF34" s="647"/>
      <c r="CG34" s="660"/>
      <c r="CH34" s="661"/>
      <c r="CI34" s="662"/>
      <c r="CJ34" s="661"/>
      <c r="CK34" s="662"/>
      <c r="CL34" s="663"/>
      <c r="CM34" s="692"/>
      <c r="CN34" s="687"/>
      <c r="CO34" s="1430"/>
      <c r="CP34" s="839"/>
      <c r="CQ34" s="660"/>
      <c r="CR34" s="661"/>
      <c r="CS34" s="662"/>
      <c r="CT34" s="661"/>
      <c r="CU34" s="662"/>
      <c r="CV34" s="663"/>
      <c r="CW34" s="692"/>
      <c r="CX34" s="687"/>
      <c r="CY34" s="1430"/>
      <c r="CZ34" s="839"/>
      <c r="DA34" s="665"/>
      <c r="DB34" s="648"/>
      <c r="DC34" s="649"/>
      <c r="DD34" s="674"/>
      <c r="DE34" s="675"/>
      <c r="DF34" s="58"/>
      <c r="DG34" s="58"/>
      <c r="DH34" s="616"/>
      <c r="DI34" s="617"/>
      <c r="DJ34" s="638"/>
      <c r="DK34" s="1245"/>
      <c r="DL34" s="618"/>
      <c r="DM34" s="639"/>
      <c r="DN34" s="1248"/>
      <c r="DO34" s="619"/>
      <c r="DP34" s="620"/>
      <c r="DQ34" s="1294"/>
      <c r="DR34" s="621"/>
      <c r="DS34" s="1294"/>
      <c r="DT34" s="1296"/>
      <c r="DU34" s="1297"/>
      <c r="DV34" s="622"/>
      <c r="DW34" s="1250"/>
      <c r="DX34" s="623"/>
      <c r="DY34" s="624"/>
      <c r="DZ34" s="622"/>
      <c r="EA34" s="1250"/>
      <c r="EB34" s="623"/>
      <c r="EC34" s="624"/>
      <c r="ED34" s="622"/>
      <c r="EE34" s="1250"/>
      <c r="EF34" s="623"/>
      <c r="EG34" s="624"/>
      <c r="EH34" s="622"/>
      <c r="EI34" s="1250"/>
      <c r="EJ34" s="623"/>
      <c r="EK34" s="625"/>
      <c r="EL34" s="147"/>
      <c r="EM34" s="1513" t="str">
        <f t="shared" si="66"/>
        <v/>
      </c>
      <c r="EN34" s="1303" t="str">
        <f t="shared" si="67"/>
        <v/>
      </c>
      <c r="EO34" s="1304" t="str">
        <f t="shared" si="68"/>
        <v/>
      </c>
      <c r="EP34" s="1305" t="str">
        <f t="shared" si="69"/>
        <v/>
      </c>
      <c r="EQ34" s="1309" t="str">
        <f t="shared" si="70"/>
        <v/>
      </c>
      <c r="ER34" s="1315" t="str">
        <f t="shared" si="71"/>
        <v/>
      </c>
      <c r="ES34" s="1316" t="str">
        <f t="shared" si="72"/>
        <v/>
      </c>
      <c r="ET34" s="1317" t="str">
        <f t="shared" si="73"/>
        <v/>
      </c>
      <c r="EU34" s="1318" t="str">
        <f t="shared" si="88"/>
        <v/>
      </c>
      <c r="EX34" s="870" t="str">
        <f t="shared" ca="1" si="89"/>
        <v/>
      </c>
      <c r="EY34" s="872" t="str">
        <f t="shared" si="74"/>
        <v/>
      </c>
      <c r="EZ34" s="872" t="str">
        <f t="shared" si="90"/>
        <v/>
      </c>
      <c r="FA34" s="891" t="str">
        <f t="shared" ca="1" si="95"/>
        <v/>
      </c>
      <c r="FB34" s="892" t="str">
        <f t="shared" ca="1" si="91"/>
        <v/>
      </c>
      <c r="FC34" s="892">
        <f t="shared" ca="1" si="75"/>
        <v>0</v>
      </c>
      <c r="FD34" s="892">
        <f t="shared" ca="1" si="76"/>
        <v>0</v>
      </c>
      <c r="FE34" s="892">
        <f t="shared" ca="1" si="77"/>
        <v>0</v>
      </c>
      <c r="FF34" s="892">
        <f t="shared" ca="1" si="92"/>
        <v>0</v>
      </c>
      <c r="FN34" s="703" t="b">
        <v>0</v>
      </c>
      <c r="FO34" s="703" t="b">
        <f t="shared" si="78"/>
        <v>1</v>
      </c>
      <c r="FP34" s="703" t="b">
        <v>0</v>
      </c>
      <c r="FQ34" s="703" t="b">
        <f t="shared" si="93"/>
        <v>1</v>
      </c>
      <c r="FW34" s="1"/>
      <c r="FX34" s="1"/>
      <c r="FZ34" s="1"/>
      <c r="GA34" s="524" t="str">
        <f t="shared" si="79"/>
        <v/>
      </c>
      <c r="GB34" s="566" t="str">
        <f t="shared" si="80"/>
        <v/>
      </c>
      <c r="GC34" s="568" t="str">
        <f t="shared" si="81"/>
        <v/>
      </c>
      <c r="GD34" s="569" t="str">
        <f t="shared" si="82"/>
        <v/>
      </c>
      <c r="GE34" s="567" t="str">
        <f t="shared" si="83"/>
        <v/>
      </c>
      <c r="GF34" s="525" t="str">
        <f t="shared" si="84"/>
        <v/>
      </c>
      <c r="GG34" s="1056"/>
      <c r="GH34" s="1058"/>
      <c r="GI34" s="1056"/>
      <c r="GJ34" s="1058"/>
      <c r="GK34" s="1523">
        <f t="shared" si="85"/>
        <v>0</v>
      </c>
      <c r="GL34" s="1523" t="e">
        <f t="shared" si="86"/>
        <v>#VALUE!</v>
      </c>
      <c r="GM34" s="1524" t="e">
        <f>IF(ABS(GK34-GL34)&gt;=#REF!,ABS(GK34-GL34),0)</f>
        <v>#VALUE!</v>
      </c>
      <c r="HA34" s="1159"/>
      <c r="HB34" s="1160"/>
      <c r="HC34" s="1160"/>
      <c r="HD34" s="1161"/>
      <c r="HE34" s="1162"/>
      <c r="HF34" s="1160"/>
      <c r="HG34" s="1160"/>
      <c r="HH34" s="1160"/>
      <c r="HI34" s="1160"/>
      <c r="HJ34" s="1160"/>
      <c r="HK34" s="1160"/>
      <c r="HL34" s="1160"/>
      <c r="HM34" s="1160"/>
      <c r="HN34" s="1160"/>
      <c r="HO34" s="1160"/>
      <c r="HP34" s="1160"/>
      <c r="HQ34" s="1160"/>
      <c r="HR34" s="1160"/>
      <c r="HS34" s="1160"/>
      <c r="HT34" s="1160"/>
      <c r="HU34" s="1160"/>
      <c r="HV34" s="1160"/>
      <c r="HW34" s="1160"/>
      <c r="HX34" s="1160"/>
      <c r="HY34" s="1164"/>
      <c r="HZ34" s="1164"/>
      <c r="IA34" s="1164"/>
      <c r="IB34" s="1164"/>
      <c r="IC34" s="1164"/>
      <c r="ID34" s="1179"/>
      <c r="IE34" s="1159"/>
      <c r="IF34" s="1160"/>
      <c r="IG34" s="1161"/>
      <c r="IH34" s="1162"/>
      <c r="II34" s="1160"/>
      <c r="IJ34" s="1161"/>
      <c r="IK34" s="1162"/>
      <c r="IL34" s="1160"/>
      <c r="IM34" s="1160"/>
      <c r="IN34" s="1160"/>
      <c r="IO34" s="1160"/>
      <c r="IP34" s="1160"/>
      <c r="IQ34" s="1160"/>
      <c r="IR34" s="1160"/>
      <c r="IS34" s="1161"/>
      <c r="IT34" s="1162"/>
      <c r="IU34" s="1160"/>
      <c r="IV34" s="1160"/>
      <c r="IW34" s="1161"/>
      <c r="IX34" s="1162"/>
      <c r="IY34" s="1160"/>
      <c r="IZ34" s="1160"/>
      <c r="JA34" s="1161"/>
      <c r="JB34" s="1162"/>
      <c r="JC34" s="1160"/>
      <c r="JD34" s="1160"/>
      <c r="JE34" s="1161"/>
      <c r="JF34" s="1162"/>
      <c r="JG34" s="1160"/>
      <c r="JH34" s="1160"/>
      <c r="JI34" s="1160"/>
      <c r="JJ34" s="1163"/>
      <c r="JK34" s="1160"/>
      <c r="JL34" s="1103">
        <f t="shared" ca="1" si="96"/>
        <v>0</v>
      </c>
    </row>
    <row r="35" spans="1:272" ht="12.6" customHeight="1" x14ac:dyDescent="0.25">
      <c r="A35" s="1132" t="str">
        <f t="shared" si="0"/>
        <v/>
      </c>
      <c r="B35" s="1586" t="str">
        <f t="shared" si="1"/>
        <v/>
      </c>
      <c r="C35" s="1133" t="str">
        <f t="shared" si="2"/>
        <v/>
      </c>
      <c r="D35" s="1134" t="str">
        <f t="shared" si="3"/>
        <v/>
      </c>
      <c r="E35" s="1135" t="str">
        <f t="shared" si="4"/>
        <v/>
      </c>
      <c r="F35" s="1136" t="str">
        <f t="shared" si="5"/>
        <v/>
      </c>
      <c r="G35" s="1137" t="str">
        <f t="shared" si="6"/>
        <v/>
      </c>
      <c r="H35" s="1138" t="str">
        <f t="shared" si="7"/>
        <v/>
      </c>
      <c r="I35" s="1139" t="str">
        <f t="shared" si="8"/>
        <v/>
      </c>
      <c r="J35" s="1134" t="str">
        <f t="shared" si="9"/>
        <v/>
      </c>
      <c r="K35" s="1138" t="str">
        <f t="shared" si="10"/>
        <v/>
      </c>
      <c r="L35" s="1140" t="str">
        <f t="shared" si="11"/>
        <v/>
      </c>
      <c r="M35" s="1141" t="str">
        <f t="shared" si="12"/>
        <v/>
      </c>
      <c r="N35" s="1142" t="str">
        <f t="shared" si="12"/>
        <v/>
      </c>
      <c r="O35" s="1137" t="str">
        <f t="shared" si="13"/>
        <v/>
      </c>
      <c r="P35" s="1138" t="str">
        <f t="shared" si="14"/>
        <v/>
      </c>
      <c r="Q35" s="1134" t="str">
        <f t="shared" si="15"/>
        <v/>
      </c>
      <c r="R35" s="1135" t="str">
        <f t="shared" si="16"/>
        <v/>
      </c>
      <c r="S35" s="1143" t="str">
        <f t="shared" si="17"/>
        <v/>
      </c>
      <c r="T35" s="1138" t="str">
        <f t="shared" si="18"/>
        <v/>
      </c>
      <c r="U35" s="1134" t="str">
        <f t="shared" si="19"/>
        <v/>
      </c>
      <c r="V35" s="1138" t="str">
        <f t="shared" si="20"/>
        <v/>
      </c>
      <c r="W35" s="1142">
        <f t="shared" si="21"/>
        <v>0</v>
      </c>
      <c r="X35" s="1144" t="e">
        <f t="shared" si="22"/>
        <v>#REF!</v>
      </c>
      <c r="Y35" s="1145" t="e">
        <f t="shared" si="23"/>
        <v>#REF!</v>
      </c>
      <c r="Z35" s="1587" t="str">
        <f t="shared" si="24"/>
        <v/>
      </c>
      <c r="AA35" s="1152" t="str">
        <f t="shared" si="25"/>
        <v/>
      </c>
      <c r="AB35" s="1132" t="str">
        <f t="shared" si="26"/>
        <v/>
      </c>
      <c r="AC35" s="1139" t="str">
        <f t="shared" si="26"/>
        <v/>
      </c>
      <c r="AD35" s="1134" t="str">
        <f t="shared" ca="1" si="27"/>
        <v/>
      </c>
      <c r="AE35" s="1138" t="str">
        <f t="shared" ca="1" si="28"/>
        <v/>
      </c>
      <c r="AF35" s="1139" t="str">
        <f t="shared" ca="1" si="29"/>
        <v/>
      </c>
      <c r="AG35" s="1134" t="str">
        <f t="shared" ca="1" si="30"/>
        <v/>
      </c>
      <c r="AH35" s="1138" t="str">
        <f t="shared" ca="1" si="31"/>
        <v/>
      </c>
      <c r="AI35" s="1134" t="str">
        <f t="shared" ca="1" si="32"/>
        <v/>
      </c>
      <c r="AJ35" s="1138" t="str">
        <f t="shared" ca="1" si="33"/>
        <v/>
      </c>
      <c r="AK35" s="1619" t="str">
        <f t="shared" si="34"/>
        <v/>
      </c>
      <c r="AL35" s="1620" t="str">
        <f t="shared" si="34"/>
        <v/>
      </c>
      <c r="AM35" s="1621" t="str">
        <f t="shared" si="34"/>
        <v/>
      </c>
      <c r="AN35" s="1139" t="str">
        <f t="shared" si="34"/>
        <v/>
      </c>
      <c r="AO35" s="1142" t="str">
        <f t="shared" si="34"/>
        <v/>
      </c>
      <c r="AP35" s="1141" t="str">
        <f t="shared" si="35"/>
        <v/>
      </c>
      <c r="AQ35" s="1623" t="str">
        <f t="shared" si="36"/>
        <v/>
      </c>
      <c r="AR35" s="1137" t="str">
        <f t="shared" si="37"/>
        <v/>
      </c>
      <c r="AS35" s="1138" t="str">
        <f t="shared" si="38"/>
        <v/>
      </c>
      <c r="AT35" s="1624" t="str">
        <f t="shared" si="39"/>
        <v/>
      </c>
      <c r="AU35" s="1625" t="str">
        <f t="shared" si="40"/>
        <v/>
      </c>
      <c r="AV35" s="1143" t="str">
        <f t="shared" si="41"/>
        <v/>
      </c>
      <c r="AW35" s="1138" t="str">
        <f t="shared" si="42"/>
        <v/>
      </c>
      <c r="AX35" s="1624" t="str">
        <f t="shared" si="43"/>
        <v/>
      </c>
      <c r="AY35" s="1625" t="str">
        <f t="shared" si="44"/>
        <v/>
      </c>
      <c r="AZ35" s="1143" t="str">
        <f t="shared" si="45"/>
        <v/>
      </c>
      <c r="BA35" s="1138" t="str">
        <f t="shared" si="46"/>
        <v/>
      </c>
      <c r="BB35" s="1624" t="str">
        <f t="shared" si="47"/>
        <v/>
      </c>
      <c r="BC35" s="1625" t="str">
        <f t="shared" si="48"/>
        <v/>
      </c>
      <c r="BD35" s="1143" t="str">
        <f t="shared" si="49"/>
        <v/>
      </c>
      <c r="BE35" s="1138" t="str">
        <f t="shared" si="50"/>
        <v/>
      </c>
      <c r="BF35" s="1624" t="str">
        <f t="shared" si="51"/>
        <v/>
      </c>
      <c r="BG35" s="1625" t="str">
        <f t="shared" si="51"/>
        <v/>
      </c>
      <c r="BH35" s="1291"/>
      <c r="BJ35" s="915" t="str">
        <f t="shared" si="94"/>
        <v/>
      </c>
      <c r="BK35" s="913" t="e">
        <f t="shared" si="52"/>
        <v>#REF!</v>
      </c>
      <c r="BL35" s="908" t="b">
        <v>0</v>
      </c>
      <c r="BM35" s="908">
        <f t="shared" si="53"/>
        <v>0</v>
      </c>
      <c r="BN35" s="908">
        <f t="shared" si="54"/>
        <v>0</v>
      </c>
      <c r="BO35" s="908">
        <f t="shared" si="55"/>
        <v>0</v>
      </c>
      <c r="BP35" s="908">
        <f t="shared" si="56"/>
        <v>0</v>
      </c>
      <c r="BQ35" s="908">
        <f t="shared" si="57"/>
        <v>0</v>
      </c>
      <c r="BR35" s="908" t="b">
        <f t="shared" si="58"/>
        <v>1</v>
      </c>
      <c r="BS35" s="1216">
        <f t="shared" si="59"/>
        <v>6</v>
      </c>
      <c r="BT35" s="909" t="str">
        <f t="shared" si="60"/>
        <v>No</v>
      </c>
      <c r="BU35" s="1216">
        <f t="shared" si="61"/>
        <v>6</v>
      </c>
      <c r="BV35" s="909" t="str">
        <f t="shared" si="62"/>
        <v>No</v>
      </c>
      <c r="BW35" s="910">
        <f t="shared" ca="1" si="63"/>
        <v>0</v>
      </c>
      <c r="BX35" s="911" t="str">
        <f t="shared" ca="1" si="64"/>
        <v/>
      </c>
      <c r="BY35" s="911" t="b">
        <f t="shared" ca="1" si="65"/>
        <v>0</v>
      </c>
      <c r="BZ35" s="910" t="e">
        <f t="shared" si="87"/>
        <v>#REF!</v>
      </c>
      <c r="CB35" s="616"/>
      <c r="CC35" s="1567"/>
      <c r="CD35" s="645"/>
      <c r="CE35" s="646"/>
      <c r="CF35" s="647"/>
      <c r="CG35" s="660"/>
      <c r="CH35" s="661"/>
      <c r="CI35" s="662"/>
      <c r="CJ35" s="661"/>
      <c r="CK35" s="662"/>
      <c r="CL35" s="663"/>
      <c r="CM35" s="692"/>
      <c r="CN35" s="687"/>
      <c r="CO35" s="1430"/>
      <c r="CP35" s="839"/>
      <c r="CQ35" s="660"/>
      <c r="CR35" s="661"/>
      <c r="CS35" s="662"/>
      <c r="CT35" s="661"/>
      <c r="CU35" s="662"/>
      <c r="CV35" s="663"/>
      <c r="CW35" s="692"/>
      <c r="CX35" s="687"/>
      <c r="CY35" s="1430"/>
      <c r="CZ35" s="839"/>
      <c r="DA35" s="665"/>
      <c r="DB35" s="648"/>
      <c r="DC35" s="649"/>
      <c r="DD35" s="674"/>
      <c r="DE35" s="675"/>
      <c r="DF35" s="58"/>
      <c r="DG35" s="58"/>
      <c r="DH35" s="616"/>
      <c r="DI35" s="617"/>
      <c r="DJ35" s="638"/>
      <c r="DK35" s="1245"/>
      <c r="DL35" s="618"/>
      <c r="DM35" s="639"/>
      <c r="DN35" s="1248"/>
      <c r="DO35" s="619"/>
      <c r="DP35" s="620"/>
      <c r="DQ35" s="1294"/>
      <c r="DR35" s="621"/>
      <c r="DS35" s="1294"/>
      <c r="DT35" s="1296"/>
      <c r="DU35" s="1297"/>
      <c r="DV35" s="622"/>
      <c r="DW35" s="1250"/>
      <c r="DX35" s="623"/>
      <c r="DY35" s="624"/>
      <c r="DZ35" s="622"/>
      <c r="EA35" s="1250"/>
      <c r="EB35" s="623"/>
      <c r="EC35" s="624"/>
      <c r="ED35" s="622"/>
      <c r="EE35" s="1250"/>
      <c r="EF35" s="623"/>
      <c r="EG35" s="624"/>
      <c r="EH35" s="622"/>
      <c r="EI35" s="1250"/>
      <c r="EJ35" s="623"/>
      <c r="EK35" s="625"/>
      <c r="EL35" s="147"/>
      <c r="EM35" s="1513" t="str">
        <f t="shared" si="66"/>
        <v/>
      </c>
      <c r="EN35" s="1303" t="str">
        <f t="shared" si="67"/>
        <v/>
      </c>
      <c r="EO35" s="1304" t="str">
        <f t="shared" si="68"/>
        <v/>
      </c>
      <c r="EP35" s="1305" t="str">
        <f t="shared" si="69"/>
        <v/>
      </c>
      <c r="EQ35" s="1309" t="str">
        <f t="shared" si="70"/>
        <v/>
      </c>
      <c r="ER35" s="1315" t="str">
        <f t="shared" si="71"/>
        <v/>
      </c>
      <c r="ES35" s="1316" t="str">
        <f t="shared" si="72"/>
        <v/>
      </c>
      <c r="ET35" s="1317" t="str">
        <f t="shared" si="73"/>
        <v/>
      </c>
      <c r="EU35" s="1318" t="str">
        <f t="shared" si="88"/>
        <v/>
      </c>
      <c r="EX35" s="870" t="str">
        <f t="shared" ca="1" si="89"/>
        <v/>
      </c>
      <c r="EY35" s="872" t="str">
        <f t="shared" si="74"/>
        <v/>
      </c>
      <c r="EZ35" s="872" t="str">
        <f t="shared" si="90"/>
        <v/>
      </c>
      <c r="FA35" s="891" t="str">
        <f t="shared" ca="1" si="95"/>
        <v/>
      </c>
      <c r="FB35" s="892" t="str">
        <f t="shared" ca="1" si="91"/>
        <v/>
      </c>
      <c r="FC35" s="892">
        <f t="shared" ca="1" si="75"/>
        <v>0</v>
      </c>
      <c r="FD35" s="892">
        <f t="shared" ca="1" si="76"/>
        <v>0</v>
      </c>
      <c r="FE35" s="892">
        <f t="shared" ca="1" si="77"/>
        <v>0</v>
      </c>
      <c r="FF35" s="892">
        <f t="shared" ca="1" si="92"/>
        <v>0</v>
      </c>
      <c r="FN35" s="703" t="b">
        <v>0</v>
      </c>
      <c r="FO35" s="703" t="b">
        <f t="shared" si="78"/>
        <v>1</v>
      </c>
      <c r="FP35" s="703" t="b">
        <v>0</v>
      </c>
      <c r="FQ35" s="703" t="b">
        <f t="shared" si="93"/>
        <v>1</v>
      </c>
      <c r="FW35" s="1"/>
      <c r="FX35" s="1"/>
      <c r="FZ35" s="1"/>
      <c r="GA35" s="524" t="str">
        <f t="shared" si="79"/>
        <v/>
      </c>
      <c r="GB35" s="566" t="str">
        <f t="shared" si="80"/>
        <v/>
      </c>
      <c r="GC35" s="568" t="str">
        <f t="shared" si="81"/>
        <v/>
      </c>
      <c r="GD35" s="569" t="str">
        <f t="shared" si="82"/>
        <v/>
      </c>
      <c r="GE35" s="567" t="str">
        <f t="shared" si="83"/>
        <v/>
      </c>
      <c r="GF35" s="525" t="str">
        <f t="shared" si="84"/>
        <v/>
      </c>
      <c r="GG35" s="1056"/>
      <c r="GH35" s="1058"/>
      <c r="GI35" s="1056"/>
      <c r="GJ35" s="1058"/>
      <c r="GK35" s="1523">
        <f t="shared" si="85"/>
        <v>0</v>
      </c>
      <c r="GL35" s="1523" t="e">
        <f t="shared" si="86"/>
        <v>#VALUE!</v>
      </c>
      <c r="GM35" s="1524" t="e">
        <f>IF(ABS(GK35-GL35)&gt;=#REF!,ABS(GK35-GL35),0)</f>
        <v>#VALUE!</v>
      </c>
      <c r="HA35" s="1159"/>
      <c r="HB35" s="1160"/>
      <c r="HC35" s="1160"/>
      <c r="HD35" s="1161"/>
      <c r="HE35" s="1162"/>
      <c r="HF35" s="1160"/>
      <c r="HG35" s="1160"/>
      <c r="HH35" s="1160"/>
      <c r="HI35" s="1160"/>
      <c r="HJ35" s="1160"/>
      <c r="HK35" s="1160"/>
      <c r="HL35" s="1160"/>
      <c r="HM35" s="1160"/>
      <c r="HN35" s="1160"/>
      <c r="HO35" s="1160"/>
      <c r="HP35" s="1160"/>
      <c r="HQ35" s="1160"/>
      <c r="HR35" s="1160"/>
      <c r="HS35" s="1160"/>
      <c r="HT35" s="1160"/>
      <c r="HU35" s="1160"/>
      <c r="HV35" s="1160"/>
      <c r="HW35" s="1160"/>
      <c r="HX35" s="1160"/>
      <c r="HY35" s="1164"/>
      <c r="HZ35" s="1164"/>
      <c r="IA35" s="1164"/>
      <c r="IB35" s="1164"/>
      <c r="IC35" s="1164"/>
      <c r="ID35" s="1179"/>
      <c r="IE35" s="1159"/>
      <c r="IF35" s="1160"/>
      <c r="IG35" s="1161"/>
      <c r="IH35" s="1162"/>
      <c r="II35" s="1160"/>
      <c r="IJ35" s="1161"/>
      <c r="IK35" s="1162"/>
      <c r="IL35" s="1160"/>
      <c r="IM35" s="1160"/>
      <c r="IN35" s="1160"/>
      <c r="IO35" s="1160"/>
      <c r="IP35" s="1160"/>
      <c r="IQ35" s="1160"/>
      <c r="IR35" s="1160"/>
      <c r="IS35" s="1161"/>
      <c r="IT35" s="1162"/>
      <c r="IU35" s="1160"/>
      <c r="IV35" s="1160"/>
      <c r="IW35" s="1161"/>
      <c r="IX35" s="1162"/>
      <c r="IY35" s="1160"/>
      <c r="IZ35" s="1160"/>
      <c r="JA35" s="1161"/>
      <c r="JB35" s="1162"/>
      <c r="JC35" s="1160"/>
      <c r="JD35" s="1160"/>
      <c r="JE35" s="1161"/>
      <c r="JF35" s="1162"/>
      <c r="JG35" s="1160"/>
      <c r="JH35" s="1160"/>
      <c r="JI35" s="1160"/>
      <c r="JJ35" s="1163"/>
      <c r="JK35" s="1160"/>
      <c r="JL35" s="1103">
        <f t="shared" ca="1" si="96"/>
        <v>0</v>
      </c>
    </row>
    <row r="36" spans="1:272" ht="12.6" customHeight="1" x14ac:dyDescent="0.25">
      <c r="A36" s="1132" t="str">
        <f t="shared" si="0"/>
        <v/>
      </c>
      <c r="B36" s="1586" t="str">
        <f t="shared" si="1"/>
        <v/>
      </c>
      <c r="C36" s="1133" t="str">
        <f t="shared" si="2"/>
        <v/>
      </c>
      <c r="D36" s="1134" t="str">
        <f t="shared" si="3"/>
        <v/>
      </c>
      <c r="E36" s="1135" t="str">
        <f t="shared" si="4"/>
        <v/>
      </c>
      <c r="F36" s="1136" t="str">
        <f t="shared" si="5"/>
        <v/>
      </c>
      <c r="G36" s="1137" t="str">
        <f t="shared" si="6"/>
        <v/>
      </c>
      <c r="H36" s="1138" t="str">
        <f t="shared" si="7"/>
        <v/>
      </c>
      <c r="I36" s="1139" t="str">
        <f t="shared" si="8"/>
        <v/>
      </c>
      <c r="J36" s="1134" t="str">
        <f t="shared" si="9"/>
        <v/>
      </c>
      <c r="K36" s="1138" t="str">
        <f t="shared" si="10"/>
        <v/>
      </c>
      <c r="L36" s="1140" t="str">
        <f t="shared" si="11"/>
        <v/>
      </c>
      <c r="M36" s="1141" t="str">
        <f t="shared" si="12"/>
        <v/>
      </c>
      <c r="N36" s="1142" t="str">
        <f t="shared" si="12"/>
        <v/>
      </c>
      <c r="O36" s="1137" t="str">
        <f t="shared" si="13"/>
        <v/>
      </c>
      <c r="P36" s="1138" t="str">
        <f t="shared" si="14"/>
        <v/>
      </c>
      <c r="Q36" s="1134" t="str">
        <f t="shared" si="15"/>
        <v/>
      </c>
      <c r="R36" s="1135" t="str">
        <f t="shared" si="16"/>
        <v/>
      </c>
      <c r="S36" s="1143" t="str">
        <f t="shared" si="17"/>
        <v/>
      </c>
      <c r="T36" s="1138" t="str">
        <f t="shared" si="18"/>
        <v/>
      </c>
      <c r="U36" s="1134" t="str">
        <f t="shared" si="19"/>
        <v/>
      </c>
      <c r="V36" s="1138" t="str">
        <f t="shared" si="20"/>
        <v/>
      </c>
      <c r="W36" s="1142">
        <f t="shared" si="21"/>
        <v>0</v>
      </c>
      <c r="X36" s="1144" t="e">
        <f t="shared" si="22"/>
        <v>#REF!</v>
      </c>
      <c r="Y36" s="1145" t="e">
        <f t="shared" si="23"/>
        <v>#REF!</v>
      </c>
      <c r="Z36" s="1587" t="str">
        <f t="shared" si="24"/>
        <v/>
      </c>
      <c r="AA36" s="1152" t="str">
        <f t="shared" si="25"/>
        <v/>
      </c>
      <c r="AB36" s="1132" t="str">
        <f t="shared" si="26"/>
        <v/>
      </c>
      <c r="AC36" s="1139" t="str">
        <f t="shared" si="26"/>
        <v/>
      </c>
      <c r="AD36" s="1134" t="str">
        <f t="shared" ca="1" si="27"/>
        <v/>
      </c>
      <c r="AE36" s="1138" t="str">
        <f t="shared" ca="1" si="28"/>
        <v/>
      </c>
      <c r="AF36" s="1139" t="str">
        <f t="shared" ca="1" si="29"/>
        <v/>
      </c>
      <c r="AG36" s="1134" t="str">
        <f t="shared" ca="1" si="30"/>
        <v/>
      </c>
      <c r="AH36" s="1138" t="str">
        <f t="shared" ca="1" si="31"/>
        <v/>
      </c>
      <c r="AI36" s="1134" t="str">
        <f t="shared" ca="1" si="32"/>
        <v/>
      </c>
      <c r="AJ36" s="1138" t="str">
        <f t="shared" ca="1" si="33"/>
        <v/>
      </c>
      <c r="AK36" s="1619" t="str">
        <f t="shared" si="34"/>
        <v/>
      </c>
      <c r="AL36" s="1620" t="str">
        <f t="shared" si="34"/>
        <v/>
      </c>
      <c r="AM36" s="1621" t="str">
        <f t="shared" si="34"/>
        <v/>
      </c>
      <c r="AN36" s="1139" t="str">
        <f t="shared" si="34"/>
        <v/>
      </c>
      <c r="AO36" s="1142" t="str">
        <f t="shared" si="34"/>
        <v/>
      </c>
      <c r="AP36" s="1141" t="str">
        <f t="shared" si="35"/>
        <v/>
      </c>
      <c r="AQ36" s="1623" t="str">
        <f t="shared" si="36"/>
        <v/>
      </c>
      <c r="AR36" s="1137" t="str">
        <f t="shared" si="37"/>
        <v/>
      </c>
      <c r="AS36" s="1138" t="str">
        <f t="shared" si="38"/>
        <v/>
      </c>
      <c r="AT36" s="1624" t="str">
        <f t="shared" si="39"/>
        <v/>
      </c>
      <c r="AU36" s="1625" t="str">
        <f t="shared" si="40"/>
        <v/>
      </c>
      <c r="AV36" s="1143" t="str">
        <f t="shared" si="41"/>
        <v/>
      </c>
      <c r="AW36" s="1138" t="str">
        <f t="shared" si="42"/>
        <v/>
      </c>
      <c r="AX36" s="1624" t="str">
        <f t="shared" si="43"/>
        <v/>
      </c>
      <c r="AY36" s="1625" t="str">
        <f t="shared" si="44"/>
        <v/>
      </c>
      <c r="AZ36" s="1143" t="str">
        <f t="shared" si="45"/>
        <v/>
      </c>
      <c r="BA36" s="1138" t="str">
        <f t="shared" si="46"/>
        <v/>
      </c>
      <c r="BB36" s="1624" t="str">
        <f t="shared" si="47"/>
        <v/>
      </c>
      <c r="BC36" s="1625" t="str">
        <f t="shared" si="48"/>
        <v/>
      </c>
      <c r="BD36" s="1143" t="str">
        <f t="shared" si="49"/>
        <v/>
      </c>
      <c r="BE36" s="1138" t="str">
        <f t="shared" si="50"/>
        <v/>
      </c>
      <c r="BF36" s="1624" t="str">
        <f t="shared" si="51"/>
        <v/>
      </c>
      <c r="BG36" s="1625" t="str">
        <f t="shared" si="51"/>
        <v/>
      </c>
      <c r="BH36" s="1291"/>
      <c r="BJ36" s="915" t="str">
        <f t="shared" si="94"/>
        <v/>
      </c>
      <c r="BK36" s="913" t="e">
        <f t="shared" si="52"/>
        <v>#REF!</v>
      </c>
      <c r="BL36" s="908" t="b">
        <v>0</v>
      </c>
      <c r="BM36" s="908">
        <f t="shared" si="53"/>
        <v>0</v>
      </c>
      <c r="BN36" s="908">
        <f t="shared" si="54"/>
        <v>0</v>
      </c>
      <c r="BO36" s="908">
        <f t="shared" si="55"/>
        <v>0</v>
      </c>
      <c r="BP36" s="908">
        <f t="shared" si="56"/>
        <v>0</v>
      </c>
      <c r="BQ36" s="908">
        <f t="shared" si="57"/>
        <v>0</v>
      </c>
      <c r="BR36" s="908" t="b">
        <f t="shared" si="58"/>
        <v>1</v>
      </c>
      <c r="BS36" s="1216">
        <f t="shared" si="59"/>
        <v>6</v>
      </c>
      <c r="BT36" s="909" t="str">
        <f t="shared" si="60"/>
        <v>No</v>
      </c>
      <c r="BU36" s="1216">
        <f t="shared" si="61"/>
        <v>6</v>
      </c>
      <c r="BV36" s="909" t="str">
        <f t="shared" si="62"/>
        <v>No</v>
      </c>
      <c r="BW36" s="910">
        <f t="shared" ca="1" si="63"/>
        <v>0</v>
      </c>
      <c r="BX36" s="911" t="str">
        <f t="shared" ca="1" si="64"/>
        <v/>
      </c>
      <c r="BY36" s="911" t="b">
        <f t="shared" ca="1" si="65"/>
        <v>0</v>
      </c>
      <c r="BZ36" s="910" t="e">
        <f t="shared" si="87"/>
        <v>#REF!</v>
      </c>
      <c r="CB36" s="616"/>
      <c r="CC36" s="1567"/>
      <c r="CD36" s="645"/>
      <c r="CE36" s="646"/>
      <c r="CF36" s="647"/>
      <c r="CG36" s="660"/>
      <c r="CH36" s="661"/>
      <c r="CI36" s="662"/>
      <c r="CJ36" s="661"/>
      <c r="CK36" s="662"/>
      <c r="CL36" s="663"/>
      <c r="CM36" s="692"/>
      <c r="CN36" s="687"/>
      <c r="CO36" s="1430"/>
      <c r="CP36" s="839"/>
      <c r="CQ36" s="660"/>
      <c r="CR36" s="661"/>
      <c r="CS36" s="662"/>
      <c r="CT36" s="661"/>
      <c r="CU36" s="662"/>
      <c r="CV36" s="663"/>
      <c r="CW36" s="692"/>
      <c r="CX36" s="687"/>
      <c r="CY36" s="1430"/>
      <c r="CZ36" s="839"/>
      <c r="DA36" s="665"/>
      <c r="DB36" s="648"/>
      <c r="DC36" s="649"/>
      <c r="DD36" s="674"/>
      <c r="DE36" s="675"/>
      <c r="DF36" s="58"/>
      <c r="DG36" s="58"/>
      <c r="DH36" s="616"/>
      <c r="DI36" s="617"/>
      <c r="DJ36" s="638"/>
      <c r="DK36" s="1245"/>
      <c r="DL36" s="618"/>
      <c r="DM36" s="639"/>
      <c r="DN36" s="1248"/>
      <c r="DO36" s="619"/>
      <c r="DP36" s="620"/>
      <c r="DQ36" s="1294"/>
      <c r="DR36" s="621"/>
      <c r="DS36" s="1294"/>
      <c r="DT36" s="1296"/>
      <c r="DU36" s="1297"/>
      <c r="DV36" s="622"/>
      <c r="DW36" s="1250"/>
      <c r="DX36" s="623"/>
      <c r="DY36" s="624"/>
      <c r="DZ36" s="622"/>
      <c r="EA36" s="1250"/>
      <c r="EB36" s="623"/>
      <c r="EC36" s="624"/>
      <c r="ED36" s="622"/>
      <c r="EE36" s="1250"/>
      <c r="EF36" s="623"/>
      <c r="EG36" s="624"/>
      <c r="EH36" s="622"/>
      <c r="EI36" s="1250"/>
      <c r="EJ36" s="623"/>
      <c r="EK36" s="625"/>
      <c r="EL36" s="147"/>
      <c r="EM36" s="1513" t="str">
        <f t="shared" si="66"/>
        <v/>
      </c>
      <c r="EN36" s="1303" t="str">
        <f t="shared" si="67"/>
        <v/>
      </c>
      <c r="EO36" s="1304" t="str">
        <f t="shared" si="68"/>
        <v/>
      </c>
      <c r="EP36" s="1305" t="str">
        <f t="shared" si="69"/>
        <v/>
      </c>
      <c r="EQ36" s="1309" t="str">
        <f t="shared" si="70"/>
        <v/>
      </c>
      <c r="ER36" s="1315" t="str">
        <f t="shared" si="71"/>
        <v/>
      </c>
      <c r="ES36" s="1316" t="str">
        <f t="shared" si="72"/>
        <v/>
      </c>
      <c r="ET36" s="1317" t="str">
        <f t="shared" si="73"/>
        <v/>
      </c>
      <c r="EU36" s="1318" t="str">
        <f t="shared" si="88"/>
        <v/>
      </c>
      <c r="EX36" s="870" t="str">
        <f t="shared" ca="1" si="89"/>
        <v/>
      </c>
      <c r="EY36" s="872" t="str">
        <f t="shared" si="74"/>
        <v/>
      </c>
      <c r="EZ36" s="872" t="str">
        <f t="shared" si="90"/>
        <v/>
      </c>
      <c r="FA36" s="891" t="str">
        <f t="shared" ca="1" si="95"/>
        <v/>
      </c>
      <c r="FB36" s="892" t="str">
        <f t="shared" ca="1" si="91"/>
        <v/>
      </c>
      <c r="FC36" s="892">
        <f t="shared" ca="1" si="75"/>
        <v>0</v>
      </c>
      <c r="FD36" s="892">
        <f t="shared" ca="1" si="76"/>
        <v>0</v>
      </c>
      <c r="FE36" s="892">
        <f t="shared" ca="1" si="77"/>
        <v>0</v>
      </c>
      <c r="FF36" s="892">
        <f t="shared" ca="1" si="92"/>
        <v>0</v>
      </c>
      <c r="FN36" s="703" t="b">
        <v>0</v>
      </c>
      <c r="FO36" s="703" t="b">
        <f t="shared" si="78"/>
        <v>1</v>
      </c>
      <c r="FP36" s="1254" t="b">
        <v>0</v>
      </c>
      <c r="FQ36" s="703" t="b">
        <f t="shared" si="93"/>
        <v>1</v>
      </c>
      <c r="FW36" s="1"/>
      <c r="FX36" s="1"/>
      <c r="FZ36" s="1"/>
      <c r="GA36" s="524" t="str">
        <f t="shared" si="79"/>
        <v/>
      </c>
      <c r="GB36" s="566" t="str">
        <f t="shared" si="80"/>
        <v/>
      </c>
      <c r="GC36" s="568" t="str">
        <f t="shared" si="81"/>
        <v/>
      </c>
      <c r="GD36" s="569" t="str">
        <f t="shared" si="82"/>
        <v/>
      </c>
      <c r="GE36" s="567" t="str">
        <f t="shared" si="83"/>
        <v/>
      </c>
      <c r="GF36" s="525" t="str">
        <f t="shared" si="84"/>
        <v/>
      </c>
      <c r="GG36" s="1056"/>
      <c r="GH36" s="1058"/>
      <c r="GI36" s="1056"/>
      <c r="GJ36" s="1058"/>
      <c r="GK36" s="1523">
        <f t="shared" si="85"/>
        <v>0</v>
      </c>
      <c r="GL36" s="1523" t="e">
        <f t="shared" si="86"/>
        <v>#VALUE!</v>
      </c>
      <c r="GM36" s="1524" t="e">
        <f>IF(ABS(GK36-GL36)&gt;=#REF!,ABS(GK36-GL36),0)</f>
        <v>#VALUE!</v>
      </c>
      <c r="HA36" s="1159"/>
      <c r="HB36" s="1160"/>
      <c r="HC36" s="1160"/>
      <c r="HD36" s="1161"/>
      <c r="HE36" s="1162"/>
      <c r="HF36" s="1160"/>
      <c r="HG36" s="1160"/>
      <c r="HH36" s="1160"/>
      <c r="HI36" s="1160"/>
      <c r="HJ36" s="1160"/>
      <c r="HK36" s="1160"/>
      <c r="HL36" s="1160"/>
      <c r="HM36" s="1160"/>
      <c r="HN36" s="1160"/>
      <c r="HO36" s="1160"/>
      <c r="HP36" s="1160"/>
      <c r="HQ36" s="1160"/>
      <c r="HR36" s="1160"/>
      <c r="HS36" s="1160"/>
      <c r="HT36" s="1160"/>
      <c r="HU36" s="1160"/>
      <c r="HV36" s="1160"/>
      <c r="HW36" s="1160"/>
      <c r="HX36" s="1160"/>
      <c r="HY36" s="1164"/>
      <c r="HZ36" s="1164"/>
      <c r="IA36" s="1164"/>
      <c r="IB36" s="1164"/>
      <c r="IC36" s="1164"/>
      <c r="ID36" s="1179"/>
      <c r="IE36" s="1159"/>
      <c r="IF36" s="1160"/>
      <c r="IG36" s="1161"/>
      <c r="IH36" s="1162"/>
      <c r="II36" s="1160"/>
      <c r="IJ36" s="1161"/>
      <c r="IK36" s="1162"/>
      <c r="IL36" s="1160"/>
      <c r="IM36" s="1160"/>
      <c r="IN36" s="1160"/>
      <c r="IO36" s="1160"/>
      <c r="IP36" s="1160"/>
      <c r="IQ36" s="1160"/>
      <c r="IR36" s="1160"/>
      <c r="IS36" s="1161"/>
      <c r="IT36" s="1162"/>
      <c r="IU36" s="1160"/>
      <c r="IV36" s="1160"/>
      <c r="IW36" s="1161"/>
      <c r="IX36" s="1162"/>
      <c r="IY36" s="1160"/>
      <c r="IZ36" s="1160"/>
      <c r="JA36" s="1161"/>
      <c r="JB36" s="1162"/>
      <c r="JC36" s="1160"/>
      <c r="JD36" s="1160"/>
      <c r="JE36" s="1161"/>
      <c r="JF36" s="1162"/>
      <c r="JG36" s="1160"/>
      <c r="JH36" s="1160"/>
      <c r="JI36" s="1160"/>
      <c r="JJ36" s="1163"/>
      <c r="JK36" s="1160"/>
      <c r="JL36" s="1103">
        <f t="shared" ca="1" si="96"/>
        <v>0</v>
      </c>
    </row>
    <row r="37" spans="1:272" ht="12.6" customHeight="1" x14ac:dyDescent="0.25">
      <c r="A37" s="1132" t="str">
        <f t="shared" si="0"/>
        <v/>
      </c>
      <c r="B37" s="1586" t="str">
        <f t="shared" si="1"/>
        <v/>
      </c>
      <c r="C37" s="1133" t="str">
        <f t="shared" si="2"/>
        <v/>
      </c>
      <c r="D37" s="1134" t="str">
        <f t="shared" si="3"/>
        <v/>
      </c>
      <c r="E37" s="1135" t="str">
        <f t="shared" si="4"/>
        <v/>
      </c>
      <c r="F37" s="1136" t="str">
        <f t="shared" si="5"/>
        <v/>
      </c>
      <c r="G37" s="1137" t="str">
        <f t="shared" si="6"/>
        <v/>
      </c>
      <c r="H37" s="1138" t="str">
        <f t="shared" si="7"/>
        <v/>
      </c>
      <c r="I37" s="1139" t="str">
        <f t="shared" si="8"/>
        <v/>
      </c>
      <c r="J37" s="1134" t="str">
        <f t="shared" si="9"/>
        <v/>
      </c>
      <c r="K37" s="1138" t="str">
        <f t="shared" si="10"/>
        <v/>
      </c>
      <c r="L37" s="1140" t="str">
        <f t="shared" si="11"/>
        <v/>
      </c>
      <c r="M37" s="1141" t="str">
        <f t="shared" si="12"/>
        <v/>
      </c>
      <c r="N37" s="1142" t="str">
        <f t="shared" si="12"/>
        <v/>
      </c>
      <c r="O37" s="1137" t="str">
        <f t="shared" si="13"/>
        <v/>
      </c>
      <c r="P37" s="1138" t="str">
        <f t="shared" si="14"/>
        <v/>
      </c>
      <c r="Q37" s="1134" t="str">
        <f t="shared" si="15"/>
        <v/>
      </c>
      <c r="R37" s="1135" t="str">
        <f t="shared" si="16"/>
        <v/>
      </c>
      <c r="S37" s="1143" t="str">
        <f t="shared" si="17"/>
        <v/>
      </c>
      <c r="T37" s="1138" t="str">
        <f t="shared" si="18"/>
        <v/>
      </c>
      <c r="U37" s="1134" t="str">
        <f t="shared" si="19"/>
        <v/>
      </c>
      <c r="V37" s="1138" t="str">
        <f t="shared" si="20"/>
        <v/>
      </c>
      <c r="W37" s="1142">
        <f t="shared" si="21"/>
        <v>0</v>
      </c>
      <c r="X37" s="1144" t="e">
        <f t="shared" si="22"/>
        <v>#REF!</v>
      </c>
      <c r="Y37" s="1145" t="e">
        <f t="shared" si="23"/>
        <v>#REF!</v>
      </c>
      <c r="Z37" s="1587" t="str">
        <f t="shared" si="24"/>
        <v/>
      </c>
      <c r="AA37" s="1152" t="str">
        <f t="shared" si="25"/>
        <v/>
      </c>
      <c r="AB37" s="1132" t="str">
        <f t="shared" si="26"/>
        <v/>
      </c>
      <c r="AC37" s="1139" t="str">
        <f t="shared" si="26"/>
        <v/>
      </c>
      <c r="AD37" s="1134" t="str">
        <f t="shared" ca="1" si="27"/>
        <v/>
      </c>
      <c r="AE37" s="1138" t="str">
        <f t="shared" ca="1" si="28"/>
        <v/>
      </c>
      <c r="AF37" s="1139" t="str">
        <f t="shared" ca="1" si="29"/>
        <v/>
      </c>
      <c r="AG37" s="1134" t="str">
        <f t="shared" ca="1" si="30"/>
        <v/>
      </c>
      <c r="AH37" s="1138" t="str">
        <f t="shared" ca="1" si="31"/>
        <v/>
      </c>
      <c r="AI37" s="1134" t="str">
        <f t="shared" ca="1" si="32"/>
        <v/>
      </c>
      <c r="AJ37" s="1138" t="str">
        <f t="shared" ca="1" si="33"/>
        <v/>
      </c>
      <c r="AK37" s="1619" t="str">
        <f t="shared" si="34"/>
        <v/>
      </c>
      <c r="AL37" s="1620" t="str">
        <f t="shared" si="34"/>
        <v/>
      </c>
      <c r="AM37" s="1621" t="str">
        <f t="shared" si="34"/>
        <v/>
      </c>
      <c r="AN37" s="1139" t="str">
        <f t="shared" si="34"/>
        <v/>
      </c>
      <c r="AO37" s="1142" t="str">
        <f t="shared" si="34"/>
        <v/>
      </c>
      <c r="AP37" s="1141" t="str">
        <f t="shared" si="35"/>
        <v/>
      </c>
      <c r="AQ37" s="1623" t="str">
        <f t="shared" si="36"/>
        <v/>
      </c>
      <c r="AR37" s="1137" t="str">
        <f t="shared" si="37"/>
        <v/>
      </c>
      <c r="AS37" s="1138" t="str">
        <f t="shared" si="38"/>
        <v/>
      </c>
      <c r="AT37" s="1624" t="str">
        <f t="shared" si="39"/>
        <v/>
      </c>
      <c r="AU37" s="1625" t="str">
        <f t="shared" si="40"/>
        <v/>
      </c>
      <c r="AV37" s="1143" t="str">
        <f t="shared" si="41"/>
        <v/>
      </c>
      <c r="AW37" s="1138" t="str">
        <f t="shared" si="42"/>
        <v/>
      </c>
      <c r="AX37" s="1624" t="str">
        <f t="shared" si="43"/>
        <v/>
      </c>
      <c r="AY37" s="1625" t="str">
        <f t="shared" si="44"/>
        <v/>
      </c>
      <c r="AZ37" s="1143" t="str">
        <f t="shared" si="45"/>
        <v/>
      </c>
      <c r="BA37" s="1138" t="str">
        <f t="shared" si="46"/>
        <v/>
      </c>
      <c r="BB37" s="1624" t="str">
        <f t="shared" si="47"/>
        <v/>
      </c>
      <c r="BC37" s="1625" t="str">
        <f t="shared" si="48"/>
        <v/>
      </c>
      <c r="BD37" s="1143" t="str">
        <f t="shared" si="49"/>
        <v/>
      </c>
      <c r="BE37" s="1138" t="str">
        <f t="shared" si="50"/>
        <v/>
      </c>
      <c r="BF37" s="1624" t="str">
        <f t="shared" si="51"/>
        <v/>
      </c>
      <c r="BG37" s="1625" t="str">
        <f t="shared" si="51"/>
        <v/>
      </c>
      <c r="BH37" s="1291"/>
      <c r="BJ37" s="915" t="str">
        <f t="shared" si="94"/>
        <v/>
      </c>
      <c r="BK37" s="913" t="e">
        <f t="shared" si="52"/>
        <v>#REF!</v>
      </c>
      <c r="BL37" s="908" t="b">
        <v>0</v>
      </c>
      <c r="BM37" s="908">
        <f t="shared" si="53"/>
        <v>0</v>
      </c>
      <c r="BN37" s="908">
        <f t="shared" si="54"/>
        <v>0</v>
      </c>
      <c r="BO37" s="908">
        <f t="shared" si="55"/>
        <v>0</v>
      </c>
      <c r="BP37" s="908">
        <f t="shared" si="56"/>
        <v>0</v>
      </c>
      <c r="BQ37" s="908">
        <f t="shared" si="57"/>
        <v>0</v>
      </c>
      <c r="BR37" s="908" t="b">
        <f t="shared" si="58"/>
        <v>1</v>
      </c>
      <c r="BS37" s="1216">
        <f t="shared" si="59"/>
        <v>6</v>
      </c>
      <c r="BT37" s="909" t="str">
        <f t="shared" si="60"/>
        <v>No</v>
      </c>
      <c r="BU37" s="1216">
        <f t="shared" si="61"/>
        <v>6</v>
      </c>
      <c r="BV37" s="909" t="str">
        <f t="shared" si="62"/>
        <v>No</v>
      </c>
      <c r="BW37" s="910">
        <f t="shared" ca="1" si="63"/>
        <v>0</v>
      </c>
      <c r="BX37" s="911" t="str">
        <f t="shared" ca="1" si="64"/>
        <v/>
      </c>
      <c r="BY37" s="911" t="b">
        <f t="shared" ca="1" si="65"/>
        <v>0</v>
      </c>
      <c r="BZ37" s="910" t="e">
        <f t="shared" si="87"/>
        <v>#REF!</v>
      </c>
      <c r="CB37" s="616"/>
      <c r="CC37" s="1567"/>
      <c r="CD37" s="645"/>
      <c r="CE37" s="646"/>
      <c r="CF37" s="647"/>
      <c r="CG37" s="660"/>
      <c r="CH37" s="661"/>
      <c r="CI37" s="662"/>
      <c r="CJ37" s="661"/>
      <c r="CK37" s="662"/>
      <c r="CL37" s="663"/>
      <c r="CM37" s="692"/>
      <c r="CN37" s="687"/>
      <c r="CO37" s="1430"/>
      <c r="CP37" s="839"/>
      <c r="CQ37" s="660"/>
      <c r="CR37" s="661"/>
      <c r="CS37" s="662"/>
      <c r="CT37" s="661"/>
      <c r="CU37" s="662"/>
      <c r="CV37" s="663"/>
      <c r="CW37" s="692"/>
      <c r="CX37" s="687"/>
      <c r="CY37" s="1430"/>
      <c r="CZ37" s="839"/>
      <c r="DA37" s="665"/>
      <c r="DB37" s="648"/>
      <c r="DC37" s="649"/>
      <c r="DD37" s="674"/>
      <c r="DE37" s="675"/>
      <c r="DF37" s="58"/>
      <c r="DG37" s="58"/>
      <c r="DH37" s="616"/>
      <c r="DI37" s="617"/>
      <c r="DJ37" s="638"/>
      <c r="DK37" s="1245"/>
      <c r="DL37" s="618"/>
      <c r="DM37" s="639"/>
      <c r="DN37" s="1248"/>
      <c r="DO37" s="619"/>
      <c r="DP37" s="620"/>
      <c r="DQ37" s="1294"/>
      <c r="DR37" s="621"/>
      <c r="DS37" s="1294"/>
      <c r="DT37" s="1296"/>
      <c r="DU37" s="1297"/>
      <c r="DV37" s="622"/>
      <c r="DW37" s="1250"/>
      <c r="DX37" s="623"/>
      <c r="DY37" s="624"/>
      <c r="DZ37" s="622"/>
      <c r="EA37" s="1250"/>
      <c r="EB37" s="623"/>
      <c r="EC37" s="624"/>
      <c r="ED37" s="622"/>
      <c r="EE37" s="1250"/>
      <c r="EF37" s="623"/>
      <c r="EG37" s="624"/>
      <c r="EH37" s="622"/>
      <c r="EI37" s="1250"/>
      <c r="EJ37" s="623"/>
      <c r="EK37" s="625"/>
      <c r="EL37" s="147"/>
      <c r="EM37" s="1513" t="str">
        <f t="shared" si="66"/>
        <v/>
      </c>
      <c r="EN37" s="1303" t="str">
        <f t="shared" si="67"/>
        <v/>
      </c>
      <c r="EO37" s="1304" t="str">
        <f t="shared" si="68"/>
        <v/>
      </c>
      <c r="EP37" s="1305" t="str">
        <f t="shared" si="69"/>
        <v/>
      </c>
      <c r="EQ37" s="1309" t="str">
        <f t="shared" si="70"/>
        <v/>
      </c>
      <c r="ER37" s="1315" t="str">
        <f t="shared" si="71"/>
        <v/>
      </c>
      <c r="ES37" s="1316" t="str">
        <f t="shared" si="72"/>
        <v/>
      </c>
      <c r="ET37" s="1317" t="str">
        <f t="shared" si="73"/>
        <v/>
      </c>
      <c r="EU37" s="1318" t="str">
        <f t="shared" si="88"/>
        <v/>
      </c>
      <c r="EX37" s="870" t="str">
        <f t="shared" ca="1" si="89"/>
        <v/>
      </c>
      <c r="EY37" s="872" t="str">
        <f t="shared" si="74"/>
        <v/>
      </c>
      <c r="EZ37" s="872" t="str">
        <f t="shared" si="90"/>
        <v/>
      </c>
      <c r="FA37" s="891" t="str">
        <f t="shared" ca="1" si="95"/>
        <v/>
      </c>
      <c r="FB37" s="892" t="str">
        <f t="shared" ca="1" si="91"/>
        <v/>
      </c>
      <c r="FC37" s="892">
        <f t="shared" ca="1" si="75"/>
        <v>0</v>
      </c>
      <c r="FD37" s="892">
        <f t="shared" ca="1" si="76"/>
        <v>0</v>
      </c>
      <c r="FE37" s="892">
        <f t="shared" ca="1" si="77"/>
        <v>0</v>
      </c>
      <c r="FF37" s="892">
        <f t="shared" ca="1" si="92"/>
        <v>0</v>
      </c>
      <c r="FN37" s="703" t="b">
        <v>0</v>
      </c>
      <c r="FO37" s="703" t="b">
        <f t="shared" si="78"/>
        <v>1</v>
      </c>
      <c r="FP37" s="1254" t="b">
        <v>0</v>
      </c>
      <c r="FQ37" s="703" t="b">
        <f t="shared" si="93"/>
        <v>1</v>
      </c>
      <c r="FW37" s="1"/>
      <c r="FX37" s="1"/>
      <c r="FZ37" s="1"/>
      <c r="GA37" s="524" t="str">
        <f t="shared" si="79"/>
        <v/>
      </c>
      <c r="GB37" s="566" t="str">
        <f t="shared" si="80"/>
        <v/>
      </c>
      <c r="GC37" s="568" t="str">
        <f t="shared" si="81"/>
        <v/>
      </c>
      <c r="GD37" s="569" t="str">
        <f t="shared" si="82"/>
        <v/>
      </c>
      <c r="GE37" s="567" t="str">
        <f t="shared" si="83"/>
        <v/>
      </c>
      <c r="GF37" s="525" t="str">
        <f t="shared" si="84"/>
        <v/>
      </c>
      <c r="GG37" s="1056"/>
      <c r="GH37" s="1058"/>
      <c r="GI37" s="1056"/>
      <c r="GJ37" s="1058"/>
      <c r="GK37" s="1523">
        <f t="shared" si="85"/>
        <v>0</v>
      </c>
      <c r="GL37" s="1523" t="e">
        <f t="shared" si="86"/>
        <v>#VALUE!</v>
      </c>
      <c r="GM37" s="1524" t="e">
        <f>IF(ABS(GK37-GL37)&gt;=#REF!,ABS(GK37-GL37),0)</f>
        <v>#VALUE!</v>
      </c>
      <c r="HA37" s="1159"/>
      <c r="HB37" s="1160"/>
      <c r="HC37" s="1160"/>
      <c r="HD37" s="1161"/>
      <c r="HE37" s="1162"/>
      <c r="HF37" s="1160"/>
      <c r="HG37" s="1160"/>
      <c r="HH37" s="1160"/>
      <c r="HI37" s="1160"/>
      <c r="HJ37" s="1160"/>
      <c r="HK37" s="1160"/>
      <c r="HL37" s="1160"/>
      <c r="HM37" s="1160"/>
      <c r="HN37" s="1160"/>
      <c r="HO37" s="1160"/>
      <c r="HP37" s="1160"/>
      <c r="HQ37" s="1160"/>
      <c r="HR37" s="1160"/>
      <c r="HS37" s="1160"/>
      <c r="HT37" s="1160"/>
      <c r="HU37" s="1160"/>
      <c r="HV37" s="1160"/>
      <c r="HW37" s="1160"/>
      <c r="HX37" s="1160"/>
      <c r="HY37" s="1164"/>
      <c r="HZ37" s="1164"/>
      <c r="IA37" s="1164"/>
      <c r="IB37" s="1164"/>
      <c r="IC37" s="1164"/>
      <c r="ID37" s="1179"/>
      <c r="IE37" s="1159"/>
      <c r="IF37" s="1160"/>
      <c r="IG37" s="1161"/>
      <c r="IH37" s="1162"/>
      <c r="II37" s="1160"/>
      <c r="IJ37" s="1161"/>
      <c r="IK37" s="1162"/>
      <c r="IL37" s="1160"/>
      <c r="IM37" s="1160"/>
      <c r="IN37" s="1160"/>
      <c r="IO37" s="1160"/>
      <c r="IP37" s="1160"/>
      <c r="IQ37" s="1160"/>
      <c r="IR37" s="1160"/>
      <c r="IS37" s="1161"/>
      <c r="IT37" s="1162"/>
      <c r="IU37" s="1160"/>
      <c r="IV37" s="1160"/>
      <c r="IW37" s="1161"/>
      <c r="IX37" s="1162"/>
      <c r="IY37" s="1160"/>
      <c r="IZ37" s="1160"/>
      <c r="JA37" s="1161"/>
      <c r="JB37" s="1162"/>
      <c r="JC37" s="1160"/>
      <c r="JD37" s="1160"/>
      <c r="JE37" s="1161"/>
      <c r="JF37" s="1162"/>
      <c r="JG37" s="1160"/>
      <c r="JH37" s="1160"/>
      <c r="JI37" s="1160"/>
      <c r="JJ37" s="1163"/>
      <c r="JK37" s="1160"/>
      <c r="JL37" s="1103">
        <f t="shared" ca="1" si="96"/>
        <v>0</v>
      </c>
    </row>
    <row r="38" spans="1:272" ht="12.6" customHeight="1" x14ac:dyDescent="0.25">
      <c r="A38" s="1132" t="str">
        <f t="shared" si="0"/>
        <v/>
      </c>
      <c r="B38" s="1586" t="str">
        <f t="shared" si="1"/>
        <v/>
      </c>
      <c r="C38" s="1133" t="str">
        <f t="shared" si="2"/>
        <v/>
      </c>
      <c r="D38" s="1134" t="str">
        <f t="shared" si="3"/>
        <v/>
      </c>
      <c r="E38" s="1135" t="str">
        <f t="shared" si="4"/>
        <v/>
      </c>
      <c r="F38" s="1136" t="str">
        <f t="shared" si="5"/>
        <v/>
      </c>
      <c r="G38" s="1137" t="str">
        <f t="shared" si="6"/>
        <v/>
      </c>
      <c r="H38" s="1138" t="str">
        <f t="shared" si="7"/>
        <v/>
      </c>
      <c r="I38" s="1139" t="str">
        <f t="shared" si="8"/>
        <v/>
      </c>
      <c r="J38" s="1134" t="str">
        <f t="shared" si="9"/>
        <v/>
      </c>
      <c r="K38" s="1138" t="str">
        <f t="shared" si="10"/>
        <v/>
      </c>
      <c r="L38" s="1140" t="str">
        <f t="shared" si="11"/>
        <v/>
      </c>
      <c r="M38" s="1141" t="str">
        <f t="shared" si="12"/>
        <v/>
      </c>
      <c r="N38" s="1142" t="str">
        <f t="shared" si="12"/>
        <v/>
      </c>
      <c r="O38" s="1137" t="str">
        <f t="shared" si="13"/>
        <v/>
      </c>
      <c r="P38" s="1138" t="str">
        <f t="shared" si="14"/>
        <v/>
      </c>
      <c r="Q38" s="1134" t="str">
        <f t="shared" si="15"/>
        <v/>
      </c>
      <c r="R38" s="1135" t="str">
        <f t="shared" si="16"/>
        <v/>
      </c>
      <c r="S38" s="1143" t="str">
        <f t="shared" si="17"/>
        <v/>
      </c>
      <c r="T38" s="1138" t="str">
        <f t="shared" si="18"/>
        <v/>
      </c>
      <c r="U38" s="1134" t="str">
        <f t="shared" si="19"/>
        <v/>
      </c>
      <c r="V38" s="1138" t="str">
        <f t="shared" si="20"/>
        <v/>
      </c>
      <c r="W38" s="1142">
        <f t="shared" si="21"/>
        <v>0</v>
      </c>
      <c r="X38" s="1144" t="e">
        <f t="shared" si="22"/>
        <v>#REF!</v>
      </c>
      <c r="Y38" s="1145" t="e">
        <f t="shared" si="23"/>
        <v>#REF!</v>
      </c>
      <c r="Z38" s="1587" t="str">
        <f t="shared" si="24"/>
        <v/>
      </c>
      <c r="AA38" s="1152" t="str">
        <f t="shared" si="25"/>
        <v/>
      </c>
      <c r="AB38" s="1132" t="str">
        <f t="shared" si="26"/>
        <v/>
      </c>
      <c r="AC38" s="1139" t="str">
        <f t="shared" si="26"/>
        <v/>
      </c>
      <c r="AD38" s="1134" t="str">
        <f t="shared" ca="1" si="27"/>
        <v/>
      </c>
      <c r="AE38" s="1138" t="str">
        <f t="shared" ca="1" si="28"/>
        <v/>
      </c>
      <c r="AF38" s="1139" t="str">
        <f t="shared" ca="1" si="29"/>
        <v/>
      </c>
      <c r="AG38" s="1134" t="str">
        <f t="shared" ca="1" si="30"/>
        <v/>
      </c>
      <c r="AH38" s="1138" t="str">
        <f t="shared" ca="1" si="31"/>
        <v/>
      </c>
      <c r="AI38" s="1134" t="str">
        <f t="shared" ca="1" si="32"/>
        <v/>
      </c>
      <c r="AJ38" s="1138" t="str">
        <f t="shared" ca="1" si="33"/>
        <v/>
      </c>
      <c r="AK38" s="1619" t="str">
        <f t="shared" si="34"/>
        <v/>
      </c>
      <c r="AL38" s="1620" t="str">
        <f t="shared" si="34"/>
        <v/>
      </c>
      <c r="AM38" s="1621" t="str">
        <f t="shared" si="34"/>
        <v/>
      </c>
      <c r="AN38" s="1139" t="str">
        <f t="shared" si="34"/>
        <v/>
      </c>
      <c r="AO38" s="1142" t="str">
        <f t="shared" si="34"/>
        <v/>
      </c>
      <c r="AP38" s="1141" t="str">
        <f t="shared" si="35"/>
        <v/>
      </c>
      <c r="AQ38" s="1623" t="str">
        <f t="shared" si="36"/>
        <v/>
      </c>
      <c r="AR38" s="1137" t="str">
        <f t="shared" si="37"/>
        <v/>
      </c>
      <c r="AS38" s="1138" t="str">
        <f t="shared" si="38"/>
        <v/>
      </c>
      <c r="AT38" s="1624" t="str">
        <f t="shared" si="39"/>
        <v/>
      </c>
      <c r="AU38" s="1625" t="str">
        <f t="shared" si="40"/>
        <v/>
      </c>
      <c r="AV38" s="1143" t="str">
        <f t="shared" si="41"/>
        <v/>
      </c>
      <c r="AW38" s="1138" t="str">
        <f t="shared" si="42"/>
        <v/>
      </c>
      <c r="AX38" s="1624" t="str">
        <f t="shared" si="43"/>
        <v/>
      </c>
      <c r="AY38" s="1625" t="str">
        <f t="shared" si="44"/>
        <v/>
      </c>
      <c r="AZ38" s="1143" t="str">
        <f t="shared" si="45"/>
        <v/>
      </c>
      <c r="BA38" s="1138" t="str">
        <f t="shared" si="46"/>
        <v/>
      </c>
      <c r="BB38" s="1624" t="str">
        <f t="shared" si="47"/>
        <v/>
      </c>
      <c r="BC38" s="1625" t="str">
        <f t="shared" si="48"/>
        <v/>
      </c>
      <c r="BD38" s="1143" t="str">
        <f t="shared" si="49"/>
        <v/>
      </c>
      <c r="BE38" s="1138" t="str">
        <f t="shared" si="50"/>
        <v/>
      </c>
      <c r="BF38" s="1624" t="str">
        <f t="shared" si="51"/>
        <v/>
      </c>
      <c r="BG38" s="1625" t="str">
        <f t="shared" si="51"/>
        <v/>
      </c>
      <c r="BH38" s="1291"/>
      <c r="BJ38" s="915" t="str">
        <f t="shared" si="94"/>
        <v/>
      </c>
      <c r="BK38" s="913" t="e">
        <f t="shared" si="52"/>
        <v>#REF!</v>
      </c>
      <c r="BL38" s="908" t="b">
        <v>0</v>
      </c>
      <c r="BM38" s="908">
        <f t="shared" si="53"/>
        <v>0</v>
      </c>
      <c r="BN38" s="908">
        <f t="shared" si="54"/>
        <v>0</v>
      </c>
      <c r="BO38" s="908">
        <f t="shared" si="55"/>
        <v>0</v>
      </c>
      <c r="BP38" s="908">
        <f t="shared" si="56"/>
        <v>0</v>
      </c>
      <c r="BQ38" s="908">
        <f t="shared" si="57"/>
        <v>0</v>
      </c>
      <c r="BR38" s="908" t="b">
        <f t="shared" si="58"/>
        <v>1</v>
      </c>
      <c r="BS38" s="1216">
        <f t="shared" si="59"/>
        <v>6</v>
      </c>
      <c r="BT38" s="909" t="str">
        <f t="shared" si="60"/>
        <v>No</v>
      </c>
      <c r="BU38" s="1216">
        <f t="shared" si="61"/>
        <v>6</v>
      </c>
      <c r="BV38" s="909" t="str">
        <f t="shared" si="62"/>
        <v>No</v>
      </c>
      <c r="BW38" s="910">
        <f t="shared" ca="1" si="63"/>
        <v>0</v>
      </c>
      <c r="BX38" s="911" t="str">
        <f t="shared" ca="1" si="64"/>
        <v/>
      </c>
      <c r="BY38" s="911" t="b">
        <f t="shared" ca="1" si="65"/>
        <v>0</v>
      </c>
      <c r="BZ38" s="910" t="e">
        <f t="shared" si="87"/>
        <v>#REF!</v>
      </c>
      <c r="CB38" s="616"/>
      <c r="CC38" s="1567"/>
      <c r="CD38" s="645"/>
      <c r="CE38" s="646"/>
      <c r="CF38" s="647"/>
      <c r="CG38" s="660"/>
      <c r="CH38" s="661"/>
      <c r="CI38" s="662"/>
      <c r="CJ38" s="661"/>
      <c r="CK38" s="662"/>
      <c r="CL38" s="663"/>
      <c r="CM38" s="692"/>
      <c r="CN38" s="687"/>
      <c r="CO38" s="1430"/>
      <c r="CP38" s="839"/>
      <c r="CQ38" s="660"/>
      <c r="CR38" s="661"/>
      <c r="CS38" s="662"/>
      <c r="CT38" s="661"/>
      <c r="CU38" s="662"/>
      <c r="CV38" s="663"/>
      <c r="CW38" s="692"/>
      <c r="CX38" s="687"/>
      <c r="CY38" s="1430"/>
      <c r="CZ38" s="839"/>
      <c r="DA38" s="665"/>
      <c r="DB38" s="648"/>
      <c r="DC38" s="649"/>
      <c r="DD38" s="674"/>
      <c r="DE38" s="675"/>
      <c r="DF38" s="58"/>
      <c r="DG38" s="58"/>
      <c r="DH38" s="616"/>
      <c r="DI38" s="617"/>
      <c r="DJ38" s="638"/>
      <c r="DK38" s="1245"/>
      <c r="DL38" s="618"/>
      <c r="DM38" s="639"/>
      <c r="DN38" s="1248"/>
      <c r="DO38" s="619"/>
      <c r="DP38" s="620"/>
      <c r="DQ38" s="1294"/>
      <c r="DR38" s="621"/>
      <c r="DS38" s="1294"/>
      <c r="DT38" s="1296"/>
      <c r="DU38" s="1297"/>
      <c r="DV38" s="622"/>
      <c r="DW38" s="1250"/>
      <c r="DX38" s="623"/>
      <c r="DY38" s="624"/>
      <c r="DZ38" s="622"/>
      <c r="EA38" s="1250"/>
      <c r="EB38" s="623"/>
      <c r="EC38" s="624"/>
      <c r="ED38" s="622"/>
      <c r="EE38" s="1250"/>
      <c r="EF38" s="623"/>
      <c r="EG38" s="624"/>
      <c r="EH38" s="622"/>
      <c r="EI38" s="1250"/>
      <c r="EJ38" s="623"/>
      <c r="EK38" s="625"/>
      <c r="EL38" s="147"/>
      <c r="EM38" s="1513" t="str">
        <f t="shared" si="66"/>
        <v/>
      </c>
      <c r="EN38" s="1303" t="str">
        <f t="shared" si="67"/>
        <v/>
      </c>
      <c r="EO38" s="1304" t="str">
        <f t="shared" si="68"/>
        <v/>
      </c>
      <c r="EP38" s="1305" t="str">
        <f t="shared" si="69"/>
        <v/>
      </c>
      <c r="EQ38" s="1309" t="str">
        <f t="shared" si="70"/>
        <v/>
      </c>
      <c r="ER38" s="1315" t="str">
        <f t="shared" si="71"/>
        <v/>
      </c>
      <c r="ES38" s="1316" t="str">
        <f t="shared" si="72"/>
        <v/>
      </c>
      <c r="ET38" s="1317" t="str">
        <f t="shared" si="73"/>
        <v/>
      </c>
      <c r="EU38" s="1318" t="str">
        <f t="shared" si="88"/>
        <v/>
      </c>
      <c r="EX38" s="870" t="str">
        <f t="shared" ca="1" si="89"/>
        <v/>
      </c>
      <c r="EY38" s="872" t="str">
        <f t="shared" si="74"/>
        <v/>
      </c>
      <c r="EZ38" s="872" t="str">
        <f t="shared" si="90"/>
        <v/>
      </c>
      <c r="FA38" s="891" t="str">
        <f t="shared" ca="1" si="95"/>
        <v/>
      </c>
      <c r="FB38" s="892" t="str">
        <f t="shared" ca="1" si="91"/>
        <v/>
      </c>
      <c r="FC38" s="892">
        <f t="shared" ca="1" si="75"/>
        <v>0</v>
      </c>
      <c r="FD38" s="892">
        <f t="shared" ca="1" si="76"/>
        <v>0</v>
      </c>
      <c r="FE38" s="892">
        <f t="shared" ca="1" si="77"/>
        <v>0</v>
      </c>
      <c r="FF38" s="892">
        <f t="shared" ca="1" si="92"/>
        <v>0</v>
      </c>
      <c r="FN38" s="703" t="b">
        <v>0</v>
      </c>
      <c r="FO38" s="703" t="b">
        <f t="shared" si="78"/>
        <v>1</v>
      </c>
      <c r="FP38" s="1254" t="b">
        <v>0</v>
      </c>
      <c r="FQ38" s="703" t="b">
        <f t="shared" si="93"/>
        <v>1</v>
      </c>
      <c r="FW38" s="1"/>
      <c r="FX38" s="1"/>
      <c r="FZ38" s="1"/>
      <c r="GA38" s="524" t="str">
        <f t="shared" si="79"/>
        <v/>
      </c>
      <c r="GB38" s="566" t="str">
        <f t="shared" si="80"/>
        <v/>
      </c>
      <c r="GC38" s="568" t="str">
        <f t="shared" si="81"/>
        <v/>
      </c>
      <c r="GD38" s="569" t="str">
        <f t="shared" si="82"/>
        <v/>
      </c>
      <c r="GE38" s="567" t="str">
        <f t="shared" si="83"/>
        <v/>
      </c>
      <c r="GF38" s="525" t="str">
        <f t="shared" si="84"/>
        <v/>
      </c>
      <c r="GG38" s="1056"/>
      <c r="GH38" s="1058"/>
      <c r="GI38" s="1056"/>
      <c r="GJ38" s="1058"/>
      <c r="GK38" s="1523">
        <f t="shared" si="85"/>
        <v>0</v>
      </c>
      <c r="GL38" s="1523" t="e">
        <f t="shared" si="86"/>
        <v>#VALUE!</v>
      </c>
      <c r="GM38" s="1524" t="e">
        <f>IF(ABS(GK38-GL38)&gt;=#REF!,ABS(GK38-GL38),0)</f>
        <v>#VALUE!</v>
      </c>
      <c r="HA38" s="1159"/>
      <c r="HB38" s="1160"/>
      <c r="HC38" s="1160"/>
      <c r="HD38" s="1161"/>
      <c r="HE38" s="1162"/>
      <c r="HF38" s="1160"/>
      <c r="HG38" s="1160"/>
      <c r="HH38" s="1160"/>
      <c r="HI38" s="1160"/>
      <c r="HJ38" s="1160"/>
      <c r="HK38" s="1160"/>
      <c r="HL38" s="1160"/>
      <c r="HM38" s="1160"/>
      <c r="HN38" s="1160"/>
      <c r="HO38" s="1160"/>
      <c r="HP38" s="1160"/>
      <c r="HQ38" s="1160"/>
      <c r="HR38" s="1160"/>
      <c r="HS38" s="1160"/>
      <c r="HT38" s="1160"/>
      <c r="HU38" s="1160"/>
      <c r="HV38" s="1160"/>
      <c r="HW38" s="1160"/>
      <c r="HX38" s="1160"/>
      <c r="HY38" s="1164"/>
      <c r="HZ38" s="1164"/>
      <c r="IA38" s="1164"/>
      <c r="IB38" s="1164"/>
      <c r="IC38" s="1164"/>
      <c r="ID38" s="1179"/>
      <c r="IE38" s="1159"/>
      <c r="IF38" s="1160"/>
      <c r="IG38" s="1161"/>
      <c r="IH38" s="1162"/>
      <c r="II38" s="1160"/>
      <c r="IJ38" s="1161"/>
      <c r="IK38" s="1162"/>
      <c r="IL38" s="1160"/>
      <c r="IM38" s="1160"/>
      <c r="IN38" s="1160"/>
      <c r="IO38" s="1160"/>
      <c r="IP38" s="1160"/>
      <c r="IQ38" s="1160"/>
      <c r="IR38" s="1160"/>
      <c r="IS38" s="1161"/>
      <c r="IT38" s="1162"/>
      <c r="IU38" s="1160"/>
      <c r="IV38" s="1160"/>
      <c r="IW38" s="1161"/>
      <c r="IX38" s="1162"/>
      <c r="IY38" s="1160"/>
      <c r="IZ38" s="1160"/>
      <c r="JA38" s="1161"/>
      <c r="JB38" s="1162"/>
      <c r="JC38" s="1160"/>
      <c r="JD38" s="1160"/>
      <c r="JE38" s="1161"/>
      <c r="JF38" s="1162"/>
      <c r="JG38" s="1160"/>
      <c r="JH38" s="1160"/>
      <c r="JI38" s="1160"/>
      <c r="JJ38" s="1163"/>
      <c r="JK38" s="1160"/>
      <c r="JL38" s="1103">
        <f t="shared" ca="1" si="96"/>
        <v>0</v>
      </c>
    </row>
    <row r="39" spans="1:272" ht="12.6" customHeight="1" x14ac:dyDescent="0.25">
      <c r="A39" s="1132" t="str">
        <f t="shared" si="0"/>
        <v/>
      </c>
      <c r="B39" s="1586" t="str">
        <f t="shared" si="1"/>
        <v/>
      </c>
      <c r="C39" s="1133" t="str">
        <f t="shared" si="2"/>
        <v/>
      </c>
      <c r="D39" s="1134" t="str">
        <f t="shared" si="3"/>
        <v/>
      </c>
      <c r="E39" s="1135" t="str">
        <f t="shared" si="4"/>
        <v/>
      </c>
      <c r="F39" s="1136" t="str">
        <f t="shared" si="5"/>
        <v/>
      </c>
      <c r="G39" s="1137" t="str">
        <f t="shared" si="6"/>
        <v/>
      </c>
      <c r="H39" s="1138" t="str">
        <f t="shared" si="7"/>
        <v/>
      </c>
      <c r="I39" s="1139" t="str">
        <f t="shared" si="8"/>
        <v/>
      </c>
      <c r="J39" s="1134" t="str">
        <f t="shared" si="9"/>
        <v/>
      </c>
      <c r="K39" s="1138" t="str">
        <f t="shared" si="10"/>
        <v/>
      </c>
      <c r="L39" s="1140" t="str">
        <f t="shared" si="11"/>
        <v/>
      </c>
      <c r="M39" s="1141" t="str">
        <f t="shared" si="12"/>
        <v/>
      </c>
      <c r="N39" s="1142" t="str">
        <f t="shared" si="12"/>
        <v/>
      </c>
      <c r="O39" s="1137" t="str">
        <f t="shared" si="13"/>
        <v/>
      </c>
      <c r="P39" s="1138" t="str">
        <f t="shared" si="14"/>
        <v/>
      </c>
      <c r="Q39" s="1134" t="str">
        <f t="shared" si="15"/>
        <v/>
      </c>
      <c r="R39" s="1135" t="str">
        <f t="shared" si="16"/>
        <v/>
      </c>
      <c r="S39" s="1143" t="str">
        <f t="shared" si="17"/>
        <v/>
      </c>
      <c r="T39" s="1138" t="str">
        <f t="shared" si="18"/>
        <v/>
      </c>
      <c r="U39" s="1134" t="str">
        <f t="shared" si="19"/>
        <v/>
      </c>
      <c r="V39" s="1138" t="str">
        <f t="shared" si="20"/>
        <v/>
      </c>
      <c r="W39" s="1142">
        <f t="shared" si="21"/>
        <v>0</v>
      </c>
      <c r="X39" s="1144" t="e">
        <f t="shared" si="22"/>
        <v>#REF!</v>
      </c>
      <c r="Y39" s="1145" t="e">
        <f t="shared" si="23"/>
        <v>#REF!</v>
      </c>
      <c r="Z39" s="1587" t="str">
        <f t="shared" si="24"/>
        <v/>
      </c>
      <c r="AA39" s="1152" t="str">
        <f t="shared" si="25"/>
        <v/>
      </c>
      <c r="AB39" s="1132" t="str">
        <f t="shared" si="26"/>
        <v/>
      </c>
      <c r="AC39" s="1139" t="str">
        <f t="shared" si="26"/>
        <v/>
      </c>
      <c r="AD39" s="1134" t="str">
        <f t="shared" ca="1" si="27"/>
        <v/>
      </c>
      <c r="AE39" s="1138" t="str">
        <f t="shared" ca="1" si="28"/>
        <v/>
      </c>
      <c r="AF39" s="1139" t="str">
        <f t="shared" ca="1" si="29"/>
        <v/>
      </c>
      <c r="AG39" s="1134" t="str">
        <f t="shared" ca="1" si="30"/>
        <v/>
      </c>
      <c r="AH39" s="1138" t="str">
        <f t="shared" ca="1" si="31"/>
        <v/>
      </c>
      <c r="AI39" s="1134" t="str">
        <f t="shared" ca="1" si="32"/>
        <v/>
      </c>
      <c r="AJ39" s="1138" t="str">
        <f t="shared" ca="1" si="33"/>
        <v/>
      </c>
      <c r="AK39" s="1619" t="str">
        <f t="shared" si="34"/>
        <v/>
      </c>
      <c r="AL39" s="1620" t="str">
        <f t="shared" si="34"/>
        <v/>
      </c>
      <c r="AM39" s="1621" t="str">
        <f t="shared" si="34"/>
        <v/>
      </c>
      <c r="AN39" s="1139" t="str">
        <f t="shared" si="34"/>
        <v/>
      </c>
      <c r="AO39" s="1142" t="str">
        <f t="shared" si="34"/>
        <v/>
      </c>
      <c r="AP39" s="1141" t="str">
        <f t="shared" si="35"/>
        <v/>
      </c>
      <c r="AQ39" s="1623" t="str">
        <f t="shared" si="36"/>
        <v/>
      </c>
      <c r="AR39" s="1137" t="str">
        <f t="shared" si="37"/>
        <v/>
      </c>
      <c r="AS39" s="1138" t="str">
        <f t="shared" si="38"/>
        <v/>
      </c>
      <c r="AT39" s="1624" t="str">
        <f t="shared" si="39"/>
        <v/>
      </c>
      <c r="AU39" s="1625" t="str">
        <f t="shared" si="40"/>
        <v/>
      </c>
      <c r="AV39" s="1143" t="str">
        <f t="shared" si="41"/>
        <v/>
      </c>
      <c r="AW39" s="1138" t="str">
        <f t="shared" si="42"/>
        <v/>
      </c>
      <c r="AX39" s="1624" t="str">
        <f t="shared" si="43"/>
        <v/>
      </c>
      <c r="AY39" s="1625" t="str">
        <f t="shared" si="44"/>
        <v/>
      </c>
      <c r="AZ39" s="1143" t="str">
        <f t="shared" si="45"/>
        <v/>
      </c>
      <c r="BA39" s="1138" t="str">
        <f t="shared" si="46"/>
        <v/>
      </c>
      <c r="BB39" s="1624" t="str">
        <f t="shared" si="47"/>
        <v/>
      </c>
      <c r="BC39" s="1625" t="str">
        <f t="shared" si="48"/>
        <v/>
      </c>
      <c r="BD39" s="1143" t="str">
        <f t="shared" si="49"/>
        <v/>
      </c>
      <c r="BE39" s="1138" t="str">
        <f t="shared" si="50"/>
        <v/>
      </c>
      <c r="BF39" s="1624" t="str">
        <f t="shared" si="51"/>
        <v/>
      </c>
      <c r="BG39" s="1625" t="str">
        <f t="shared" si="51"/>
        <v/>
      </c>
      <c r="BH39" s="1291"/>
      <c r="BJ39" s="915" t="str">
        <f t="shared" si="94"/>
        <v/>
      </c>
      <c r="BK39" s="913" t="e">
        <f t="shared" si="52"/>
        <v>#REF!</v>
      </c>
      <c r="BL39" s="908" t="b">
        <v>0</v>
      </c>
      <c r="BM39" s="908">
        <f t="shared" si="53"/>
        <v>0</v>
      </c>
      <c r="BN39" s="908">
        <f t="shared" si="54"/>
        <v>0</v>
      </c>
      <c r="BO39" s="908">
        <f t="shared" si="55"/>
        <v>0</v>
      </c>
      <c r="BP39" s="908">
        <f t="shared" si="56"/>
        <v>0</v>
      </c>
      <c r="BQ39" s="908">
        <f t="shared" si="57"/>
        <v>0</v>
      </c>
      <c r="BR39" s="908" t="b">
        <f t="shared" si="58"/>
        <v>1</v>
      </c>
      <c r="BS39" s="1216">
        <f t="shared" si="59"/>
        <v>6</v>
      </c>
      <c r="BT39" s="909" t="str">
        <f t="shared" si="60"/>
        <v>No</v>
      </c>
      <c r="BU39" s="1216">
        <f t="shared" si="61"/>
        <v>6</v>
      </c>
      <c r="BV39" s="909" t="str">
        <f t="shared" si="62"/>
        <v>No</v>
      </c>
      <c r="BW39" s="910">
        <f t="shared" ca="1" si="63"/>
        <v>0</v>
      </c>
      <c r="BX39" s="911" t="str">
        <f t="shared" ca="1" si="64"/>
        <v/>
      </c>
      <c r="BY39" s="911" t="b">
        <f t="shared" ca="1" si="65"/>
        <v>0</v>
      </c>
      <c r="BZ39" s="910" t="e">
        <f t="shared" si="87"/>
        <v>#REF!</v>
      </c>
      <c r="CB39" s="616"/>
      <c r="CC39" s="1567"/>
      <c r="CD39" s="645"/>
      <c r="CE39" s="646"/>
      <c r="CF39" s="647"/>
      <c r="CG39" s="660"/>
      <c r="CH39" s="661"/>
      <c r="CI39" s="662"/>
      <c r="CJ39" s="661"/>
      <c r="CK39" s="662"/>
      <c r="CL39" s="663"/>
      <c r="CM39" s="692"/>
      <c r="CN39" s="687"/>
      <c r="CO39" s="1430"/>
      <c r="CP39" s="839"/>
      <c r="CQ39" s="660"/>
      <c r="CR39" s="661"/>
      <c r="CS39" s="662"/>
      <c r="CT39" s="661"/>
      <c r="CU39" s="662"/>
      <c r="CV39" s="663"/>
      <c r="CW39" s="692"/>
      <c r="CX39" s="687"/>
      <c r="CY39" s="1430"/>
      <c r="CZ39" s="839"/>
      <c r="DA39" s="665"/>
      <c r="DB39" s="648"/>
      <c r="DC39" s="649"/>
      <c r="DD39" s="674"/>
      <c r="DE39" s="675"/>
      <c r="DF39" s="58"/>
      <c r="DG39" s="58"/>
      <c r="DH39" s="616"/>
      <c r="DI39" s="617"/>
      <c r="DJ39" s="638"/>
      <c r="DK39" s="1245"/>
      <c r="DL39" s="618"/>
      <c r="DM39" s="639"/>
      <c r="DN39" s="1248"/>
      <c r="DO39" s="619"/>
      <c r="DP39" s="620"/>
      <c r="DQ39" s="1294"/>
      <c r="DR39" s="621"/>
      <c r="DS39" s="1294"/>
      <c r="DT39" s="1296"/>
      <c r="DU39" s="1297"/>
      <c r="DV39" s="622"/>
      <c r="DW39" s="1250"/>
      <c r="DX39" s="623"/>
      <c r="DY39" s="624"/>
      <c r="DZ39" s="622"/>
      <c r="EA39" s="1250"/>
      <c r="EB39" s="623"/>
      <c r="EC39" s="624"/>
      <c r="ED39" s="622"/>
      <c r="EE39" s="1250"/>
      <c r="EF39" s="623"/>
      <c r="EG39" s="624"/>
      <c r="EH39" s="622"/>
      <c r="EI39" s="1250"/>
      <c r="EJ39" s="623"/>
      <c r="EK39" s="625"/>
      <c r="EL39" s="147"/>
      <c r="EM39" s="1513" t="str">
        <f t="shared" si="66"/>
        <v/>
      </c>
      <c r="EN39" s="1303" t="str">
        <f t="shared" si="67"/>
        <v/>
      </c>
      <c r="EO39" s="1304" t="str">
        <f t="shared" si="68"/>
        <v/>
      </c>
      <c r="EP39" s="1305" t="str">
        <f t="shared" si="69"/>
        <v/>
      </c>
      <c r="EQ39" s="1309" t="str">
        <f t="shared" si="70"/>
        <v/>
      </c>
      <c r="ER39" s="1315" t="str">
        <f t="shared" si="71"/>
        <v/>
      </c>
      <c r="ES39" s="1316" t="str">
        <f t="shared" si="72"/>
        <v/>
      </c>
      <c r="ET39" s="1317" t="str">
        <f t="shared" si="73"/>
        <v/>
      </c>
      <c r="EU39" s="1318" t="str">
        <f t="shared" si="88"/>
        <v/>
      </c>
      <c r="EX39" s="870" t="str">
        <f t="shared" ca="1" si="89"/>
        <v/>
      </c>
      <c r="EY39" s="872" t="str">
        <f t="shared" si="74"/>
        <v/>
      </c>
      <c r="EZ39" s="872" t="str">
        <f t="shared" si="90"/>
        <v/>
      </c>
      <c r="FA39" s="891" t="str">
        <f t="shared" ca="1" si="95"/>
        <v/>
      </c>
      <c r="FB39" s="892" t="str">
        <f t="shared" ca="1" si="91"/>
        <v/>
      </c>
      <c r="FC39" s="892">
        <f t="shared" ca="1" si="75"/>
        <v>0</v>
      </c>
      <c r="FD39" s="892">
        <f t="shared" ca="1" si="76"/>
        <v>0</v>
      </c>
      <c r="FE39" s="892">
        <f t="shared" ca="1" si="77"/>
        <v>0</v>
      </c>
      <c r="FF39" s="892">
        <f t="shared" ca="1" si="92"/>
        <v>0</v>
      </c>
      <c r="FN39" s="703" t="b">
        <v>0</v>
      </c>
      <c r="FO39" s="703" t="b">
        <f t="shared" si="78"/>
        <v>1</v>
      </c>
      <c r="FP39" s="1254" t="b">
        <v>0</v>
      </c>
      <c r="FQ39" s="703" t="b">
        <f t="shared" si="93"/>
        <v>1</v>
      </c>
      <c r="FW39" s="1"/>
      <c r="FX39" s="1"/>
      <c r="FZ39" s="1"/>
      <c r="GA39" s="524" t="str">
        <f t="shared" si="79"/>
        <v/>
      </c>
      <c r="GB39" s="566" t="str">
        <f t="shared" si="80"/>
        <v/>
      </c>
      <c r="GC39" s="568" t="str">
        <f t="shared" si="81"/>
        <v/>
      </c>
      <c r="GD39" s="569" t="str">
        <f t="shared" si="82"/>
        <v/>
      </c>
      <c r="GE39" s="567" t="str">
        <f t="shared" si="83"/>
        <v/>
      </c>
      <c r="GF39" s="525" t="str">
        <f t="shared" si="84"/>
        <v/>
      </c>
      <c r="GG39" s="1056"/>
      <c r="GH39" s="1058"/>
      <c r="GI39" s="1056"/>
      <c r="GJ39" s="1058"/>
      <c r="GK39" s="1523">
        <f t="shared" si="85"/>
        <v>0</v>
      </c>
      <c r="GL39" s="1523" t="e">
        <f t="shared" si="86"/>
        <v>#VALUE!</v>
      </c>
      <c r="GM39" s="1524" t="e">
        <f>IF(ABS(GK39-GL39)&gt;=#REF!,ABS(GK39-GL39),0)</f>
        <v>#VALUE!</v>
      </c>
      <c r="HA39" s="1159"/>
      <c r="HB39" s="1160"/>
      <c r="HC39" s="1160"/>
      <c r="HD39" s="1161"/>
      <c r="HE39" s="1162"/>
      <c r="HF39" s="1160"/>
      <c r="HG39" s="1160"/>
      <c r="HH39" s="1160"/>
      <c r="HI39" s="1160"/>
      <c r="HJ39" s="1160"/>
      <c r="HK39" s="1160"/>
      <c r="HL39" s="1160"/>
      <c r="HM39" s="1160"/>
      <c r="HN39" s="1160"/>
      <c r="HO39" s="1160"/>
      <c r="HP39" s="1160"/>
      <c r="HQ39" s="1160"/>
      <c r="HR39" s="1160"/>
      <c r="HS39" s="1160"/>
      <c r="HT39" s="1160"/>
      <c r="HU39" s="1160"/>
      <c r="HV39" s="1160"/>
      <c r="HW39" s="1160"/>
      <c r="HX39" s="1160"/>
      <c r="HY39" s="1164"/>
      <c r="HZ39" s="1164"/>
      <c r="IA39" s="1164"/>
      <c r="IB39" s="1164"/>
      <c r="IC39" s="1164"/>
      <c r="ID39" s="1179"/>
      <c r="IE39" s="1159"/>
      <c r="IF39" s="1160"/>
      <c r="IG39" s="1161"/>
      <c r="IH39" s="1162"/>
      <c r="II39" s="1160"/>
      <c r="IJ39" s="1161"/>
      <c r="IK39" s="1162"/>
      <c r="IL39" s="1160"/>
      <c r="IM39" s="1160"/>
      <c r="IN39" s="1160"/>
      <c r="IO39" s="1160"/>
      <c r="IP39" s="1160"/>
      <c r="IQ39" s="1160"/>
      <c r="IR39" s="1160"/>
      <c r="IS39" s="1161"/>
      <c r="IT39" s="1162"/>
      <c r="IU39" s="1160"/>
      <c r="IV39" s="1160"/>
      <c r="IW39" s="1161"/>
      <c r="IX39" s="1162"/>
      <c r="IY39" s="1160"/>
      <c r="IZ39" s="1160"/>
      <c r="JA39" s="1161"/>
      <c r="JB39" s="1162"/>
      <c r="JC39" s="1160"/>
      <c r="JD39" s="1160"/>
      <c r="JE39" s="1161"/>
      <c r="JF39" s="1162"/>
      <c r="JG39" s="1160"/>
      <c r="JH39" s="1160"/>
      <c r="JI39" s="1160"/>
      <c r="JJ39" s="1163"/>
      <c r="JK39" s="1160"/>
      <c r="JL39" s="1103">
        <f t="shared" ca="1" si="96"/>
        <v>0</v>
      </c>
    </row>
    <row r="40" spans="1:272" ht="12.6" customHeight="1" x14ac:dyDescent="0.25">
      <c r="A40" s="1132" t="str">
        <f t="shared" si="0"/>
        <v/>
      </c>
      <c r="B40" s="1586" t="str">
        <f t="shared" si="1"/>
        <v/>
      </c>
      <c r="C40" s="1133" t="str">
        <f t="shared" si="2"/>
        <v/>
      </c>
      <c r="D40" s="1134" t="str">
        <f t="shared" si="3"/>
        <v/>
      </c>
      <c r="E40" s="1135" t="str">
        <f t="shared" si="4"/>
        <v/>
      </c>
      <c r="F40" s="1136" t="str">
        <f t="shared" si="5"/>
        <v/>
      </c>
      <c r="G40" s="1137" t="str">
        <f t="shared" si="6"/>
        <v/>
      </c>
      <c r="H40" s="1138" t="str">
        <f t="shared" si="7"/>
        <v/>
      </c>
      <c r="I40" s="1139" t="str">
        <f t="shared" si="8"/>
        <v/>
      </c>
      <c r="J40" s="1134" t="str">
        <f t="shared" si="9"/>
        <v/>
      </c>
      <c r="K40" s="1138" t="str">
        <f t="shared" si="10"/>
        <v/>
      </c>
      <c r="L40" s="1140" t="str">
        <f t="shared" si="11"/>
        <v/>
      </c>
      <c r="M40" s="1141" t="str">
        <f t="shared" si="12"/>
        <v/>
      </c>
      <c r="N40" s="1142" t="str">
        <f t="shared" si="12"/>
        <v/>
      </c>
      <c r="O40" s="1137" t="str">
        <f t="shared" si="13"/>
        <v/>
      </c>
      <c r="P40" s="1138" t="str">
        <f t="shared" si="14"/>
        <v/>
      </c>
      <c r="Q40" s="1134" t="str">
        <f t="shared" si="15"/>
        <v/>
      </c>
      <c r="R40" s="1135" t="str">
        <f t="shared" si="16"/>
        <v/>
      </c>
      <c r="S40" s="1143" t="str">
        <f t="shared" si="17"/>
        <v/>
      </c>
      <c r="T40" s="1138" t="str">
        <f t="shared" si="18"/>
        <v/>
      </c>
      <c r="U40" s="1134" t="str">
        <f t="shared" si="19"/>
        <v/>
      </c>
      <c r="V40" s="1138" t="str">
        <f t="shared" si="20"/>
        <v/>
      </c>
      <c r="W40" s="1142">
        <f t="shared" si="21"/>
        <v>0</v>
      </c>
      <c r="X40" s="1144" t="e">
        <f t="shared" si="22"/>
        <v>#REF!</v>
      </c>
      <c r="Y40" s="1145" t="e">
        <f t="shared" si="23"/>
        <v>#REF!</v>
      </c>
      <c r="Z40" s="1587" t="str">
        <f t="shared" si="24"/>
        <v/>
      </c>
      <c r="AA40" s="1152" t="str">
        <f t="shared" si="25"/>
        <v/>
      </c>
      <c r="AB40" s="1132" t="str">
        <f t="shared" si="26"/>
        <v/>
      </c>
      <c r="AC40" s="1139" t="str">
        <f t="shared" si="26"/>
        <v/>
      </c>
      <c r="AD40" s="1134" t="str">
        <f t="shared" ca="1" si="27"/>
        <v/>
      </c>
      <c r="AE40" s="1138" t="str">
        <f t="shared" ca="1" si="28"/>
        <v/>
      </c>
      <c r="AF40" s="1139" t="str">
        <f t="shared" ca="1" si="29"/>
        <v/>
      </c>
      <c r="AG40" s="1134" t="str">
        <f t="shared" ca="1" si="30"/>
        <v/>
      </c>
      <c r="AH40" s="1138" t="str">
        <f t="shared" ca="1" si="31"/>
        <v/>
      </c>
      <c r="AI40" s="1134" t="str">
        <f t="shared" ca="1" si="32"/>
        <v/>
      </c>
      <c r="AJ40" s="1138" t="str">
        <f t="shared" ca="1" si="33"/>
        <v/>
      </c>
      <c r="AK40" s="1619" t="str">
        <f t="shared" si="34"/>
        <v/>
      </c>
      <c r="AL40" s="1620" t="str">
        <f t="shared" si="34"/>
        <v/>
      </c>
      <c r="AM40" s="1621" t="str">
        <f t="shared" si="34"/>
        <v/>
      </c>
      <c r="AN40" s="1139" t="str">
        <f t="shared" si="34"/>
        <v/>
      </c>
      <c r="AO40" s="1142" t="str">
        <f t="shared" si="34"/>
        <v/>
      </c>
      <c r="AP40" s="1141" t="str">
        <f t="shared" si="35"/>
        <v/>
      </c>
      <c r="AQ40" s="1623" t="str">
        <f t="shared" si="36"/>
        <v/>
      </c>
      <c r="AR40" s="1137" t="str">
        <f t="shared" si="37"/>
        <v/>
      </c>
      <c r="AS40" s="1138" t="str">
        <f t="shared" si="38"/>
        <v/>
      </c>
      <c r="AT40" s="1624" t="str">
        <f t="shared" si="39"/>
        <v/>
      </c>
      <c r="AU40" s="1625" t="str">
        <f t="shared" si="40"/>
        <v/>
      </c>
      <c r="AV40" s="1143" t="str">
        <f t="shared" si="41"/>
        <v/>
      </c>
      <c r="AW40" s="1138" t="str">
        <f t="shared" si="42"/>
        <v/>
      </c>
      <c r="AX40" s="1624" t="str">
        <f t="shared" si="43"/>
        <v/>
      </c>
      <c r="AY40" s="1625" t="str">
        <f t="shared" si="44"/>
        <v/>
      </c>
      <c r="AZ40" s="1143" t="str">
        <f t="shared" si="45"/>
        <v/>
      </c>
      <c r="BA40" s="1138" t="str">
        <f t="shared" si="46"/>
        <v/>
      </c>
      <c r="BB40" s="1624" t="str">
        <f t="shared" si="47"/>
        <v/>
      </c>
      <c r="BC40" s="1625" t="str">
        <f t="shared" si="48"/>
        <v/>
      </c>
      <c r="BD40" s="1143" t="str">
        <f t="shared" si="49"/>
        <v/>
      </c>
      <c r="BE40" s="1138" t="str">
        <f t="shared" si="50"/>
        <v/>
      </c>
      <c r="BF40" s="1624" t="str">
        <f t="shared" si="51"/>
        <v/>
      </c>
      <c r="BG40" s="1625" t="str">
        <f t="shared" si="51"/>
        <v/>
      </c>
      <c r="BH40" s="1291"/>
      <c r="BJ40" s="915" t="str">
        <f t="shared" si="94"/>
        <v/>
      </c>
      <c r="BK40" s="913" t="e">
        <f t="shared" si="52"/>
        <v>#REF!</v>
      </c>
      <c r="BL40" s="908" t="b">
        <v>0</v>
      </c>
      <c r="BM40" s="908">
        <f t="shared" si="53"/>
        <v>0</v>
      </c>
      <c r="BN40" s="908">
        <f t="shared" si="54"/>
        <v>0</v>
      </c>
      <c r="BO40" s="908">
        <f t="shared" si="55"/>
        <v>0</v>
      </c>
      <c r="BP40" s="908">
        <f t="shared" si="56"/>
        <v>0</v>
      </c>
      <c r="BQ40" s="908">
        <f t="shared" si="57"/>
        <v>0</v>
      </c>
      <c r="BR40" s="908" t="b">
        <f t="shared" si="58"/>
        <v>1</v>
      </c>
      <c r="BS40" s="1216">
        <f t="shared" si="59"/>
        <v>6</v>
      </c>
      <c r="BT40" s="909" t="str">
        <f t="shared" si="60"/>
        <v>No</v>
      </c>
      <c r="BU40" s="1216">
        <f t="shared" si="61"/>
        <v>6</v>
      </c>
      <c r="BV40" s="909" t="str">
        <f t="shared" si="62"/>
        <v>No</v>
      </c>
      <c r="BW40" s="910">
        <f t="shared" ca="1" si="63"/>
        <v>0</v>
      </c>
      <c r="BX40" s="911" t="str">
        <f t="shared" ca="1" si="64"/>
        <v/>
      </c>
      <c r="BY40" s="911" t="b">
        <f t="shared" ca="1" si="65"/>
        <v>0</v>
      </c>
      <c r="BZ40" s="910" t="e">
        <f t="shared" si="87"/>
        <v>#REF!</v>
      </c>
      <c r="CB40" s="616"/>
      <c r="CC40" s="1567"/>
      <c r="CD40" s="645"/>
      <c r="CE40" s="646"/>
      <c r="CF40" s="647"/>
      <c r="CG40" s="660"/>
      <c r="CH40" s="661"/>
      <c r="CI40" s="662"/>
      <c r="CJ40" s="661"/>
      <c r="CK40" s="662"/>
      <c r="CL40" s="663"/>
      <c r="CM40" s="692"/>
      <c r="CN40" s="687"/>
      <c r="CO40" s="1430"/>
      <c r="CP40" s="839"/>
      <c r="CQ40" s="660"/>
      <c r="CR40" s="661"/>
      <c r="CS40" s="662"/>
      <c r="CT40" s="661"/>
      <c r="CU40" s="662"/>
      <c r="CV40" s="663"/>
      <c r="CW40" s="692"/>
      <c r="CX40" s="687"/>
      <c r="CY40" s="1430"/>
      <c r="CZ40" s="839"/>
      <c r="DA40" s="665"/>
      <c r="DB40" s="648"/>
      <c r="DC40" s="649"/>
      <c r="DD40" s="674"/>
      <c r="DE40" s="675"/>
      <c r="DF40" s="58"/>
      <c r="DG40" s="58"/>
      <c r="DH40" s="616"/>
      <c r="DI40" s="617"/>
      <c r="DJ40" s="638"/>
      <c r="DK40" s="1245"/>
      <c r="DL40" s="618"/>
      <c r="DM40" s="639"/>
      <c r="DN40" s="1248"/>
      <c r="DO40" s="619"/>
      <c r="DP40" s="620"/>
      <c r="DQ40" s="1294"/>
      <c r="DR40" s="621"/>
      <c r="DS40" s="1294"/>
      <c r="DT40" s="1296"/>
      <c r="DU40" s="1297"/>
      <c r="DV40" s="622"/>
      <c r="DW40" s="1250"/>
      <c r="DX40" s="623"/>
      <c r="DY40" s="624"/>
      <c r="DZ40" s="622"/>
      <c r="EA40" s="1250"/>
      <c r="EB40" s="623"/>
      <c r="EC40" s="624"/>
      <c r="ED40" s="622"/>
      <c r="EE40" s="1250"/>
      <c r="EF40" s="623"/>
      <c r="EG40" s="624"/>
      <c r="EH40" s="622"/>
      <c r="EI40" s="1250"/>
      <c r="EJ40" s="623"/>
      <c r="EK40" s="625"/>
      <c r="EL40" s="147"/>
      <c r="EM40" s="1513" t="str">
        <f t="shared" si="66"/>
        <v/>
      </c>
      <c r="EN40" s="1303" t="str">
        <f t="shared" si="67"/>
        <v/>
      </c>
      <c r="EO40" s="1304" t="str">
        <f t="shared" si="68"/>
        <v/>
      </c>
      <c r="EP40" s="1305" t="str">
        <f t="shared" si="69"/>
        <v/>
      </c>
      <c r="EQ40" s="1309" t="str">
        <f t="shared" si="70"/>
        <v/>
      </c>
      <c r="ER40" s="1315" t="str">
        <f t="shared" si="71"/>
        <v/>
      </c>
      <c r="ES40" s="1316" t="str">
        <f t="shared" si="72"/>
        <v/>
      </c>
      <c r="ET40" s="1317" t="str">
        <f t="shared" si="73"/>
        <v/>
      </c>
      <c r="EU40" s="1318" t="str">
        <f t="shared" si="88"/>
        <v/>
      </c>
      <c r="EX40" s="870" t="str">
        <f t="shared" ca="1" si="89"/>
        <v/>
      </c>
      <c r="EY40" s="872" t="str">
        <f t="shared" si="74"/>
        <v/>
      </c>
      <c r="EZ40" s="872" t="str">
        <f t="shared" si="90"/>
        <v/>
      </c>
      <c r="FA40" s="891" t="str">
        <f t="shared" ca="1" si="95"/>
        <v/>
      </c>
      <c r="FB40" s="892" t="str">
        <f t="shared" ca="1" si="91"/>
        <v/>
      </c>
      <c r="FC40" s="892">
        <f t="shared" ca="1" si="75"/>
        <v>0</v>
      </c>
      <c r="FD40" s="892">
        <f t="shared" ca="1" si="76"/>
        <v>0</v>
      </c>
      <c r="FE40" s="892">
        <f t="shared" ca="1" si="77"/>
        <v>0</v>
      </c>
      <c r="FF40" s="892">
        <f t="shared" ca="1" si="92"/>
        <v>0</v>
      </c>
      <c r="FN40" s="703" t="b">
        <v>0</v>
      </c>
      <c r="FO40" s="703" t="b">
        <f t="shared" si="78"/>
        <v>1</v>
      </c>
      <c r="FP40" s="1254" t="b">
        <v>0</v>
      </c>
      <c r="FQ40" s="703" t="b">
        <f t="shared" si="93"/>
        <v>1</v>
      </c>
      <c r="FW40" s="1"/>
      <c r="FX40" s="1"/>
      <c r="FZ40" s="1"/>
      <c r="GA40" s="524" t="str">
        <f t="shared" si="79"/>
        <v/>
      </c>
      <c r="GB40" s="566" t="str">
        <f t="shared" si="80"/>
        <v/>
      </c>
      <c r="GC40" s="568" t="str">
        <f t="shared" si="81"/>
        <v/>
      </c>
      <c r="GD40" s="569" t="str">
        <f t="shared" si="82"/>
        <v/>
      </c>
      <c r="GE40" s="567" t="str">
        <f t="shared" si="83"/>
        <v/>
      </c>
      <c r="GF40" s="525" t="str">
        <f t="shared" si="84"/>
        <v/>
      </c>
      <c r="GG40" s="1056"/>
      <c r="GH40" s="1058"/>
      <c r="GI40" s="1056"/>
      <c r="GJ40" s="1058"/>
      <c r="GK40" s="1523">
        <f t="shared" si="85"/>
        <v>0</v>
      </c>
      <c r="GL40" s="1523" t="e">
        <f t="shared" si="86"/>
        <v>#VALUE!</v>
      </c>
      <c r="GM40" s="1524" t="e">
        <f>IF(ABS(GK40-GL40)&gt;=#REF!,ABS(GK40-GL40),0)</f>
        <v>#VALUE!</v>
      </c>
      <c r="HA40" s="1159"/>
      <c r="HB40" s="1160"/>
      <c r="HC40" s="1160"/>
      <c r="HD40" s="1161"/>
      <c r="HE40" s="1162"/>
      <c r="HF40" s="1160"/>
      <c r="HG40" s="1160"/>
      <c r="HH40" s="1160"/>
      <c r="HI40" s="1160"/>
      <c r="HJ40" s="1160"/>
      <c r="HK40" s="1160"/>
      <c r="HL40" s="1160"/>
      <c r="HM40" s="1160"/>
      <c r="HN40" s="1160"/>
      <c r="HO40" s="1160"/>
      <c r="HP40" s="1160"/>
      <c r="HQ40" s="1160"/>
      <c r="HR40" s="1160"/>
      <c r="HS40" s="1160"/>
      <c r="HT40" s="1160"/>
      <c r="HU40" s="1160"/>
      <c r="HV40" s="1160"/>
      <c r="HW40" s="1160"/>
      <c r="HX40" s="1160"/>
      <c r="HY40" s="1164"/>
      <c r="HZ40" s="1164"/>
      <c r="IA40" s="1164"/>
      <c r="IB40" s="1164"/>
      <c r="IC40" s="1164"/>
      <c r="ID40" s="1179"/>
      <c r="IE40" s="1159"/>
      <c r="IF40" s="1160"/>
      <c r="IG40" s="1161"/>
      <c r="IH40" s="1162"/>
      <c r="II40" s="1160"/>
      <c r="IJ40" s="1161"/>
      <c r="IK40" s="1162"/>
      <c r="IL40" s="1160"/>
      <c r="IM40" s="1160"/>
      <c r="IN40" s="1160"/>
      <c r="IO40" s="1160"/>
      <c r="IP40" s="1160"/>
      <c r="IQ40" s="1160"/>
      <c r="IR40" s="1160"/>
      <c r="IS40" s="1161"/>
      <c r="IT40" s="1162"/>
      <c r="IU40" s="1160"/>
      <c r="IV40" s="1160"/>
      <c r="IW40" s="1161"/>
      <c r="IX40" s="1162"/>
      <c r="IY40" s="1160"/>
      <c r="IZ40" s="1160"/>
      <c r="JA40" s="1161"/>
      <c r="JB40" s="1162"/>
      <c r="JC40" s="1160"/>
      <c r="JD40" s="1160"/>
      <c r="JE40" s="1161"/>
      <c r="JF40" s="1162"/>
      <c r="JG40" s="1160"/>
      <c r="JH40" s="1160"/>
      <c r="JI40" s="1160"/>
      <c r="JJ40" s="1163"/>
      <c r="JK40" s="1160"/>
      <c r="JL40" s="1103">
        <f t="shared" ca="1" si="96"/>
        <v>0</v>
      </c>
    </row>
    <row r="41" spans="1:272" ht="12.6" customHeight="1" x14ac:dyDescent="0.25">
      <c r="A41" s="1132" t="str">
        <f t="shared" si="0"/>
        <v/>
      </c>
      <c r="B41" s="1586" t="str">
        <f t="shared" si="1"/>
        <v/>
      </c>
      <c r="C41" s="1133" t="str">
        <f t="shared" si="2"/>
        <v/>
      </c>
      <c r="D41" s="1134" t="str">
        <f t="shared" si="3"/>
        <v/>
      </c>
      <c r="E41" s="1135" t="str">
        <f t="shared" si="4"/>
        <v/>
      </c>
      <c r="F41" s="1136" t="str">
        <f t="shared" si="5"/>
        <v/>
      </c>
      <c r="G41" s="1137" t="str">
        <f t="shared" si="6"/>
        <v/>
      </c>
      <c r="H41" s="1138" t="str">
        <f t="shared" si="7"/>
        <v/>
      </c>
      <c r="I41" s="1139" t="str">
        <f t="shared" si="8"/>
        <v/>
      </c>
      <c r="J41" s="1134" t="str">
        <f t="shared" si="9"/>
        <v/>
      </c>
      <c r="K41" s="1138" t="str">
        <f t="shared" si="10"/>
        <v/>
      </c>
      <c r="L41" s="1140" t="str">
        <f t="shared" si="11"/>
        <v/>
      </c>
      <c r="M41" s="1141" t="str">
        <f t="shared" si="12"/>
        <v/>
      </c>
      <c r="N41" s="1142" t="str">
        <f t="shared" si="12"/>
        <v/>
      </c>
      <c r="O41" s="1137" t="str">
        <f t="shared" si="13"/>
        <v/>
      </c>
      <c r="P41" s="1138" t="str">
        <f t="shared" si="14"/>
        <v/>
      </c>
      <c r="Q41" s="1134" t="str">
        <f t="shared" si="15"/>
        <v/>
      </c>
      <c r="R41" s="1135" t="str">
        <f t="shared" si="16"/>
        <v/>
      </c>
      <c r="S41" s="1143" t="str">
        <f t="shared" si="17"/>
        <v/>
      </c>
      <c r="T41" s="1138" t="str">
        <f t="shared" si="18"/>
        <v/>
      </c>
      <c r="U41" s="1134" t="str">
        <f t="shared" si="19"/>
        <v/>
      </c>
      <c r="V41" s="1138" t="str">
        <f t="shared" si="20"/>
        <v/>
      </c>
      <c r="W41" s="1142">
        <f t="shared" si="21"/>
        <v>0</v>
      </c>
      <c r="X41" s="1144" t="e">
        <f t="shared" si="22"/>
        <v>#REF!</v>
      </c>
      <c r="Y41" s="1145" t="e">
        <f t="shared" si="23"/>
        <v>#REF!</v>
      </c>
      <c r="Z41" s="1587" t="str">
        <f t="shared" si="24"/>
        <v/>
      </c>
      <c r="AA41" s="1152" t="str">
        <f t="shared" si="25"/>
        <v/>
      </c>
      <c r="AB41" s="1132" t="str">
        <f t="shared" si="26"/>
        <v/>
      </c>
      <c r="AC41" s="1139" t="str">
        <f t="shared" si="26"/>
        <v/>
      </c>
      <c r="AD41" s="1134" t="str">
        <f t="shared" ca="1" si="27"/>
        <v/>
      </c>
      <c r="AE41" s="1138" t="str">
        <f t="shared" ca="1" si="28"/>
        <v/>
      </c>
      <c r="AF41" s="1139" t="str">
        <f t="shared" ca="1" si="29"/>
        <v/>
      </c>
      <c r="AG41" s="1134" t="str">
        <f t="shared" ca="1" si="30"/>
        <v/>
      </c>
      <c r="AH41" s="1138" t="str">
        <f t="shared" ca="1" si="31"/>
        <v/>
      </c>
      <c r="AI41" s="1134" t="str">
        <f t="shared" ca="1" si="32"/>
        <v/>
      </c>
      <c r="AJ41" s="1138" t="str">
        <f t="shared" ca="1" si="33"/>
        <v/>
      </c>
      <c r="AK41" s="1619" t="str">
        <f t="shared" si="34"/>
        <v/>
      </c>
      <c r="AL41" s="1620" t="str">
        <f t="shared" si="34"/>
        <v/>
      </c>
      <c r="AM41" s="1621" t="str">
        <f t="shared" si="34"/>
        <v/>
      </c>
      <c r="AN41" s="1139" t="str">
        <f t="shared" si="34"/>
        <v/>
      </c>
      <c r="AO41" s="1142" t="str">
        <f t="shared" si="34"/>
        <v/>
      </c>
      <c r="AP41" s="1141" t="str">
        <f t="shared" si="35"/>
        <v/>
      </c>
      <c r="AQ41" s="1623" t="str">
        <f t="shared" si="36"/>
        <v/>
      </c>
      <c r="AR41" s="1137" t="str">
        <f t="shared" si="37"/>
        <v/>
      </c>
      <c r="AS41" s="1138" t="str">
        <f t="shared" si="38"/>
        <v/>
      </c>
      <c r="AT41" s="1624" t="str">
        <f t="shared" si="39"/>
        <v/>
      </c>
      <c r="AU41" s="1625" t="str">
        <f t="shared" si="40"/>
        <v/>
      </c>
      <c r="AV41" s="1143" t="str">
        <f t="shared" si="41"/>
        <v/>
      </c>
      <c r="AW41" s="1138" t="str">
        <f t="shared" si="42"/>
        <v/>
      </c>
      <c r="AX41" s="1624" t="str">
        <f t="shared" si="43"/>
        <v/>
      </c>
      <c r="AY41" s="1625" t="str">
        <f t="shared" si="44"/>
        <v/>
      </c>
      <c r="AZ41" s="1143" t="str">
        <f t="shared" si="45"/>
        <v/>
      </c>
      <c r="BA41" s="1138" t="str">
        <f t="shared" si="46"/>
        <v/>
      </c>
      <c r="BB41" s="1624" t="str">
        <f t="shared" si="47"/>
        <v/>
      </c>
      <c r="BC41" s="1625" t="str">
        <f t="shared" si="48"/>
        <v/>
      </c>
      <c r="BD41" s="1143" t="str">
        <f t="shared" si="49"/>
        <v/>
      </c>
      <c r="BE41" s="1138" t="str">
        <f t="shared" si="50"/>
        <v/>
      </c>
      <c r="BF41" s="1624" t="str">
        <f t="shared" si="51"/>
        <v/>
      </c>
      <c r="BG41" s="1625" t="str">
        <f t="shared" si="51"/>
        <v/>
      </c>
      <c r="BH41" s="1291"/>
      <c r="BJ41" s="915" t="str">
        <f t="shared" si="94"/>
        <v/>
      </c>
      <c r="BK41" s="913" t="e">
        <f t="shared" si="52"/>
        <v>#REF!</v>
      </c>
      <c r="BL41" s="908" t="b">
        <v>0</v>
      </c>
      <c r="BM41" s="908">
        <f t="shared" si="53"/>
        <v>0</v>
      </c>
      <c r="BN41" s="908">
        <f t="shared" si="54"/>
        <v>0</v>
      </c>
      <c r="BO41" s="908">
        <f t="shared" si="55"/>
        <v>0</v>
      </c>
      <c r="BP41" s="908">
        <f t="shared" si="56"/>
        <v>0</v>
      </c>
      <c r="BQ41" s="908">
        <f t="shared" si="57"/>
        <v>0</v>
      </c>
      <c r="BR41" s="908" t="b">
        <f t="shared" si="58"/>
        <v>1</v>
      </c>
      <c r="BS41" s="1216">
        <f t="shared" si="59"/>
        <v>6</v>
      </c>
      <c r="BT41" s="909" t="str">
        <f t="shared" si="60"/>
        <v>No</v>
      </c>
      <c r="BU41" s="1216">
        <f t="shared" si="61"/>
        <v>6</v>
      </c>
      <c r="BV41" s="909" t="str">
        <f t="shared" si="62"/>
        <v>No</v>
      </c>
      <c r="BW41" s="910">
        <f t="shared" ca="1" si="63"/>
        <v>0</v>
      </c>
      <c r="BX41" s="911" t="str">
        <f t="shared" ca="1" si="64"/>
        <v/>
      </c>
      <c r="BY41" s="911" t="b">
        <f t="shared" ca="1" si="65"/>
        <v>0</v>
      </c>
      <c r="BZ41" s="910" t="e">
        <f t="shared" si="87"/>
        <v>#REF!</v>
      </c>
      <c r="CB41" s="616"/>
      <c r="CC41" s="1567"/>
      <c r="CD41" s="645"/>
      <c r="CE41" s="646"/>
      <c r="CF41" s="647"/>
      <c r="CG41" s="660"/>
      <c r="CH41" s="661"/>
      <c r="CI41" s="662"/>
      <c r="CJ41" s="661"/>
      <c r="CK41" s="662"/>
      <c r="CL41" s="663"/>
      <c r="CM41" s="692"/>
      <c r="CN41" s="687"/>
      <c r="CO41" s="1430"/>
      <c r="CP41" s="839"/>
      <c r="CQ41" s="660"/>
      <c r="CR41" s="661"/>
      <c r="CS41" s="662"/>
      <c r="CT41" s="661"/>
      <c r="CU41" s="662"/>
      <c r="CV41" s="663"/>
      <c r="CW41" s="692"/>
      <c r="CX41" s="687"/>
      <c r="CY41" s="1430"/>
      <c r="CZ41" s="839"/>
      <c r="DA41" s="665"/>
      <c r="DB41" s="648"/>
      <c r="DC41" s="649"/>
      <c r="DD41" s="674"/>
      <c r="DE41" s="675"/>
      <c r="DF41" s="58"/>
      <c r="DG41" s="58"/>
      <c r="DH41" s="616"/>
      <c r="DI41" s="617"/>
      <c r="DJ41" s="638"/>
      <c r="DK41" s="1245"/>
      <c r="DL41" s="618"/>
      <c r="DM41" s="639"/>
      <c r="DN41" s="1248"/>
      <c r="DO41" s="619"/>
      <c r="DP41" s="620"/>
      <c r="DQ41" s="1294"/>
      <c r="DR41" s="621"/>
      <c r="DS41" s="1294"/>
      <c r="DT41" s="1296"/>
      <c r="DU41" s="1297"/>
      <c r="DV41" s="622"/>
      <c r="DW41" s="1250"/>
      <c r="DX41" s="623"/>
      <c r="DY41" s="624"/>
      <c r="DZ41" s="622"/>
      <c r="EA41" s="1250"/>
      <c r="EB41" s="623"/>
      <c r="EC41" s="624"/>
      <c r="ED41" s="622"/>
      <c r="EE41" s="1250"/>
      <c r="EF41" s="623"/>
      <c r="EG41" s="624"/>
      <c r="EH41" s="622"/>
      <c r="EI41" s="1250"/>
      <c r="EJ41" s="623"/>
      <c r="EK41" s="625"/>
      <c r="EL41" s="147"/>
      <c r="EM41" s="1513" t="str">
        <f t="shared" si="66"/>
        <v/>
      </c>
      <c r="EN41" s="1303" t="str">
        <f t="shared" si="67"/>
        <v/>
      </c>
      <c r="EO41" s="1304" t="str">
        <f t="shared" si="68"/>
        <v/>
      </c>
      <c r="EP41" s="1305" t="str">
        <f t="shared" si="69"/>
        <v/>
      </c>
      <c r="EQ41" s="1309" t="str">
        <f t="shared" si="70"/>
        <v/>
      </c>
      <c r="ER41" s="1315" t="str">
        <f t="shared" si="71"/>
        <v/>
      </c>
      <c r="ES41" s="1316" t="str">
        <f t="shared" si="72"/>
        <v/>
      </c>
      <c r="ET41" s="1317" t="str">
        <f t="shared" si="73"/>
        <v/>
      </c>
      <c r="EU41" s="1318" t="str">
        <f t="shared" si="88"/>
        <v/>
      </c>
      <c r="EX41" s="870" t="str">
        <f t="shared" ca="1" si="89"/>
        <v/>
      </c>
      <c r="EY41" s="872" t="str">
        <f t="shared" si="74"/>
        <v/>
      </c>
      <c r="EZ41" s="872" t="str">
        <f t="shared" si="90"/>
        <v/>
      </c>
      <c r="FA41" s="891" t="str">
        <f t="shared" ca="1" si="95"/>
        <v/>
      </c>
      <c r="FB41" s="892" t="str">
        <f t="shared" ca="1" si="91"/>
        <v/>
      </c>
      <c r="FC41" s="892">
        <f t="shared" ca="1" si="75"/>
        <v>0</v>
      </c>
      <c r="FD41" s="892">
        <f t="shared" ca="1" si="76"/>
        <v>0</v>
      </c>
      <c r="FE41" s="892">
        <f t="shared" ca="1" si="77"/>
        <v>0</v>
      </c>
      <c r="FF41" s="892">
        <f t="shared" ca="1" si="92"/>
        <v>0</v>
      </c>
      <c r="FN41" s="703" t="b">
        <v>0</v>
      </c>
      <c r="FO41" s="703" t="b">
        <f t="shared" si="78"/>
        <v>1</v>
      </c>
      <c r="FP41" s="1254" t="b">
        <v>0</v>
      </c>
      <c r="FQ41" s="703" t="b">
        <f t="shared" si="93"/>
        <v>1</v>
      </c>
      <c r="FW41" s="1"/>
      <c r="FX41" s="1"/>
      <c r="FZ41" s="1"/>
      <c r="GA41" s="524" t="str">
        <f t="shared" si="79"/>
        <v/>
      </c>
      <c r="GB41" s="566" t="str">
        <f t="shared" si="80"/>
        <v/>
      </c>
      <c r="GC41" s="568" t="str">
        <f t="shared" si="81"/>
        <v/>
      </c>
      <c r="GD41" s="569" t="str">
        <f t="shared" si="82"/>
        <v/>
      </c>
      <c r="GE41" s="567" t="str">
        <f t="shared" si="83"/>
        <v/>
      </c>
      <c r="GF41" s="525" t="str">
        <f t="shared" si="84"/>
        <v/>
      </c>
      <c r="GG41" s="1056"/>
      <c r="GH41" s="1058"/>
      <c r="GI41" s="1056"/>
      <c r="GJ41" s="1058"/>
      <c r="GK41" s="1523">
        <f t="shared" si="85"/>
        <v>0</v>
      </c>
      <c r="GL41" s="1523" t="e">
        <f t="shared" si="86"/>
        <v>#VALUE!</v>
      </c>
      <c r="GM41" s="1524" t="e">
        <f>IF(ABS(GK41-GL41)&gt;=#REF!,ABS(GK41-GL41),0)</f>
        <v>#VALUE!</v>
      </c>
      <c r="HA41" s="1159"/>
      <c r="HB41" s="1160"/>
      <c r="HC41" s="1160"/>
      <c r="HD41" s="1161"/>
      <c r="HE41" s="1162"/>
      <c r="HF41" s="1160"/>
      <c r="HG41" s="1160"/>
      <c r="HH41" s="1160"/>
      <c r="HI41" s="1160"/>
      <c r="HJ41" s="1160"/>
      <c r="HK41" s="1160"/>
      <c r="HL41" s="1160"/>
      <c r="HM41" s="1160"/>
      <c r="HN41" s="1160"/>
      <c r="HO41" s="1160"/>
      <c r="HP41" s="1160"/>
      <c r="HQ41" s="1160"/>
      <c r="HR41" s="1160"/>
      <c r="HS41" s="1160"/>
      <c r="HT41" s="1160"/>
      <c r="HU41" s="1160"/>
      <c r="HV41" s="1160"/>
      <c r="HW41" s="1160"/>
      <c r="HX41" s="1160"/>
      <c r="HY41" s="1164"/>
      <c r="HZ41" s="1164"/>
      <c r="IA41" s="1164"/>
      <c r="IB41" s="1164"/>
      <c r="IC41" s="1164"/>
      <c r="ID41" s="1179"/>
      <c r="IE41" s="1159"/>
      <c r="IF41" s="1160"/>
      <c r="IG41" s="1161"/>
      <c r="IH41" s="1162"/>
      <c r="II41" s="1160"/>
      <c r="IJ41" s="1161"/>
      <c r="IK41" s="1162"/>
      <c r="IL41" s="1160"/>
      <c r="IM41" s="1160"/>
      <c r="IN41" s="1160"/>
      <c r="IO41" s="1160"/>
      <c r="IP41" s="1160"/>
      <c r="IQ41" s="1160"/>
      <c r="IR41" s="1160"/>
      <c r="IS41" s="1161"/>
      <c r="IT41" s="1162"/>
      <c r="IU41" s="1160"/>
      <c r="IV41" s="1160"/>
      <c r="IW41" s="1161"/>
      <c r="IX41" s="1162"/>
      <c r="IY41" s="1160"/>
      <c r="IZ41" s="1160"/>
      <c r="JA41" s="1161"/>
      <c r="JB41" s="1162"/>
      <c r="JC41" s="1160"/>
      <c r="JD41" s="1160"/>
      <c r="JE41" s="1161"/>
      <c r="JF41" s="1162"/>
      <c r="JG41" s="1160"/>
      <c r="JH41" s="1160"/>
      <c r="JI41" s="1160"/>
      <c r="JJ41" s="1163"/>
      <c r="JK41" s="1160"/>
      <c r="JL41" s="1103">
        <f t="shared" ca="1" si="96"/>
        <v>0</v>
      </c>
    </row>
    <row r="42" spans="1:272" ht="12.6" customHeight="1" x14ac:dyDescent="0.25">
      <c r="A42" s="1132" t="str">
        <f t="shared" si="0"/>
        <v/>
      </c>
      <c r="B42" s="1586" t="str">
        <f t="shared" si="1"/>
        <v/>
      </c>
      <c r="C42" s="1133" t="str">
        <f t="shared" si="2"/>
        <v/>
      </c>
      <c r="D42" s="1134" t="str">
        <f t="shared" si="3"/>
        <v/>
      </c>
      <c r="E42" s="1135" t="str">
        <f t="shared" si="4"/>
        <v/>
      </c>
      <c r="F42" s="1136" t="str">
        <f t="shared" si="5"/>
        <v/>
      </c>
      <c r="G42" s="1137" t="str">
        <f t="shared" si="6"/>
        <v/>
      </c>
      <c r="H42" s="1138" t="str">
        <f t="shared" si="7"/>
        <v/>
      </c>
      <c r="I42" s="1139" t="str">
        <f t="shared" si="8"/>
        <v/>
      </c>
      <c r="J42" s="1134" t="str">
        <f t="shared" si="9"/>
        <v/>
      </c>
      <c r="K42" s="1138" t="str">
        <f t="shared" si="10"/>
        <v/>
      </c>
      <c r="L42" s="1140" t="str">
        <f t="shared" si="11"/>
        <v/>
      </c>
      <c r="M42" s="1141" t="str">
        <f t="shared" si="12"/>
        <v/>
      </c>
      <c r="N42" s="1142" t="str">
        <f t="shared" si="12"/>
        <v/>
      </c>
      <c r="O42" s="1137" t="str">
        <f t="shared" si="13"/>
        <v/>
      </c>
      <c r="P42" s="1138" t="str">
        <f t="shared" si="14"/>
        <v/>
      </c>
      <c r="Q42" s="1134" t="str">
        <f t="shared" si="15"/>
        <v/>
      </c>
      <c r="R42" s="1135" t="str">
        <f t="shared" si="16"/>
        <v/>
      </c>
      <c r="S42" s="1143" t="str">
        <f t="shared" si="17"/>
        <v/>
      </c>
      <c r="T42" s="1138" t="str">
        <f t="shared" si="18"/>
        <v/>
      </c>
      <c r="U42" s="1134" t="str">
        <f t="shared" si="19"/>
        <v/>
      </c>
      <c r="V42" s="1138" t="str">
        <f t="shared" si="20"/>
        <v/>
      </c>
      <c r="W42" s="1142">
        <f t="shared" si="21"/>
        <v>0</v>
      </c>
      <c r="X42" s="1144" t="e">
        <f t="shared" si="22"/>
        <v>#REF!</v>
      </c>
      <c r="Y42" s="1145" t="e">
        <f t="shared" si="23"/>
        <v>#REF!</v>
      </c>
      <c r="Z42" s="1587" t="str">
        <f t="shared" si="24"/>
        <v/>
      </c>
      <c r="AA42" s="1152" t="str">
        <f t="shared" si="25"/>
        <v/>
      </c>
      <c r="AB42" s="1132" t="str">
        <f t="shared" si="26"/>
        <v/>
      </c>
      <c r="AC42" s="1139" t="str">
        <f t="shared" si="26"/>
        <v/>
      </c>
      <c r="AD42" s="1134" t="str">
        <f t="shared" ca="1" si="27"/>
        <v/>
      </c>
      <c r="AE42" s="1138" t="str">
        <f t="shared" ca="1" si="28"/>
        <v/>
      </c>
      <c r="AF42" s="1139" t="str">
        <f t="shared" ca="1" si="29"/>
        <v/>
      </c>
      <c r="AG42" s="1134" t="str">
        <f t="shared" ca="1" si="30"/>
        <v/>
      </c>
      <c r="AH42" s="1138" t="str">
        <f t="shared" ca="1" si="31"/>
        <v/>
      </c>
      <c r="AI42" s="1134" t="str">
        <f t="shared" ca="1" si="32"/>
        <v/>
      </c>
      <c r="AJ42" s="1138" t="str">
        <f t="shared" ca="1" si="33"/>
        <v/>
      </c>
      <c r="AK42" s="1619" t="str">
        <f t="shared" si="34"/>
        <v/>
      </c>
      <c r="AL42" s="1620" t="str">
        <f t="shared" si="34"/>
        <v/>
      </c>
      <c r="AM42" s="1621" t="str">
        <f t="shared" si="34"/>
        <v/>
      </c>
      <c r="AN42" s="1139" t="str">
        <f t="shared" si="34"/>
        <v/>
      </c>
      <c r="AO42" s="1142" t="str">
        <f t="shared" si="34"/>
        <v/>
      </c>
      <c r="AP42" s="1141" t="str">
        <f t="shared" si="35"/>
        <v/>
      </c>
      <c r="AQ42" s="1623" t="str">
        <f t="shared" si="36"/>
        <v/>
      </c>
      <c r="AR42" s="1137" t="str">
        <f t="shared" si="37"/>
        <v/>
      </c>
      <c r="AS42" s="1138" t="str">
        <f t="shared" si="38"/>
        <v/>
      </c>
      <c r="AT42" s="1624" t="str">
        <f t="shared" si="39"/>
        <v/>
      </c>
      <c r="AU42" s="1625" t="str">
        <f t="shared" si="40"/>
        <v/>
      </c>
      <c r="AV42" s="1143" t="str">
        <f t="shared" si="41"/>
        <v/>
      </c>
      <c r="AW42" s="1138" t="str">
        <f t="shared" si="42"/>
        <v/>
      </c>
      <c r="AX42" s="1624" t="str">
        <f t="shared" si="43"/>
        <v/>
      </c>
      <c r="AY42" s="1625" t="str">
        <f t="shared" si="44"/>
        <v/>
      </c>
      <c r="AZ42" s="1143" t="str">
        <f t="shared" si="45"/>
        <v/>
      </c>
      <c r="BA42" s="1138" t="str">
        <f t="shared" si="46"/>
        <v/>
      </c>
      <c r="BB42" s="1624" t="str">
        <f t="shared" si="47"/>
        <v/>
      </c>
      <c r="BC42" s="1625" t="str">
        <f t="shared" si="48"/>
        <v/>
      </c>
      <c r="BD42" s="1143" t="str">
        <f t="shared" si="49"/>
        <v/>
      </c>
      <c r="BE42" s="1138" t="str">
        <f t="shared" si="50"/>
        <v/>
      </c>
      <c r="BF42" s="1624" t="str">
        <f t="shared" si="51"/>
        <v/>
      </c>
      <c r="BG42" s="1625" t="str">
        <f t="shared" si="51"/>
        <v/>
      </c>
      <c r="BH42" s="1291"/>
      <c r="BJ42" s="915" t="str">
        <f t="shared" si="94"/>
        <v/>
      </c>
      <c r="BK42" s="913" t="e">
        <f t="shared" si="52"/>
        <v>#REF!</v>
      </c>
      <c r="BL42" s="908" t="b">
        <v>0</v>
      </c>
      <c r="BM42" s="908">
        <f t="shared" si="53"/>
        <v>0</v>
      </c>
      <c r="BN42" s="908">
        <f t="shared" si="54"/>
        <v>0</v>
      </c>
      <c r="BO42" s="908">
        <f t="shared" si="55"/>
        <v>0</v>
      </c>
      <c r="BP42" s="908">
        <f t="shared" si="56"/>
        <v>0</v>
      </c>
      <c r="BQ42" s="908">
        <f t="shared" si="57"/>
        <v>0</v>
      </c>
      <c r="BR42" s="908" t="b">
        <f t="shared" si="58"/>
        <v>1</v>
      </c>
      <c r="BS42" s="1216">
        <f t="shared" si="59"/>
        <v>6</v>
      </c>
      <c r="BT42" s="909" t="str">
        <f t="shared" si="60"/>
        <v>No</v>
      </c>
      <c r="BU42" s="1216">
        <f t="shared" si="61"/>
        <v>6</v>
      </c>
      <c r="BV42" s="909" t="str">
        <f t="shared" si="62"/>
        <v>No</v>
      </c>
      <c r="BW42" s="910">
        <f t="shared" ca="1" si="63"/>
        <v>0</v>
      </c>
      <c r="BX42" s="911" t="str">
        <f t="shared" ca="1" si="64"/>
        <v/>
      </c>
      <c r="BY42" s="911" t="b">
        <f t="shared" ca="1" si="65"/>
        <v>0</v>
      </c>
      <c r="BZ42" s="910" t="e">
        <f t="shared" si="87"/>
        <v>#REF!</v>
      </c>
      <c r="CB42" s="616"/>
      <c r="CC42" s="1567"/>
      <c r="CD42" s="645"/>
      <c r="CE42" s="646"/>
      <c r="CF42" s="647"/>
      <c r="CG42" s="660"/>
      <c r="CH42" s="661"/>
      <c r="CI42" s="662"/>
      <c r="CJ42" s="661"/>
      <c r="CK42" s="662"/>
      <c r="CL42" s="663"/>
      <c r="CM42" s="692"/>
      <c r="CN42" s="687"/>
      <c r="CO42" s="1430"/>
      <c r="CP42" s="839"/>
      <c r="CQ42" s="660"/>
      <c r="CR42" s="661"/>
      <c r="CS42" s="662"/>
      <c r="CT42" s="661"/>
      <c r="CU42" s="662"/>
      <c r="CV42" s="663"/>
      <c r="CW42" s="692"/>
      <c r="CX42" s="687"/>
      <c r="CY42" s="1430"/>
      <c r="CZ42" s="839"/>
      <c r="DA42" s="665"/>
      <c r="DB42" s="648"/>
      <c r="DC42" s="649"/>
      <c r="DD42" s="674"/>
      <c r="DE42" s="675"/>
      <c r="DF42" s="58"/>
      <c r="DG42" s="58"/>
      <c r="DH42" s="616"/>
      <c r="DI42" s="617"/>
      <c r="DJ42" s="638"/>
      <c r="DK42" s="1245"/>
      <c r="DL42" s="618"/>
      <c r="DM42" s="639"/>
      <c r="DN42" s="1248"/>
      <c r="DO42" s="619"/>
      <c r="DP42" s="620"/>
      <c r="DQ42" s="1294"/>
      <c r="DR42" s="621"/>
      <c r="DS42" s="1294"/>
      <c r="DT42" s="1296"/>
      <c r="DU42" s="1297"/>
      <c r="DV42" s="622"/>
      <c r="DW42" s="1250"/>
      <c r="DX42" s="623"/>
      <c r="DY42" s="624"/>
      <c r="DZ42" s="622"/>
      <c r="EA42" s="1250"/>
      <c r="EB42" s="623"/>
      <c r="EC42" s="624"/>
      <c r="ED42" s="622"/>
      <c r="EE42" s="1250"/>
      <c r="EF42" s="623"/>
      <c r="EG42" s="624"/>
      <c r="EH42" s="622"/>
      <c r="EI42" s="1250"/>
      <c r="EJ42" s="623"/>
      <c r="EK42" s="625"/>
      <c r="EL42" s="147"/>
      <c r="EM42" s="1513" t="str">
        <f t="shared" si="66"/>
        <v/>
      </c>
      <c r="EN42" s="1303" t="str">
        <f t="shared" si="67"/>
        <v/>
      </c>
      <c r="EO42" s="1304" t="str">
        <f t="shared" si="68"/>
        <v/>
      </c>
      <c r="EP42" s="1305" t="str">
        <f t="shared" si="69"/>
        <v/>
      </c>
      <c r="EQ42" s="1309" t="str">
        <f t="shared" si="70"/>
        <v/>
      </c>
      <c r="ER42" s="1315" t="str">
        <f t="shared" si="71"/>
        <v/>
      </c>
      <c r="ES42" s="1316" t="str">
        <f t="shared" si="72"/>
        <v/>
      </c>
      <c r="ET42" s="1317" t="str">
        <f t="shared" si="73"/>
        <v/>
      </c>
      <c r="EU42" s="1318" t="str">
        <f t="shared" si="88"/>
        <v/>
      </c>
      <c r="EX42" s="870" t="str">
        <f t="shared" ca="1" si="89"/>
        <v/>
      </c>
      <c r="EY42" s="872" t="str">
        <f t="shared" si="74"/>
        <v/>
      </c>
      <c r="EZ42" s="872" t="str">
        <f t="shared" si="90"/>
        <v/>
      </c>
      <c r="FA42" s="891" t="str">
        <f t="shared" ca="1" si="95"/>
        <v/>
      </c>
      <c r="FB42" s="892" t="str">
        <f t="shared" ca="1" si="91"/>
        <v/>
      </c>
      <c r="FC42" s="892">
        <f t="shared" ca="1" si="75"/>
        <v>0</v>
      </c>
      <c r="FD42" s="892">
        <f t="shared" ca="1" si="76"/>
        <v>0</v>
      </c>
      <c r="FE42" s="892">
        <f t="shared" ca="1" si="77"/>
        <v>0</v>
      </c>
      <c r="FF42" s="892">
        <f t="shared" ca="1" si="92"/>
        <v>0</v>
      </c>
      <c r="FN42" s="703" t="b">
        <v>0</v>
      </c>
      <c r="FO42" s="703" t="b">
        <f t="shared" si="78"/>
        <v>1</v>
      </c>
      <c r="FP42" s="1254" t="b">
        <v>0</v>
      </c>
      <c r="FQ42" s="703" t="b">
        <f t="shared" si="93"/>
        <v>1</v>
      </c>
      <c r="GA42" s="524" t="str">
        <f t="shared" si="79"/>
        <v/>
      </c>
      <c r="GB42" s="566" t="str">
        <f t="shared" si="80"/>
        <v/>
      </c>
      <c r="GC42" s="568" t="str">
        <f t="shared" si="81"/>
        <v/>
      </c>
      <c r="GD42" s="569" t="str">
        <f t="shared" si="82"/>
        <v/>
      </c>
      <c r="GE42" s="567" t="str">
        <f t="shared" si="83"/>
        <v/>
      </c>
      <c r="GF42" s="525" t="str">
        <f t="shared" si="84"/>
        <v/>
      </c>
      <c r="GG42" s="1056"/>
      <c r="GH42" s="1058"/>
      <c r="GI42" s="1056"/>
      <c r="GJ42" s="1058"/>
      <c r="GK42" s="1523">
        <f t="shared" si="85"/>
        <v>0</v>
      </c>
      <c r="GL42" s="1523" t="e">
        <f t="shared" si="86"/>
        <v>#VALUE!</v>
      </c>
      <c r="GM42" s="1524" t="e">
        <f>IF(ABS(GK42-GL42)&gt;=#REF!,ABS(GK42-GL42),0)</f>
        <v>#VALUE!</v>
      </c>
      <c r="HA42" s="1159"/>
      <c r="HB42" s="1160"/>
      <c r="HC42" s="1160"/>
      <c r="HD42" s="1161"/>
      <c r="HE42" s="1162"/>
      <c r="HF42" s="1160"/>
      <c r="HG42" s="1160"/>
      <c r="HH42" s="1160"/>
      <c r="HI42" s="1160"/>
      <c r="HJ42" s="1160"/>
      <c r="HK42" s="1160"/>
      <c r="HL42" s="1160"/>
      <c r="HM42" s="1160"/>
      <c r="HN42" s="1160"/>
      <c r="HO42" s="1160"/>
      <c r="HP42" s="1160"/>
      <c r="HQ42" s="1160"/>
      <c r="HR42" s="1160"/>
      <c r="HS42" s="1160"/>
      <c r="HT42" s="1160"/>
      <c r="HU42" s="1160"/>
      <c r="HV42" s="1160"/>
      <c r="HW42" s="1160"/>
      <c r="HX42" s="1160"/>
      <c r="HY42" s="1164"/>
      <c r="HZ42" s="1164"/>
      <c r="IA42" s="1164"/>
      <c r="IB42" s="1164"/>
      <c r="IC42" s="1164"/>
      <c r="ID42" s="1179"/>
      <c r="IE42" s="1159"/>
      <c r="IF42" s="1160"/>
      <c r="IG42" s="1161"/>
      <c r="IH42" s="1162"/>
      <c r="II42" s="1160"/>
      <c r="IJ42" s="1161"/>
      <c r="IK42" s="1162"/>
      <c r="IL42" s="1160"/>
      <c r="IM42" s="1160"/>
      <c r="IN42" s="1160"/>
      <c r="IO42" s="1160"/>
      <c r="IP42" s="1160"/>
      <c r="IQ42" s="1160"/>
      <c r="IR42" s="1160"/>
      <c r="IS42" s="1161"/>
      <c r="IT42" s="1162"/>
      <c r="IU42" s="1160"/>
      <c r="IV42" s="1160"/>
      <c r="IW42" s="1161"/>
      <c r="IX42" s="1162"/>
      <c r="IY42" s="1160"/>
      <c r="IZ42" s="1160"/>
      <c r="JA42" s="1161"/>
      <c r="JB42" s="1162"/>
      <c r="JC42" s="1160"/>
      <c r="JD42" s="1160"/>
      <c r="JE42" s="1161"/>
      <c r="JF42" s="1162"/>
      <c r="JG42" s="1160"/>
      <c r="JH42" s="1160"/>
      <c r="JI42" s="1160"/>
      <c r="JJ42" s="1163"/>
      <c r="JK42" s="1160"/>
      <c r="JL42" s="1103">
        <f t="shared" ca="1" si="96"/>
        <v>0</v>
      </c>
    </row>
    <row r="43" spans="1:272" ht="12.6" customHeight="1" x14ac:dyDescent="0.25">
      <c r="A43" s="1132" t="str">
        <f t="shared" si="0"/>
        <v/>
      </c>
      <c r="B43" s="1586" t="str">
        <f t="shared" si="1"/>
        <v/>
      </c>
      <c r="C43" s="1133" t="str">
        <f t="shared" si="2"/>
        <v/>
      </c>
      <c r="D43" s="1134" t="str">
        <f t="shared" si="3"/>
        <v/>
      </c>
      <c r="E43" s="1135" t="str">
        <f t="shared" si="4"/>
        <v/>
      </c>
      <c r="F43" s="1136" t="str">
        <f t="shared" si="5"/>
        <v/>
      </c>
      <c r="G43" s="1137" t="str">
        <f t="shared" si="6"/>
        <v/>
      </c>
      <c r="H43" s="1138" t="str">
        <f t="shared" si="7"/>
        <v/>
      </c>
      <c r="I43" s="1139" t="str">
        <f t="shared" si="8"/>
        <v/>
      </c>
      <c r="J43" s="1134" t="str">
        <f t="shared" si="9"/>
        <v/>
      </c>
      <c r="K43" s="1138" t="str">
        <f t="shared" si="10"/>
        <v/>
      </c>
      <c r="L43" s="1140" t="str">
        <f t="shared" si="11"/>
        <v/>
      </c>
      <c r="M43" s="1141" t="str">
        <f t="shared" si="12"/>
        <v/>
      </c>
      <c r="N43" s="1142" t="str">
        <f t="shared" si="12"/>
        <v/>
      </c>
      <c r="O43" s="1137" t="str">
        <f t="shared" si="13"/>
        <v/>
      </c>
      <c r="P43" s="1138" t="str">
        <f t="shared" si="14"/>
        <v/>
      </c>
      <c r="Q43" s="1134" t="str">
        <f t="shared" si="15"/>
        <v/>
      </c>
      <c r="R43" s="1135" t="str">
        <f t="shared" si="16"/>
        <v/>
      </c>
      <c r="S43" s="1143" t="str">
        <f t="shared" si="17"/>
        <v/>
      </c>
      <c r="T43" s="1138" t="str">
        <f t="shared" si="18"/>
        <v/>
      </c>
      <c r="U43" s="1134" t="str">
        <f t="shared" si="19"/>
        <v/>
      </c>
      <c r="V43" s="1138" t="str">
        <f t="shared" si="20"/>
        <v/>
      </c>
      <c r="W43" s="1142">
        <f t="shared" si="21"/>
        <v>0</v>
      </c>
      <c r="X43" s="1144" t="e">
        <f t="shared" si="22"/>
        <v>#REF!</v>
      </c>
      <c r="Y43" s="1145" t="e">
        <f t="shared" si="23"/>
        <v>#REF!</v>
      </c>
      <c r="Z43" s="1587" t="str">
        <f t="shared" si="24"/>
        <v/>
      </c>
      <c r="AA43" s="1152" t="str">
        <f t="shared" si="25"/>
        <v/>
      </c>
      <c r="AB43" s="1132" t="str">
        <f t="shared" si="26"/>
        <v/>
      </c>
      <c r="AC43" s="1139" t="str">
        <f t="shared" si="26"/>
        <v/>
      </c>
      <c r="AD43" s="1134" t="str">
        <f t="shared" ca="1" si="27"/>
        <v/>
      </c>
      <c r="AE43" s="1138" t="str">
        <f t="shared" ca="1" si="28"/>
        <v/>
      </c>
      <c r="AF43" s="1139" t="str">
        <f t="shared" ca="1" si="29"/>
        <v/>
      </c>
      <c r="AG43" s="1134" t="str">
        <f t="shared" ca="1" si="30"/>
        <v/>
      </c>
      <c r="AH43" s="1138" t="str">
        <f t="shared" ca="1" si="31"/>
        <v/>
      </c>
      <c r="AI43" s="1134" t="str">
        <f t="shared" ca="1" si="32"/>
        <v/>
      </c>
      <c r="AJ43" s="1138" t="str">
        <f t="shared" ca="1" si="33"/>
        <v/>
      </c>
      <c r="AK43" s="1619" t="str">
        <f t="shared" si="34"/>
        <v/>
      </c>
      <c r="AL43" s="1620" t="str">
        <f t="shared" si="34"/>
        <v/>
      </c>
      <c r="AM43" s="1621" t="str">
        <f t="shared" si="34"/>
        <v/>
      </c>
      <c r="AN43" s="1139" t="str">
        <f t="shared" si="34"/>
        <v/>
      </c>
      <c r="AO43" s="1142" t="str">
        <f t="shared" si="34"/>
        <v/>
      </c>
      <c r="AP43" s="1141" t="str">
        <f t="shared" si="35"/>
        <v/>
      </c>
      <c r="AQ43" s="1623" t="str">
        <f t="shared" si="36"/>
        <v/>
      </c>
      <c r="AR43" s="1137" t="str">
        <f t="shared" si="37"/>
        <v/>
      </c>
      <c r="AS43" s="1138" t="str">
        <f t="shared" si="38"/>
        <v/>
      </c>
      <c r="AT43" s="1624" t="str">
        <f t="shared" si="39"/>
        <v/>
      </c>
      <c r="AU43" s="1625" t="str">
        <f t="shared" si="40"/>
        <v/>
      </c>
      <c r="AV43" s="1143" t="str">
        <f t="shared" si="41"/>
        <v/>
      </c>
      <c r="AW43" s="1138" t="str">
        <f t="shared" si="42"/>
        <v/>
      </c>
      <c r="AX43" s="1624" t="str">
        <f t="shared" si="43"/>
        <v/>
      </c>
      <c r="AY43" s="1625" t="str">
        <f t="shared" si="44"/>
        <v/>
      </c>
      <c r="AZ43" s="1143" t="str">
        <f t="shared" si="45"/>
        <v/>
      </c>
      <c r="BA43" s="1138" t="str">
        <f t="shared" si="46"/>
        <v/>
      </c>
      <c r="BB43" s="1624" t="str">
        <f t="shared" si="47"/>
        <v/>
      </c>
      <c r="BC43" s="1625" t="str">
        <f t="shared" si="48"/>
        <v/>
      </c>
      <c r="BD43" s="1143" t="str">
        <f t="shared" si="49"/>
        <v/>
      </c>
      <c r="BE43" s="1138" t="str">
        <f t="shared" si="50"/>
        <v/>
      </c>
      <c r="BF43" s="1624" t="str">
        <f t="shared" si="51"/>
        <v/>
      </c>
      <c r="BG43" s="1625" t="str">
        <f t="shared" si="51"/>
        <v/>
      </c>
      <c r="BH43" s="1291"/>
      <c r="BJ43" s="915" t="str">
        <f t="shared" si="94"/>
        <v/>
      </c>
      <c r="BK43" s="913" t="e">
        <f t="shared" si="52"/>
        <v>#REF!</v>
      </c>
      <c r="BL43" s="908" t="b">
        <v>0</v>
      </c>
      <c r="BM43" s="908">
        <f t="shared" si="53"/>
        <v>0</v>
      </c>
      <c r="BN43" s="908">
        <f t="shared" si="54"/>
        <v>0</v>
      </c>
      <c r="BO43" s="908">
        <f t="shared" si="55"/>
        <v>0</v>
      </c>
      <c r="BP43" s="908">
        <f t="shared" si="56"/>
        <v>0</v>
      </c>
      <c r="BQ43" s="908">
        <f t="shared" si="57"/>
        <v>0</v>
      </c>
      <c r="BR43" s="908" t="b">
        <f t="shared" si="58"/>
        <v>1</v>
      </c>
      <c r="BS43" s="1216">
        <f t="shared" si="59"/>
        <v>6</v>
      </c>
      <c r="BT43" s="909" t="str">
        <f t="shared" si="60"/>
        <v>No</v>
      </c>
      <c r="BU43" s="1216">
        <f t="shared" si="61"/>
        <v>6</v>
      </c>
      <c r="BV43" s="909" t="str">
        <f t="shared" si="62"/>
        <v>No</v>
      </c>
      <c r="BW43" s="910">
        <f t="shared" ca="1" si="63"/>
        <v>0</v>
      </c>
      <c r="BX43" s="911" t="str">
        <f t="shared" ca="1" si="64"/>
        <v/>
      </c>
      <c r="BY43" s="911" t="b">
        <f t="shared" ca="1" si="65"/>
        <v>0</v>
      </c>
      <c r="BZ43" s="910" t="e">
        <f t="shared" si="87"/>
        <v>#REF!</v>
      </c>
      <c r="CB43" s="616"/>
      <c r="CC43" s="1567"/>
      <c r="CD43" s="645"/>
      <c r="CE43" s="646"/>
      <c r="CF43" s="647"/>
      <c r="CG43" s="660"/>
      <c r="CH43" s="661"/>
      <c r="CI43" s="662"/>
      <c r="CJ43" s="661"/>
      <c r="CK43" s="662"/>
      <c r="CL43" s="663"/>
      <c r="CM43" s="692"/>
      <c r="CN43" s="687"/>
      <c r="CO43" s="1430"/>
      <c r="CP43" s="839"/>
      <c r="CQ43" s="660"/>
      <c r="CR43" s="661"/>
      <c r="CS43" s="662"/>
      <c r="CT43" s="661"/>
      <c r="CU43" s="662"/>
      <c r="CV43" s="663"/>
      <c r="CW43" s="692"/>
      <c r="CX43" s="687"/>
      <c r="CY43" s="1430"/>
      <c r="CZ43" s="839"/>
      <c r="DA43" s="665"/>
      <c r="DB43" s="648"/>
      <c r="DC43" s="649"/>
      <c r="DD43" s="674"/>
      <c r="DE43" s="675"/>
      <c r="DF43" s="58"/>
      <c r="DG43" s="58"/>
      <c r="DH43" s="616"/>
      <c r="DI43" s="617"/>
      <c r="DJ43" s="638"/>
      <c r="DK43" s="1245"/>
      <c r="DL43" s="618"/>
      <c r="DM43" s="639"/>
      <c r="DN43" s="1248"/>
      <c r="DO43" s="619"/>
      <c r="DP43" s="620"/>
      <c r="DQ43" s="1294"/>
      <c r="DR43" s="621"/>
      <c r="DS43" s="1294"/>
      <c r="DT43" s="1296"/>
      <c r="DU43" s="1297"/>
      <c r="DV43" s="622"/>
      <c r="DW43" s="1250"/>
      <c r="DX43" s="623"/>
      <c r="DY43" s="624"/>
      <c r="DZ43" s="622"/>
      <c r="EA43" s="1250"/>
      <c r="EB43" s="623"/>
      <c r="EC43" s="624"/>
      <c r="ED43" s="622"/>
      <c r="EE43" s="1250"/>
      <c r="EF43" s="623"/>
      <c r="EG43" s="624"/>
      <c r="EH43" s="622"/>
      <c r="EI43" s="1250"/>
      <c r="EJ43" s="623"/>
      <c r="EK43" s="625"/>
      <c r="EL43" s="147"/>
      <c r="EM43" s="1513" t="str">
        <f t="shared" si="66"/>
        <v/>
      </c>
      <c r="EN43" s="1303" t="str">
        <f t="shared" si="67"/>
        <v/>
      </c>
      <c r="EO43" s="1304" t="str">
        <f t="shared" si="68"/>
        <v/>
      </c>
      <c r="EP43" s="1305" t="str">
        <f t="shared" si="69"/>
        <v/>
      </c>
      <c r="EQ43" s="1309" t="str">
        <f t="shared" si="70"/>
        <v/>
      </c>
      <c r="ER43" s="1315" t="str">
        <f t="shared" si="71"/>
        <v/>
      </c>
      <c r="ES43" s="1316" t="str">
        <f t="shared" si="72"/>
        <v/>
      </c>
      <c r="ET43" s="1317" t="str">
        <f t="shared" si="73"/>
        <v/>
      </c>
      <c r="EU43" s="1318" t="str">
        <f t="shared" si="88"/>
        <v/>
      </c>
      <c r="EX43" s="870" t="str">
        <f t="shared" ca="1" si="89"/>
        <v/>
      </c>
      <c r="EY43" s="872" t="str">
        <f t="shared" si="74"/>
        <v/>
      </c>
      <c r="EZ43" s="872" t="str">
        <f t="shared" si="90"/>
        <v/>
      </c>
      <c r="FA43" s="891" t="str">
        <f t="shared" ca="1" si="95"/>
        <v/>
      </c>
      <c r="FB43" s="892" t="str">
        <f t="shared" ca="1" si="91"/>
        <v/>
      </c>
      <c r="FC43" s="892">
        <f t="shared" ca="1" si="75"/>
        <v>0</v>
      </c>
      <c r="FD43" s="892">
        <f t="shared" ca="1" si="76"/>
        <v>0</v>
      </c>
      <c r="FE43" s="892">
        <f t="shared" ca="1" si="77"/>
        <v>0</v>
      </c>
      <c r="FF43" s="892">
        <f t="shared" ca="1" si="92"/>
        <v>0</v>
      </c>
      <c r="FN43" s="703" t="b">
        <v>0</v>
      </c>
      <c r="FO43" s="703" t="b">
        <f t="shared" si="78"/>
        <v>1</v>
      </c>
      <c r="FP43" s="1254" t="b">
        <v>0</v>
      </c>
      <c r="FQ43" s="703" t="b">
        <f t="shared" si="93"/>
        <v>1</v>
      </c>
      <c r="GA43" s="524" t="str">
        <f t="shared" si="79"/>
        <v/>
      </c>
      <c r="GB43" s="566" t="str">
        <f t="shared" si="80"/>
        <v/>
      </c>
      <c r="GC43" s="568" t="str">
        <f t="shared" si="81"/>
        <v/>
      </c>
      <c r="GD43" s="569" t="str">
        <f t="shared" si="82"/>
        <v/>
      </c>
      <c r="GE43" s="567" t="str">
        <f t="shared" si="83"/>
        <v/>
      </c>
      <c r="GF43" s="525" t="str">
        <f t="shared" si="84"/>
        <v/>
      </c>
      <c r="GG43" s="1056"/>
      <c r="GH43" s="1058"/>
      <c r="GI43" s="1056"/>
      <c r="GJ43" s="1058"/>
      <c r="GK43" s="1523">
        <f t="shared" si="85"/>
        <v>0</v>
      </c>
      <c r="GL43" s="1523" t="e">
        <f t="shared" si="86"/>
        <v>#VALUE!</v>
      </c>
      <c r="GM43" s="1524" t="e">
        <f>IF(ABS(GK43-GL43)&gt;=#REF!,ABS(GK43-GL43),0)</f>
        <v>#VALUE!</v>
      </c>
      <c r="HA43" s="1159"/>
      <c r="HB43" s="1160"/>
      <c r="HC43" s="1160"/>
      <c r="HD43" s="1161"/>
      <c r="HE43" s="1162"/>
      <c r="HF43" s="1160"/>
      <c r="HG43" s="1160"/>
      <c r="HH43" s="1160"/>
      <c r="HI43" s="1160"/>
      <c r="HJ43" s="1160"/>
      <c r="HK43" s="1160"/>
      <c r="HL43" s="1160"/>
      <c r="HM43" s="1160"/>
      <c r="HN43" s="1160"/>
      <c r="HO43" s="1160"/>
      <c r="HP43" s="1160"/>
      <c r="HQ43" s="1160"/>
      <c r="HR43" s="1160"/>
      <c r="HS43" s="1160"/>
      <c r="HT43" s="1160"/>
      <c r="HU43" s="1160"/>
      <c r="HV43" s="1160"/>
      <c r="HW43" s="1160"/>
      <c r="HX43" s="1160"/>
      <c r="HY43" s="1164"/>
      <c r="HZ43" s="1164"/>
      <c r="IA43" s="1164"/>
      <c r="IB43" s="1164"/>
      <c r="IC43" s="1164"/>
      <c r="ID43" s="1179"/>
      <c r="IE43" s="1159"/>
      <c r="IF43" s="1160"/>
      <c r="IG43" s="1161"/>
      <c r="IH43" s="1162"/>
      <c r="II43" s="1160"/>
      <c r="IJ43" s="1161"/>
      <c r="IK43" s="1162"/>
      <c r="IL43" s="1160"/>
      <c r="IM43" s="1160"/>
      <c r="IN43" s="1160"/>
      <c r="IO43" s="1160"/>
      <c r="IP43" s="1160"/>
      <c r="IQ43" s="1160"/>
      <c r="IR43" s="1160"/>
      <c r="IS43" s="1161"/>
      <c r="IT43" s="1162"/>
      <c r="IU43" s="1160"/>
      <c r="IV43" s="1160"/>
      <c r="IW43" s="1161"/>
      <c r="IX43" s="1162"/>
      <c r="IY43" s="1160"/>
      <c r="IZ43" s="1160"/>
      <c r="JA43" s="1161"/>
      <c r="JB43" s="1162"/>
      <c r="JC43" s="1160"/>
      <c r="JD43" s="1160"/>
      <c r="JE43" s="1161"/>
      <c r="JF43" s="1162"/>
      <c r="JG43" s="1160"/>
      <c r="JH43" s="1160"/>
      <c r="JI43" s="1160"/>
      <c r="JJ43" s="1163"/>
      <c r="JK43" s="1160"/>
      <c r="JL43" s="1103">
        <f t="shared" ca="1" si="96"/>
        <v>0</v>
      </c>
    </row>
    <row r="44" spans="1:272" ht="12.6" customHeight="1" x14ac:dyDescent="0.25">
      <c r="A44" s="1132" t="str">
        <f t="shared" si="0"/>
        <v/>
      </c>
      <c r="B44" s="1586" t="str">
        <f t="shared" si="1"/>
        <v/>
      </c>
      <c r="C44" s="1133" t="str">
        <f t="shared" si="2"/>
        <v/>
      </c>
      <c r="D44" s="1134" t="str">
        <f t="shared" si="3"/>
        <v/>
      </c>
      <c r="E44" s="1135" t="str">
        <f t="shared" si="4"/>
        <v/>
      </c>
      <c r="F44" s="1136" t="str">
        <f t="shared" si="5"/>
        <v/>
      </c>
      <c r="G44" s="1137" t="str">
        <f t="shared" si="6"/>
        <v/>
      </c>
      <c r="H44" s="1138" t="str">
        <f t="shared" si="7"/>
        <v/>
      </c>
      <c r="I44" s="1139" t="str">
        <f t="shared" si="8"/>
        <v/>
      </c>
      <c r="J44" s="1134" t="str">
        <f t="shared" si="9"/>
        <v/>
      </c>
      <c r="K44" s="1138" t="str">
        <f t="shared" si="10"/>
        <v/>
      </c>
      <c r="L44" s="1140" t="str">
        <f t="shared" si="11"/>
        <v/>
      </c>
      <c r="M44" s="1141" t="str">
        <f t="shared" si="12"/>
        <v/>
      </c>
      <c r="N44" s="1142" t="str">
        <f t="shared" si="12"/>
        <v/>
      </c>
      <c r="O44" s="1137" t="str">
        <f t="shared" si="13"/>
        <v/>
      </c>
      <c r="P44" s="1138" t="str">
        <f t="shared" si="14"/>
        <v/>
      </c>
      <c r="Q44" s="1134" t="str">
        <f t="shared" si="15"/>
        <v/>
      </c>
      <c r="R44" s="1135" t="str">
        <f t="shared" si="16"/>
        <v/>
      </c>
      <c r="S44" s="1143" t="str">
        <f t="shared" si="17"/>
        <v/>
      </c>
      <c r="T44" s="1138" t="str">
        <f t="shared" si="18"/>
        <v/>
      </c>
      <c r="U44" s="1134" t="str">
        <f t="shared" si="19"/>
        <v/>
      </c>
      <c r="V44" s="1138" t="str">
        <f t="shared" si="20"/>
        <v/>
      </c>
      <c r="W44" s="1142">
        <f t="shared" si="21"/>
        <v>0</v>
      </c>
      <c r="X44" s="1144" t="e">
        <f t="shared" si="22"/>
        <v>#REF!</v>
      </c>
      <c r="Y44" s="1145" t="e">
        <f t="shared" si="23"/>
        <v>#REF!</v>
      </c>
      <c r="Z44" s="1587" t="str">
        <f t="shared" si="24"/>
        <v/>
      </c>
      <c r="AA44" s="1152" t="str">
        <f t="shared" si="25"/>
        <v/>
      </c>
      <c r="AB44" s="1132" t="str">
        <f t="shared" si="26"/>
        <v/>
      </c>
      <c r="AC44" s="1139" t="str">
        <f t="shared" si="26"/>
        <v/>
      </c>
      <c r="AD44" s="1134" t="str">
        <f t="shared" ca="1" si="27"/>
        <v/>
      </c>
      <c r="AE44" s="1138" t="str">
        <f t="shared" ca="1" si="28"/>
        <v/>
      </c>
      <c r="AF44" s="1139" t="str">
        <f t="shared" ca="1" si="29"/>
        <v/>
      </c>
      <c r="AG44" s="1134" t="str">
        <f t="shared" ca="1" si="30"/>
        <v/>
      </c>
      <c r="AH44" s="1138" t="str">
        <f t="shared" ca="1" si="31"/>
        <v/>
      </c>
      <c r="AI44" s="1134" t="str">
        <f t="shared" ca="1" si="32"/>
        <v/>
      </c>
      <c r="AJ44" s="1138" t="str">
        <f t="shared" ca="1" si="33"/>
        <v/>
      </c>
      <c r="AK44" s="1619" t="str">
        <f t="shared" si="34"/>
        <v/>
      </c>
      <c r="AL44" s="1620" t="str">
        <f t="shared" si="34"/>
        <v/>
      </c>
      <c r="AM44" s="1621" t="str">
        <f t="shared" si="34"/>
        <v/>
      </c>
      <c r="AN44" s="1139" t="str">
        <f t="shared" si="34"/>
        <v/>
      </c>
      <c r="AO44" s="1142" t="str">
        <f t="shared" si="34"/>
        <v/>
      </c>
      <c r="AP44" s="1141" t="str">
        <f t="shared" si="35"/>
        <v/>
      </c>
      <c r="AQ44" s="1623" t="str">
        <f t="shared" si="36"/>
        <v/>
      </c>
      <c r="AR44" s="1137" t="str">
        <f t="shared" si="37"/>
        <v/>
      </c>
      <c r="AS44" s="1138" t="str">
        <f t="shared" si="38"/>
        <v/>
      </c>
      <c r="AT44" s="1624" t="str">
        <f t="shared" si="39"/>
        <v/>
      </c>
      <c r="AU44" s="1625" t="str">
        <f t="shared" si="40"/>
        <v/>
      </c>
      <c r="AV44" s="1143" t="str">
        <f t="shared" si="41"/>
        <v/>
      </c>
      <c r="AW44" s="1138" t="str">
        <f t="shared" si="42"/>
        <v/>
      </c>
      <c r="AX44" s="1624" t="str">
        <f t="shared" si="43"/>
        <v/>
      </c>
      <c r="AY44" s="1625" t="str">
        <f t="shared" si="44"/>
        <v/>
      </c>
      <c r="AZ44" s="1143" t="str">
        <f t="shared" si="45"/>
        <v/>
      </c>
      <c r="BA44" s="1138" t="str">
        <f t="shared" si="46"/>
        <v/>
      </c>
      <c r="BB44" s="1624" t="str">
        <f t="shared" si="47"/>
        <v/>
      </c>
      <c r="BC44" s="1625" t="str">
        <f t="shared" si="48"/>
        <v/>
      </c>
      <c r="BD44" s="1143" t="str">
        <f t="shared" si="49"/>
        <v/>
      </c>
      <c r="BE44" s="1138" t="str">
        <f t="shared" si="50"/>
        <v/>
      </c>
      <c r="BF44" s="1624" t="str">
        <f t="shared" si="51"/>
        <v/>
      </c>
      <c r="BG44" s="1625" t="str">
        <f t="shared" si="51"/>
        <v/>
      </c>
      <c r="BH44" s="1291"/>
      <c r="BJ44" s="915" t="str">
        <f t="shared" si="94"/>
        <v/>
      </c>
      <c r="BK44" s="913" t="e">
        <f t="shared" si="52"/>
        <v>#REF!</v>
      </c>
      <c r="BL44" s="908" t="b">
        <v>0</v>
      </c>
      <c r="BM44" s="908">
        <f t="shared" si="53"/>
        <v>0</v>
      </c>
      <c r="BN44" s="908">
        <f t="shared" si="54"/>
        <v>0</v>
      </c>
      <c r="BO44" s="908">
        <f t="shared" si="55"/>
        <v>0</v>
      </c>
      <c r="BP44" s="908">
        <f t="shared" si="56"/>
        <v>0</v>
      </c>
      <c r="BQ44" s="908">
        <f t="shared" si="57"/>
        <v>0</v>
      </c>
      <c r="BR44" s="908" t="b">
        <f t="shared" si="58"/>
        <v>1</v>
      </c>
      <c r="BS44" s="1216">
        <f t="shared" si="59"/>
        <v>6</v>
      </c>
      <c r="BT44" s="909" t="str">
        <f t="shared" si="60"/>
        <v>No</v>
      </c>
      <c r="BU44" s="1216">
        <f t="shared" si="61"/>
        <v>6</v>
      </c>
      <c r="BV44" s="909" t="str">
        <f t="shared" si="62"/>
        <v>No</v>
      </c>
      <c r="BW44" s="910">
        <f t="shared" ca="1" si="63"/>
        <v>0</v>
      </c>
      <c r="BX44" s="911" t="str">
        <f t="shared" ca="1" si="64"/>
        <v/>
      </c>
      <c r="BY44" s="911" t="b">
        <f t="shared" ca="1" si="65"/>
        <v>0</v>
      </c>
      <c r="BZ44" s="910" t="e">
        <f t="shared" si="87"/>
        <v>#REF!</v>
      </c>
      <c r="CB44" s="616"/>
      <c r="CC44" s="1567"/>
      <c r="CD44" s="645"/>
      <c r="CE44" s="646"/>
      <c r="CF44" s="647"/>
      <c r="CG44" s="660"/>
      <c r="CH44" s="661"/>
      <c r="CI44" s="662"/>
      <c r="CJ44" s="661"/>
      <c r="CK44" s="662"/>
      <c r="CL44" s="663"/>
      <c r="CM44" s="692"/>
      <c r="CN44" s="687"/>
      <c r="CO44" s="1430"/>
      <c r="CP44" s="839"/>
      <c r="CQ44" s="660"/>
      <c r="CR44" s="661"/>
      <c r="CS44" s="662"/>
      <c r="CT44" s="661"/>
      <c r="CU44" s="662"/>
      <c r="CV44" s="663"/>
      <c r="CW44" s="692"/>
      <c r="CX44" s="687"/>
      <c r="CY44" s="1430"/>
      <c r="CZ44" s="839"/>
      <c r="DA44" s="665"/>
      <c r="DB44" s="648"/>
      <c r="DC44" s="649"/>
      <c r="DD44" s="674"/>
      <c r="DE44" s="675"/>
      <c r="DF44" s="58"/>
      <c r="DG44" s="58"/>
      <c r="DH44" s="616"/>
      <c r="DI44" s="617"/>
      <c r="DJ44" s="638"/>
      <c r="DK44" s="1245"/>
      <c r="DL44" s="618"/>
      <c r="DM44" s="639"/>
      <c r="DN44" s="1248"/>
      <c r="DO44" s="619"/>
      <c r="DP44" s="620"/>
      <c r="DQ44" s="1294"/>
      <c r="DR44" s="621"/>
      <c r="DS44" s="1294"/>
      <c r="DT44" s="1296"/>
      <c r="DU44" s="1297"/>
      <c r="DV44" s="622"/>
      <c r="DW44" s="1250"/>
      <c r="DX44" s="623"/>
      <c r="DY44" s="624"/>
      <c r="DZ44" s="622"/>
      <c r="EA44" s="1250"/>
      <c r="EB44" s="623"/>
      <c r="EC44" s="624"/>
      <c r="ED44" s="622"/>
      <c r="EE44" s="1250"/>
      <c r="EF44" s="623"/>
      <c r="EG44" s="624"/>
      <c r="EH44" s="622"/>
      <c r="EI44" s="1250"/>
      <c r="EJ44" s="623"/>
      <c r="EK44" s="625"/>
      <c r="EL44" s="147"/>
      <c r="EM44" s="1513" t="str">
        <f t="shared" si="66"/>
        <v/>
      </c>
      <c r="EN44" s="1303" t="str">
        <f t="shared" si="67"/>
        <v/>
      </c>
      <c r="EO44" s="1304" t="str">
        <f t="shared" si="68"/>
        <v/>
      </c>
      <c r="EP44" s="1305" t="str">
        <f t="shared" si="69"/>
        <v/>
      </c>
      <c r="EQ44" s="1309" t="str">
        <f t="shared" si="70"/>
        <v/>
      </c>
      <c r="ER44" s="1315" t="str">
        <f t="shared" si="71"/>
        <v/>
      </c>
      <c r="ES44" s="1316" t="str">
        <f t="shared" si="72"/>
        <v/>
      </c>
      <c r="ET44" s="1317" t="str">
        <f t="shared" si="73"/>
        <v/>
      </c>
      <c r="EU44" s="1318" t="str">
        <f t="shared" si="88"/>
        <v/>
      </c>
      <c r="EX44" s="870" t="str">
        <f t="shared" ca="1" si="89"/>
        <v/>
      </c>
      <c r="EY44" s="872" t="str">
        <f t="shared" si="74"/>
        <v/>
      </c>
      <c r="EZ44" s="872" t="str">
        <f t="shared" si="90"/>
        <v/>
      </c>
      <c r="FA44" s="891" t="str">
        <f t="shared" ca="1" si="95"/>
        <v/>
      </c>
      <c r="FB44" s="892" t="str">
        <f t="shared" ca="1" si="91"/>
        <v/>
      </c>
      <c r="FC44" s="892">
        <f t="shared" ca="1" si="75"/>
        <v>0</v>
      </c>
      <c r="FD44" s="892">
        <f t="shared" ca="1" si="76"/>
        <v>0</v>
      </c>
      <c r="FE44" s="892">
        <f t="shared" ca="1" si="77"/>
        <v>0</v>
      </c>
      <c r="FF44" s="892">
        <f t="shared" ca="1" si="92"/>
        <v>0</v>
      </c>
      <c r="FN44" s="703" t="b">
        <v>0</v>
      </c>
      <c r="FO44" s="703" t="b">
        <f t="shared" si="78"/>
        <v>1</v>
      </c>
      <c r="FP44" s="1254" t="b">
        <v>0</v>
      </c>
      <c r="FQ44" s="703" t="b">
        <f t="shared" si="93"/>
        <v>1</v>
      </c>
      <c r="GA44" s="524" t="str">
        <f t="shared" si="79"/>
        <v/>
      </c>
      <c r="GB44" s="566" t="str">
        <f t="shared" si="80"/>
        <v/>
      </c>
      <c r="GC44" s="568" t="str">
        <f t="shared" si="81"/>
        <v/>
      </c>
      <c r="GD44" s="569" t="str">
        <f t="shared" si="82"/>
        <v/>
      </c>
      <c r="GE44" s="567" t="str">
        <f t="shared" si="83"/>
        <v/>
      </c>
      <c r="GF44" s="525" t="str">
        <f t="shared" si="84"/>
        <v/>
      </c>
      <c r="GG44" s="1056"/>
      <c r="GH44" s="1058"/>
      <c r="GI44" s="1056"/>
      <c r="GJ44" s="1058"/>
      <c r="GK44" s="1523">
        <f t="shared" si="85"/>
        <v>0</v>
      </c>
      <c r="GL44" s="1523" t="e">
        <f t="shared" si="86"/>
        <v>#VALUE!</v>
      </c>
      <c r="GM44" s="1524" t="e">
        <f>IF(ABS(GK44-GL44)&gt;=#REF!,ABS(GK44-GL44),0)</f>
        <v>#VALUE!</v>
      </c>
      <c r="GN44" s="56"/>
      <c r="GO44" s="57"/>
      <c r="GP44" s="59"/>
      <c r="HA44" s="1159"/>
      <c r="HB44" s="1160"/>
      <c r="HC44" s="1160"/>
      <c r="HD44" s="1161"/>
      <c r="HE44" s="1162"/>
      <c r="HF44" s="1160"/>
      <c r="HG44" s="1160"/>
      <c r="HH44" s="1160"/>
      <c r="HI44" s="1160"/>
      <c r="HJ44" s="1160"/>
      <c r="HK44" s="1160"/>
      <c r="HL44" s="1160"/>
      <c r="HM44" s="1160"/>
      <c r="HN44" s="1160"/>
      <c r="HO44" s="1160"/>
      <c r="HP44" s="1160"/>
      <c r="HQ44" s="1160"/>
      <c r="HR44" s="1160"/>
      <c r="HS44" s="1160"/>
      <c r="HT44" s="1160"/>
      <c r="HU44" s="1160"/>
      <c r="HV44" s="1160"/>
      <c r="HW44" s="1160"/>
      <c r="HX44" s="1160"/>
      <c r="HY44" s="1164"/>
      <c r="HZ44" s="1164"/>
      <c r="IA44" s="1164"/>
      <c r="IB44" s="1164"/>
      <c r="IC44" s="1164"/>
      <c r="ID44" s="1179"/>
      <c r="IE44" s="1159"/>
      <c r="IF44" s="1160"/>
      <c r="IG44" s="1161"/>
      <c r="IH44" s="1162"/>
      <c r="II44" s="1160"/>
      <c r="IJ44" s="1161"/>
      <c r="IK44" s="1162"/>
      <c r="IL44" s="1160"/>
      <c r="IM44" s="1160"/>
      <c r="IN44" s="1160"/>
      <c r="IO44" s="1160"/>
      <c r="IP44" s="1160"/>
      <c r="IQ44" s="1160"/>
      <c r="IR44" s="1160"/>
      <c r="IS44" s="1161"/>
      <c r="IT44" s="1162"/>
      <c r="IU44" s="1160"/>
      <c r="IV44" s="1160"/>
      <c r="IW44" s="1161"/>
      <c r="IX44" s="1162"/>
      <c r="IY44" s="1160"/>
      <c r="IZ44" s="1160"/>
      <c r="JA44" s="1161"/>
      <c r="JB44" s="1162"/>
      <c r="JC44" s="1160"/>
      <c r="JD44" s="1160"/>
      <c r="JE44" s="1161"/>
      <c r="JF44" s="1162"/>
      <c r="JG44" s="1160"/>
      <c r="JH44" s="1160"/>
      <c r="JI44" s="1160"/>
      <c r="JJ44" s="1163"/>
      <c r="JK44" s="1160"/>
      <c r="JL44" s="1103">
        <f t="shared" ca="1" si="96"/>
        <v>0</v>
      </c>
    </row>
    <row r="45" spans="1:272" ht="12.6" customHeight="1" thickBot="1" x14ac:dyDescent="0.35">
      <c r="A45" s="1588" t="str">
        <f t="shared" si="0"/>
        <v/>
      </c>
      <c r="B45" s="1589" t="str">
        <f t="shared" si="1"/>
        <v/>
      </c>
      <c r="C45" s="1590" t="str">
        <f t="shared" si="2"/>
        <v/>
      </c>
      <c r="D45" s="1591" t="str">
        <f t="shared" si="3"/>
        <v/>
      </c>
      <c r="E45" s="1592" t="str">
        <f t="shared" si="4"/>
        <v/>
      </c>
      <c r="F45" s="1593" t="str">
        <f t="shared" si="5"/>
        <v/>
      </c>
      <c r="G45" s="1594" t="str">
        <f t="shared" si="6"/>
        <v/>
      </c>
      <c r="H45" s="1595" t="str">
        <f t="shared" si="7"/>
        <v/>
      </c>
      <c r="I45" s="1596" t="str">
        <f t="shared" si="8"/>
        <v/>
      </c>
      <c r="J45" s="1591" t="str">
        <f t="shared" si="9"/>
        <v/>
      </c>
      <c r="K45" s="1595" t="str">
        <f t="shared" si="10"/>
        <v/>
      </c>
      <c r="L45" s="1597" t="str">
        <f t="shared" si="11"/>
        <v/>
      </c>
      <c r="M45" s="1598" t="str">
        <f t="shared" si="12"/>
        <v/>
      </c>
      <c r="N45" s="1599" t="str">
        <f t="shared" si="12"/>
        <v/>
      </c>
      <c r="O45" s="1594" t="str">
        <f t="shared" si="13"/>
        <v/>
      </c>
      <c r="P45" s="1595" t="str">
        <f t="shared" si="14"/>
        <v/>
      </c>
      <c r="Q45" s="1591" t="str">
        <f t="shared" si="15"/>
        <v/>
      </c>
      <c r="R45" s="1592" t="str">
        <f t="shared" si="16"/>
        <v/>
      </c>
      <c r="S45" s="1600" t="str">
        <f t="shared" si="17"/>
        <v/>
      </c>
      <c r="T45" s="1595" t="str">
        <f t="shared" si="18"/>
        <v/>
      </c>
      <c r="U45" s="1591" t="str">
        <f t="shared" si="19"/>
        <v/>
      </c>
      <c r="V45" s="1595" t="str">
        <f t="shared" si="20"/>
        <v/>
      </c>
      <c r="W45" s="1599">
        <f t="shared" si="21"/>
        <v>0</v>
      </c>
      <c r="X45" s="1601" t="e">
        <f t="shared" si="22"/>
        <v>#REF!</v>
      </c>
      <c r="Y45" s="1602" t="e">
        <f t="shared" si="23"/>
        <v>#REF!</v>
      </c>
      <c r="Z45" s="1603" t="str">
        <f t="shared" si="24"/>
        <v/>
      </c>
      <c r="AA45" s="1643" t="str">
        <f t="shared" si="25"/>
        <v/>
      </c>
      <c r="AB45" s="1588" t="str">
        <f t="shared" si="26"/>
        <v/>
      </c>
      <c r="AC45" s="1596" t="str">
        <f t="shared" si="26"/>
        <v/>
      </c>
      <c r="AD45" s="1591" t="str">
        <f t="shared" ca="1" si="27"/>
        <v/>
      </c>
      <c r="AE45" s="1595" t="str">
        <f t="shared" ca="1" si="28"/>
        <v/>
      </c>
      <c r="AF45" s="1596" t="str">
        <f t="shared" ca="1" si="29"/>
        <v/>
      </c>
      <c r="AG45" s="1591" t="str">
        <f t="shared" ca="1" si="30"/>
        <v/>
      </c>
      <c r="AH45" s="1595" t="str">
        <f t="shared" ca="1" si="31"/>
        <v/>
      </c>
      <c r="AI45" s="1591" t="str">
        <f t="shared" ca="1" si="32"/>
        <v/>
      </c>
      <c r="AJ45" s="1595" t="str">
        <f t="shared" ca="1" si="33"/>
        <v/>
      </c>
      <c r="AK45" s="1626" t="str">
        <f t="shared" si="34"/>
        <v/>
      </c>
      <c r="AL45" s="1627" t="str">
        <f t="shared" si="34"/>
        <v/>
      </c>
      <c r="AM45" s="1628" t="str">
        <f t="shared" si="34"/>
        <v/>
      </c>
      <c r="AN45" s="1596" t="str">
        <f t="shared" si="34"/>
        <v/>
      </c>
      <c r="AO45" s="1599" t="str">
        <f t="shared" si="34"/>
        <v/>
      </c>
      <c r="AP45" s="1598" t="str">
        <f t="shared" si="35"/>
        <v/>
      </c>
      <c r="AQ45" s="1630" t="str">
        <f t="shared" si="36"/>
        <v/>
      </c>
      <c r="AR45" s="1594" t="str">
        <f t="shared" si="37"/>
        <v/>
      </c>
      <c r="AS45" s="1595" t="str">
        <f t="shared" si="38"/>
        <v/>
      </c>
      <c r="AT45" s="1631" t="str">
        <f t="shared" si="39"/>
        <v/>
      </c>
      <c r="AU45" s="1632" t="str">
        <f t="shared" si="40"/>
        <v/>
      </c>
      <c r="AV45" s="1600" t="str">
        <f t="shared" si="41"/>
        <v/>
      </c>
      <c r="AW45" s="1595" t="str">
        <f t="shared" si="42"/>
        <v/>
      </c>
      <c r="AX45" s="1631" t="str">
        <f t="shared" si="43"/>
        <v/>
      </c>
      <c r="AY45" s="1632" t="str">
        <f t="shared" si="44"/>
        <v/>
      </c>
      <c r="AZ45" s="1600" t="str">
        <f t="shared" si="45"/>
        <v/>
      </c>
      <c r="BA45" s="1595" t="str">
        <f t="shared" si="46"/>
        <v/>
      </c>
      <c r="BB45" s="1631" t="str">
        <f t="shared" si="47"/>
        <v/>
      </c>
      <c r="BC45" s="1632" t="str">
        <f t="shared" si="48"/>
        <v/>
      </c>
      <c r="BD45" s="1600" t="str">
        <f t="shared" si="49"/>
        <v/>
      </c>
      <c r="BE45" s="1595" t="str">
        <f t="shared" si="50"/>
        <v/>
      </c>
      <c r="BF45" s="1631" t="str">
        <f t="shared" si="51"/>
        <v/>
      </c>
      <c r="BG45" s="1632" t="str">
        <f t="shared" si="51"/>
        <v/>
      </c>
      <c r="BH45" s="1291"/>
      <c r="BJ45" s="915" t="str">
        <f t="shared" si="94"/>
        <v/>
      </c>
      <c r="BK45" s="913" t="e">
        <f t="shared" si="52"/>
        <v>#REF!</v>
      </c>
      <c r="BL45" s="908" t="b">
        <v>0</v>
      </c>
      <c r="BM45" s="908">
        <f t="shared" si="53"/>
        <v>0</v>
      </c>
      <c r="BN45" s="908">
        <f t="shared" si="54"/>
        <v>0</v>
      </c>
      <c r="BO45" s="908">
        <f t="shared" si="55"/>
        <v>0</v>
      </c>
      <c r="BP45" s="908">
        <f t="shared" si="56"/>
        <v>0</v>
      </c>
      <c r="BQ45" s="908">
        <f t="shared" si="57"/>
        <v>0</v>
      </c>
      <c r="BR45" s="908" t="b">
        <f t="shared" si="58"/>
        <v>1</v>
      </c>
      <c r="BS45" s="1216">
        <f t="shared" si="59"/>
        <v>6</v>
      </c>
      <c r="BT45" s="909" t="str">
        <f t="shared" si="60"/>
        <v>No</v>
      </c>
      <c r="BU45" s="1216">
        <f t="shared" si="61"/>
        <v>6</v>
      </c>
      <c r="BV45" s="909" t="str">
        <f t="shared" si="62"/>
        <v>No</v>
      </c>
      <c r="BW45" s="910">
        <f t="shared" ca="1" si="63"/>
        <v>0</v>
      </c>
      <c r="BX45" s="911" t="str">
        <f t="shared" ca="1" si="64"/>
        <v/>
      </c>
      <c r="BY45" s="911" t="b">
        <f t="shared" ca="1" si="65"/>
        <v>0</v>
      </c>
      <c r="BZ45" s="910" t="e">
        <f t="shared" si="87"/>
        <v>#REF!</v>
      </c>
      <c r="CB45" s="626"/>
      <c r="CC45" s="1568"/>
      <c r="CD45" s="650"/>
      <c r="CE45" s="651"/>
      <c r="CF45" s="652"/>
      <c r="CG45" s="666"/>
      <c r="CH45" s="667"/>
      <c r="CI45" s="668"/>
      <c r="CJ45" s="667"/>
      <c r="CK45" s="668"/>
      <c r="CL45" s="669"/>
      <c r="CM45" s="693"/>
      <c r="CN45" s="690"/>
      <c r="CO45" s="1431"/>
      <c r="CP45" s="840"/>
      <c r="CQ45" s="666"/>
      <c r="CR45" s="667"/>
      <c r="CS45" s="668"/>
      <c r="CT45" s="667"/>
      <c r="CU45" s="668"/>
      <c r="CV45" s="669"/>
      <c r="CW45" s="693"/>
      <c r="CX45" s="690"/>
      <c r="CY45" s="1431"/>
      <c r="CZ45" s="840"/>
      <c r="DA45" s="671"/>
      <c r="DB45" s="653"/>
      <c r="DC45" s="654"/>
      <c r="DD45" s="676"/>
      <c r="DE45" s="677"/>
      <c r="DF45" s="58"/>
      <c r="DG45" s="58"/>
      <c r="DH45" s="725"/>
      <c r="DI45" s="627"/>
      <c r="DJ45" s="640"/>
      <c r="DK45" s="1246"/>
      <c r="DL45" s="628"/>
      <c r="DM45" s="641"/>
      <c r="DN45" s="1249"/>
      <c r="DO45" s="629"/>
      <c r="DP45" s="630"/>
      <c r="DQ45" s="1295"/>
      <c r="DR45" s="631"/>
      <c r="DS45" s="1295"/>
      <c r="DT45" s="1298"/>
      <c r="DU45" s="1299"/>
      <c r="DV45" s="632"/>
      <c r="DW45" s="1251"/>
      <c r="DX45" s="633"/>
      <c r="DY45" s="634"/>
      <c r="DZ45" s="632"/>
      <c r="EA45" s="1251"/>
      <c r="EB45" s="633"/>
      <c r="EC45" s="634"/>
      <c r="ED45" s="632"/>
      <c r="EE45" s="1251"/>
      <c r="EF45" s="633"/>
      <c r="EG45" s="634"/>
      <c r="EH45" s="632"/>
      <c r="EI45" s="1251"/>
      <c r="EJ45" s="633"/>
      <c r="EK45" s="635"/>
      <c r="EL45" s="147"/>
      <c r="EM45" s="1515" t="str">
        <f t="shared" si="66"/>
        <v/>
      </c>
      <c r="EN45" s="1517" t="str">
        <f t="shared" si="67"/>
        <v/>
      </c>
      <c r="EO45" s="1306" t="str">
        <f t="shared" si="68"/>
        <v/>
      </c>
      <c r="EP45" s="1307" t="str">
        <f t="shared" si="69"/>
        <v/>
      </c>
      <c r="EQ45" s="1310" t="str">
        <f t="shared" si="70"/>
        <v/>
      </c>
      <c r="ER45" s="1319" t="str">
        <f t="shared" si="71"/>
        <v/>
      </c>
      <c r="ES45" s="1320" t="str">
        <f t="shared" si="72"/>
        <v/>
      </c>
      <c r="ET45" s="1321" t="str">
        <f t="shared" si="73"/>
        <v/>
      </c>
      <c r="EU45" s="1322" t="str">
        <f t="shared" si="88"/>
        <v/>
      </c>
      <c r="EX45" s="870" t="str">
        <f t="shared" ca="1" si="89"/>
        <v/>
      </c>
      <c r="EY45" s="872" t="str">
        <f t="shared" si="74"/>
        <v/>
      </c>
      <c r="EZ45" s="872" t="str">
        <f t="shared" si="90"/>
        <v/>
      </c>
      <c r="FA45" s="891" t="str">
        <f t="shared" ca="1" si="95"/>
        <v/>
      </c>
      <c r="FB45" s="892" t="str">
        <f t="shared" ca="1" si="91"/>
        <v/>
      </c>
      <c r="FC45" s="892">
        <f t="shared" ca="1" si="75"/>
        <v>0</v>
      </c>
      <c r="FD45" s="892">
        <f t="shared" ca="1" si="76"/>
        <v>0</v>
      </c>
      <c r="FE45" s="892">
        <f t="shared" ca="1" si="77"/>
        <v>0</v>
      </c>
      <c r="FF45" s="892">
        <f t="shared" ca="1" si="92"/>
        <v>0</v>
      </c>
      <c r="FN45" s="703" t="b">
        <v>0</v>
      </c>
      <c r="FO45" s="703" t="b">
        <f t="shared" si="78"/>
        <v>1</v>
      </c>
      <c r="FP45" s="1254" t="b">
        <v>0</v>
      </c>
      <c r="FQ45" s="703" t="b">
        <f t="shared" si="93"/>
        <v>1</v>
      </c>
      <c r="FW45" s="24"/>
      <c r="FX45" s="24"/>
      <c r="FZ45" s="26"/>
      <c r="GA45" s="524" t="str">
        <f t="shared" si="79"/>
        <v/>
      </c>
      <c r="GB45" s="566" t="str">
        <f t="shared" si="80"/>
        <v/>
      </c>
      <c r="GC45" s="568" t="str">
        <f t="shared" si="81"/>
        <v/>
      </c>
      <c r="GD45" s="569" t="str">
        <f t="shared" si="82"/>
        <v/>
      </c>
      <c r="GE45" s="567" t="str">
        <f t="shared" si="83"/>
        <v/>
      </c>
      <c r="GF45" s="525" t="str">
        <f t="shared" si="84"/>
        <v/>
      </c>
      <c r="GG45" s="1059"/>
      <c r="GH45" s="1060"/>
      <c r="GI45" s="1059"/>
      <c r="GJ45" s="1060"/>
      <c r="GK45" s="1523">
        <f t="shared" si="85"/>
        <v>0</v>
      </c>
      <c r="GL45" s="1523" t="e">
        <f t="shared" si="86"/>
        <v>#VALUE!</v>
      </c>
      <c r="GM45" s="1524" t="e">
        <f>IF(ABS(GK45-GL45)&gt;=#REF!,ABS(GK45-GL45),0)</f>
        <v>#VALUE!</v>
      </c>
      <c r="GN45" s="56"/>
      <c r="GO45" s="56"/>
      <c r="GP45" s="56"/>
      <c r="GZ45" s="64"/>
      <c r="HA45" s="1167"/>
      <c r="HB45" s="1168"/>
      <c r="HC45" s="1168"/>
      <c r="HD45" s="1169"/>
      <c r="HE45" s="1170"/>
      <c r="HF45" s="1168"/>
      <c r="HG45" s="1168"/>
      <c r="HH45" s="1168"/>
      <c r="HI45" s="1168"/>
      <c r="HJ45" s="1168"/>
      <c r="HK45" s="1168"/>
      <c r="HL45" s="1168"/>
      <c r="HM45" s="1168"/>
      <c r="HN45" s="1168"/>
      <c r="HO45" s="1168"/>
      <c r="HP45" s="1168"/>
      <c r="HQ45" s="1168"/>
      <c r="HR45" s="1168"/>
      <c r="HS45" s="1168"/>
      <c r="HT45" s="1168"/>
      <c r="HU45" s="1168"/>
      <c r="HV45" s="1168"/>
      <c r="HW45" s="1168"/>
      <c r="HX45" s="1168"/>
      <c r="HY45" s="1171"/>
      <c r="HZ45" s="1171"/>
      <c r="IA45" s="1171"/>
      <c r="IB45" s="1171"/>
      <c r="IC45" s="1171"/>
      <c r="ID45" s="1180"/>
      <c r="IE45" s="1167"/>
      <c r="IF45" s="1168"/>
      <c r="IG45" s="1169"/>
      <c r="IH45" s="1170"/>
      <c r="II45" s="1168"/>
      <c r="IJ45" s="1169"/>
      <c r="IK45" s="1170"/>
      <c r="IL45" s="1168"/>
      <c r="IM45" s="1168"/>
      <c r="IN45" s="1168"/>
      <c r="IO45" s="1168"/>
      <c r="IP45" s="1168"/>
      <c r="IQ45" s="1168"/>
      <c r="IR45" s="1168"/>
      <c r="IS45" s="1169"/>
      <c r="IT45" s="1170"/>
      <c r="IU45" s="1168"/>
      <c r="IV45" s="1168"/>
      <c r="IW45" s="1169"/>
      <c r="IX45" s="1170"/>
      <c r="IY45" s="1168"/>
      <c r="IZ45" s="1168"/>
      <c r="JA45" s="1169"/>
      <c r="JB45" s="1170"/>
      <c r="JC45" s="1168"/>
      <c r="JD45" s="1168"/>
      <c r="JE45" s="1169"/>
      <c r="JF45" s="1170"/>
      <c r="JG45" s="1168"/>
      <c r="JH45" s="1168"/>
      <c r="JI45" s="1168"/>
      <c r="JJ45" s="1173"/>
      <c r="JK45" s="1168"/>
      <c r="JL45" s="1104">
        <f t="shared" ca="1" si="96"/>
        <v>0</v>
      </c>
    </row>
    <row r="46" spans="1:272" ht="20.100000000000001" customHeight="1" thickTop="1" x14ac:dyDescent="0.2">
      <c r="A46" s="1065"/>
      <c r="B46" s="1065"/>
      <c r="C46" s="1065"/>
      <c r="D46" s="1065"/>
      <c r="E46" s="1065"/>
      <c r="F46" s="1065"/>
      <c r="G46" s="1065"/>
      <c r="H46" s="1065"/>
      <c r="I46" s="1065"/>
      <c r="J46" s="1065"/>
      <c r="K46" s="1065"/>
      <c r="L46" s="1065"/>
      <c r="M46" s="1065"/>
      <c r="N46" s="1065"/>
      <c r="O46" s="1065"/>
      <c r="P46" s="1065"/>
      <c r="Q46" s="1065"/>
      <c r="R46" s="1065"/>
      <c r="S46" s="1065"/>
      <c r="T46" s="1065"/>
      <c r="U46" s="1065"/>
      <c r="V46" s="1065"/>
      <c r="W46" s="1065"/>
      <c r="X46" s="1065"/>
      <c r="Y46" s="1065"/>
      <c r="Z46" s="1065"/>
      <c r="AA46" s="1065"/>
      <c r="AB46" s="1065"/>
      <c r="AC46" s="1065"/>
      <c r="AD46" s="1065"/>
      <c r="AE46" s="1065"/>
      <c r="AF46" s="1065"/>
      <c r="AG46" s="1065"/>
      <c r="AH46" s="1065"/>
      <c r="AI46" s="1065"/>
      <c r="AJ46" s="1065"/>
      <c r="AK46" s="1065"/>
      <c r="AL46" s="1065"/>
      <c r="AM46" s="1065"/>
      <c r="AN46" s="1065"/>
      <c r="AO46" s="1065"/>
      <c r="AP46" s="1065"/>
      <c r="AQ46" s="1065"/>
      <c r="AR46" s="1065"/>
      <c r="AS46" s="1065"/>
      <c r="AT46" s="1065"/>
      <c r="AU46" s="1065"/>
      <c r="AV46" s="1065"/>
      <c r="AW46" s="1065"/>
      <c r="AX46" s="1065"/>
      <c r="AY46" s="1065"/>
      <c r="AZ46" s="1065"/>
      <c r="BA46" s="1065"/>
      <c r="BB46" s="1065"/>
      <c r="BC46" s="1065"/>
      <c r="BD46" s="1065"/>
      <c r="BE46" s="1065"/>
      <c r="BF46" s="1065"/>
      <c r="BG46" s="1065"/>
      <c r="BH46" s="178"/>
      <c r="CA46" s="40"/>
      <c r="CB46" s="27"/>
      <c r="CC46" s="27"/>
      <c r="CD46" s="27"/>
      <c r="CE46" s="27"/>
      <c r="CF46" s="27"/>
      <c r="CG46" s="27"/>
      <c r="CH46" s="27"/>
      <c r="CI46" s="27"/>
      <c r="CJ46" s="27"/>
      <c r="CK46" s="27"/>
      <c r="CL46" s="27"/>
      <c r="CM46" s="27"/>
      <c r="CN46" s="27"/>
      <c r="CO46" s="27"/>
      <c r="CP46" s="27"/>
      <c r="CQ46" s="27"/>
      <c r="CR46" s="27"/>
      <c r="CS46" s="27"/>
      <c r="CT46" s="27"/>
      <c r="CU46" s="27"/>
      <c r="CV46" s="27"/>
      <c r="CW46" s="27"/>
      <c r="CX46" s="27"/>
      <c r="CY46" s="27"/>
      <c r="CZ46" s="27"/>
      <c r="DA46" s="27"/>
      <c r="DB46" s="24"/>
      <c r="DC46" s="24"/>
      <c r="DD46" s="24"/>
      <c r="DE46" s="24"/>
      <c r="DF46" s="24"/>
      <c r="DG46" s="24"/>
      <c r="DH46" s="55"/>
      <c r="DI46" s="55"/>
      <c r="DJ46" s="55"/>
      <c r="DK46" s="55"/>
      <c r="DL46" s="55"/>
      <c r="DM46" s="55"/>
      <c r="DN46" s="55"/>
      <c r="DO46" s="55"/>
      <c r="DP46" s="55"/>
      <c r="DQ46" s="55"/>
      <c r="DR46" s="55"/>
      <c r="DS46" s="55"/>
      <c r="DT46" s="572"/>
      <c r="DU46" s="572"/>
      <c r="DV46" s="55"/>
      <c r="DW46" s="55"/>
      <c r="DX46" s="55"/>
      <c r="DY46" s="55"/>
      <c r="DZ46" s="55"/>
      <c r="EA46" s="55"/>
      <c r="EB46" s="55"/>
      <c r="EC46" s="55"/>
      <c r="ED46" s="55"/>
      <c r="EE46" s="55"/>
      <c r="EF46" s="55"/>
      <c r="EG46" s="55"/>
      <c r="EH46" s="55"/>
      <c r="EI46" s="55"/>
      <c r="EJ46" s="55"/>
      <c r="EK46" s="55"/>
      <c r="EL46" s="24"/>
      <c r="EM46" s="23"/>
      <c r="EN46" s="29"/>
      <c r="EO46" s="209"/>
      <c r="EP46" s="210"/>
      <c r="EQ46" s="210"/>
      <c r="ER46" s="210"/>
      <c r="ES46" s="211"/>
      <c r="ET46" s="212"/>
      <c r="EU46" s="212"/>
      <c r="EV46" s="212"/>
      <c r="EW46" s="212"/>
      <c r="EX46" s="212"/>
      <c r="EY46" s="212"/>
      <c r="EZ46" s="212"/>
      <c r="FA46" s="212"/>
      <c r="FB46" s="212"/>
      <c r="FC46" s="212"/>
      <c r="FD46" s="209"/>
      <c r="FE46" s="209"/>
      <c r="FF46" s="209"/>
      <c r="FG46" s="209"/>
      <c r="FH46" s="209"/>
      <c r="FI46" s="209"/>
      <c r="FJ46" s="209"/>
      <c r="FK46" s="209"/>
      <c r="FL46" s="209"/>
      <c r="FM46" s="209"/>
      <c r="FN46" s="24"/>
      <c r="FO46" s="24"/>
      <c r="FP46" s="24"/>
      <c r="FQ46" s="24"/>
      <c r="FR46" s="24"/>
      <c r="FS46" s="24"/>
      <c r="FT46" s="24"/>
      <c r="FU46" s="24"/>
      <c r="FV46" s="24"/>
      <c r="FW46" s="24"/>
      <c r="FX46" s="24"/>
      <c r="FY46" s="24"/>
      <c r="FZ46" s="26"/>
      <c r="GA46" s="49"/>
      <c r="GB46" s="1061"/>
      <c r="GC46" s="1061"/>
      <c r="GD46" s="1061"/>
      <c r="GE46" s="1061"/>
      <c r="GF46" s="1061"/>
      <c r="GG46" s="1061"/>
      <c r="GH46" s="1061"/>
      <c r="GI46" s="56"/>
      <c r="GJ46" s="56"/>
      <c r="GK46" s="56"/>
      <c r="GL46" s="56"/>
      <c r="GM46" s="56"/>
      <c r="GN46" s="56"/>
      <c r="GO46" s="56"/>
      <c r="GP46" s="56"/>
      <c r="GQ46" s="56"/>
      <c r="GR46" s="56"/>
      <c r="GS46" s="56"/>
      <c r="GT46" s="56"/>
      <c r="GU46" s="56"/>
      <c r="GV46" s="56"/>
      <c r="GW46" s="56"/>
      <c r="GX46" s="56"/>
      <c r="GY46" s="56"/>
    </row>
    <row r="47" spans="1:272" ht="12.75" customHeight="1" x14ac:dyDescent="0.2">
      <c r="B47" s="476" t="s">
        <v>373</v>
      </c>
      <c r="AL47" s="177"/>
      <c r="AM47" s="177"/>
      <c r="AN47" s="177"/>
      <c r="AO47" s="177"/>
      <c r="AP47" s="177"/>
      <c r="AQ47" s="177"/>
      <c r="CA47" s="40"/>
      <c r="CB47" s="27"/>
      <c r="CC47" s="27"/>
      <c r="CD47" s="27"/>
      <c r="CE47" s="27"/>
      <c r="CF47" s="27"/>
      <c r="CG47" s="27"/>
      <c r="CH47" s="27"/>
      <c r="CI47" s="27"/>
      <c r="CJ47" s="27"/>
      <c r="CK47" s="27"/>
      <c r="CL47" s="27"/>
      <c r="CM47" s="27"/>
      <c r="CN47" s="27"/>
      <c r="CO47" s="27"/>
      <c r="CP47" s="27"/>
      <c r="CQ47" s="27"/>
      <c r="CR47" s="27"/>
      <c r="CS47" s="27"/>
      <c r="CT47" s="27"/>
      <c r="CU47" s="27"/>
      <c r="CV47" s="27"/>
      <c r="CW47" s="27"/>
      <c r="CX47" s="27"/>
      <c r="CY47" s="27"/>
      <c r="DD47" s="27"/>
      <c r="DE47" s="27"/>
      <c r="DF47" s="27"/>
      <c r="DG47" s="27"/>
      <c r="DH47" s="55"/>
      <c r="DI47" s="55"/>
      <c r="DJ47" s="55"/>
      <c r="DK47" s="55"/>
      <c r="DL47" s="55"/>
      <c r="DM47" s="55"/>
      <c r="DN47" s="55"/>
      <c r="DO47" s="55"/>
      <c r="DP47" s="55"/>
      <c r="DQ47" s="55"/>
      <c r="DR47" s="55"/>
      <c r="DS47" s="55"/>
      <c r="DT47" s="55"/>
      <c r="DU47" s="55"/>
      <c r="DV47" s="55"/>
      <c r="DW47" s="55"/>
      <c r="DX47" s="55"/>
      <c r="DY47" s="55"/>
      <c r="DZ47" s="55"/>
      <c r="EA47" s="55"/>
      <c r="EB47" s="55"/>
      <c r="EC47" s="55"/>
      <c r="ED47" s="55"/>
      <c r="EE47" s="55"/>
      <c r="EF47" s="55"/>
      <c r="EG47" s="55"/>
      <c r="EH47" s="55"/>
      <c r="EI47" s="55"/>
      <c r="EJ47" s="55"/>
      <c r="EK47" s="55"/>
      <c r="EL47" s="24"/>
      <c r="EM47" s="24"/>
      <c r="EN47" s="26"/>
      <c r="EO47" s="24"/>
      <c r="EP47" s="25"/>
      <c r="EQ47" s="25"/>
      <c r="ER47" s="25"/>
      <c r="ES47" s="28"/>
      <c r="ET47" s="24"/>
      <c r="EU47" s="24"/>
      <c r="EV47" s="24"/>
      <c r="EW47" s="24"/>
      <c r="EX47" s="24"/>
      <c r="EY47" s="24"/>
      <c r="EZ47" s="24"/>
      <c r="FA47" s="24"/>
      <c r="FB47" s="24"/>
      <c r="FC47" s="24"/>
      <c r="FD47" s="24"/>
      <c r="FE47" s="24"/>
      <c r="FF47" s="24"/>
      <c r="FG47" s="24"/>
      <c r="FH47" s="24"/>
      <c r="FI47" s="24"/>
      <c r="FJ47" s="24"/>
      <c r="FK47" s="24"/>
      <c r="FL47" s="24"/>
      <c r="FM47" s="24"/>
      <c r="FN47" s="24"/>
      <c r="FO47" s="24"/>
      <c r="FP47" s="24"/>
      <c r="FQ47" s="24"/>
      <c r="FR47" s="24"/>
      <c r="FS47" s="24"/>
      <c r="FT47" s="24"/>
      <c r="FU47" s="24"/>
      <c r="FV47" s="24"/>
      <c r="FW47" s="24"/>
      <c r="FX47" s="24"/>
      <c r="FY47" s="24"/>
      <c r="FZ47" s="26"/>
      <c r="GA47" s="24"/>
      <c r="GB47" s="56"/>
      <c r="GC47" s="56"/>
      <c r="GD47" s="56"/>
      <c r="GE47" s="56"/>
      <c r="GF47" s="56"/>
      <c r="GG47" s="56"/>
      <c r="GH47" s="56"/>
      <c r="GI47" s="56"/>
      <c r="GJ47" s="56"/>
      <c r="GK47" s="56"/>
      <c r="GL47" s="56"/>
      <c r="GM47" s="56"/>
      <c r="GN47" s="56"/>
      <c r="GO47" s="56"/>
      <c r="GP47" s="56"/>
      <c r="GQ47" s="56"/>
      <c r="GR47" s="27"/>
      <c r="GS47" s="27"/>
      <c r="GT47" s="27"/>
      <c r="GU47" s="27"/>
      <c r="GV47" s="27"/>
      <c r="GW47" s="27"/>
      <c r="GX47" s="27"/>
      <c r="GY47" s="27"/>
      <c r="GZ47" s="27"/>
      <c r="HA47" s="27"/>
      <c r="HB47" s="27"/>
      <c r="HC47" s="27"/>
      <c r="HD47" s="27"/>
      <c r="HE47" s="27"/>
      <c r="HF47" s="27"/>
      <c r="HG47" s="27"/>
      <c r="HH47" s="27"/>
      <c r="HI47" s="27"/>
      <c r="HJ47" s="27"/>
      <c r="HK47" s="27"/>
      <c r="HL47" s="27"/>
      <c r="HM47" s="27"/>
      <c r="HN47" s="27"/>
      <c r="HO47" s="27"/>
      <c r="HP47" s="55"/>
      <c r="HQ47" s="27"/>
      <c r="HR47" s="27"/>
      <c r="HS47" s="27"/>
      <c r="HT47" s="27"/>
      <c r="HU47" s="27"/>
      <c r="HV47" s="27"/>
      <c r="HW47" s="27"/>
      <c r="HX47" s="27"/>
      <c r="HY47" s="27"/>
      <c r="HZ47" s="27"/>
      <c r="IA47" s="27"/>
      <c r="IB47" s="27"/>
      <c r="IC47" s="27"/>
      <c r="ID47" s="27"/>
      <c r="IE47" s="27"/>
      <c r="IF47" s="27"/>
      <c r="IG47" s="27"/>
      <c r="IH47" s="27"/>
      <c r="II47" s="27"/>
      <c r="IJ47" s="27"/>
      <c r="IK47" s="27"/>
      <c r="IL47" s="27"/>
      <c r="IM47" s="27"/>
      <c r="IN47" s="27"/>
      <c r="IO47" s="27"/>
      <c r="IP47" s="27"/>
      <c r="IQ47" s="27"/>
      <c r="IR47" s="27"/>
      <c r="IS47" s="27"/>
      <c r="IT47" s="27"/>
      <c r="IU47" s="27"/>
    </row>
    <row r="48" spans="1:272" ht="12" hidden="1" customHeight="1" thickTop="1" thickBot="1" x14ac:dyDescent="0.25">
      <c r="B48" s="66">
        <f>SUM(B14:B45)</f>
        <v>0</v>
      </c>
      <c r="CA48" s="40"/>
      <c r="CB48" s="27"/>
      <c r="CC48" s="27"/>
      <c r="CD48" s="27"/>
      <c r="CE48" s="27"/>
      <c r="CF48" s="27"/>
      <c r="CG48" s="27"/>
      <c r="CH48" s="27"/>
      <c r="CI48" s="27"/>
      <c r="CJ48" s="27"/>
      <c r="CK48" s="27"/>
      <c r="CL48" s="27"/>
      <c r="CM48" s="27"/>
      <c r="CN48" s="27"/>
      <c r="CO48" s="27"/>
      <c r="CP48" s="27"/>
      <c r="CQ48" s="27"/>
      <c r="CR48" s="27"/>
      <c r="CS48" s="27"/>
      <c r="CT48" s="27"/>
      <c r="CU48" s="27"/>
      <c r="CV48" s="27"/>
      <c r="CW48" s="27"/>
      <c r="CX48" s="27"/>
      <c r="CY48" s="27"/>
      <c r="DD48" s="24"/>
      <c r="DE48" s="24"/>
      <c r="DF48" s="24"/>
      <c r="DG48" s="24"/>
      <c r="DH48" s="55"/>
      <c r="DI48" s="55"/>
      <c r="DJ48" s="55"/>
      <c r="DK48" s="55"/>
      <c r="DL48" s="55"/>
      <c r="DM48" s="55"/>
      <c r="DN48" s="55"/>
      <c r="DO48" s="55"/>
      <c r="DP48" s="55"/>
      <c r="DQ48" s="55"/>
      <c r="DR48" s="55"/>
      <c r="DS48" s="55"/>
      <c r="DT48" s="55"/>
      <c r="DU48" s="55"/>
      <c r="DV48" s="55"/>
      <c r="DW48" s="55"/>
      <c r="DX48" s="55"/>
      <c r="DY48" s="55"/>
      <c r="DZ48" s="55"/>
      <c r="EA48" s="55"/>
      <c r="EB48" s="55"/>
      <c r="EC48" s="55"/>
      <c r="ED48" s="55"/>
      <c r="EE48" s="55"/>
      <c r="EF48" s="55"/>
      <c r="EG48" s="55"/>
      <c r="EH48" s="55"/>
      <c r="EI48" s="55"/>
      <c r="EJ48" s="55"/>
      <c r="EK48" s="55"/>
      <c r="EL48" s="24"/>
      <c r="EM48" s="24"/>
      <c r="EN48" s="26"/>
      <c r="EO48" s="24"/>
      <c r="EP48" s="25"/>
      <c r="EQ48" s="25"/>
      <c r="ER48" s="25"/>
      <c r="ES48" s="28"/>
      <c r="ET48" s="24"/>
      <c r="EU48" s="24"/>
      <c r="EV48" s="24"/>
      <c r="EW48" s="24"/>
      <c r="EX48" s="24"/>
      <c r="EY48" s="24"/>
      <c r="EZ48" s="24"/>
      <c r="FA48" s="24"/>
      <c r="FB48" s="24"/>
      <c r="FC48" s="24"/>
      <c r="FD48" s="24"/>
      <c r="FE48" s="24"/>
      <c r="FF48" s="24"/>
      <c r="FG48" s="24"/>
      <c r="FH48" s="24"/>
      <c r="FI48" s="24"/>
      <c r="FJ48" s="24"/>
      <c r="FK48" s="24"/>
      <c r="FL48" s="24"/>
      <c r="FM48" s="24"/>
      <c r="FZ48" s="850" t="s">
        <v>653</v>
      </c>
      <c r="GA48" s="524" t="str">
        <f t="shared" ref="GA48" si="97">IF(GF48="","",CE48)</f>
        <v/>
      </c>
      <c r="GB48" s="566" t="str">
        <f t="shared" ref="GB48" si="98">IF(GF48="","",CF48)</f>
        <v/>
      </c>
      <c r="GC48" s="568" t="str">
        <f t="shared" ref="GC48" si="99">IF(GF48="","",IF(CD88="",0,CD88))</f>
        <v/>
      </c>
      <c r="GD48" s="569" t="str">
        <f t="shared" ref="GD48" si="100">IF(GF48="","",IF(CM88="",0,CM88))</f>
        <v/>
      </c>
      <c r="GE48" s="567"/>
      <c r="GF48" s="525"/>
      <c r="GG48" s="1522"/>
      <c r="GH48" s="1525"/>
      <c r="GI48" s="1522"/>
      <c r="GJ48" s="1525"/>
      <c r="GK48" s="56"/>
      <c r="GL48" s="56"/>
      <c r="GM48" s="56"/>
      <c r="GN48" s="56"/>
      <c r="GO48" s="56"/>
      <c r="GP48" s="56"/>
      <c r="GQ48" s="56"/>
      <c r="GR48" s="70" t="str">
        <f>IF(ISERROR(VLOOKUP($CB48,#REF!,HA$7,FALSE)),"",VLOOKUP($CB48,#REF!,HA$7,FALSE))</f>
        <v/>
      </c>
      <c r="GS48" s="71" t="str">
        <f>IF(ISERROR(VLOOKUP($CB48,#REF!,HB$7,FALSE)),"",IF(VLOOKUP($CB48,#REF!,HB$7,FALSE)="","",VLOOKUP($CB48,#REF!,HB$7,FALSE)))</f>
        <v/>
      </c>
      <c r="GT48" s="72" t="str">
        <f>IF(ISERROR(VLOOKUP($CB48,#REF!,HC$7,FALSE)),"",IF(VLOOKUP($CB48,#REF!,HC$7,FALSE)="","",VLOOKUP($CB48,#REF!,HC$7,FALSE)))</f>
        <v/>
      </c>
      <c r="GU48" s="73" t="str">
        <f>IF(ISERROR(VLOOKUP($CB48,#REF!,HD$7,FALSE)),"",IF(VLOOKUP($CB48,#REF!,HD$7,FALSE)="","",VLOOKUP($CB48,#REF!,HD$7,FALSE)))</f>
        <v/>
      </c>
      <c r="GV48" s="74" t="str">
        <f>IF(ISERROR(VLOOKUP($CB48,#REF!,HE$7,FALSE)),"",IF(VLOOKUP($CB48,#REF!,HE$7,FALSE)="","",VLOOKUP($CB48,#REF!,HE$7,FALSE)))</f>
        <v/>
      </c>
      <c r="GW48" s="75" t="str">
        <f>IF(ISERROR(VLOOKUP($CB48,#REF!,HF$7,FALSE)),"",IF(VLOOKUP($CB48,#REF!,HF$7,FALSE)="","",VLOOKUP($CB48,#REF!,HF$7,FALSE)))</f>
        <v/>
      </c>
      <c r="GX48" s="76" t="str">
        <f>IF(ISERROR(VLOOKUP($CB48,#REF!,HG$7,FALSE)),"",IF(VLOOKUP($CB48,#REF!,HG$7,FALSE)="","",VLOOKUP($CB48,#REF!,HG$7,FALSE)))</f>
        <v/>
      </c>
      <c r="GY48" s="77" t="str">
        <f>IF(ISERROR(VLOOKUP($CB48,#REF!,HH$7,FALSE)),"",IF(VLOOKUP($CB48,#REF!,HH$7,FALSE)="","",VLOOKUP($CB48,#REF!,HH$7,FALSE)))</f>
        <v/>
      </c>
      <c r="GZ48" s="76" t="str">
        <f>IF(ISERROR(VLOOKUP($CB48,#REF!,HI$7,FALSE)),"",IF(VLOOKUP($CB48,#REF!,HI$7,FALSE)="","",VLOOKUP($CB48,#REF!,HI$7,FALSE)))</f>
        <v/>
      </c>
      <c r="HA48" s="77" t="str">
        <f>IF(ISERROR(VLOOKUP($CB48,#REF!,HJ$7,FALSE)),"",IF(VLOOKUP($CB48,#REF!,HJ$7,FALSE)="","",VLOOKUP($CB48,#REF!,HJ$7,FALSE)))</f>
        <v/>
      </c>
      <c r="HB48" s="78" t="str">
        <f>IF(ISERROR(VLOOKUP($CB48,#REF!,HK$7,FALSE)),"",IF(VLOOKUP($CB48,#REF!,HK$7,FALSE)="","",VLOOKUP($CB48,#REF!,HK$7,FALSE)))</f>
        <v/>
      </c>
      <c r="HC48" s="79" t="str">
        <f>IF(ISERROR(VLOOKUP($CB48,#REF!,HL$7,FALSE)),"",IF(VLOOKUP($CB48,#REF!,HL$7,FALSE)="","",VLOOKUP($CB48,#REF!,HL$7,FALSE)))</f>
        <v/>
      </c>
      <c r="HD48" s="75" t="str">
        <f>IF(ISERROR(VLOOKUP($CB48,#REF!,HM$7,FALSE)),"",IF(VLOOKUP($CB48,#REF!,HM$7,FALSE)="","",VLOOKUP($CB48,#REF!,HM$7,FALSE)))</f>
        <v/>
      </c>
      <c r="HE48" s="76" t="str">
        <f>IF(ISERROR(VLOOKUP($CB48,#REF!,HN$7,FALSE)),"",IF(VLOOKUP($CB48,#REF!,HN$7,FALSE)="","",VLOOKUP($CB48,#REF!,HN$7,FALSE)))</f>
        <v/>
      </c>
      <c r="HF48" s="77" t="str">
        <f>IF(ISERROR(VLOOKUP($CB48,#REF!,HO$7,FALSE)),"",IF(VLOOKUP($CB48,#REF!,HO$7,FALSE)="","",VLOOKUP($CB48,#REF!,HO$7,FALSE)))</f>
        <v/>
      </c>
      <c r="HG48" s="76" t="str">
        <f>IF(ISERROR(VLOOKUP($CB48,#REF!,HP$7,FALSE)),"",IF(VLOOKUP($CB48,#REF!,HP$7,FALSE)="","",VLOOKUP($CB48,#REF!,HP$7,FALSE)))</f>
        <v/>
      </c>
      <c r="HH48" s="77" t="str">
        <f>IF(ISERROR(VLOOKUP($CB48,#REF!,HQ$7,FALSE)),"",IF(VLOOKUP($CB48,#REF!,HQ$7,FALSE)="","",VLOOKUP($CB48,#REF!,HQ$7,FALSE)))</f>
        <v/>
      </c>
      <c r="HI48" s="78" t="str">
        <f>IF(ISERROR(VLOOKUP($CB48,#REF!,HR$7,FALSE)),"",IF(VLOOKUP($CB48,#REF!,HR$7,FALSE)="","",VLOOKUP($CB48,#REF!,HR$7,FALSE)))</f>
        <v/>
      </c>
      <c r="HJ48" s="79" t="str">
        <f>IF(ISERROR(VLOOKUP($CB48,#REF!,HS$7,FALSE)),"",IF(VLOOKUP($CB48,#REF!,HS$7,FALSE)="","",VLOOKUP($CB48,#REF!,HS$7,FALSE)))</f>
        <v/>
      </c>
      <c r="HK48" s="80" t="str">
        <f>IF(ISERROR(VLOOKUP($CB48,#REF!,HT$7,FALSE)),"",IF(VLOOKUP($CB48,#REF!,HT$7,FALSE)="","",VLOOKUP($CB48,#REF!,HT$7,FALSE)))</f>
        <v/>
      </c>
      <c r="HL48" s="70" t="str">
        <f>IF(ISERROR(VLOOKUP($CB48,#REF!,HU$7,FALSE)),"",IF(VLOOKUP($CB48,#REF!,HU$7,FALSE)="","",VLOOKUP($CB48,#REF!,HU$7,FALSE)))</f>
        <v/>
      </c>
      <c r="HM48" s="81" t="str">
        <f>IF(ISERROR(VLOOKUP($CB48,#REF!,HV$7,FALSE)),"",IF(VLOOKUP($CB48,#REF!,HV$7,FALSE)="","",VLOOKUP($CB48,#REF!,HV$7,FALSE)))</f>
        <v/>
      </c>
      <c r="HN48" s="82" t="str">
        <f>IF(ISERROR(VLOOKUP($CB48,#REF!,HW$7,FALSE)),"",IF(VLOOKUP($CB48,#REF!,HW$7,FALSE)="","",VLOOKUP($CB48,#REF!,HW$7,FALSE)))</f>
        <v/>
      </c>
      <c r="HO48" s="83" t="str">
        <f>IF(ISERROR(VLOOKUP($CB48,#REF!,HX$7,FALSE)),"",IF(VLOOKUP($CB48,#REF!,HX$7,FALSE)="","",VLOOKUP($CB48,#REF!,HX$7,FALSE)))</f>
        <v/>
      </c>
      <c r="HP48" s="68">
        <f>IF(IU48="",0,1)</f>
        <v>0</v>
      </c>
      <c r="HQ48" s="70" t="str">
        <f ca="1">IF($HP48=0,"",IF(ISBLANK(OFFSET(#REF!,MATCH(OFFSET($DH48,($HP48-1)*-1,0),#REF!,0)+($HP48-2),HZ$9-1)),"",OFFSET(#REF!,MATCH(OFFSET($DH48,($HP48-1)*-1,0),#REF!,0)+($HP48-2),HZ$9-1)))</f>
        <v/>
      </c>
      <c r="HR48" s="84" t="str">
        <f ca="1">IF($HP48=0,"",IF(ISBLANK(OFFSET(#REF!,MATCH(OFFSET($DH48,($HP48-1)*-1,0),#REF!,0)+($HP48-2),IA$9-1)),"",OFFSET(#REF!,MATCH(OFFSET($DH48,($HP48-1)*-1,0),#REF!,0)+($HP48-2),IA$9-1)))</f>
        <v/>
      </c>
      <c r="HS48" s="85" t="str">
        <f ca="1">IF($HP48=0,"",IF(ISBLANK(OFFSET(#REF!,MATCH(OFFSET($DH48,($HP48-1)*-1,0),#REF!,0)+($HP48-2),IB$9-1)),"",OFFSET(#REF!,MATCH(OFFSET($DH48,($HP48-1)*-1,0),#REF!,0)+($HP48-2),IB$9-1)))</f>
        <v/>
      </c>
      <c r="HT48" s="86" t="str">
        <f ca="1">IF($HP48=0,"",IF(ISBLANK(OFFSET(#REF!,MATCH(OFFSET($DH48,($HP48-1)*-1,0),#REF!,0)+($HP48-2),IC$9-1)),"",OFFSET(#REF!,MATCH(OFFSET($DH48,($HP48-1)*-1,0),#REF!,0)+($HP48-2),IC$9-1)))</f>
        <v/>
      </c>
      <c r="HU48" s="87" t="str">
        <f ca="1">IF($HP48=0,"",IF(ISBLANK(OFFSET(#REF!,MATCH(OFFSET($DH48,($HP48-1)*-1,0),#REF!,0)+($HP48-2),ID$9-1)),"",OFFSET(#REF!,MATCH(OFFSET($DH48,($HP48-1)*-1,0),#REF!,0)+($HP48-2),ID$9-1)))</f>
        <v/>
      </c>
      <c r="HV48" s="88" t="str">
        <f ca="1">IF($HP48=0,"",IF(ISBLANK(OFFSET(#REF!,MATCH(OFFSET($DH48,($HP48-1)*-1,0),#REF!,0)+($HP48-2),IE$9-1)),"",OFFSET(#REF!,MATCH(OFFSET($DH48,($HP48-1)*-1,0),#REF!,0)+($HP48-2),IE$9-1)))</f>
        <v/>
      </c>
      <c r="HW48" s="89" t="str">
        <f ca="1">IF($HP48=0,"",IF(ISBLANK(OFFSET(#REF!,MATCH(OFFSET($DH48,($HP48-1)*-1,0),#REF!,0)+($HP48-2),IF$9-1)),"",OFFSET(#REF!,MATCH(OFFSET($DH48,($HP48-1)*-1,0),#REF!,0)+($HP48-2),IF$9-1)))</f>
        <v/>
      </c>
      <c r="HX48" s="90" t="str">
        <f ca="1">IF($HP48=0,"",IF(ISBLANK(OFFSET(#REF!,MATCH(OFFSET($DH48,($HP48-1)*-1,0),#REF!,0)+($HP48-2),IG$9-1)),"",OFFSET(#REF!,MATCH(OFFSET($DH48,($HP48-1)*-1,0),#REF!,0)+($HP48-2),IG$9-1)))</f>
        <v/>
      </c>
      <c r="HY48" s="91" t="str">
        <f ca="1">IF($HP48=0,"",IF(ISBLANK(OFFSET(#REF!,MATCH(OFFSET($DH48,($HP48-1)*-1,0),#REF!,0)+($HP48-2),IH$9-1)),"",OFFSET(#REF!,MATCH(OFFSET($DH48,($HP48-1)*-1,0),#REF!,0)+($HP48-2),IH$9-1)))</f>
        <v/>
      </c>
      <c r="HZ48" s="92" t="str">
        <f ca="1">IF($HP48=0,"",IF(ISBLANK(OFFSET(#REF!,MATCH(OFFSET($DH48,($HP48-1)*-1,0),#REF!,0)+($HP48-2),II$9-1)),"",OFFSET(#REF!,MATCH(OFFSET($DH48,($HP48-1)*-1,0),#REF!,0)+($HP48-2),II$9-1)))</f>
        <v/>
      </c>
      <c r="IA48" s="92" t="str">
        <f ca="1">IF($HP48=0,"",IF(ISBLANK(OFFSET(#REF!,MATCH(OFFSET($DH48,($HP48-1)*-1,0),#REF!,0)+($HP48-2),IJ$9-1)),"",OFFSET(#REF!,MATCH(OFFSET($DH48,($HP48-1)*-1,0),#REF!,0)+($HP48-2),IJ$9-1)))</f>
        <v/>
      </c>
      <c r="IB48" s="92" t="str">
        <f ca="1">IF($HP48=0,"",IF(ISBLANK(OFFSET(#REF!,MATCH(OFFSET($DH48,($HP48-1)*-1,0),#REF!,0)+($HP48-2),IK$9-1)),"",OFFSET(#REF!,MATCH(OFFSET($DH48,($HP48-1)*-1,0),#REF!,0)+($HP48-2),IK$9-1)))</f>
        <v/>
      </c>
      <c r="IC48" s="93" t="str">
        <f ca="1">IF($HP48=0,"",IF(ISBLANK(OFFSET(#REF!,MATCH(OFFSET($DH48,($HP48-1)*-1,0),#REF!,0)+($HP48-2),IL$9-1)),"",OFFSET(#REF!,MATCH(OFFSET($DH48,($HP48-1)*-1,0),#REF!,0)+($HP48-2),IL$9-1)))</f>
        <v/>
      </c>
      <c r="ID48" s="94" t="str">
        <f ca="1">IF($HP48=0,"",IF(ISBLANK(OFFSET(#REF!,MATCH(OFFSET($DH48,($HP48-1)*-1,0),#REF!,0)+($HP48-2),IM$9-1)),"",OFFSET(#REF!,MATCH(OFFSET($DH48,($HP48-1)*-1,0),#REF!,0)+($HP48-2),IM$9-1)))</f>
        <v/>
      </c>
      <c r="IE48" s="95" t="str">
        <f ca="1">IF($HP48=0,"",IF(ISBLANK(OFFSET(#REF!,MATCH(OFFSET($DH48,($HP48-1)*-1,0),#REF!,0)+($HP48-2),IN$9-1)),"",OFFSET(#REF!,MATCH(OFFSET($DH48,($HP48-1)*-1,0),#REF!,0)+($HP48-2),IN$9-1)))</f>
        <v/>
      </c>
      <c r="IF48" s="96" t="str">
        <f ca="1">IF($HP48=0,"",IF(ISBLANK(OFFSET(#REF!,MATCH(OFFSET($DH48,($HP48-1)*-1,0),#REF!,0)+($HP48-2),IO$9-1)),"",OFFSET(#REF!,MATCH(OFFSET($DH48,($HP48-1)*-1,0),#REF!,0)+($HP48-2),IO$9-1)))</f>
        <v/>
      </c>
      <c r="IG48" s="97" t="str">
        <f ca="1">IF($HP48=0,"",IF(ISBLANK(OFFSET(#REF!,MATCH(OFFSET($DH48,($HP48-1)*-1,0),#REF!,0)+($HP48-2),IP$9-1)),"",OFFSET(#REF!,MATCH(OFFSET($DH48,($HP48-1)*-1,0),#REF!,0)+($HP48-2),IP$9-1)))</f>
        <v/>
      </c>
      <c r="IH48" s="98" t="str">
        <f ca="1">IF($HP48=0,"",IF(ISBLANK(OFFSET(#REF!,MATCH(OFFSET($DH48,($HP48-1)*-1,0),#REF!,0)+($HP48-2),IQ$9-1)),"",OFFSET(#REF!,MATCH(OFFSET($DH48,($HP48-1)*-1,0),#REF!,0)+($HP48-2),IQ$9-1)))</f>
        <v/>
      </c>
      <c r="II48" s="95" t="str">
        <f ca="1">IF($HP48=0,"",IF(ISBLANK(OFFSET(#REF!,MATCH(OFFSET($DH48,($HP48-1)*-1,0),#REF!,0)+($HP48-2),IR$9-1)),"",OFFSET(#REF!,MATCH(OFFSET($DH48,($HP48-1)*-1,0),#REF!,0)+($HP48-2),IR$9-1)))</f>
        <v/>
      </c>
      <c r="IJ48" s="96" t="str">
        <f ca="1">IF($HP48=0,"",IF(ISBLANK(OFFSET(#REF!,MATCH(OFFSET($DH48,($HP48-1)*-1,0),#REF!,0)+($HP48-2),IS$9-1)),"",OFFSET(#REF!,MATCH(OFFSET($DH48,($HP48-1)*-1,0),#REF!,0)+($HP48-2),IS$9-1)))</f>
        <v/>
      </c>
      <c r="IK48" s="97" t="str">
        <f ca="1">IF($HP48=0,"",IF(ISBLANK(OFFSET(#REF!,MATCH(OFFSET($DH48,($HP48-1)*-1,0),#REF!,0)+($HP48-2),IT$9-1)),"",OFFSET(#REF!,MATCH(OFFSET($DH48,($HP48-1)*-1,0),#REF!,0)+($HP48-2),IT$9-1)))</f>
        <v/>
      </c>
      <c r="IL48" s="98" t="str">
        <f ca="1">IF($HP48=0,"",IF(ISBLANK(OFFSET(#REF!,MATCH(OFFSET($DH48,($HP48-1)*-1,0),#REF!,0)+($HP48-2),IU$9-1)),"",OFFSET(#REF!,MATCH(OFFSET($DH48,($HP48-1)*-1,0),#REF!,0)+($HP48-2),IU$9-1)))</f>
        <v/>
      </c>
      <c r="IM48" s="95" t="str">
        <f ca="1">IF($HP48=0,"",IF(ISBLANK(OFFSET(#REF!,MATCH(OFFSET($DH48,($HP48-1)*-1,0),#REF!,0)+($HP48-2),IV$9-1)),"",OFFSET(#REF!,MATCH(OFFSET($DH48,($HP48-1)*-1,0),#REF!,0)+($HP48-2),IV$9-1)))</f>
        <v/>
      </c>
      <c r="IN48" s="99" t="str">
        <f ca="1">IF($HP48=0,"",IF(ISBLANK(OFFSET(#REF!,MATCH(OFFSET($DH48,($HP48-1)*-1,0),#REF!,0)+($HP48-2),IW$9-1)),"",OFFSET(#REF!,MATCH(OFFSET($DH48,($HP48-1)*-1,0),#REF!,0)+($HP48-2),IW$9-1)))</f>
        <v/>
      </c>
      <c r="IO48" s="97" t="str">
        <f ca="1">IF($HP48=0,"",IF(ISBLANK(OFFSET(#REF!,MATCH(OFFSET($DH48,($HP48-1)*-1,0),#REF!,0)+($HP48-2),IX$9-1)),"",OFFSET(#REF!,MATCH(OFFSET($DH48,($HP48-1)*-1,0),#REF!,0)+($HP48-2),IX$9-1)))</f>
        <v/>
      </c>
      <c r="IP48" s="98" t="str">
        <f ca="1">IF($HP48=0,"",IF(ISBLANK(OFFSET(#REF!,MATCH(OFFSET($DH48,($HP48-1)*-1,0),#REF!,0)+($HP48-2),IY$9-1)),"",OFFSET(#REF!,MATCH(OFFSET($DH48,($HP48-1)*-1,0),#REF!,0)+($HP48-2),IY$9-1)))</f>
        <v/>
      </c>
      <c r="IQ48" s="100" t="str">
        <f ca="1">IF($HP48=0,"",IF(ISBLANK(OFFSET(#REF!,MATCH(OFFSET($DH48,($HP48-1)*-1,0),#REF!,0)+($HP48-2),IZ$9-1)),"",OFFSET(#REF!,MATCH(OFFSET($DH48,($HP48-1)*-1,0),#REF!,0)+($HP48-2),IZ$9-1)))</f>
        <v/>
      </c>
      <c r="IR48" s="99" t="str">
        <f ca="1">IF($HP48=0,"",IF(ISBLANK(OFFSET(#REF!,MATCH(OFFSET($DH48,($HP48-1)*-1,0),#REF!,0)+($HP48-2),JA$9-1)),"",OFFSET(#REF!,MATCH(OFFSET($DH48,($HP48-1)*-1,0),#REF!,0)+($HP48-2),JA$9-1)))</f>
        <v/>
      </c>
      <c r="IS48" s="97" t="str">
        <f ca="1">IF($HP48=0,"",IF(ISBLANK(OFFSET(#REF!,MATCH(OFFSET($DH48,($HP48-1)*-1,0),#REF!,0)+($HP48-2),JB$9-1)),"",OFFSET(#REF!,MATCH(OFFSET($DH48,($HP48-1)*-1,0),#REF!,0)+($HP48-2),JB$9-1)))</f>
        <v/>
      </c>
      <c r="IT48" s="101" t="str">
        <f ca="1">IF($HP48=0,"",IF(ISBLANK(OFFSET(#REF!,MATCH(OFFSET($DH48,($HP48-1)*-1,0),#REF!,0)+($HP48-2),JC$9-1)),"",OFFSET(#REF!,MATCH(OFFSET($DH48,($HP48-1)*-1,0),#REF!,0)+($HP48-2),JC$9-1)))</f>
        <v/>
      </c>
      <c r="IU48" s="102" t="str">
        <f>IF(ISERROR(VLOOKUP($DH48,#REF!,JD$9,FALSE)),"",IF(VLOOKUP($DH48,#REF!,JD$9,FALSE)="","",VLOOKUP($DH48,#REF!,JD$9,FALSE)))</f>
        <v/>
      </c>
    </row>
    <row r="49" spans="1:222" ht="12.6" hidden="1" customHeight="1" thickBot="1" x14ac:dyDescent="0.25">
      <c r="B49" s="142">
        <v>0</v>
      </c>
      <c r="C49" s="67"/>
      <c r="CI49" s="27"/>
      <c r="CJ49" s="27"/>
      <c r="CK49" s="27"/>
      <c r="CL49" s="27"/>
      <c r="CM49" s="27"/>
      <c r="CN49" s="27"/>
      <c r="CO49" s="27"/>
      <c r="GD49" s="56"/>
      <c r="GE49" s="56"/>
      <c r="GF49" s="56"/>
      <c r="GG49" s="56"/>
      <c r="GH49" s="56"/>
      <c r="GI49" s="56"/>
      <c r="GJ49" s="56"/>
      <c r="GK49" s="56"/>
      <c r="GL49" s="56"/>
      <c r="GM49" s="56"/>
      <c r="GN49" s="56"/>
      <c r="GO49" s="56"/>
      <c r="GP49" s="56"/>
      <c r="GQ49" s="56"/>
      <c r="GR49" s="56"/>
      <c r="GS49" s="56"/>
      <c r="GT49" s="56"/>
      <c r="GU49" s="56"/>
      <c r="GV49" s="56"/>
      <c r="GW49" s="56"/>
      <c r="GX49" s="56"/>
      <c r="GY49" s="56"/>
      <c r="GZ49" s="56"/>
      <c r="HB49" s="59"/>
      <c r="HC49" s="59"/>
      <c r="HD49" s="60"/>
      <c r="HE49" s="61"/>
      <c r="HF49" s="59"/>
      <c r="HG49" s="59"/>
      <c r="HH49" s="59"/>
      <c r="HI49" s="59"/>
      <c r="HJ49" s="59"/>
      <c r="HK49" s="59"/>
      <c r="HL49" s="59"/>
      <c r="HM49" s="59"/>
      <c r="HN49" s="59"/>
    </row>
    <row r="50" spans="1:222" ht="12.6" hidden="1" customHeight="1" thickBot="1" x14ac:dyDescent="0.25">
      <c r="BZ50" s="214"/>
      <c r="CA50" s="214"/>
      <c r="CB50" s="214"/>
      <c r="CC50" s="214"/>
      <c r="CD50" s="214"/>
      <c r="CE50" s="214"/>
      <c r="CF50" s="214"/>
      <c r="CG50" s="214"/>
      <c r="CH50" s="214"/>
      <c r="CI50" s="214"/>
      <c r="CJ50" s="214"/>
      <c r="CK50" s="214"/>
      <c r="CL50" s="214"/>
      <c r="CM50" s="214"/>
      <c r="CN50" s="214"/>
      <c r="CO50" s="214"/>
      <c r="CP50" s="214"/>
      <c r="CQ50" s="214"/>
      <c r="CR50" s="214"/>
      <c r="CS50" s="214"/>
      <c r="CT50" s="214"/>
      <c r="CU50" s="258"/>
      <c r="CV50" s="259"/>
      <c r="CW50" s="259"/>
      <c r="CX50" s="213"/>
      <c r="CY50" s="214"/>
      <c r="CZ50" s="214"/>
      <c r="DA50" s="214"/>
      <c r="DB50" s="214"/>
      <c r="DC50" s="214"/>
      <c r="DD50" s="214"/>
      <c r="DE50" s="214"/>
      <c r="DF50" s="214"/>
      <c r="DG50" s="214"/>
      <c r="DH50" s="214"/>
      <c r="DI50" s="231"/>
      <c r="DJ50" s="231"/>
      <c r="DK50" s="231"/>
      <c r="DL50" s="214"/>
      <c r="DM50" s="214"/>
      <c r="DN50" s="213"/>
      <c r="DO50" s="214"/>
      <c r="DP50" s="214"/>
      <c r="DQ50" s="214"/>
      <c r="DR50" s="214"/>
      <c r="DS50" s="214"/>
      <c r="DT50" s="214"/>
      <c r="DU50" s="214"/>
      <c r="DV50" s="214"/>
      <c r="DW50" s="214"/>
      <c r="DX50" s="214"/>
      <c r="DY50" s="214"/>
      <c r="DZ50" s="214"/>
      <c r="EA50" s="214"/>
      <c r="EB50" s="213"/>
      <c r="EC50" s="260"/>
      <c r="ED50" s="1890" t="s">
        <v>169</v>
      </c>
      <c r="EE50" s="1890" t="s">
        <v>222</v>
      </c>
      <c r="EF50" s="1890" t="s">
        <v>223</v>
      </c>
      <c r="EG50" s="1890" t="s">
        <v>224</v>
      </c>
      <c r="EH50" s="1890" t="s">
        <v>225</v>
      </c>
      <c r="EI50" s="1890" t="s">
        <v>226</v>
      </c>
      <c r="EJ50" s="1890" t="s">
        <v>227</v>
      </c>
      <c r="EK50" s="1890" t="s">
        <v>228</v>
      </c>
      <c r="EL50" s="1890" t="s">
        <v>170</v>
      </c>
      <c r="EM50" s="1890" t="s">
        <v>229</v>
      </c>
      <c r="EN50" s="1890" t="s">
        <v>261</v>
      </c>
      <c r="EO50" s="1890" t="s">
        <v>171</v>
      </c>
      <c r="EP50" s="1890" t="s">
        <v>230</v>
      </c>
      <c r="EQ50" s="1890" t="s">
        <v>172</v>
      </c>
      <c r="ER50" s="1890" t="s">
        <v>231</v>
      </c>
      <c r="ES50" s="1890" t="s">
        <v>262</v>
      </c>
      <c r="ET50" s="1890" t="s">
        <v>173</v>
      </c>
      <c r="EU50" s="1890" t="s">
        <v>174</v>
      </c>
      <c r="EV50" s="214"/>
      <c r="EW50" s="214"/>
      <c r="EX50" s="214"/>
      <c r="EY50" s="217"/>
      <c r="EZ50" s="217"/>
      <c r="FA50" s="217"/>
      <c r="FB50" s="214"/>
      <c r="FC50" s="214"/>
      <c r="FD50" s="214"/>
      <c r="FG50" s="41"/>
      <c r="FH50" s="41"/>
      <c r="FI50" s="41"/>
      <c r="FJ50" s="41"/>
      <c r="FK50" s="41"/>
      <c r="FL50" s="155"/>
      <c r="FM50" s="155"/>
      <c r="FN50" s="1907" t="s">
        <v>292</v>
      </c>
      <c r="FO50" s="1908"/>
      <c r="FP50" s="1908"/>
      <c r="FQ50" s="1908"/>
      <c r="FR50" s="1908"/>
      <c r="FS50" s="1909"/>
      <c r="FT50" s="1955" t="s">
        <v>293</v>
      </c>
      <c r="FU50" s="1956"/>
      <c r="FV50" s="1956"/>
      <c r="FW50" s="1956"/>
      <c r="FX50" s="1956"/>
      <c r="FY50" s="1956"/>
      <c r="FZ50" s="1957"/>
      <c r="GA50" s="154"/>
      <c r="GB50" s="154"/>
      <c r="GC50" s="154"/>
      <c r="GD50" s="154"/>
      <c r="GE50" s="154"/>
      <c r="GF50" s="154"/>
      <c r="GG50" s="154"/>
      <c r="GH50" s="154"/>
      <c r="GI50" s="154"/>
      <c r="GJ50" s="154"/>
      <c r="GK50" s="154"/>
      <c r="GL50" s="56"/>
      <c r="GM50" s="56"/>
      <c r="GN50" s="56"/>
      <c r="GO50" s="56"/>
      <c r="GP50" s="56"/>
      <c r="GQ50" s="56"/>
      <c r="GR50" s="56"/>
      <c r="GS50" s="56"/>
      <c r="GT50" s="56"/>
      <c r="GU50" s="56"/>
      <c r="GV50" s="56"/>
      <c r="GW50" s="56"/>
      <c r="GX50" s="56"/>
      <c r="GY50" s="56"/>
      <c r="GZ50" s="56"/>
      <c r="HB50" s="59"/>
      <c r="HC50" s="59"/>
      <c r="HD50" s="60"/>
      <c r="HE50" s="61"/>
      <c r="HF50" s="59"/>
      <c r="HG50" s="59"/>
      <c r="HH50" s="59"/>
      <c r="HI50" s="59"/>
      <c r="HJ50" s="59"/>
      <c r="HK50" s="59"/>
      <c r="HL50" s="59"/>
      <c r="HM50" s="59"/>
      <c r="HN50" s="59"/>
    </row>
    <row r="51" spans="1:222" ht="12.6" hidden="1" customHeight="1" thickTop="1" thickBot="1" x14ac:dyDescent="0.25">
      <c r="BZ51" s="214"/>
      <c r="CA51" s="214"/>
      <c r="CB51" s="214"/>
      <c r="CC51" s="2060" t="s">
        <v>290</v>
      </c>
      <c r="CD51" s="2061"/>
      <c r="CE51" s="2061"/>
      <c r="CF51" s="2061"/>
      <c r="CG51" s="2061"/>
      <c r="CH51" s="2061"/>
      <c r="CI51" s="2061"/>
      <c r="CJ51" s="2061"/>
      <c r="CK51" s="2062"/>
      <c r="CL51" s="2060" t="s">
        <v>167</v>
      </c>
      <c r="CM51" s="2061"/>
      <c r="CN51" s="2061"/>
      <c r="CO51" s="2061"/>
      <c r="CP51" s="2061"/>
      <c r="CQ51" s="2061"/>
      <c r="CR51" s="2061"/>
      <c r="CS51" s="2061"/>
      <c r="CT51" s="2062"/>
      <c r="CU51" s="261"/>
      <c r="CV51" s="262"/>
      <c r="CW51" s="262"/>
      <c r="CX51" s="262"/>
      <c r="CY51" s="262"/>
      <c r="CZ51" s="262"/>
      <c r="DA51" s="262"/>
      <c r="DB51" s="262"/>
      <c r="DC51" s="262"/>
      <c r="DD51" s="262"/>
      <c r="DE51" s="262"/>
      <c r="DF51" s="262"/>
      <c r="DG51" s="262"/>
      <c r="DH51" s="262"/>
      <c r="DI51" s="262"/>
      <c r="DJ51" s="262"/>
      <c r="DK51" s="262"/>
      <c r="DL51" s="262"/>
      <c r="DM51" s="262"/>
      <c r="DN51" s="263"/>
      <c r="DO51" s="262"/>
      <c r="DP51" s="262"/>
      <c r="DQ51" s="262"/>
      <c r="DR51" s="262"/>
      <c r="DS51" s="262"/>
      <c r="DT51" s="262"/>
      <c r="DU51" s="262"/>
      <c r="DV51" s="262"/>
      <c r="DW51" s="262"/>
      <c r="DX51" s="262"/>
      <c r="DY51" s="262"/>
      <c r="DZ51" s="262"/>
      <c r="EA51" s="262"/>
      <c r="EB51" s="264"/>
      <c r="EC51" s="265"/>
      <c r="ED51" s="1891"/>
      <c r="EE51" s="1919"/>
      <c r="EF51" s="1919"/>
      <c r="EG51" s="2003"/>
      <c r="EH51" s="1919"/>
      <c r="EI51" s="1919"/>
      <c r="EJ51" s="1919"/>
      <c r="EK51" s="1891"/>
      <c r="EL51" s="1891"/>
      <c r="EM51" s="1891"/>
      <c r="EN51" s="1919"/>
      <c r="EO51" s="1891"/>
      <c r="EP51" s="1891"/>
      <c r="EQ51" s="1891"/>
      <c r="ER51" s="1891"/>
      <c r="ES51" s="1891"/>
      <c r="ET51" s="1891"/>
      <c r="EU51" s="1891"/>
      <c r="EV51" s="214"/>
      <c r="EW51" s="214"/>
      <c r="EX51" s="1894" t="s">
        <v>294</v>
      </c>
      <c r="EY51" s="1892" t="s">
        <v>295</v>
      </c>
      <c r="EZ51" s="214"/>
      <c r="FA51" s="214"/>
      <c r="FB51" s="214"/>
      <c r="FC51" s="214"/>
      <c r="FD51" s="214"/>
      <c r="FF51" s="1985" t="s">
        <v>552</v>
      </c>
      <c r="FG51" s="1986"/>
      <c r="FH51" s="1986"/>
      <c r="FI51" s="1986"/>
      <c r="FL51" s="155"/>
      <c r="FM51" s="155"/>
      <c r="FN51" s="1910"/>
      <c r="FO51" s="1911"/>
      <c r="FP51" s="1911"/>
      <c r="FQ51" s="1911"/>
      <c r="FR51" s="1911"/>
      <c r="FS51" s="1912"/>
      <c r="FT51" s="1958"/>
      <c r="FU51" s="1959"/>
      <c r="FV51" s="1959"/>
      <c r="FW51" s="1959"/>
      <c r="FX51" s="1959"/>
      <c r="FY51" s="1959"/>
      <c r="FZ51" s="1960"/>
      <c r="GA51" s="154"/>
      <c r="GB51" s="154"/>
      <c r="GC51" s="154"/>
      <c r="GD51" s="154"/>
      <c r="GE51" s="154"/>
      <c r="GF51" s="154"/>
      <c r="GG51" s="154"/>
      <c r="GH51" s="154"/>
      <c r="GI51" s="154"/>
      <c r="GJ51" s="154"/>
      <c r="GK51" s="1"/>
      <c r="GL51" s="56"/>
      <c r="GM51" s="56"/>
      <c r="GN51" s="56"/>
      <c r="GO51" s="56"/>
      <c r="GP51" s="56"/>
      <c r="GQ51" s="56"/>
      <c r="GR51" s="56"/>
      <c r="GS51" s="56"/>
      <c r="GT51" s="56"/>
      <c r="GU51" s="56"/>
      <c r="GV51" s="56"/>
      <c r="GW51" s="56"/>
      <c r="GX51" s="56"/>
      <c r="GY51" s="56"/>
      <c r="GZ51" s="56"/>
      <c r="HB51" s="59"/>
      <c r="HC51" s="59"/>
      <c r="HD51" s="60"/>
      <c r="HE51" s="61"/>
      <c r="HF51" s="59"/>
      <c r="HG51" s="59"/>
      <c r="HH51" s="59"/>
      <c r="HI51" s="59"/>
      <c r="HJ51" s="59"/>
      <c r="HK51" s="59"/>
      <c r="HL51" s="59"/>
      <c r="HM51" s="59"/>
      <c r="HN51" s="59"/>
    </row>
    <row r="52" spans="1:222" ht="12.6" hidden="1" customHeight="1" thickTop="1" thickBot="1" x14ac:dyDescent="0.25">
      <c r="BZ52" s="214"/>
      <c r="CA52" s="214"/>
      <c r="CB52" s="1990" t="s">
        <v>289</v>
      </c>
      <c r="CC52" s="2057" t="s">
        <v>195</v>
      </c>
      <c r="CD52" s="1992" t="s">
        <v>196</v>
      </c>
      <c r="CE52" s="1992" t="s">
        <v>197</v>
      </c>
      <c r="CF52" s="1992" t="s">
        <v>198</v>
      </c>
      <c r="CG52" s="1992" t="s">
        <v>254</v>
      </c>
      <c r="CH52" s="1992" t="s">
        <v>199</v>
      </c>
      <c r="CI52" s="1992" t="s">
        <v>258</v>
      </c>
      <c r="CJ52" s="1992" t="s">
        <v>200</v>
      </c>
      <c r="CK52" s="2059" t="s">
        <v>201</v>
      </c>
      <c r="CL52" s="2057" t="s">
        <v>195</v>
      </c>
      <c r="CM52" s="1992" t="s">
        <v>196</v>
      </c>
      <c r="CN52" s="1992" t="s">
        <v>202</v>
      </c>
      <c r="CO52" s="1992" t="s">
        <v>198</v>
      </c>
      <c r="CP52" s="1992" t="s">
        <v>254</v>
      </c>
      <c r="CQ52" s="1992" t="s">
        <v>199</v>
      </c>
      <c r="CR52" s="1992" t="s">
        <v>258</v>
      </c>
      <c r="CS52" s="1992" t="s">
        <v>200</v>
      </c>
      <c r="CT52" s="2059" t="s">
        <v>201</v>
      </c>
      <c r="CU52" s="1998" t="s">
        <v>188</v>
      </c>
      <c r="CV52" s="1920" t="s">
        <v>203</v>
      </c>
      <c r="CW52" s="1920" t="s">
        <v>204</v>
      </c>
      <c r="CX52" s="1917" t="s">
        <v>205</v>
      </c>
      <c r="CY52" s="2056" t="s">
        <v>240</v>
      </c>
      <c r="CZ52" s="2001" t="s">
        <v>206</v>
      </c>
      <c r="DA52" s="2002"/>
      <c r="DB52" s="2056" t="s">
        <v>207</v>
      </c>
      <c r="DC52" s="1920" t="s">
        <v>210</v>
      </c>
      <c r="DD52" s="1920" t="s">
        <v>211</v>
      </c>
      <c r="DE52" s="2056" t="s">
        <v>241</v>
      </c>
      <c r="DF52" s="2001" t="s">
        <v>208</v>
      </c>
      <c r="DG52" s="2002"/>
      <c r="DH52" s="1920" t="s">
        <v>209</v>
      </c>
      <c r="DI52" s="1920" t="s">
        <v>212</v>
      </c>
      <c r="DJ52" s="1920" t="s">
        <v>213</v>
      </c>
      <c r="DK52" s="1920" t="s">
        <v>214</v>
      </c>
      <c r="DL52" s="1920" t="s">
        <v>242</v>
      </c>
      <c r="DM52" s="1915" t="s">
        <v>243</v>
      </c>
      <c r="DN52" s="2070"/>
      <c r="DO52" s="1915" t="s">
        <v>244</v>
      </c>
      <c r="DP52" s="1916"/>
      <c r="DQ52" s="1917" t="s">
        <v>245</v>
      </c>
      <c r="DR52" s="1918"/>
      <c r="DS52" s="1920" t="s">
        <v>255</v>
      </c>
      <c r="DT52" s="1915" t="s">
        <v>246</v>
      </c>
      <c r="DU52" s="2070"/>
      <c r="DV52" s="1915" t="s">
        <v>247</v>
      </c>
      <c r="DW52" s="1916"/>
      <c r="DX52" s="1917" t="s">
        <v>248</v>
      </c>
      <c r="DY52" s="1918"/>
      <c r="DZ52" s="1920" t="s">
        <v>12</v>
      </c>
      <c r="EA52" s="1920" t="s">
        <v>13</v>
      </c>
      <c r="EB52" s="1920" t="s">
        <v>260</v>
      </c>
      <c r="EC52" s="1920" t="s">
        <v>259</v>
      </c>
      <c r="ED52" s="1891"/>
      <c r="EE52" s="1919"/>
      <c r="EF52" s="1919"/>
      <c r="EG52" s="2003"/>
      <c r="EH52" s="1919"/>
      <c r="EI52" s="1919"/>
      <c r="EJ52" s="1919"/>
      <c r="EK52" s="1891"/>
      <c r="EL52" s="1891"/>
      <c r="EM52" s="1891"/>
      <c r="EN52" s="1919"/>
      <c r="EO52" s="1891"/>
      <c r="EP52" s="1891"/>
      <c r="EQ52" s="1891"/>
      <c r="ER52" s="1891"/>
      <c r="ES52" s="1891"/>
      <c r="ET52" s="1891"/>
      <c r="EU52" s="1891"/>
      <c r="EV52" s="1920" t="s">
        <v>268</v>
      </c>
      <c r="EW52" s="1920" t="s">
        <v>269</v>
      </c>
      <c r="EX52" s="1895"/>
      <c r="EY52" s="1892"/>
      <c r="EZ52" s="1979" t="s">
        <v>215</v>
      </c>
      <c r="FA52" s="1981" t="s">
        <v>216</v>
      </c>
      <c r="FB52" s="1896" t="s">
        <v>351</v>
      </c>
      <c r="FC52" s="1896" t="s">
        <v>352</v>
      </c>
      <c r="FD52" s="1977" t="s">
        <v>401</v>
      </c>
      <c r="FE52" s="1978"/>
      <c r="FF52" s="155" t="s">
        <v>553</v>
      </c>
      <c r="FK52" s="1963" t="s">
        <v>403</v>
      </c>
      <c r="FL52" s="1965" t="s">
        <v>296</v>
      </c>
      <c r="FM52" s="1967" t="s">
        <v>187</v>
      </c>
      <c r="FN52" s="1975" t="s">
        <v>189</v>
      </c>
      <c r="FO52" s="2202" t="s">
        <v>190</v>
      </c>
      <c r="FP52" s="2190" t="s">
        <v>191</v>
      </c>
      <c r="FQ52" s="2190" t="s">
        <v>192</v>
      </c>
      <c r="FR52" s="2198" t="s">
        <v>193</v>
      </c>
      <c r="FS52" s="2195" t="s">
        <v>194</v>
      </c>
      <c r="FT52" s="1961" t="s">
        <v>316</v>
      </c>
      <c r="FU52" s="1903" t="s">
        <v>181</v>
      </c>
      <c r="FV52" s="1903" t="s">
        <v>319</v>
      </c>
      <c r="FW52" s="1903" t="s">
        <v>318</v>
      </c>
      <c r="FX52" s="1903" t="s">
        <v>182</v>
      </c>
      <c r="FY52" s="1903" t="s">
        <v>317</v>
      </c>
      <c r="FZ52" s="1903" t="s">
        <v>320</v>
      </c>
      <c r="GA52" s="1903" t="s">
        <v>183</v>
      </c>
      <c r="GB52" s="1905" t="s">
        <v>184</v>
      </c>
      <c r="GC52" s="1901" t="s">
        <v>301</v>
      </c>
      <c r="GD52" s="116"/>
      <c r="GE52" s="49"/>
      <c r="GF52" s="49"/>
      <c r="GG52" s="53"/>
      <c r="GH52" s="53"/>
      <c r="GI52" s="54"/>
      <c r="GJ52" s="1899" t="s">
        <v>321</v>
      </c>
      <c r="GK52" s="1"/>
      <c r="GL52" s="56"/>
      <c r="GM52" s="56"/>
    </row>
    <row r="53" spans="1:222" ht="12.6" hidden="1" customHeight="1" thickTop="1" thickBot="1" x14ac:dyDescent="0.25">
      <c r="BZ53" s="214"/>
      <c r="CA53" s="214"/>
      <c r="CB53" s="1991"/>
      <c r="CC53" s="2058"/>
      <c r="CD53" s="1898"/>
      <c r="CE53" s="1898"/>
      <c r="CF53" s="1993"/>
      <c r="CG53" s="1993"/>
      <c r="CH53" s="1993"/>
      <c r="CI53" s="1993"/>
      <c r="CJ53" s="1993"/>
      <c r="CK53" s="1982"/>
      <c r="CL53" s="2058"/>
      <c r="CM53" s="1898"/>
      <c r="CN53" s="1898"/>
      <c r="CO53" s="1993"/>
      <c r="CP53" s="1993"/>
      <c r="CQ53" s="1993"/>
      <c r="CR53" s="1993"/>
      <c r="CS53" s="1993"/>
      <c r="CT53" s="1982"/>
      <c r="CU53" s="1999"/>
      <c r="CV53" s="1921"/>
      <c r="CW53" s="1997"/>
      <c r="CX53" s="2000"/>
      <c r="CY53" s="1891"/>
      <c r="CZ53" s="266" t="s">
        <v>251</v>
      </c>
      <c r="DA53" s="266" t="s">
        <v>252</v>
      </c>
      <c r="DB53" s="1891"/>
      <c r="DC53" s="1921"/>
      <c r="DD53" s="1921"/>
      <c r="DE53" s="1891"/>
      <c r="DF53" s="266" t="s">
        <v>251</v>
      </c>
      <c r="DG53" s="266" t="s">
        <v>252</v>
      </c>
      <c r="DH53" s="1921"/>
      <c r="DI53" s="1921"/>
      <c r="DJ53" s="1921"/>
      <c r="DK53" s="1921"/>
      <c r="DL53" s="1921"/>
      <c r="DM53" s="267" t="s">
        <v>218</v>
      </c>
      <c r="DN53" s="267" t="s">
        <v>219</v>
      </c>
      <c r="DO53" s="267" t="s">
        <v>218</v>
      </c>
      <c r="DP53" s="267" t="s">
        <v>219</v>
      </c>
      <c r="DQ53" s="267" t="s">
        <v>218</v>
      </c>
      <c r="DR53" s="267" t="s">
        <v>219</v>
      </c>
      <c r="DS53" s="1921"/>
      <c r="DT53" s="267" t="s">
        <v>218</v>
      </c>
      <c r="DU53" s="267" t="s">
        <v>219</v>
      </c>
      <c r="DV53" s="267" t="s">
        <v>218</v>
      </c>
      <c r="DW53" s="267" t="s">
        <v>219</v>
      </c>
      <c r="DX53" s="267" t="s">
        <v>218</v>
      </c>
      <c r="DY53" s="267" t="s">
        <v>219</v>
      </c>
      <c r="DZ53" s="1921"/>
      <c r="EA53" s="1921"/>
      <c r="EB53" s="1922"/>
      <c r="EC53" s="1922"/>
      <c r="ED53" s="1891"/>
      <c r="EE53" s="1919"/>
      <c r="EF53" s="1919"/>
      <c r="EG53" s="2003"/>
      <c r="EH53" s="1919"/>
      <c r="EI53" s="1919"/>
      <c r="EJ53" s="1919"/>
      <c r="EK53" s="1891"/>
      <c r="EL53" s="1891"/>
      <c r="EM53" s="1891"/>
      <c r="EN53" s="1919"/>
      <c r="EO53" s="1891"/>
      <c r="EP53" s="1891"/>
      <c r="EQ53" s="1891"/>
      <c r="ER53" s="1891"/>
      <c r="ES53" s="1891"/>
      <c r="ET53" s="1891"/>
      <c r="EU53" s="1891"/>
      <c r="EV53" s="1921"/>
      <c r="EW53" s="1921"/>
      <c r="EX53" s="1895"/>
      <c r="EY53" s="1893"/>
      <c r="EZ53" s="1980"/>
      <c r="FA53" s="1982"/>
      <c r="FB53" s="1897"/>
      <c r="FC53" s="1897"/>
      <c r="FD53" s="451" t="s">
        <v>282</v>
      </c>
      <c r="FE53" s="452" t="s">
        <v>283</v>
      </c>
      <c r="FF53" s="162" t="s">
        <v>554</v>
      </c>
      <c r="FG53" s="162" t="s">
        <v>555</v>
      </c>
      <c r="FH53" s="162" t="s">
        <v>556</v>
      </c>
      <c r="FI53" s="162" t="s">
        <v>557</v>
      </c>
      <c r="FK53" s="1964"/>
      <c r="FL53" s="1966"/>
      <c r="FM53" s="1968"/>
      <c r="FN53" s="1976"/>
      <c r="FO53" s="2191"/>
      <c r="FP53" s="2191"/>
      <c r="FQ53" s="2191"/>
      <c r="FR53" s="2191"/>
      <c r="FS53" s="2196"/>
      <c r="FT53" s="2197"/>
      <c r="FU53" s="2189"/>
      <c r="FV53" s="2189"/>
      <c r="FW53" s="2189"/>
      <c r="FX53" s="2189"/>
      <c r="FY53" s="2189"/>
      <c r="FZ53" s="2189"/>
      <c r="GA53" s="2192"/>
      <c r="GB53" s="2194"/>
      <c r="GC53" s="2188"/>
      <c r="GD53" s="117" t="s">
        <v>299</v>
      </c>
      <c r="GE53" s="62" t="s">
        <v>300</v>
      </c>
      <c r="GF53" s="51" t="s">
        <v>302</v>
      </c>
      <c r="GG53" s="51" t="s">
        <v>303</v>
      </c>
      <c r="GH53" s="51" t="s">
        <v>304</v>
      </c>
      <c r="GI53" s="52" t="s">
        <v>305</v>
      </c>
      <c r="GJ53" s="1900"/>
      <c r="GK53" s="706" t="s">
        <v>558</v>
      </c>
      <c r="GL53" s="56"/>
      <c r="GM53" s="56"/>
    </row>
    <row r="54" spans="1:222" ht="12.6" hidden="1" customHeight="1" thickTop="1" x14ac:dyDescent="0.2">
      <c r="BZ54" s="214"/>
      <c r="CA54" s="214"/>
      <c r="CB54" s="289" t="str">
        <f t="shared" ref="CB54:CB85" si="101">IF(CB14="","",CB14)</f>
        <v/>
      </c>
      <c r="CC54" s="290" t="str">
        <f>IF(CG14="","",VLOOKUP(CG14,#REF!,12,FALSE))</f>
        <v/>
      </c>
      <c r="CD54" s="1219" t="str">
        <f>IF(ISBLANK(CN14),IF(CG14="","",VLOOKUP(CG14,#REF!,13,FALSE)),CN14)</f>
        <v/>
      </c>
      <c r="CE54" s="1219" t="str">
        <f>IF(CG14="","",IF(VLOOKUP(CG14,#REF!,5,FALSE)="","R",UPPER(VLOOKUP(CG14,#REF!,5,FALSE))))</f>
        <v/>
      </c>
      <c r="CF54" s="1219" t="str">
        <f>IF(ISBLANK(CP14),IF(CG14="","",VLOOKUP(CG14,#REF!,6,FALSE)),CP14)</f>
        <v/>
      </c>
      <c r="CG54" s="1219" t="str">
        <f>IF(CG14="","",IF(VLOOKUP(CG14,#REF!,10,FALSE)="","",(VLOOKUP(CG14,#REF!,10,FALSE)*-1)))</f>
        <v/>
      </c>
      <c r="CH54" s="1219" t="str">
        <f>IF(CG14="","",IF(VLOOKUP(CG14,#REF!,7,FALSE)="","",(VLOOKUP(CG14,#REF!,7,FALSE)*-1)))</f>
        <v/>
      </c>
      <c r="CI54" s="1219" t="str">
        <f>IF(CG14="","",IF(VLOOKUP(CG14,#REF!,8,FALSE)="",$FC$4,(VLOOKUP(CG14,#REF!,8,FALSE))))</f>
        <v/>
      </c>
      <c r="CJ54" s="1219" t="str">
        <f>IF(CG14="","",VLOOKUP(CG14,#REF!,9,FALSE))</f>
        <v/>
      </c>
      <c r="CK54" s="1220">
        <f t="shared" ref="CK54:CK85" si="102">CM14*-1</f>
        <v>0</v>
      </c>
      <c r="CL54" s="1218" t="str">
        <f>IF(CQ14="","",VLOOKUP(CQ14,#REF!,12,FALSE))</f>
        <v/>
      </c>
      <c r="CM54" s="1219" t="str">
        <f>IF(ISBLANK(CX14),IF(CQ14="","",VLOOKUP(CQ14,#REF!,13,FALSE)),CX14)</f>
        <v/>
      </c>
      <c r="CN54" s="1219" t="str">
        <f>IF(CQ14="","",IF(VLOOKUP(CQ14,#REF!,5,FALSE)="","R",UPPER(VLOOKUP(CQ14,#REF!,5,FALSE))))</f>
        <v/>
      </c>
      <c r="CO54" s="1219" t="str">
        <f>IF(ISBLANK(CZ14),IF(CQ14="","",VLOOKUP(CQ14,#REF!,6,FALSE)),CZ14)</f>
        <v/>
      </c>
      <c r="CP54" s="1219" t="str">
        <f>IF(CQ14="","",IF(VLOOKUP(CQ14,#REF!,10,FALSE)="","",(VLOOKUP(CQ14,#REF!,10,FALSE)*-1)))</f>
        <v/>
      </c>
      <c r="CQ54" s="1219" t="str">
        <f>IF(CQ14="","",IF(VLOOKUP(CQ14,#REF!,7,FALSE)="","",(VLOOKUP(CQ14,#REF!,7,FALSE)*-1)))</f>
        <v/>
      </c>
      <c r="CR54" s="1219" t="str">
        <f>IF(CQ14="","",IF(VLOOKUP(CQ14,#REF!,8,FALSE)="",$FC$4,(VLOOKUP(CQ14,#REF!,8,FALSE))))</f>
        <v/>
      </c>
      <c r="CS54" s="1219" t="str">
        <f>IF(CQ14="","",VLOOKUP(CQ14,#REF!,9,FALSE))</f>
        <v/>
      </c>
      <c r="CT54" s="1220">
        <f t="shared" ref="CT54:CT85" si="103">CW14*-1</f>
        <v>0</v>
      </c>
      <c r="CU54" s="1230">
        <f t="shared" ref="CU54:CU85" si="104">IF(DA14="",0,ATAN(DA14/12))</f>
        <v>0</v>
      </c>
      <c r="CV54" s="1224" t="str">
        <f t="shared" ref="CV54:CV85" si="105">IF(OR(CD54="",CE14="",CM54=""),"",CEILING(IF(AND(CE14="",CF14=""),"",((CE14*12+CF14)+CD54+CM54)/COS(EU54))-0.0625,0.125))</f>
        <v/>
      </c>
      <c r="CW54" s="1224" t="str">
        <f t="shared" ref="CW54:CW85" si="106">IF(CF54="","",IF(ABS(EM54)&lt;ABS($FA$2),CF54,IF(EM54=0,CF54,CEILING((CF54+((DC54-CD54)/12)*EM54)-0.0625,0.125))))</f>
        <v/>
      </c>
      <c r="CX54" s="1224" t="str">
        <f t="shared" ref="CX54:CX85" si="107">IF(CO54="","",IF(ABS(ER54)&lt;ABS($FA$2),CO54,IF(ER54=0,CO54,CEILING((CO54+((DI54-CM54)/12)*ER54)-0.0625,0.125))))</f>
        <v/>
      </c>
      <c r="CY54" s="1226">
        <f t="shared" ref="CY54:CY85" si="108">RADIANS(ABS(CL14))</f>
        <v>0</v>
      </c>
      <c r="CZ54" s="1226" t="e">
        <f t="shared" ref="CZ54:CZ85" si="109">MIN(IF(CH14&gt;0,CH14/2,MAX(CI14/2,CJ54)),IF(CI14&gt;0,CI14/2,MAX(CH14/2,CJ54)),IF(CJ54&gt;0,CJ54,MAX(CI14/2,CH14/2)))/IF(OR(CC54="C",AND(CC54="M",$FG$1="N")),1,COS(CY54))</f>
        <v>#REF!</v>
      </c>
      <c r="DA54" s="1226" t="str">
        <f t="shared" ref="DA54:DA85" si="110">IF(CD54="","",IF(CJ54&gt;=0,MAX(CH14/2,CI14/2,CJ54),CJ54)/IF(OR(CC54="C",AND(CC54="M",$FG$1="N")),1,COS(CY54)))</f>
        <v/>
      </c>
      <c r="DB54" s="1224" t="str">
        <f>IF(CD54="","",CD54+DA54+($EY$4*TAN(CY54)))</f>
        <v/>
      </c>
      <c r="DC54" s="1224" t="str">
        <f t="shared" ref="DC54:DC85" si="111">IF(CD54="","",IF(NOT(ISBLANK(CO14)),CD54-CO14,MAX(IF(AND(CZ54&gt;=$FB$4,DA54&lt;=$FA$4,OR($FA$1=1,$FA$1=4)),CD54,IF(OR($FA$1=3,$FA$1=4),DB54-$FA$4,DB54+MAX(($FA$4-$FB$4)-(DA54-CZ54)-$EY$4/2*TAN(CY54),0)-$FA$4))-EO54,0)))</f>
        <v/>
      </c>
      <c r="DD54" s="814">
        <f>IF(CD54="",0,IF(DC54/COS(EU54)&lt;0.0625,0,CEILING(DC54/COS(EU54)-0.03125,0.125)))</f>
        <v>0</v>
      </c>
      <c r="DE54" s="812">
        <f t="shared" ref="DE54:DE85" si="112">RADIANS(ABS(CV14))</f>
        <v>0</v>
      </c>
      <c r="DF54" s="813" t="e">
        <f t="shared" ref="DF54:DF85" si="113">MIN(IF(CR14&gt;0,CR14/2,MAX(CS14/2,CS54)),IF(CS14&gt;0,CS14/2,MAX(CR14/2,CS54)),IF(CS54&gt;0,CS54,MAX(CS14/2,CR14/2)))/IF(OR(CL54="C",AND(CL54="M",$FG$1="N")),1,COS(DE54))</f>
        <v>#REF!</v>
      </c>
      <c r="DG54" s="813" t="str">
        <f t="shared" ref="DG54:DG85" si="114">IF(CM54="","",IF(CS54&gt;=0,MAX(CR14/2,CS14/2,CS54),CS54)/IF(OR(CL54="C",AND(CL54="M",$FG$1="N")),1,COS(DE54)))</f>
        <v/>
      </c>
      <c r="DH54" s="1224" t="str">
        <f>IF(CM54="","",CM54+DG54+($EY$4*TAN(DE54)))</f>
        <v/>
      </c>
      <c r="DI54" s="1224" t="str">
        <f t="shared" ref="DI54:DI85" si="115">IF(CM54="","",IF(NOT(ISBLANK(CY14)),CM54-CY14,MAX(IF(AND(DF54&gt;=$FB$4,DG54&lt;=$FA$4,OR($FA$1=1,$FA$1=4)),CM54,IF(OR($FA$1=3,$FA$1=4),DH54-$FA$4,DH54+MAX(($FA$4-$FB$4)-(DG54-DF54)-$EY$4/2*TAN(DE54),0)-$FA$4))-ET54,0)-CY14))</f>
        <v/>
      </c>
      <c r="DJ54" s="1225">
        <f>IF(CM54="",0,IF(DI54/COS(EU54)&lt;0.0625,0,CEILING(DI54/COS(EU54)-0.03125,0.125)))</f>
        <v>0</v>
      </c>
      <c r="DK54" s="1224" t="str">
        <f t="shared" ref="DK54:DK74" si="116">IF(CV54="","",CEILING(CV54-DD54-DJ54-0.0625,0.125))</f>
        <v/>
      </c>
      <c r="DL54" s="1224" t="str">
        <f t="shared" ref="DL54:DL74" si="117">IF(AND(EG54="",CH54=""),"",IF(EG54="ERR","ERR",IF(ISNUMBER(EG54),(EG54/2)*-1,CH54)))</f>
        <v/>
      </c>
      <c r="DM54" s="1224" t="str">
        <f t="shared" ref="DM54:DM85" si="118">IF(DL54="ERR","ERR",IF(DL54="","",IF(CR54*TAN(CY54)&lt;=($FE$4-($FD$4-0.0625)),CD54-(DL54-EO54)/IF(OR(CC54="C",AND(CC54="M",$FG$1="N")),1,COS(CY54))-IF(MID(CE54,1,1)="R",0,DC54),(ABS(DL54-EO54)/IF(OR(CC54="C",AND(CC54="M",$FG$1="N")),1,COS(CY54))+CD54)-((CR54/2)*TAN(CY54))-IF(MID(CE54,1,1)="R",0,DC54))))</f>
        <v/>
      </c>
      <c r="DN54" s="1224" t="str">
        <f t="shared" ref="DN54:DN85" si="119">IF(DL54="ERR","ERR",IF(DL54="","",IF(CI54*TAN(CY54)&lt;=($FE$4-($FD$4-0.0625)),CD54-(DL54-EO54)/IF(OR(CC54="C",AND(CC54="M",$FG$1="N")),1,COS(CY54))-IF(MID(CE54,1,1)="R",0,DC54),(ABS(DL54-EO54)/IF(OR(CC54="C",AND(CC54="M",$FG$1="N")),1,COS(CY54))+CD54)+((CI54/2)*TAN(CY54))-IF(MID(CE54,1,1)="R",0,DC54))))</f>
        <v/>
      </c>
      <c r="DO54" s="828" t="e">
        <f t="shared" ref="DO54:DO85" si="120">IF(ISBLANK(CO14),IF(DM54&lt;$EX$6+($FD$4-0.0625)/2,"ERR",IF(DM54&lt;$EX$6+$FE$4/2,($FE$4/2+$EX$6),IF(DM54&lt;$FA$4+IF(MID(CE54,1,1)="R",DC54+CO14,0)-$FE$4/2-$EX$6,DM54,IF(DM54&lt;=$FA$4+IF(MID(CE54,1,1)="R",DC54,0)-($FD$4-0.0625)/2-$EX$6,$FA$4+IF(MID(CE54,1,1)="R",DC54,0)-($FE$4/2+$EX$6),"ERR")))),DM54)</f>
        <v>#REF!</v>
      </c>
      <c r="DP54" s="828" t="e">
        <f t="shared" ref="DP54:DP85" si="121">IF(ISBLANK(CO14),IF(DN54&lt;$EX$6+($FD$4-0.0625)/2,"ERR",IF(DN54&lt;0.5+$FE$4/2,($FE$4/2+$EX$6),IF(DN54&lt;$FA$4+IF(MID(CE54,1,1)="R",DC54+CO14,0)-$FE$4/2-$EX$6,DN54,IF(DN54&lt;=$FA$4+IF(MID(CE54,1,1)="R",DC54,0)-($FD$4-0.0625)/2-$EX$6,$FA$4+IF(MID(CE54,1,1)="R",DC54,0)-($FE$4/2+$EX$6),"ERR")))),DN54)</f>
        <v>#REF!</v>
      </c>
      <c r="DQ54" s="1224" t="str">
        <f t="shared" ref="DQ54:DR85" si="122">IF(ISERROR(DM54),"ERR",IF(DM54="","",IF(DO54="ERR","ERR",CEILING(DO54-0.0625,0.125))))</f>
        <v/>
      </c>
      <c r="DR54" s="1224" t="str">
        <f t="shared" si="122"/>
        <v/>
      </c>
      <c r="DS54" s="1224" t="str">
        <f t="shared" ref="DS54:DS85" si="123">IF(AND(EJ54="",CQ54=""),"",IF(EJ54="ERR","ERR",IF(ISNUMBER(EJ54),(EJ54/2)*-1,CQ54)))</f>
        <v/>
      </c>
      <c r="DT54" s="1224" t="str">
        <f t="shared" ref="DT54:DT85" si="124">IF(DS54="ERR","ERR",IF(DS54="","",IF(CR54*TAN(DE54)&lt;=($FE$4-($FD$4-0.0625)),CM54-(DS54-ET54)/IF(OR(CL54="C",AND(CL54="M",$FG$1="N")),1,COS(DE54))-IF(MID(CN54,1,1)="R",0,DI54),(ABS(DS54-ET54)/IF(OR(CL54="C",AND(CL54="M",$FG$1="N")),1,COS(DE54))+CM54)-((CR54/2)*TAN(DE54))-IF(MID(CN54,1,1)="R",0,DI54))))</f>
        <v/>
      </c>
      <c r="DU54" s="1224" t="str">
        <f t="shared" ref="DU54:DU85" si="125">IF(DS54="ERR","ERR",IF(DS54="","",IF(CR54*TAN(DE54)&lt;=($FE$4-($FD$4-0.0625)),CM54-(DS54-ET54)/IF(OR(CL54="C",AND(CL54="M",$FG$1="N")),1,COS(DE54))-IF(MID(CN54,1,1)="R",0,DI54),(ABS(DS54-ET54)/IF(OR(CL54="C",AND(CL54="M",$FG$1="N")),1,COS(DE54))+CM54)+((CR54/2)*TAN(DE54))-IF(MID(CN54,1,1)="R",0,DI54))))</f>
        <v/>
      </c>
      <c r="DV54" s="828" t="e">
        <f t="shared" ref="DV54:DV85" si="126">IF(ISBLANK(CY14),IF(DT54&lt;$EX$6+($FD$4-0.0625)/2,"ERR",IF(DT54&lt;$EX$6+$FE$4/2,($FE$4/2+$EX$6),IF(DT54&lt;$FA$4+IF(MID(CN54,1,1)="R",DI54+CY14,0)-$FE$4/2-$EX$6,DT54,IF(DT54&lt;=$FA$4+IF(MID(CN54,1,1)="R",DI54,0)-($FD$4-0.0625)/2-$EX$6,$FA$4+IF(MID(CN54,1,1)="R",DI54,0)-($FE$4/2+$EX$6),"ERR")))),DT54)</f>
        <v>#REF!</v>
      </c>
      <c r="DW54" s="828" t="e">
        <f t="shared" ref="DW54:DW85" si="127">IF(ISBLANK(CY14),IF(DU54&lt;$EX$6+($FD$4-0.0625)/2,"ERR",IF(DU54&lt;0.5+$FE$4/2,($FE$4/2+$EX$6),IF(DU54&lt;$FA$4+IF(MID(CN54,1,1)="R",DI54+CY14,0)-$FE$4/2-$EX$6,DU54,IF(DU54&lt;=$FA$4+IF(MID(CN54,1,1)="R",DI54,0)-($FD$4-0.0625)/2-$EX$6,$FA$4+IF(MID(CN54,1,1)="R",DI54,0)-($FE$4/2+$EX$6),"ERR")))),DU54)</f>
        <v>#REF!</v>
      </c>
      <c r="DX54" s="812" t="str">
        <f t="shared" ref="DX54:DX74" si="128">IF(ISERROR(DT54),"ERR",IF(DT54="","",IF(DV54="ERR","ERR",CEILING(DV54-0.0625,0.125))))</f>
        <v/>
      </c>
      <c r="DY54" s="812" t="str">
        <f t="shared" ref="DY54:DY74" si="129">IF(ISERROR(DU54),"ERR",IF(DU54="","",IF(DW54="ERR","ERR",CEILING(DW54-0.0625,0.125))))</f>
        <v/>
      </c>
      <c r="DZ54" s="812" t="str">
        <f t="shared" ref="DZ54:DZ84" si="130">IF(CG54="","",IF((CD54-CG54)/COS(CU54)-FB54&lt;=-0.0625,CEILING((CD54-CG54)/COS(CU54)-FB54+0.0625,-0.125),IF((CD54-CG54)/COS(CU54)-FB54&gt;=0.0625,CEILING((CD54-CG54)/COS(CU54)-FB54-0.0625,0.125),0)))</f>
        <v/>
      </c>
      <c r="EA54" s="812" t="str">
        <f t="shared" ref="EA54:EA84" si="131">IF(CP54="","",IF((CM54-CP54)/COS(CU54)-FC54&lt;=-0.0625,CEILING((CM54-CP54)/COS(CU54)-FC54+0.0625,-0.125),IF((CM54-CP54)/COS(CU54)-FC54&gt;=0.0625,CEILING((CM54-CP54)/COS(CU54)-FC54-0.0625,0.125),0)))</f>
        <v/>
      </c>
      <c r="EB54" s="815" t="str">
        <f t="shared" ref="EB54:EB85" si="132">IF(CD14="","",$FC$4)</f>
        <v/>
      </c>
      <c r="EC54" s="816" t="str">
        <f t="shared" ref="EC54:EC74" si="133">IF(AND(DR54="",DY54=""),"",IF(OR(CI54=EB54,CR54=EB54),EB54,CI54))</f>
        <v/>
      </c>
      <c r="ED54" s="815" t="str">
        <f t="shared" ref="ED54:ED85" si="134">IF(DA14="","",CEILING(($EZ$4/COS(CU54)+$FA$4/12*ABS(DA14)+0.5),0.125))</f>
        <v/>
      </c>
      <c r="EE54" s="815" t="str">
        <f t="shared" ref="EE54:EE85" si="135">(IF(CC54="B",MIN(CJ14:CK14),""))</f>
        <v/>
      </c>
      <c r="EF54" s="815" t="str">
        <f t="shared" ref="EF54:EF85" si="136">(IF(CC54="B",MAX(CJ14:CK14),""))</f>
        <v/>
      </c>
      <c r="EG54" s="815" t="str">
        <f t="shared" ref="EG54:EG85" si="137">IF(EE54="","",IF((EF54-EE54)/2&lt;=($FE$4-($FD$4-0.0625)),(EE54+EF54)/2,"ERR"))</f>
        <v/>
      </c>
      <c r="EH54" s="815" t="str">
        <f t="shared" ref="EH54:EH85" si="138">IF(CL54="B",MIN(CT14:CU14),"")</f>
        <v/>
      </c>
      <c r="EI54" s="815" t="str">
        <f t="shared" ref="EI54:EI85" si="139">IF(CL54="B",MAX(CT14:CU14),"")</f>
        <v/>
      </c>
      <c r="EJ54" s="815" t="str">
        <f t="shared" ref="EJ54:EJ85" si="140">IF(EH54="","",IF((EI54-EH54)/2&lt;=($FE$4-($FD$4-0.0625)),(EH54+EI54)/2,"ERR"))</f>
        <v/>
      </c>
      <c r="EK54" s="813">
        <f t="shared" ref="EK54:EK74" si="141">IF(CK54="",0,ATAN(CK54/12))</f>
        <v>0</v>
      </c>
      <c r="EL54" s="813">
        <f t="shared" ref="EL54:EL74" si="142">CU54-EK54</f>
        <v>0</v>
      </c>
      <c r="EM54" s="813">
        <f t="shared" ref="EM54:EM74" si="143">TAN(EL54)*12</f>
        <v>0</v>
      </c>
      <c r="EN54" s="813" t="e">
        <f t="shared" ref="EN54:EN85" si="144">IF(ABS(EM54)&lt;$FA$2,"",IF(EM54&gt;0,CEILING(EM54-0.0625,0.125),CEILING(EM54+0.0625,-0.125)))</f>
        <v>#REF!</v>
      </c>
      <c r="EO54" s="812" t="str">
        <f t="shared" ref="EO54:EO74" si="145">IF(CF54="","",CF54*TAN(EK54))</f>
        <v/>
      </c>
      <c r="EP54" s="813">
        <f t="shared" ref="EP54:EP74" si="146">IF(CT54="",0,ATAN(CT54/12))</f>
        <v>0</v>
      </c>
      <c r="EQ54" s="813">
        <f t="shared" ref="EQ54:EQ74" si="147">CU54+EP54</f>
        <v>0</v>
      </c>
      <c r="ER54" s="813">
        <f t="shared" ref="ER54:ER74" si="148">TAN(EQ54)*-12</f>
        <v>0</v>
      </c>
      <c r="ES54" s="813" t="e">
        <f t="shared" ref="ES54:ES85" si="149">IF(ABS(ER54)&lt;$FA$2,"",IF(ER54&gt;0,CEILING(ER54-0.0625,0.125),CEILING(ER54+0.0625,-0.125)))</f>
        <v>#REF!</v>
      </c>
      <c r="ET54" s="812" t="str">
        <f t="shared" ref="ET54:ET74" si="150">IF(CO54="","",CO54*TAN(EP54))</f>
        <v/>
      </c>
      <c r="EU54" s="812" t="e">
        <f t="shared" ref="EU54:EU85" si="151">IF((CE14*12+CF14)/COS(CU54)-(CE14*12+CF14)&lt;$FE$2,0,CU54)</f>
        <v>#REF!</v>
      </c>
      <c r="EV54" s="815" t="e">
        <f t="shared" ref="EV54:EV85" si="152">MIN(IF(CH14&gt;0,CH14/2,MAX(CI14/2,CJ54)),IF(CI14&gt;0,CI14/2,MAX(CH14/2,CJ54)),IF(CJ54&gt;0,CJ54,MAX(CI14/2,CH14/2)))/COS(CY54)+CD54-DC54</f>
        <v>#VALUE!</v>
      </c>
      <c r="EW54" s="815" t="e">
        <f t="shared" ref="EW54:EW85" si="153">MIN(IF(CR14&gt;0,CR14/2,MAX(CS14/2,CS54)),IF(CS14&gt;0,CS14/2,MAX(CR14/2,CS54)),IF(CS54&gt;0,CS54,MAX(CS14/2,CR14/2)))/COS(DE54)+CM54-DI54</f>
        <v>#VALUE!</v>
      </c>
      <c r="EX54" s="817" t="str">
        <f t="shared" ref="EX54:EX85" si="154">IF(CD14="","",IF(EZ54&lt;1.2,5+$EX$4,IF(EZ54&lt;1.79,6+$EX$4,IF(EZ54&lt;2.3,7+$EX$4,IF(EZ54&lt;3.76,8+$EX$4,IF(EZ54&lt;4.76,10+$EX$4,IF(EZ54&lt;8.45,12+$EX$4,"ERR")))))))</f>
        <v/>
      </c>
      <c r="EY54" s="818" t="e">
        <f t="shared" ref="EY54:EY74" si="155">TRUNC(IF(FA54&lt;1.03,25.667,IF(FA54&lt;1.2,29.667,IF(FA54&lt;1.79,33.583,IF(FA54&lt;2.3,37.75,IF(FA54&lt;3.76,42,IF(FA54&lt;4.76,50.167,IF(FA54&lt;8.45,58.167,"ERR"))))))))</f>
        <v>#DIV/0!</v>
      </c>
      <c r="EZ54" s="893" t="e">
        <f t="shared" ref="EZ54:EZ85" si="156">(0.03*BP14*((CE14+CF14/12)/BO14)*(BO14^2-IF(ISEVEN(BO14),0,1)))/BM14</f>
        <v>#DIV/0!</v>
      </c>
      <c r="FA54" s="894" t="e">
        <f t="shared" ref="FA54:FA85" si="157">(0.026*BP14*((CE14+CF14/12)/BO14)*(BO14^2-IF(ISEVEN(BO14),0,1)))/BM14</f>
        <v>#DIV/0!</v>
      </c>
      <c r="FB54" s="819" t="str">
        <f t="shared" ref="FB54:FB85" si="158">IF(CG54="","",IF(ABS(DA14*((BM14-IF(DA14&gt;0,$FF$4,0))/12))&gt;$CX$2,DA14*((BM14-IF(DA14&gt;0,$FF$4,0))/12),0))</f>
        <v/>
      </c>
      <c r="FC54" s="820" t="str">
        <f t="shared" ref="FC54:FC85" si="159">IF(CP54="","",IF(ABS(DA14*((BM14-IF(DA14&lt;0,$FF$4,0))/12))&gt;$CX$2,DA14*((BM14-IF(DA14&lt;0,$FF$4,0))/12)*-1,0))</f>
        <v/>
      </c>
      <c r="FD54" s="829">
        <f t="shared" ref="FD54:FD85" si="160">IF(CF54="",0,MAX(0,DB54-$FA$4))</f>
        <v>0</v>
      </c>
      <c r="FE54" s="774">
        <f t="shared" ref="FE54:FE85" si="161">IF(CO54="",0,MAX(0,DH54-$FA$4))</f>
        <v>0</v>
      </c>
      <c r="FF54" s="703" t="b">
        <f t="shared" ref="FF54:FF85" si="162">IF(ISERROR(AR14),TRUE,IF(OR(AR14="",ISBLANK(AR14)),FALSE,IF(ISTEXT(AR14),IF(AND(AR14="P",LEFT(AS14,1)="#"),FALSE,TRUE),IF(ISTEXT(AS14),TRUE,FALSE))))</f>
        <v>0</v>
      </c>
      <c r="FG54" s="703" t="b">
        <f t="shared" ref="FG54:FG85" si="163">IF(ISERROR(AV14),TRUE,IF(OR(AV14="",ISBLANK(AV14)),FALSE,IF(ISTEXT(AV14),IF(AND(AV14="P",LEFT(AW14,1)="#"),FALSE,TRUE),IF(ISTEXT(AW14),TRUE,FALSE))))</f>
        <v>0</v>
      </c>
      <c r="FH54" s="703" t="b">
        <f t="shared" ref="FH54:FH85" si="164">IF(ISERROR(AZ14),TRUE,IF(OR(AZ14="",ISBLANK(AZ14)),FALSE,IF(ISTEXT(AZ14),IF(AND(AZ14="P",LEFT(BA14,1)="#"),FALSE,TRUE),IF(ISTEXT(BA14),TRUE,FALSE))))</f>
        <v>0</v>
      </c>
      <c r="FI54" s="703" t="b">
        <f t="shared" ref="FI54:FI85" si="165">IF(ISERROR(BD14),TRUE,IF(OR(BD14="",ISBLANK(BD14)),FALSE,IF(ISTEXT(BD14),IF(AND(BD14="P",LEFT(BE14,1)="#"),FALSE,TRUE),IF(ISTEXT(BE14),TRUE,FALSE))))</f>
        <v>0</v>
      </c>
      <c r="FJ54" s="724"/>
      <c r="FK54" s="475" t="str">
        <f>IF(ISBLANK(DH14),"",DH14)</f>
        <v/>
      </c>
      <c r="FL54" s="233" t="e">
        <f>VLOOKUP(DH14,$CB$54:$DK$85,36,FALSE)</f>
        <v>#N/A</v>
      </c>
      <c r="FM54" s="234" t="str">
        <f t="shared" ref="FM54:FM85" si="166">IF(ISBLANK(DH15),IF(SUM(DJ15:DN15)=0,"",IF(ISBLANK(DI15),"X","")),"")</f>
        <v/>
      </c>
      <c r="FN54" s="182" t="str">
        <f>IF(SUM(DJ14:DN14)=0,"",IF(OR(FS54=0,DL14=""),"",CEILING(IF(AND(DJ14="",DK14=""),IF(AND(DM14="",DN14=""),(FS54-FO54*FP54)/2,(DJ14*12+DK14+(DL14*(DM14*12+DN14)))-FO54*FP54),(DJ14*12+DK14))-0.0625,0.125)))</f>
        <v/>
      </c>
      <c r="FO54" s="183" t="str">
        <f>IF(SUM(DJ14:DN14)=0,"",IF(OR(FS54=0,DL14=""),"",DL14-IF(AND(DJ14="",DK14=""),1,0)-IF(AND(DM14="",DN14="",FM54=""),1,0)))</f>
        <v/>
      </c>
      <c r="FP54" s="184" t="str">
        <f>IF(SUM(DJ14:DN14)=0,"",IF(OR(FS54=0,DL14=""),"",CEILING(IF(AND(DM14="",DN14=""),IF(DL14=FO54,(FS54-FN54-FQ54)/FO54,(FS54-IF(AND(DJ14="",DK14=""),0,FN54)-IF(FM54="",0,FQ54))/DL14),DM14*12+DN14)-0.0625,0.125)))</f>
        <v/>
      </c>
      <c r="FQ54" s="184" t="str">
        <f>IF(SUM(DJ14:DN14)=0,"",IF(OR(FS54=0,DL14=""),"",IF(UPPER(FM54)="X",0,FS54-FN54-FO54*FP54)))</f>
        <v/>
      </c>
      <c r="FR54" s="235">
        <f>IF(FS54="",0,IF(OR(FS54=0,DL14=""),0,FS54-(FN54+FO54*FP54+FQ54)))</f>
        <v>0</v>
      </c>
      <c r="FS54" s="236" t="str">
        <f>IF(SUM(DJ14:DN14)=0,"",VLOOKUP(DH14,CB14:CF45,4,FALSE)*12+VLOOKUP(DH14,CB14:CF45,5,FALSE))</f>
        <v/>
      </c>
      <c r="FT54" s="182" t="str">
        <f>IF(SUM(DJ14:DN14)=0,"",IF(FU54="","",FL54))</f>
        <v/>
      </c>
      <c r="FU54" s="185" t="str">
        <f>IF(SUM(DJ14:DN14)=0,"",1)</f>
        <v/>
      </c>
      <c r="FV54" s="237" t="str">
        <f t="shared" ref="FV54:FV85" si="167">IF(FW54="","",CEILING(FW54+GJ54-0.0625,0.125))</f>
        <v/>
      </c>
      <c r="FW54" s="186" t="str">
        <f>IF(SUM(DJ14:DN14)=0,"",IF(OR(FN54=0,FN54=""),"",(FN54+VLOOKUP(DH14,CB54:CD85,3,FALSE)-VLOOKUP(DH14,CB54:DD85,29,FALSE))/COS(VLOOKUP(DH14,$CB$54:$EU$85,72,FALSE))))</f>
        <v/>
      </c>
      <c r="FX54" s="186" t="str">
        <f>IF(SUM(DJ14:DN14)=0,"",IF(FO54=0,0,IF(FP54="","",CEILING(FP54/COS(VLOOKUP(FK54,$CB$54:$EU$85,72,FALSE))-0.0625,0.125))))</f>
        <v/>
      </c>
      <c r="FY54" s="186" t="str">
        <f>IF(SUM(DJ14:DN14)=0,"",IF(OR(FQ54=0,FQ54=""),"",FT54-IF(FW54="",0,FW54)-FO54*FX54))</f>
        <v/>
      </c>
      <c r="FZ54" s="195" t="str">
        <f>IF(FY54="","",CEILING(FT54-IF(FV54="",0,FV54)-(FO54*FX54)-0.0625,0.125))</f>
        <v/>
      </c>
      <c r="GA54" s="186" t="str">
        <f>IF(SUM(DJ14:DN14)=0,"",IF(FW54="",0,FW54)+FO54*FX54+IF(FY54="",0,FY54))</f>
        <v/>
      </c>
      <c r="GB54" s="187" t="str">
        <f ca="1">IF(SUM(DJ14:DN14)=0,"",IF(FY54="","",2+SUM(FO54:OFFSET(FO54,(FU54-1)*-1,0))))</f>
        <v/>
      </c>
      <c r="GC54" s="238" t="e">
        <f>VLOOKUP(DH14,$CB$54:$CD$85,3,FALSE)</f>
        <v>#N/A</v>
      </c>
      <c r="GD54" s="239" t="str">
        <f t="shared" ref="GD54:GD85" si="168">IF(ISBLANK(DT14),"",MAX(0,DT14+VLOOKUP(FK54,$CB$54:$CD$85,3,FALSE)))</f>
        <v/>
      </c>
      <c r="GE54" s="240" t="str">
        <f t="shared" ref="GE54:GE85" si="169">IF(ISBLANK(DU14),"",MAX(0,DU14+VLOOKUP(FK54,$CB$54:$CM$85,12,FALSE)))</f>
        <v/>
      </c>
      <c r="GF54" s="188" t="str">
        <f t="shared" ref="GF54:GF85" si="170">IF(AND(ISBLANK(DV14),ISBLANK(DW14)),"",IF(DV14="P",IF(ISNUMBER(DW14),CONCATENATE("#", DW14),DW14),CEILING((DV14*12+DW14+GC54)/COS(VLOOKUP(FK54,$CB$54:$EU$85,72,FALSE))-0.0625,0.125)))</f>
        <v/>
      </c>
      <c r="GG54" s="189" t="str">
        <f t="shared" ref="GG54:GG85" si="171">IF(AND(ISBLANK(DZ14),ISBLANK(EA14)),"",IF(DZ14="P",IF(ISNUMBER(EA14),CONCATENATE("#", EA14),EA14),CEILING((DZ14*12+EA14+GC54)/COS(VLOOKUP(FK54,$CB$54:$EU$85,72,FALSE))-0.0625,0.125)))</f>
        <v/>
      </c>
      <c r="GH54" s="189" t="str">
        <f t="shared" ref="GH54:GH85" si="172">IF(AND(ISBLANK(ED14),ISBLANK(EE14)),"",IF(ED14="P",IF(ISNUMBER(EE14),CONCATENATE("#", EE14),EE14),CEILING((ED14*12+EE14+GC54)/COS(VLOOKUP(FK54,$CB$54:$EU$85,72,FALSE))-0.0625,0.125)))</f>
        <v/>
      </c>
      <c r="GI54" s="190" t="str">
        <f t="shared" ref="GI54:GI85" si="173">IF(AND(ISBLANK(EH14),ISBLANK(EI14)),"",IF(EH14="P",IF(ISNUMBER(EI14),CONCATENATE("#", EI14),EI14),CEILING((EH14*12+EI14+GC54)/COS(VLOOKUP(FK54,$CB$54:$EU$85,72,FALSE))-0.0625,0.125)))</f>
        <v/>
      </c>
      <c r="GJ54" s="472">
        <f t="shared" ref="GJ54:GJ84" ca="1" si="174">IF(FY54="",GJ55,(FY54-(FQ54+VLOOKUP(FK54,$CB$54:$EU$85,12,FALSE)-VLOOKUP(FK54,$CB$54:$EU$85,34,FALSE))/COS(VLOOKUP(FK54,$CB$54:$EU$85,72,FALSE)))/2)</f>
        <v>0</v>
      </c>
      <c r="GK54" s="834" t="str">
        <f>CONCATENATE(IF(AND(AD14&lt;&gt;"",AE14&lt;&gt;""),IF(AD14*12+AE14+IF(VLOOKUP(BX14,$BJ$14:$BN$45,5,FALSE)="BG",AG14*12+AH14,0)&lt;VLOOKUP(BX14,$BJ$14:$BM$45,4,FALSE)/$EX$5,"A",""),""),IF(AND(AI14&lt;&gt;"",AJ14&lt;&gt;""),IF(AI14*12+AJ14+IF(VLOOKUP(BX14,$BJ$14:$BN$45,5,FALSE)="BG",AG14*12+AH14,0)&lt;VLOOKUP(BX14,$BJ$14:$BM$45,4,FALSE)/$EX$5,"B",""),""))</f>
        <v/>
      </c>
      <c r="GL54" s="56"/>
      <c r="GM54" s="56"/>
    </row>
    <row r="55" spans="1:222" ht="12.6" hidden="1" customHeight="1" x14ac:dyDescent="0.2">
      <c r="BZ55" s="214"/>
      <c r="CA55" s="214"/>
      <c r="CB55" s="289" t="str">
        <f t="shared" si="101"/>
        <v/>
      </c>
      <c r="CC55" s="290" t="str">
        <f>IF(CG15="","",VLOOKUP(CG15,#REF!,12,FALSE))</f>
        <v/>
      </c>
      <c r="CD55" s="1219" t="str">
        <f>IF(ISBLANK(CN15),IF(CG15="","",VLOOKUP(CG15,#REF!,13,FALSE)),CN15)</f>
        <v/>
      </c>
      <c r="CE55" s="1219" t="str">
        <f>IF(CG15="","",IF(VLOOKUP(CG15,#REF!,5,FALSE)="","R",UPPER(VLOOKUP(CG15,#REF!,5,FALSE))))</f>
        <v/>
      </c>
      <c r="CF55" s="1219" t="str">
        <f>IF(ISBLANK(CP15),IF(CG15="","",VLOOKUP(CG15,#REF!,6,FALSE)),CP15)</f>
        <v/>
      </c>
      <c r="CG55" s="1219" t="str">
        <f>IF(CG15="","",IF(VLOOKUP(CG15,#REF!,10,FALSE)="","",(VLOOKUP(CG15,#REF!,10,FALSE)*-1)))</f>
        <v/>
      </c>
      <c r="CH55" s="1219" t="str">
        <f>IF(CG15="","",IF(VLOOKUP(CG15,#REF!,7,FALSE)="","",(VLOOKUP(CG15,#REF!,7,FALSE)*-1)))</f>
        <v/>
      </c>
      <c r="CI55" s="1219" t="str">
        <f>IF(CG15="","",IF(VLOOKUP(CG15,#REF!,8,FALSE)="",$FC$4,(VLOOKUP(CG15,#REF!,8,FALSE))))</f>
        <v/>
      </c>
      <c r="CJ55" s="1219" t="str">
        <f>IF(CG15="","",VLOOKUP(CG15,#REF!,9,FALSE))</f>
        <v/>
      </c>
      <c r="CK55" s="1220">
        <f t="shared" si="102"/>
        <v>0</v>
      </c>
      <c r="CL55" s="1218" t="str">
        <f>IF(CQ15="","",VLOOKUP(CQ15,#REF!,12,FALSE))</f>
        <v/>
      </c>
      <c r="CM55" s="1219" t="str">
        <f>IF(ISBLANK(CX15),IF(CQ15="","",VLOOKUP(CQ15,#REF!,13,FALSE)),CX15)</f>
        <v/>
      </c>
      <c r="CN55" s="1219" t="str">
        <f>IF(CQ15="","",IF(VLOOKUP(CQ15,#REF!,5,FALSE)="","R",UPPER(VLOOKUP(CQ15,#REF!,5,FALSE))))</f>
        <v/>
      </c>
      <c r="CO55" s="1219" t="str">
        <f>IF(ISBLANK(CZ15),IF(CQ15="","",VLOOKUP(CQ15,#REF!,6,FALSE)),CZ15)</f>
        <v/>
      </c>
      <c r="CP55" s="1219" t="str">
        <f>IF(CQ15="","",IF(VLOOKUP(CQ15,#REF!,10,FALSE)="","",(VLOOKUP(CQ15,#REF!,10,FALSE)*-1)))</f>
        <v/>
      </c>
      <c r="CQ55" s="1219" t="str">
        <f>IF(CQ15="","",IF(VLOOKUP(CQ15,#REF!,7,FALSE)="","",(VLOOKUP(CQ15,#REF!,7,FALSE)*-1)))</f>
        <v/>
      </c>
      <c r="CR55" s="1219" t="str">
        <f>IF(CQ15="","",IF(VLOOKUP(CQ15,#REF!,8,FALSE)="",$FC$4,(VLOOKUP(CQ15,#REF!,8,FALSE))))</f>
        <v/>
      </c>
      <c r="CS55" s="1219" t="str">
        <f>IF(CQ15="","",VLOOKUP(CQ15,#REF!,9,FALSE))</f>
        <v/>
      </c>
      <c r="CT55" s="1220">
        <f t="shared" si="103"/>
        <v>0</v>
      </c>
      <c r="CU55" s="1230">
        <f t="shared" si="104"/>
        <v>0</v>
      </c>
      <c r="CV55" s="1224" t="str">
        <f t="shared" si="105"/>
        <v/>
      </c>
      <c r="CW55" s="1224" t="str">
        <f t="shared" si="106"/>
        <v/>
      </c>
      <c r="CX55" s="1224" t="str">
        <f t="shared" si="107"/>
        <v/>
      </c>
      <c r="CY55" s="1226">
        <f t="shared" si="108"/>
        <v>0</v>
      </c>
      <c r="CZ55" s="1226" t="e">
        <f t="shared" si="109"/>
        <v>#REF!</v>
      </c>
      <c r="DA55" s="1226" t="str">
        <f t="shared" si="110"/>
        <v/>
      </c>
      <c r="DB55" s="1224" t="str">
        <f t="shared" ref="DB55:DB85" si="175">IF(CD55="","",CD55+DA55+($EY$4*TAN(CY55)))</f>
        <v/>
      </c>
      <c r="DC55" s="1224" t="str">
        <f t="shared" si="111"/>
        <v/>
      </c>
      <c r="DD55" s="814">
        <f t="shared" ref="DD55:DD85" si="176">IF(CD55="",0,IF(DC55/COS(EU55)&lt;0.0625,0,CEILING(DC55/COS(EU55)-0.03125,0.125)))</f>
        <v>0</v>
      </c>
      <c r="DE55" s="812">
        <f t="shared" si="112"/>
        <v>0</v>
      </c>
      <c r="DF55" s="813" t="e">
        <f t="shared" si="113"/>
        <v>#REF!</v>
      </c>
      <c r="DG55" s="813" t="str">
        <f t="shared" si="114"/>
        <v/>
      </c>
      <c r="DH55" s="1224" t="str">
        <f t="shared" ref="DH55:DH85" si="177">IF(CM55="","",CM55+DG55+($EY$4*TAN(DE55)))</f>
        <v/>
      </c>
      <c r="DI55" s="1224" t="str">
        <f t="shared" si="115"/>
        <v/>
      </c>
      <c r="DJ55" s="1225">
        <f t="shared" ref="DJ55:DJ85" si="178">IF(CM55="",0,IF(DI55/COS(EU55)&lt;0.0625,0,CEILING(DI55/COS(EU55)-0.03125,0.125)))</f>
        <v>0</v>
      </c>
      <c r="DK55" s="1224" t="str">
        <f t="shared" si="116"/>
        <v/>
      </c>
      <c r="DL55" s="1224" t="str">
        <f t="shared" si="117"/>
        <v/>
      </c>
      <c r="DM55" s="1224" t="str">
        <f t="shared" si="118"/>
        <v/>
      </c>
      <c r="DN55" s="1224" t="str">
        <f t="shared" si="119"/>
        <v/>
      </c>
      <c r="DO55" s="828" t="e">
        <f t="shared" si="120"/>
        <v>#REF!</v>
      </c>
      <c r="DP55" s="828" t="e">
        <f t="shared" si="121"/>
        <v>#REF!</v>
      </c>
      <c r="DQ55" s="1224" t="str">
        <f t="shared" si="122"/>
        <v/>
      </c>
      <c r="DR55" s="1224" t="str">
        <f t="shared" si="122"/>
        <v/>
      </c>
      <c r="DS55" s="1224" t="str">
        <f t="shared" si="123"/>
        <v/>
      </c>
      <c r="DT55" s="1224" t="str">
        <f t="shared" si="124"/>
        <v/>
      </c>
      <c r="DU55" s="1224" t="str">
        <f t="shared" si="125"/>
        <v/>
      </c>
      <c r="DV55" s="828" t="e">
        <f t="shared" si="126"/>
        <v>#REF!</v>
      </c>
      <c r="DW55" s="828" t="e">
        <f t="shared" si="127"/>
        <v>#REF!</v>
      </c>
      <c r="DX55" s="812" t="str">
        <f t="shared" si="128"/>
        <v/>
      </c>
      <c r="DY55" s="812" t="str">
        <f t="shared" si="129"/>
        <v/>
      </c>
      <c r="DZ55" s="812" t="str">
        <f t="shared" si="130"/>
        <v/>
      </c>
      <c r="EA55" s="812" t="str">
        <f t="shared" si="131"/>
        <v/>
      </c>
      <c r="EB55" s="815" t="str">
        <f t="shared" si="132"/>
        <v/>
      </c>
      <c r="EC55" s="816" t="str">
        <f t="shared" si="133"/>
        <v/>
      </c>
      <c r="ED55" s="815" t="str">
        <f t="shared" si="134"/>
        <v/>
      </c>
      <c r="EE55" s="815" t="str">
        <f t="shared" si="135"/>
        <v/>
      </c>
      <c r="EF55" s="815" t="str">
        <f t="shared" si="136"/>
        <v/>
      </c>
      <c r="EG55" s="815" t="str">
        <f t="shared" si="137"/>
        <v/>
      </c>
      <c r="EH55" s="815" t="str">
        <f t="shared" si="138"/>
        <v/>
      </c>
      <c r="EI55" s="815" t="str">
        <f t="shared" si="139"/>
        <v/>
      </c>
      <c r="EJ55" s="815" t="str">
        <f t="shared" si="140"/>
        <v/>
      </c>
      <c r="EK55" s="813">
        <f t="shared" si="141"/>
        <v>0</v>
      </c>
      <c r="EL55" s="813">
        <f t="shared" si="142"/>
        <v>0</v>
      </c>
      <c r="EM55" s="813">
        <f t="shared" si="143"/>
        <v>0</v>
      </c>
      <c r="EN55" s="813" t="e">
        <f t="shared" si="144"/>
        <v>#REF!</v>
      </c>
      <c r="EO55" s="812" t="str">
        <f t="shared" si="145"/>
        <v/>
      </c>
      <c r="EP55" s="813">
        <f t="shared" si="146"/>
        <v>0</v>
      </c>
      <c r="EQ55" s="813">
        <f t="shared" si="147"/>
        <v>0</v>
      </c>
      <c r="ER55" s="813">
        <f t="shared" si="148"/>
        <v>0</v>
      </c>
      <c r="ES55" s="813" t="e">
        <f t="shared" si="149"/>
        <v>#REF!</v>
      </c>
      <c r="ET55" s="812" t="str">
        <f t="shared" si="150"/>
        <v/>
      </c>
      <c r="EU55" s="812" t="e">
        <f t="shared" si="151"/>
        <v>#REF!</v>
      </c>
      <c r="EV55" s="815" t="e">
        <f t="shared" si="152"/>
        <v>#VALUE!</v>
      </c>
      <c r="EW55" s="815" t="e">
        <f t="shared" si="153"/>
        <v>#VALUE!</v>
      </c>
      <c r="EX55" s="817" t="str">
        <f t="shared" si="154"/>
        <v/>
      </c>
      <c r="EY55" s="818" t="e">
        <f t="shared" si="155"/>
        <v>#DIV/0!</v>
      </c>
      <c r="EZ55" s="893" t="e">
        <f t="shared" si="156"/>
        <v>#DIV/0!</v>
      </c>
      <c r="FA55" s="894" t="e">
        <f t="shared" si="157"/>
        <v>#DIV/0!</v>
      </c>
      <c r="FB55" s="819" t="str">
        <f t="shared" si="158"/>
        <v/>
      </c>
      <c r="FC55" s="820" t="str">
        <f t="shared" si="159"/>
        <v/>
      </c>
      <c r="FD55" s="829">
        <f t="shared" si="160"/>
        <v>0</v>
      </c>
      <c r="FE55" s="774">
        <f t="shared" si="161"/>
        <v>0</v>
      </c>
      <c r="FF55" s="703" t="b">
        <f t="shared" si="162"/>
        <v>0</v>
      </c>
      <c r="FG55" s="703" t="b">
        <f t="shared" si="163"/>
        <v>0</v>
      </c>
      <c r="FH55" s="703" t="b">
        <f t="shared" si="164"/>
        <v>0</v>
      </c>
      <c r="FI55" s="703" t="b">
        <f t="shared" si="165"/>
        <v>0</v>
      </c>
      <c r="FJ55" s="849" t="str">
        <f t="shared" ref="FJ55:FJ85" si="179">IF(AND(COUNTA(DH15:EK15)&gt;0,FK55=FK54,FK55&lt;&gt;""),"G","")</f>
        <v/>
      </c>
      <c r="FK55" s="848" t="str">
        <f t="shared" ref="FK55:FK85" si="180">IF(ISBLANK(DH15),FK54,DH15)</f>
        <v/>
      </c>
      <c r="FL55" s="242" t="e">
        <f t="shared" ref="FL55:FL85" si="181">IF(ISERROR(VLOOKUP(DH15,$CB$54:$DK$85,36,FALSE)),FL54,VLOOKUP(DH15,$CB$54:$DK$85,36,FALSE))</f>
        <v>#N/A</v>
      </c>
      <c r="FM55" s="234" t="str">
        <f t="shared" si="166"/>
        <v/>
      </c>
      <c r="FN55" s="191" t="str">
        <f t="shared" ref="FN55:FN85" ca="1" si="182">IF(OR(FS55=0,DL15=""),"",IF(UPPER(FM54)="X",0,CEILING(IF(AND(DJ15="",DK15=""),IF(UPPER(FM55)="X",FP55,IF(AND(DM15="",DN15=""),(FS55-FO55*FP55)/2,(DJ15*12+DK15+(DL15*(DM15*12+DN15)))-FO55*FP55)),(DJ15*12+DK15))-0.0625,0.125)))</f>
        <v/>
      </c>
      <c r="FO55" s="192" t="str">
        <f t="shared" ref="FO55:FO85" ca="1" si="183">IF(OR(FS55=0,DL15=""),"",DL15-IF(AND(DJ15="",DK15="",FM54&lt;&gt;"X"),1,0)-IF(AND(DM15="",DN15="",FM55=""),1,0))</f>
        <v/>
      </c>
      <c r="FP55" s="193" t="str">
        <f t="shared" ref="FP55:FP85" ca="1" si="184">IF(OR(FS55=0,DL15=""),"",CEILING(IF(AND(DM15="",DN15=""),IF(DL15=FO55,(FS55-FN55-FQ55)/FO55,(FS55-IF(AND(DJ15="",DK15=""),0,FN55)-IF(FM55="",0,FQ55))/DL15),DM15*12+DN15)-0.0625,0.125))</f>
        <v/>
      </c>
      <c r="FQ55" s="193" t="str">
        <f t="shared" ref="FQ55:FQ85" ca="1" si="185">IF(OR(FS55=0,DL15=""),"",IF(UPPER(FM55)="X",0,FS55-FN55-FO55*FP55))</f>
        <v/>
      </c>
      <c r="FR55" s="243">
        <f t="shared" ref="FR55:FR85" ca="1" si="186">IF(OR(FS55=0,DL15=""),0,FS55-(FN55+FO55*FP55+FQ55))</f>
        <v>0</v>
      </c>
      <c r="FS55" s="244">
        <f t="shared" ref="FS55:FS85" ca="1" si="187">IF(ISBLANK(DH15),IF(FR54=0,IF(OR(DI15="F",DI15="N"),OFFSET(FS54,(-1*(FU54-1)),0),0),FR54),VLOOKUP(DH15,$CB$14:$CF$45,4,FALSE)*12+VLOOKUP(DH15,$CB$14:$CF$45,5,FALSE))</f>
        <v>0</v>
      </c>
      <c r="FT55" s="191" t="str">
        <f t="shared" ref="FT55:FT85" ca="1" si="188">IF(FU55="","",IF(FU55=1,IF(FL55="",OFFSET(FL55,(-1*FU54),0),FL55),FT54-GA54))</f>
        <v/>
      </c>
      <c r="FU55" s="194" t="str">
        <f t="shared" ref="FU55:FU85" ca="1" si="189">IF(FS55=0,"",IF(FR54=0,1,FU54+1))</f>
        <v/>
      </c>
      <c r="FV55" s="245" t="str">
        <f t="shared" ca="1" si="167"/>
        <v/>
      </c>
      <c r="FW55" s="195" t="str">
        <f t="shared" ref="FW55:FW85" ca="1" si="190">IF(OR(FN55=0,FN55=""),"",(FN55+VLOOKUP(FK55,$CB$54:$CD$85,3,FALSE)-VLOOKUP(FK55,$CB$54:$DD$85,29,FALSE))/COS(VLOOKUP(FK55,$CB$54:$EU$85,72,FALSE)))</f>
        <v/>
      </c>
      <c r="FX55" s="195" t="str">
        <f t="shared" ref="FX55:FX85" ca="1" si="191">IF(FO55=0,0,IF(FP55="","",CEILING(FP55/COS(VLOOKUP(FK55,$CB$54:$EU$85,72,FALSE))-0.0625,0.125)))</f>
        <v/>
      </c>
      <c r="FY55" s="195" t="str">
        <f t="shared" ref="FY55:FY85" ca="1" si="192">IF(OR(FQ55=0,FQ55=""),"",FT55-IF(FW55="",0,FW55)-FO55*FX55)</f>
        <v/>
      </c>
      <c r="FZ55" s="195" t="str">
        <f t="shared" ref="FZ55:FZ85" ca="1" si="193">IF(FY55="","",CEILING(FT55-IF(FV55="",0,FV55)-(FO55*FX55)-0.0625,0.125))</f>
        <v/>
      </c>
      <c r="GA55" s="195" t="str">
        <f t="shared" ref="GA55:GA85" ca="1" si="194">IF(FP55="","",IF(FW55="",0,FW55)+FO55*FX55+IF(FY55="",0,FY55))</f>
        <v/>
      </c>
      <c r="GB55" s="196" t="str">
        <f ca="1">IF(FY55="","",2+SUM(FO55:OFFSET(FO55,(FU55-1)*-1,0)))</f>
        <v/>
      </c>
      <c r="GC55" s="238" t="e">
        <f t="shared" ref="GC55:GC85" si="195">IF(ISERROR(VLOOKUP(DH15,$CB$54:$CD$85,3,FALSE)),GC54,VLOOKUP(DH15,$CB$54:$CD$85,3,FALSE))</f>
        <v>#N/A</v>
      </c>
      <c r="GD55" s="246" t="str">
        <f t="shared" si="168"/>
        <v/>
      </c>
      <c r="GE55" s="247" t="str">
        <f t="shared" si="169"/>
        <v/>
      </c>
      <c r="GF55" s="197" t="str">
        <f t="shared" si="170"/>
        <v/>
      </c>
      <c r="GG55" s="198" t="str">
        <f t="shared" si="171"/>
        <v/>
      </c>
      <c r="GH55" s="198" t="str">
        <f t="shared" si="172"/>
        <v/>
      </c>
      <c r="GI55" s="199" t="str">
        <f t="shared" si="173"/>
        <v/>
      </c>
      <c r="GJ55" s="473">
        <f t="shared" ca="1" si="174"/>
        <v>0</v>
      </c>
      <c r="GK55" s="834" t="str">
        <f t="shared" ref="GK55:GK85" ca="1" si="196">CONCATENATE(IF(AND(AD15&lt;&gt;"",AE15&lt;&gt;""),IF(AD15*12+AE15+IF(VLOOKUP(BX15,$BJ$14:$BN$45,5,FALSE)="BG",AG15*12+AH15,0)&lt;VLOOKUP(BX15,$BJ$14:$BM$45,4,FALSE)/$EX$5,"A",""),""),IF(AND(AI15&lt;&gt;"",AJ15&lt;&gt;""),IF(AI15*12+AJ15+IF(VLOOKUP(BX15,$BJ$14:$BN$45,5,FALSE)="BG",AG15*12+AH15,0)&lt;VLOOKUP(BX15,$BJ$14:$BM$45,4,FALSE)/$EX$5,"B",""),""))</f>
        <v/>
      </c>
      <c r="GL55" s="56"/>
      <c r="GM55" s="56"/>
    </row>
    <row r="56" spans="1:222" ht="12.6" hidden="1" customHeight="1" x14ac:dyDescent="0.2">
      <c r="BZ56" s="214"/>
      <c r="CA56" s="214"/>
      <c r="CB56" s="289" t="str">
        <f t="shared" si="101"/>
        <v/>
      </c>
      <c r="CC56" s="290" t="str">
        <f>IF(CG16="","",VLOOKUP(CG16,#REF!,12,FALSE))</f>
        <v/>
      </c>
      <c r="CD56" s="1219" t="str">
        <f>IF(ISBLANK(CN16),IF(CG16="","",VLOOKUP(CG16,#REF!,13,FALSE)),CN16)</f>
        <v/>
      </c>
      <c r="CE56" s="1219" t="str">
        <f>IF(CG16="","",IF(VLOOKUP(CG16,#REF!,5,FALSE)="","R",UPPER(VLOOKUP(CG16,#REF!,5,FALSE))))</f>
        <v/>
      </c>
      <c r="CF56" s="1219" t="str">
        <f>IF(ISBLANK(CP16),IF(CG16="","",VLOOKUP(CG16,#REF!,6,FALSE)),CP16)</f>
        <v/>
      </c>
      <c r="CG56" s="1219" t="str">
        <f>IF(CG16="","",IF(VLOOKUP(CG16,#REF!,10,FALSE)="","",(VLOOKUP(CG16,#REF!,10,FALSE)*-1)))</f>
        <v/>
      </c>
      <c r="CH56" s="1219" t="str">
        <f>IF(CG16="","",IF(VLOOKUP(CG16,#REF!,7,FALSE)="","",(VLOOKUP(CG16,#REF!,7,FALSE)*-1)))</f>
        <v/>
      </c>
      <c r="CI56" s="1219" t="str">
        <f>IF(CG16="","",IF(VLOOKUP(CG16,#REF!,8,FALSE)="",$FC$4,(VLOOKUP(CG16,#REF!,8,FALSE))))</f>
        <v/>
      </c>
      <c r="CJ56" s="1219" t="str">
        <f>IF(CG16="","",VLOOKUP(CG16,#REF!,9,FALSE))</f>
        <v/>
      </c>
      <c r="CK56" s="1220">
        <f t="shared" si="102"/>
        <v>0</v>
      </c>
      <c r="CL56" s="1218" t="str">
        <f>IF(CQ16="","",VLOOKUP(CQ16,#REF!,12,FALSE))</f>
        <v/>
      </c>
      <c r="CM56" s="1219" t="str">
        <f>IF(ISBLANK(CX16),IF(CQ16="","",VLOOKUP(CQ16,#REF!,13,FALSE)),CX16)</f>
        <v/>
      </c>
      <c r="CN56" s="1219" t="str">
        <f>IF(CQ16="","",IF(VLOOKUP(CQ16,#REF!,5,FALSE)="","R",UPPER(VLOOKUP(CQ16,#REF!,5,FALSE))))</f>
        <v/>
      </c>
      <c r="CO56" s="1219" t="str">
        <f>IF(ISBLANK(CZ16),IF(CQ16="","",VLOOKUP(CQ16,#REF!,6,FALSE)),CZ16)</f>
        <v/>
      </c>
      <c r="CP56" s="1219" t="str">
        <f>IF(CQ16="","",IF(VLOOKUP(CQ16,#REF!,10,FALSE)="","",(VLOOKUP(CQ16,#REF!,10,FALSE)*-1)))</f>
        <v/>
      </c>
      <c r="CQ56" s="1219" t="str">
        <f>IF(CQ16="","",IF(VLOOKUP(CQ16,#REF!,7,FALSE)="","",(VLOOKUP(CQ16,#REF!,7,FALSE)*-1)))</f>
        <v/>
      </c>
      <c r="CR56" s="1219" t="str">
        <f>IF(CQ16="","",IF(VLOOKUP(CQ16,#REF!,8,FALSE)="",$FC$4,(VLOOKUP(CQ16,#REF!,8,FALSE))))</f>
        <v/>
      </c>
      <c r="CS56" s="1219" t="str">
        <f>IF(CQ16="","",VLOOKUP(CQ16,#REF!,9,FALSE))</f>
        <v/>
      </c>
      <c r="CT56" s="1220">
        <f t="shared" si="103"/>
        <v>0</v>
      </c>
      <c r="CU56" s="1230">
        <f t="shared" si="104"/>
        <v>0</v>
      </c>
      <c r="CV56" s="1224" t="str">
        <f t="shared" si="105"/>
        <v/>
      </c>
      <c r="CW56" s="1224" t="str">
        <f t="shared" si="106"/>
        <v/>
      </c>
      <c r="CX56" s="1224" t="str">
        <f t="shared" si="107"/>
        <v/>
      </c>
      <c r="CY56" s="1226">
        <f t="shared" si="108"/>
        <v>0</v>
      </c>
      <c r="CZ56" s="1226" t="e">
        <f t="shared" si="109"/>
        <v>#REF!</v>
      </c>
      <c r="DA56" s="1226" t="str">
        <f t="shared" si="110"/>
        <v/>
      </c>
      <c r="DB56" s="1224" t="str">
        <f t="shared" si="175"/>
        <v/>
      </c>
      <c r="DC56" s="1224" t="str">
        <f t="shared" si="111"/>
        <v/>
      </c>
      <c r="DD56" s="814">
        <f t="shared" si="176"/>
        <v>0</v>
      </c>
      <c r="DE56" s="812">
        <f t="shared" si="112"/>
        <v>0</v>
      </c>
      <c r="DF56" s="813" t="e">
        <f t="shared" si="113"/>
        <v>#REF!</v>
      </c>
      <c r="DG56" s="813" t="str">
        <f t="shared" si="114"/>
        <v/>
      </c>
      <c r="DH56" s="1224" t="str">
        <f t="shared" si="177"/>
        <v/>
      </c>
      <c r="DI56" s="1224" t="str">
        <f t="shared" si="115"/>
        <v/>
      </c>
      <c r="DJ56" s="1225">
        <f t="shared" si="178"/>
        <v>0</v>
      </c>
      <c r="DK56" s="1224" t="str">
        <f t="shared" si="116"/>
        <v/>
      </c>
      <c r="DL56" s="1224" t="str">
        <f t="shared" si="117"/>
        <v/>
      </c>
      <c r="DM56" s="1224" t="str">
        <f t="shared" si="118"/>
        <v/>
      </c>
      <c r="DN56" s="1224" t="str">
        <f t="shared" si="119"/>
        <v/>
      </c>
      <c r="DO56" s="828" t="e">
        <f t="shared" si="120"/>
        <v>#REF!</v>
      </c>
      <c r="DP56" s="828" t="e">
        <f t="shared" si="121"/>
        <v>#REF!</v>
      </c>
      <c r="DQ56" s="1224" t="str">
        <f t="shared" si="122"/>
        <v/>
      </c>
      <c r="DR56" s="1224" t="str">
        <f t="shared" si="122"/>
        <v/>
      </c>
      <c r="DS56" s="1224" t="str">
        <f t="shared" si="123"/>
        <v/>
      </c>
      <c r="DT56" s="1224" t="str">
        <f t="shared" si="124"/>
        <v/>
      </c>
      <c r="DU56" s="1224" t="str">
        <f t="shared" si="125"/>
        <v/>
      </c>
      <c r="DV56" s="828" t="e">
        <f t="shared" si="126"/>
        <v>#REF!</v>
      </c>
      <c r="DW56" s="828" t="e">
        <f t="shared" si="127"/>
        <v>#REF!</v>
      </c>
      <c r="DX56" s="812" t="str">
        <f t="shared" si="128"/>
        <v/>
      </c>
      <c r="DY56" s="812" t="str">
        <f t="shared" si="129"/>
        <v/>
      </c>
      <c r="DZ56" s="812" t="str">
        <f t="shared" si="130"/>
        <v/>
      </c>
      <c r="EA56" s="812" t="str">
        <f t="shared" si="131"/>
        <v/>
      </c>
      <c r="EB56" s="815" t="str">
        <f t="shared" si="132"/>
        <v/>
      </c>
      <c r="EC56" s="816" t="str">
        <f t="shared" si="133"/>
        <v/>
      </c>
      <c r="ED56" s="815" t="str">
        <f t="shared" si="134"/>
        <v/>
      </c>
      <c r="EE56" s="815" t="str">
        <f t="shared" si="135"/>
        <v/>
      </c>
      <c r="EF56" s="815" t="str">
        <f t="shared" si="136"/>
        <v/>
      </c>
      <c r="EG56" s="815" t="str">
        <f t="shared" si="137"/>
        <v/>
      </c>
      <c r="EH56" s="815" t="str">
        <f t="shared" si="138"/>
        <v/>
      </c>
      <c r="EI56" s="815" t="str">
        <f t="shared" si="139"/>
        <v/>
      </c>
      <c r="EJ56" s="815" t="str">
        <f t="shared" si="140"/>
        <v/>
      </c>
      <c r="EK56" s="813">
        <f t="shared" si="141"/>
        <v>0</v>
      </c>
      <c r="EL56" s="813">
        <f t="shared" si="142"/>
        <v>0</v>
      </c>
      <c r="EM56" s="813">
        <f t="shared" si="143"/>
        <v>0</v>
      </c>
      <c r="EN56" s="813" t="e">
        <f t="shared" si="144"/>
        <v>#REF!</v>
      </c>
      <c r="EO56" s="812" t="str">
        <f t="shared" si="145"/>
        <v/>
      </c>
      <c r="EP56" s="813">
        <f t="shared" si="146"/>
        <v>0</v>
      </c>
      <c r="EQ56" s="813">
        <f t="shared" si="147"/>
        <v>0</v>
      </c>
      <c r="ER56" s="813">
        <f t="shared" si="148"/>
        <v>0</v>
      </c>
      <c r="ES56" s="813" t="e">
        <f t="shared" si="149"/>
        <v>#REF!</v>
      </c>
      <c r="ET56" s="812" t="str">
        <f t="shared" si="150"/>
        <v/>
      </c>
      <c r="EU56" s="812" t="e">
        <f t="shared" si="151"/>
        <v>#REF!</v>
      </c>
      <c r="EV56" s="815" t="e">
        <f t="shared" si="152"/>
        <v>#VALUE!</v>
      </c>
      <c r="EW56" s="815" t="e">
        <f t="shared" si="153"/>
        <v>#VALUE!</v>
      </c>
      <c r="EX56" s="817" t="str">
        <f t="shared" si="154"/>
        <v/>
      </c>
      <c r="EY56" s="818" t="e">
        <f t="shared" si="155"/>
        <v>#DIV/0!</v>
      </c>
      <c r="EZ56" s="893" t="e">
        <f t="shared" si="156"/>
        <v>#DIV/0!</v>
      </c>
      <c r="FA56" s="894" t="e">
        <f t="shared" si="157"/>
        <v>#DIV/0!</v>
      </c>
      <c r="FB56" s="819" t="str">
        <f t="shared" si="158"/>
        <v/>
      </c>
      <c r="FC56" s="820" t="str">
        <f t="shared" si="159"/>
        <v/>
      </c>
      <c r="FD56" s="829">
        <f t="shared" si="160"/>
        <v>0</v>
      </c>
      <c r="FE56" s="774">
        <f t="shared" si="161"/>
        <v>0</v>
      </c>
      <c r="FF56" s="703" t="b">
        <f t="shared" si="162"/>
        <v>0</v>
      </c>
      <c r="FG56" s="703" t="b">
        <f t="shared" si="163"/>
        <v>0</v>
      </c>
      <c r="FH56" s="703" t="b">
        <f t="shared" si="164"/>
        <v>0</v>
      </c>
      <c r="FI56" s="703" t="b">
        <f t="shared" si="165"/>
        <v>0</v>
      </c>
      <c r="FJ56" s="849" t="str">
        <f t="shared" si="179"/>
        <v/>
      </c>
      <c r="FK56" s="848" t="str">
        <f t="shared" si="180"/>
        <v/>
      </c>
      <c r="FL56" s="242" t="e">
        <f t="shared" si="181"/>
        <v>#N/A</v>
      </c>
      <c r="FM56" s="234" t="str">
        <f t="shared" si="166"/>
        <v/>
      </c>
      <c r="FN56" s="191" t="str">
        <f t="shared" ca="1" si="182"/>
        <v/>
      </c>
      <c r="FO56" s="192" t="str">
        <f t="shared" ca="1" si="183"/>
        <v/>
      </c>
      <c r="FP56" s="193" t="str">
        <f t="shared" ca="1" si="184"/>
        <v/>
      </c>
      <c r="FQ56" s="193" t="str">
        <f t="shared" ca="1" si="185"/>
        <v/>
      </c>
      <c r="FR56" s="243">
        <f t="shared" ca="1" si="186"/>
        <v>0</v>
      </c>
      <c r="FS56" s="244">
        <f t="shared" ca="1" si="187"/>
        <v>0</v>
      </c>
      <c r="FT56" s="191" t="str">
        <f t="shared" ca="1" si="188"/>
        <v/>
      </c>
      <c r="FU56" s="194" t="str">
        <f t="shared" ca="1" si="189"/>
        <v/>
      </c>
      <c r="FV56" s="245" t="str">
        <f t="shared" ca="1" si="167"/>
        <v/>
      </c>
      <c r="FW56" s="195" t="str">
        <f t="shared" ca="1" si="190"/>
        <v/>
      </c>
      <c r="FX56" s="195" t="str">
        <f t="shared" ca="1" si="191"/>
        <v/>
      </c>
      <c r="FY56" s="195" t="str">
        <f t="shared" ca="1" si="192"/>
        <v/>
      </c>
      <c r="FZ56" s="195" t="str">
        <f t="shared" ca="1" si="193"/>
        <v/>
      </c>
      <c r="GA56" s="195" t="str">
        <f t="shared" ca="1" si="194"/>
        <v/>
      </c>
      <c r="GB56" s="196" t="str">
        <f ca="1">IF(FY56="","",2+SUM(FO56:OFFSET(FO56,(FU56-1)*-1,0)))</f>
        <v/>
      </c>
      <c r="GC56" s="238" t="e">
        <f t="shared" si="195"/>
        <v>#N/A</v>
      </c>
      <c r="GD56" s="246" t="str">
        <f t="shared" si="168"/>
        <v/>
      </c>
      <c r="GE56" s="247" t="str">
        <f t="shared" si="169"/>
        <v/>
      </c>
      <c r="GF56" s="197" t="str">
        <f t="shared" si="170"/>
        <v/>
      </c>
      <c r="GG56" s="198" t="str">
        <f t="shared" si="171"/>
        <v/>
      </c>
      <c r="GH56" s="198" t="str">
        <f t="shared" si="172"/>
        <v/>
      </c>
      <c r="GI56" s="199" t="str">
        <f t="shared" si="173"/>
        <v/>
      </c>
      <c r="GJ56" s="473">
        <f t="shared" ca="1" si="174"/>
        <v>0</v>
      </c>
      <c r="GK56" s="834" t="str">
        <f t="shared" ca="1" si="196"/>
        <v/>
      </c>
      <c r="GL56" s="56"/>
      <c r="GM56" s="56"/>
    </row>
    <row r="57" spans="1:222" ht="12.6" hidden="1" customHeight="1" x14ac:dyDescent="0.2">
      <c r="BZ57" s="214"/>
      <c r="CA57" s="214"/>
      <c r="CB57" s="289" t="str">
        <f t="shared" si="101"/>
        <v/>
      </c>
      <c r="CC57" s="290" t="str">
        <f>IF(CG17="","",VLOOKUP(CG17,#REF!,12,FALSE))</f>
        <v/>
      </c>
      <c r="CD57" s="1219" t="str">
        <f>IF(ISBLANK(CN17),IF(CG17="","",VLOOKUP(CG17,#REF!,13,FALSE)),CN17)</f>
        <v/>
      </c>
      <c r="CE57" s="1219" t="str">
        <f>IF(CG17="","",IF(VLOOKUP(CG17,#REF!,5,FALSE)="","R",UPPER(VLOOKUP(CG17,#REF!,5,FALSE))))</f>
        <v/>
      </c>
      <c r="CF57" s="1219" t="str">
        <f>IF(ISBLANK(CP17),IF(CG17="","",VLOOKUP(CG17,#REF!,6,FALSE)),CP17)</f>
        <v/>
      </c>
      <c r="CG57" s="1219" t="str">
        <f>IF(CG17="","",IF(VLOOKUP(CG17,#REF!,10,FALSE)="","",(VLOOKUP(CG17,#REF!,10,FALSE)*-1)))</f>
        <v/>
      </c>
      <c r="CH57" s="1219" t="str">
        <f>IF(CG17="","",IF(VLOOKUP(CG17,#REF!,7,FALSE)="","",(VLOOKUP(CG17,#REF!,7,FALSE)*-1)))</f>
        <v/>
      </c>
      <c r="CI57" s="1219" t="str">
        <f>IF(CG17="","",IF(VLOOKUP(CG17,#REF!,8,FALSE)="",$FC$4,(VLOOKUP(CG17,#REF!,8,FALSE))))</f>
        <v/>
      </c>
      <c r="CJ57" s="1219" t="str">
        <f>IF(CG17="","",VLOOKUP(CG17,#REF!,9,FALSE))</f>
        <v/>
      </c>
      <c r="CK57" s="1220">
        <f t="shared" si="102"/>
        <v>0</v>
      </c>
      <c r="CL57" s="1218" t="str">
        <f>IF(CQ17="","",VLOOKUP(CQ17,#REF!,12,FALSE))</f>
        <v/>
      </c>
      <c r="CM57" s="1219" t="str">
        <f>IF(ISBLANK(CX17),IF(CQ17="","",VLOOKUP(CQ17,#REF!,13,FALSE)),CX17)</f>
        <v/>
      </c>
      <c r="CN57" s="1219" t="str">
        <f>IF(CQ17="","",IF(VLOOKUP(CQ17,#REF!,5,FALSE)="","R",UPPER(VLOOKUP(CQ17,#REF!,5,FALSE))))</f>
        <v/>
      </c>
      <c r="CO57" s="1219" t="str">
        <f>IF(ISBLANK(CZ17),IF(CQ17="","",VLOOKUP(CQ17,#REF!,6,FALSE)),CZ17)</f>
        <v/>
      </c>
      <c r="CP57" s="1219" t="str">
        <f>IF(CQ17="","",IF(VLOOKUP(CQ17,#REF!,10,FALSE)="","",(VLOOKUP(CQ17,#REF!,10,FALSE)*-1)))</f>
        <v/>
      </c>
      <c r="CQ57" s="1219" t="str">
        <f>IF(CQ17="","",IF(VLOOKUP(CQ17,#REF!,7,FALSE)="","",(VLOOKUP(CQ17,#REF!,7,FALSE)*-1)))</f>
        <v/>
      </c>
      <c r="CR57" s="1219" t="str">
        <f>IF(CQ17="","",IF(VLOOKUP(CQ17,#REF!,8,FALSE)="",$FC$4,(VLOOKUP(CQ17,#REF!,8,FALSE))))</f>
        <v/>
      </c>
      <c r="CS57" s="1219" t="str">
        <f>IF(CQ17="","",VLOOKUP(CQ17,#REF!,9,FALSE))</f>
        <v/>
      </c>
      <c r="CT57" s="1220">
        <f t="shared" si="103"/>
        <v>0</v>
      </c>
      <c r="CU57" s="1230">
        <f t="shared" si="104"/>
        <v>0</v>
      </c>
      <c r="CV57" s="1224" t="str">
        <f t="shared" si="105"/>
        <v/>
      </c>
      <c r="CW57" s="1224" t="str">
        <f t="shared" si="106"/>
        <v/>
      </c>
      <c r="CX57" s="1224" t="str">
        <f t="shared" si="107"/>
        <v/>
      </c>
      <c r="CY57" s="1226">
        <f t="shared" si="108"/>
        <v>0</v>
      </c>
      <c r="CZ57" s="1226" t="e">
        <f t="shared" si="109"/>
        <v>#REF!</v>
      </c>
      <c r="DA57" s="1226" t="str">
        <f t="shared" si="110"/>
        <v/>
      </c>
      <c r="DB57" s="1224" t="str">
        <f t="shared" si="175"/>
        <v/>
      </c>
      <c r="DC57" s="1224" t="str">
        <f t="shared" si="111"/>
        <v/>
      </c>
      <c r="DD57" s="814">
        <f t="shared" si="176"/>
        <v>0</v>
      </c>
      <c r="DE57" s="812">
        <f t="shared" si="112"/>
        <v>0</v>
      </c>
      <c r="DF57" s="813" t="e">
        <f t="shared" si="113"/>
        <v>#REF!</v>
      </c>
      <c r="DG57" s="813" t="str">
        <f t="shared" si="114"/>
        <v/>
      </c>
      <c r="DH57" s="1224" t="str">
        <f t="shared" si="177"/>
        <v/>
      </c>
      <c r="DI57" s="1224" t="str">
        <f t="shared" si="115"/>
        <v/>
      </c>
      <c r="DJ57" s="1225">
        <f t="shared" si="178"/>
        <v>0</v>
      </c>
      <c r="DK57" s="1224" t="str">
        <f t="shared" si="116"/>
        <v/>
      </c>
      <c r="DL57" s="1224" t="str">
        <f t="shared" si="117"/>
        <v/>
      </c>
      <c r="DM57" s="1224" t="str">
        <f t="shared" si="118"/>
        <v/>
      </c>
      <c r="DN57" s="1224" t="str">
        <f t="shared" si="119"/>
        <v/>
      </c>
      <c r="DO57" s="828" t="e">
        <f t="shared" si="120"/>
        <v>#REF!</v>
      </c>
      <c r="DP57" s="828" t="e">
        <f t="shared" si="121"/>
        <v>#REF!</v>
      </c>
      <c r="DQ57" s="1224" t="str">
        <f t="shared" si="122"/>
        <v/>
      </c>
      <c r="DR57" s="1224" t="str">
        <f t="shared" si="122"/>
        <v/>
      </c>
      <c r="DS57" s="1224" t="str">
        <f t="shared" si="123"/>
        <v/>
      </c>
      <c r="DT57" s="1224" t="str">
        <f t="shared" si="124"/>
        <v/>
      </c>
      <c r="DU57" s="1224" t="str">
        <f t="shared" si="125"/>
        <v/>
      </c>
      <c r="DV57" s="828" t="e">
        <f t="shared" si="126"/>
        <v>#REF!</v>
      </c>
      <c r="DW57" s="828" t="e">
        <f t="shared" si="127"/>
        <v>#REF!</v>
      </c>
      <c r="DX57" s="812" t="str">
        <f t="shared" si="128"/>
        <v/>
      </c>
      <c r="DY57" s="812" t="str">
        <f t="shared" si="129"/>
        <v/>
      </c>
      <c r="DZ57" s="812" t="str">
        <f t="shared" si="130"/>
        <v/>
      </c>
      <c r="EA57" s="812" t="str">
        <f t="shared" si="131"/>
        <v/>
      </c>
      <c r="EB57" s="815" t="str">
        <f t="shared" si="132"/>
        <v/>
      </c>
      <c r="EC57" s="816" t="str">
        <f t="shared" si="133"/>
        <v/>
      </c>
      <c r="ED57" s="815" t="str">
        <f t="shared" si="134"/>
        <v/>
      </c>
      <c r="EE57" s="815" t="str">
        <f t="shared" si="135"/>
        <v/>
      </c>
      <c r="EF57" s="815" t="str">
        <f t="shared" si="136"/>
        <v/>
      </c>
      <c r="EG57" s="815" t="str">
        <f t="shared" si="137"/>
        <v/>
      </c>
      <c r="EH57" s="815" t="str">
        <f t="shared" si="138"/>
        <v/>
      </c>
      <c r="EI57" s="815" t="str">
        <f t="shared" si="139"/>
        <v/>
      </c>
      <c r="EJ57" s="815" t="str">
        <f t="shared" si="140"/>
        <v/>
      </c>
      <c r="EK57" s="813">
        <f t="shared" si="141"/>
        <v>0</v>
      </c>
      <c r="EL57" s="813">
        <f t="shared" si="142"/>
        <v>0</v>
      </c>
      <c r="EM57" s="813">
        <f t="shared" si="143"/>
        <v>0</v>
      </c>
      <c r="EN57" s="813" t="e">
        <f t="shared" si="144"/>
        <v>#REF!</v>
      </c>
      <c r="EO57" s="812" t="str">
        <f t="shared" si="145"/>
        <v/>
      </c>
      <c r="EP57" s="813">
        <f t="shared" si="146"/>
        <v>0</v>
      </c>
      <c r="EQ57" s="813">
        <f t="shared" si="147"/>
        <v>0</v>
      </c>
      <c r="ER57" s="813">
        <f t="shared" si="148"/>
        <v>0</v>
      </c>
      <c r="ES57" s="813" t="e">
        <f t="shared" si="149"/>
        <v>#REF!</v>
      </c>
      <c r="ET57" s="812" t="str">
        <f t="shared" si="150"/>
        <v/>
      </c>
      <c r="EU57" s="812" t="e">
        <f t="shared" si="151"/>
        <v>#REF!</v>
      </c>
      <c r="EV57" s="815" t="e">
        <f t="shared" si="152"/>
        <v>#VALUE!</v>
      </c>
      <c r="EW57" s="815" t="e">
        <f t="shared" si="153"/>
        <v>#VALUE!</v>
      </c>
      <c r="EX57" s="817" t="str">
        <f t="shared" si="154"/>
        <v/>
      </c>
      <c r="EY57" s="818" t="e">
        <f t="shared" si="155"/>
        <v>#DIV/0!</v>
      </c>
      <c r="EZ57" s="893" t="e">
        <f t="shared" si="156"/>
        <v>#DIV/0!</v>
      </c>
      <c r="FA57" s="894" t="e">
        <f t="shared" si="157"/>
        <v>#DIV/0!</v>
      </c>
      <c r="FB57" s="819" t="str">
        <f t="shared" si="158"/>
        <v/>
      </c>
      <c r="FC57" s="820" t="str">
        <f t="shared" si="159"/>
        <v/>
      </c>
      <c r="FD57" s="829">
        <f t="shared" si="160"/>
        <v>0</v>
      </c>
      <c r="FE57" s="774">
        <f t="shared" si="161"/>
        <v>0</v>
      </c>
      <c r="FF57" s="703" t="b">
        <f t="shared" si="162"/>
        <v>0</v>
      </c>
      <c r="FG57" s="703" t="b">
        <f t="shared" si="163"/>
        <v>0</v>
      </c>
      <c r="FH57" s="703" t="b">
        <f t="shared" si="164"/>
        <v>0</v>
      </c>
      <c r="FI57" s="703" t="b">
        <f t="shared" si="165"/>
        <v>0</v>
      </c>
      <c r="FJ57" s="849" t="str">
        <f t="shared" si="179"/>
        <v/>
      </c>
      <c r="FK57" s="848" t="str">
        <f t="shared" si="180"/>
        <v/>
      </c>
      <c r="FL57" s="242" t="e">
        <f t="shared" si="181"/>
        <v>#N/A</v>
      </c>
      <c r="FM57" s="234" t="str">
        <f t="shared" si="166"/>
        <v/>
      </c>
      <c r="FN57" s="191" t="str">
        <f t="shared" ca="1" si="182"/>
        <v/>
      </c>
      <c r="FO57" s="192" t="str">
        <f t="shared" ca="1" si="183"/>
        <v/>
      </c>
      <c r="FP57" s="193" t="str">
        <f t="shared" ca="1" si="184"/>
        <v/>
      </c>
      <c r="FQ57" s="193" t="str">
        <f t="shared" ca="1" si="185"/>
        <v/>
      </c>
      <c r="FR57" s="243">
        <f t="shared" ca="1" si="186"/>
        <v>0</v>
      </c>
      <c r="FS57" s="244">
        <f t="shared" ca="1" si="187"/>
        <v>0</v>
      </c>
      <c r="FT57" s="191" t="str">
        <f t="shared" ca="1" si="188"/>
        <v/>
      </c>
      <c r="FU57" s="194" t="str">
        <f t="shared" ca="1" si="189"/>
        <v/>
      </c>
      <c r="FV57" s="245" t="str">
        <f t="shared" ca="1" si="167"/>
        <v/>
      </c>
      <c r="FW57" s="195" t="str">
        <f t="shared" ca="1" si="190"/>
        <v/>
      </c>
      <c r="FX57" s="195" t="str">
        <f t="shared" ca="1" si="191"/>
        <v/>
      </c>
      <c r="FY57" s="195" t="str">
        <f t="shared" ca="1" si="192"/>
        <v/>
      </c>
      <c r="FZ57" s="195" t="str">
        <f t="shared" ca="1" si="193"/>
        <v/>
      </c>
      <c r="GA57" s="195" t="str">
        <f t="shared" ca="1" si="194"/>
        <v/>
      </c>
      <c r="GB57" s="196" t="str">
        <f ca="1">IF(FY57="","",2+SUM(FO57:OFFSET(FO57,(FU57-1)*-1,0)))</f>
        <v/>
      </c>
      <c r="GC57" s="238" t="e">
        <f t="shared" si="195"/>
        <v>#N/A</v>
      </c>
      <c r="GD57" s="246" t="str">
        <f t="shared" si="168"/>
        <v/>
      </c>
      <c r="GE57" s="247" t="str">
        <f t="shared" si="169"/>
        <v/>
      </c>
      <c r="GF57" s="197" t="str">
        <f t="shared" si="170"/>
        <v/>
      </c>
      <c r="GG57" s="198" t="str">
        <f t="shared" si="171"/>
        <v/>
      </c>
      <c r="GH57" s="198" t="str">
        <f t="shared" si="172"/>
        <v/>
      </c>
      <c r="GI57" s="199" t="str">
        <f t="shared" si="173"/>
        <v/>
      </c>
      <c r="GJ57" s="473">
        <f t="shared" ca="1" si="174"/>
        <v>0</v>
      </c>
      <c r="GK57" s="834" t="str">
        <f t="shared" ca="1" si="196"/>
        <v/>
      </c>
      <c r="GL57" s="56"/>
      <c r="GM57" s="56"/>
    </row>
    <row r="58" spans="1:222" ht="12.6" hidden="1" customHeight="1" x14ac:dyDescent="0.2">
      <c r="BZ58" s="214"/>
      <c r="CA58" s="214"/>
      <c r="CB58" s="289" t="str">
        <f t="shared" si="101"/>
        <v/>
      </c>
      <c r="CC58" s="290" t="str">
        <f>IF(CG18="","",VLOOKUP(CG18,#REF!,12,FALSE))</f>
        <v/>
      </c>
      <c r="CD58" s="1219" t="str">
        <f>IF(ISBLANK(CN18),IF(CG18="","",VLOOKUP(CG18,#REF!,13,FALSE)),CN18)</f>
        <v/>
      </c>
      <c r="CE58" s="1219" t="str">
        <f>IF(CG18="","",IF(VLOOKUP(CG18,#REF!,5,FALSE)="","R",UPPER(VLOOKUP(CG18,#REF!,5,FALSE))))</f>
        <v/>
      </c>
      <c r="CF58" s="1219" t="str">
        <f>IF(ISBLANK(CP18),IF(CG18="","",VLOOKUP(CG18,#REF!,6,FALSE)),CP18)</f>
        <v/>
      </c>
      <c r="CG58" s="1219" t="str">
        <f>IF(CG18="","",IF(VLOOKUP(CG18,#REF!,10,FALSE)="","",(VLOOKUP(CG18,#REF!,10,FALSE)*-1)))</f>
        <v/>
      </c>
      <c r="CH58" s="1219" t="str">
        <f>IF(CG18="","",IF(VLOOKUP(CG18,#REF!,7,FALSE)="","",(VLOOKUP(CG18,#REF!,7,FALSE)*-1)))</f>
        <v/>
      </c>
      <c r="CI58" s="1219" t="str">
        <f>IF(CG18="","",IF(VLOOKUP(CG18,#REF!,8,FALSE)="",$FC$4,(VLOOKUP(CG18,#REF!,8,FALSE))))</f>
        <v/>
      </c>
      <c r="CJ58" s="1219" t="str">
        <f>IF(CG18="","",VLOOKUP(CG18,#REF!,9,FALSE))</f>
        <v/>
      </c>
      <c r="CK58" s="1220">
        <f t="shared" si="102"/>
        <v>0</v>
      </c>
      <c r="CL58" s="1218" t="str">
        <f>IF(CQ18="","",VLOOKUP(CQ18,#REF!,12,FALSE))</f>
        <v/>
      </c>
      <c r="CM58" s="1219" t="str">
        <f>IF(ISBLANK(CX18),IF(CQ18="","",VLOOKUP(CQ18,#REF!,13,FALSE)),CX18)</f>
        <v/>
      </c>
      <c r="CN58" s="1219" t="str">
        <f>IF(CQ18="","",IF(VLOOKUP(CQ18,#REF!,5,FALSE)="","R",UPPER(VLOOKUP(CQ18,#REF!,5,FALSE))))</f>
        <v/>
      </c>
      <c r="CO58" s="1219" t="str">
        <f>IF(ISBLANK(CZ18),IF(CQ18="","",VLOOKUP(CQ18,#REF!,6,FALSE)),CZ18)</f>
        <v/>
      </c>
      <c r="CP58" s="1219" t="str">
        <f>IF(CQ18="","",IF(VLOOKUP(CQ18,#REF!,10,FALSE)="","",(VLOOKUP(CQ18,#REF!,10,FALSE)*-1)))</f>
        <v/>
      </c>
      <c r="CQ58" s="1219" t="str">
        <f>IF(CQ18="","",IF(VLOOKUP(CQ18,#REF!,7,FALSE)="","",(VLOOKUP(CQ18,#REF!,7,FALSE)*-1)))</f>
        <v/>
      </c>
      <c r="CR58" s="1219" t="str">
        <f>IF(CQ18="","",IF(VLOOKUP(CQ18,#REF!,8,FALSE)="",$FC$4,(VLOOKUP(CQ18,#REF!,8,FALSE))))</f>
        <v/>
      </c>
      <c r="CS58" s="1219" t="str">
        <f>IF(CQ18="","",VLOOKUP(CQ18,#REF!,9,FALSE))</f>
        <v/>
      </c>
      <c r="CT58" s="1220">
        <f t="shared" si="103"/>
        <v>0</v>
      </c>
      <c r="CU58" s="1230">
        <f t="shared" si="104"/>
        <v>0</v>
      </c>
      <c r="CV58" s="1224" t="str">
        <f t="shared" si="105"/>
        <v/>
      </c>
      <c r="CW58" s="1224" t="str">
        <f t="shared" si="106"/>
        <v/>
      </c>
      <c r="CX58" s="1224" t="str">
        <f t="shared" si="107"/>
        <v/>
      </c>
      <c r="CY58" s="1226">
        <f t="shared" si="108"/>
        <v>0</v>
      </c>
      <c r="CZ58" s="1226" t="e">
        <f t="shared" si="109"/>
        <v>#REF!</v>
      </c>
      <c r="DA58" s="1226" t="str">
        <f t="shared" si="110"/>
        <v/>
      </c>
      <c r="DB58" s="1224" t="str">
        <f t="shared" si="175"/>
        <v/>
      </c>
      <c r="DC58" s="1224" t="str">
        <f t="shared" si="111"/>
        <v/>
      </c>
      <c r="DD58" s="814">
        <f t="shared" si="176"/>
        <v>0</v>
      </c>
      <c r="DE58" s="812">
        <f t="shared" si="112"/>
        <v>0</v>
      </c>
      <c r="DF58" s="813" t="e">
        <f t="shared" si="113"/>
        <v>#REF!</v>
      </c>
      <c r="DG58" s="813" t="str">
        <f t="shared" si="114"/>
        <v/>
      </c>
      <c r="DH58" s="1224" t="str">
        <f t="shared" si="177"/>
        <v/>
      </c>
      <c r="DI58" s="1224" t="str">
        <f t="shared" si="115"/>
        <v/>
      </c>
      <c r="DJ58" s="1225">
        <f t="shared" si="178"/>
        <v>0</v>
      </c>
      <c r="DK58" s="1224" t="str">
        <f t="shared" si="116"/>
        <v/>
      </c>
      <c r="DL58" s="1224" t="str">
        <f t="shared" si="117"/>
        <v/>
      </c>
      <c r="DM58" s="1224" t="str">
        <f t="shared" si="118"/>
        <v/>
      </c>
      <c r="DN58" s="1224" t="str">
        <f t="shared" si="119"/>
        <v/>
      </c>
      <c r="DO58" s="828" t="e">
        <f t="shared" si="120"/>
        <v>#REF!</v>
      </c>
      <c r="DP58" s="828" t="e">
        <f t="shared" si="121"/>
        <v>#REF!</v>
      </c>
      <c r="DQ58" s="1224" t="str">
        <f t="shared" si="122"/>
        <v/>
      </c>
      <c r="DR58" s="1224" t="str">
        <f t="shared" si="122"/>
        <v/>
      </c>
      <c r="DS58" s="1224" t="str">
        <f t="shared" si="123"/>
        <v/>
      </c>
      <c r="DT58" s="1224" t="str">
        <f t="shared" si="124"/>
        <v/>
      </c>
      <c r="DU58" s="1224" t="str">
        <f t="shared" si="125"/>
        <v/>
      </c>
      <c r="DV58" s="828" t="e">
        <f t="shared" si="126"/>
        <v>#REF!</v>
      </c>
      <c r="DW58" s="828" t="e">
        <f t="shared" si="127"/>
        <v>#REF!</v>
      </c>
      <c r="DX58" s="812" t="str">
        <f t="shared" si="128"/>
        <v/>
      </c>
      <c r="DY58" s="812" t="str">
        <f t="shared" si="129"/>
        <v/>
      </c>
      <c r="DZ58" s="812" t="str">
        <f t="shared" si="130"/>
        <v/>
      </c>
      <c r="EA58" s="812" t="str">
        <f t="shared" si="131"/>
        <v/>
      </c>
      <c r="EB58" s="815" t="str">
        <f t="shared" si="132"/>
        <v/>
      </c>
      <c r="EC58" s="816" t="str">
        <f t="shared" si="133"/>
        <v/>
      </c>
      <c r="ED58" s="815" t="str">
        <f t="shared" si="134"/>
        <v/>
      </c>
      <c r="EE58" s="815" t="str">
        <f t="shared" si="135"/>
        <v/>
      </c>
      <c r="EF58" s="815" t="str">
        <f t="shared" si="136"/>
        <v/>
      </c>
      <c r="EG58" s="815" t="str">
        <f t="shared" si="137"/>
        <v/>
      </c>
      <c r="EH58" s="815" t="str">
        <f t="shared" si="138"/>
        <v/>
      </c>
      <c r="EI58" s="815" t="str">
        <f t="shared" si="139"/>
        <v/>
      </c>
      <c r="EJ58" s="815" t="str">
        <f t="shared" si="140"/>
        <v/>
      </c>
      <c r="EK58" s="813">
        <f t="shared" si="141"/>
        <v>0</v>
      </c>
      <c r="EL58" s="813">
        <f t="shared" si="142"/>
        <v>0</v>
      </c>
      <c r="EM58" s="813">
        <f t="shared" si="143"/>
        <v>0</v>
      </c>
      <c r="EN58" s="813" t="e">
        <f t="shared" si="144"/>
        <v>#REF!</v>
      </c>
      <c r="EO58" s="812" t="str">
        <f t="shared" si="145"/>
        <v/>
      </c>
      <c r="EP58" s="813">
        <f t="shared" si="146"/>
        <v>0</v>
      </c>
      <c r="EQ58" s="813">
        <f t="shared" si="147"/>
        <v>0</v>
      </c>
      <c r="ER58" s="813">
        <f t="shared" si="148"/>
        <v>0</v>
      </c>
      <c r="ES58" s="813" t="e">
        <f t="shared" si="149"/>
        <v>#REF!</v>
      </c>
      <c r="ET58" s="812" t="str">
        <f t="shared" si="150"/>
        <v/>
      </c>
      <c r="EU58" s="812" t="e">
        <f t="shared" si="151"/>
        <v>#REF!</v>
      </c>
      <c r="EV58" s="815" t="e">
        <f t="shared" si="152"/>
        <v>#VALUE!</v>
      </c>
      <c r="EW58" s="815" t="e">
        <f t="shared" si="153"/>
        <v>#VALUE!</v>
      </c>
      <c r="EX58" s="817" t="str">
        <f t="shared" si="154"/>
        <v/>
      </c>
      <c r="EY58" s="818" t="e">
        <f t="shared" si="155"/>
        <v>#DIV/0!</v>
      </c>
      <c r="EZ58" s="893" t="e">
        <f t="shared" si="156"/>
        <v>#DIV/0!</v>
      </c>
      <c r="FA58" s="894" t="e">
        <f t="shared" si="157"/>
        <v>#DIV/0!</v>
      </c>
      <c r="FB58" s="819" t="str">
        <f t="shared" si="158"/>
        <v/>
      </c>
      <c r="FC58" s="820" t="str">
        <f t="shared" si="159"/>
        <v/>
      </c>
      <c r="FD58" s="829">
        <f t="shared" si="160"/>
        <v>0</v>
      </c>
      <c r="FE58" s="774">
        <f t="shared" si="161"/>
        <v>0</v>
      </c>
      <c r="FF58" s="703" t="b">
        <f t="shared" si="162"/>
        <v>0</v>
      </c>
      <c r="FG58" s="703" t="b">
        <f t="shared" si="163"/>
        <v>0</v>
      </c>
      <c r="FH58" s="703" t="b">
        <f t="shared" si="164"/>
        <v>0</v>
      </c>
      <c r="FI58" s="703" t="b">
        <f t="shared" si="165"/>
        <v>0</v>
      </c>
      <c r="FJ58" s="849" t="str">
        <f t="shared" si="179"/>
        <v/>
      </c>
      <c r="FK58" s="848" t="str">
        <f t="shared" si="180"/>
        <v/>
      </c>
      <c r="FL58" s="242" t="e">
        <f t="shared" si="181"/>
        <v>#N/A</v>
      </c>
      <c r="FM58" s="234" t="str">
        <f t="shared" si="166"/>
        <v/>
      </c>
      <c r="FN58" s="191" t="str">
        <f t="shared" ca="1" si="182"/>
        <v/>
      </c>
      <c r="FO58" s="192" t="str">
        <f t="shared" ca="1" si="183"/>
        <v/>
      </c>
      <c r="FP58" s="193" t="str">
        <f t="shared" ca="1" si="184"/>
        <v/>
      </c>
      <c r="FQ58" s="193" t="str">
        <f t="shared" ca="1" si="185"/>
        <v/>
      </c>
      <c r="FR58" s="243">
        <f t="shared" ca="1" si="186"/>
        <v>0</v>
      </c>
      <c r="FS58" s="244">
        <f t="shared" ca="1" si="187"/>
        <v>0</v>
      </c>
      <c r="FT58" s="191" t="str">
        <f t="shared" ca="1" si="188"/>
        <v/>
      </c>
      <c r="FU58" s="194" t="str">
        <f t="shared" ca="1" si="189"/>
        <v/>
      </c>
      <c r="FV58" s="245" t="str">
        <f t="shared" ca="1" si="167"/>
        <v/>
      </c>
      <c r="FW58" s="195" t="str">
        <f t="shared" ca="1" si="190"/>
        <v/>
      </c>
      <c r="FX58" s="195" t="str">
        <f t="shared" ca="1" si="191"/>
        <v/>
      </c>
      <c r="FY58" s="195" t="str">
        <f t="shared" ca="1" si="192"/>
        <v/>
      </c>
      <c r="FZ58" s="195" t="str">
        <f t="shared" ca="1" si="193"/>
        <v/>
      </c>
      <c r="GA58" s="195" t="str">
        <f t="shared" ca="1" si="194"/>
        <v/>
      </c>
      <c r="GB58" s="196" t="str">
        <f ca="1">IF(FY58="","",2+SUM(FO58:OFFSET(FO58,(FU58-1)*-1,0)))</f>
        <v/>
      </c>
      <c r="GC58" s="238" t="e">
        <f t="shared" si="195"/>
        <v>#N/A</v>
      </c>
      <c r="GD58" s="246" t="str">
        <f t="shared" si="168"/>
        <v/>
      </c>
      <c r="GE58" s="247" t="str">
        <f t="shared" si="169"/>
        <v/>
      </c>
      <c r="GF58" s="197" t="str">
        <f t="shared" si="170"/>
        <v/>
      </c>
      <c r="GG58" s="198" t="str">
        <f t="shared" si="171"/>
        <v/>
      </c>
      <c r="GH58" s="198" t="str">
        <f t="shared" si="172"/>
        <v/>
      </c>
      <c r="GI58" s="199" t="str">
        <f t="shared" si="173"/>
        <v/>
      </c>
      <c r="GJ58" s="473">
        <f t="shared" ca="1" si="174"/>
        <v>0</v>
      </c>
      <c r="GK58" s="834" t="str">
        <f t="shared" ca="1" si="196"/>
        <v/>
      </c>
    </row>
    <row r="59" spans="1:222" ht="12.6" hidden="1" customHeight="1" x14ac:dyDescent="0.2">
      <c r="BZ59" s="214"/>
      <c r="CA59" s="214"/>
      <c r="CB59" s="289" t="str">
        <f t="shared" si="101"/>
        <v/>
      </c>
      <c r="CC59" s="290" t="str">
        <f>IF(CG19="","",VLOOKUP(CG19,#REF!,12,FALSE))</f>
        <v/>
      </c>
      <c r="CD59" s="1219" t="str">
        <f>IF(ISBLANK(CN19),IF(CG19="","",VLOOKUP(CG19,#REF!,13,FALSE)),CN19)</f>
        <v/>
      </c>
      <c r="CE59" s="1219" t="str">
        <f>IF(CG19="","",IF(VLOOKUP(CG19,#REF!,5,FALSE)="","R",UPPER(VLOOKUP(CG19,#REF!,5,FALSE))))</f>
        <v/>
      </c>
      <c r="CF59" s="1219" t="str">
        <f>IF(ISBLANK(CP19),IF(CG19="","",VLOOKUP(CG19,#REF!,6,FALSE)),CP19)</f>
        <v/>
      </c>
      <c r="CG59" s="1219" t="str">
        <f>IF(CG19="","",IF(VLOOKUP(CG19,#REF!,10,FALSE)="","",(VLOOKUP(CG19,#REF!,10,FALSE)*-1)))</f>
        <v/>
      </c>
      <c r="CH59" s="1219" t="str">
        <f>IF(CG19="","",IF(VLOOKUP(CG19,#REF!,7,FALSE)="","",(VLOOKUP(CG19,#REF!,7,FALSE)*-1)))</f>
        <v/>
      </c>
      <c r="CI59" s="1219" t="str">
        <f>IF(CG19="","",IF(VLOOKUP(CG19,#REF!,8,FALSE)="",$FC$4,(VLOOKUP(CG19,#REF!,8,FALSE))))</f>
        <v/>
      </c>
      <c r="CJ59" s="1219" t="str">
        <f>IF(CG19="","",VLOOKUP(CG19,#REF!,9,FALSE))</f>
        <v/>
      </c>
      <c r="CK59" s="1220">
        <f t="shared" si="102"/>
        <v>0</v>
      </c>
      <c r="CL59" s="1218" t="str">
        <f>IF(CQ19="","",VLOOKUP(CQ19,#REF!,12,FALSE))</f>
        <v/>
      </c>
      <c r="CM59" s="1219" t="str">
        <f>IF(ISBLANK(CX19),IF(CQ19="","",VLOOKUP(CQ19,#REF!,13,FALSE)),CX19)</f>
        <v/>
      </c>
      <c r="CN59" s="1219" t="str">
        <f>IF(CQ19="","",IF(VLOOKUP(CQ19,#REF!,5,FALSE)="","R",UPPER(VLOOKUP(CQ19,#REF!,5,FALSE))))</f>
        <v/>
      </c>
      <c r="CO59" s="1219" t="str">
        <f>IF(ISBLANK(CZ19),IF(CQ19="","",VLOOKUP(CQ19,#REF!,6,FALSE)),CZ19)</f>
        <v/>
      </c>
      <c r="CP59" s="1219" t="str">
        <f>IF(CQ19="","",IF(VLOOKUP(CQ19,#REF!,10,FALSE)="","",(VLOOKUP(CQ19,#REF!,10,FALSE)*-1)))</f>
        <v/>
      </c>
      <c r="CQ59" s="1219" t="str">
        <f>IF(CQ19="","",IF(VLOOKUP(CQ19,#REF!,7,FALSE)="","",(VLOOKUP(CQ19,#REF!,7,FALSE)*-1)))</f>
        <v/>
      </c>
      <c r="CR59" s="1219" t="str">
        <f>IF(CQ19="","",IF(VLOOKUP(CQ19,#REF!,8,FALSE)="",$FC$4,(VLOOKUP(CQ19,#REF!,8,FALSE))))</f>
        <v/>
      </c>
      <c r="CS59" s="1219" t="str">
        <f>IF(CQ19="","",VLOOKUP(CQ19,#REF!,9,FALSE))</f>
        <v/>
      </c>
      <c r="CT59" s="1220">
        <f t="shared" si="103"/>
        <v>0</v>
      </c>
      <c r="CU59" s="1230">
        <f t="shared" si="104"/>
        <v>0</v>
      </c>
      <c r="CV59" s="1224" t="str">
        <f t="shared" si="105"/>
        <v/>
      </c>
      <c r="CW59" s="1224" t="str">
        <f t="shared" si="106"/>
        <v/>
      </c>
      <c r="CX59" s="1224" t="str">
        <f t="shared" si="107"/>
        <v/>
      </c>
      <c r="CY59" s="1226">
        <f t="shared" si="108"/>
        <v>0</v>
      </c>
      <c r="CZ59" s="1226" t="e">
        <f t="shared" si="109"/>
        <v>#REF!</v>
      </c>
      <c r="DA59" s="1226" t="str">
        <f t="shared" si="110"/>
        <v/>
      </c>
      <c r="DB59" s="1224" t="str">
        <f t="shared" si="175"/>
        <v/>
      </c>
      <c r="DC59" s="1224" t="str">
        <f t="shared" si="111"/>
        <v/>
      </c>
      <c r="DD59" s="814">
        <f t="shared" si="176"/>
        <v>0</v>
      </c>
      <c r="DE59" s="812">
        <f t="shared" si="112"/>
        <v>0</v>
      </c>
      <c r="DF59" s="813" t="e">
        <f t="shared" si="113"/>
        <v>#REF!</v>
      </c>
      <c r="DG59" s="813" t="str">
        <f t="shared" si="114"/>
        <v/>
      </c>
      <c r="DH59" s="1224" t="str">
        <f t="shared" si="177"/>
        <v/>
      </c>
      <c r="DI59" s="1224" t="str">
        <f t="shared" si="115"/>
        <v/>
      </c>
      <c r="DJ59" s="1225">
        <f t="shared" si="178"/>
        <v>0</v>
      </c>
      <c r="DK59" s="1224" t="str">
        <f t="shared" si="116"/>
        <v/>
      </c>
      <c r="DL59" s="1224" t="str">
        <f t="shared" si="117"/>
        <v/>
      </c>
      <c r="DM59" s="1224" t="str">
        <f t="shared" si="118"/>
        <v/>
      </c>
      <c r="DN59" s="1224" t="str">
        <f t="shared" si="119"/>
        <v/>
      </c>
      <c r="DO59" s="828" t="e">
        <f t="shared" si="120"/>
        <v>#REF!</v>
      </c>
      <c r="DP59" s="828" t="e">
        <f t="shared" si="121"/>
        <v>#REF!</v>
      </c>
      <c r="DQ59" s="1224" t="str">
        <f t="shared" si="122"/>
        <v/>
      </c>
      <c r="DR59" s="1224" t="str">
        <f t="shared" si="122"/>
        <v/>
      </c>
      <c r="DS59" s="1224" t="str">
        <f t="shared" si="123"/>
        <v/>
      </c>
      <c r="DT59" s="1224" t="str">
        <f t="shared" si="124"/>
        <v/>
      </c>
      <c r="DU59" s="1224" t="str">
        <f t="shared" si="125"/>
        <v/>
      </c>
      <c r="DV59" s="828" t="e">
        <f t="shared" si="126"/>
        <v>#REF!</v>
      </c>
      <c r="DW59" s="828" t="e">
        <f t="shared" si="127"/>
        <v>#REF!</v>
      </c>
      <c r="DX59" s="812" t="str">
        <f t="shared" si="128"/>
        <v/>
      </c>
      <c r="DY59" s="812" t="str">
        <f t="shared" si="129"/>
        <v/>
      </c>
      <c r="DZ59" s="812" t="str">
        <f t="shared" si="130"/>
        <v/>
      </c>
      <c r="EA59" s="812" t="str">
        <f t="shared" si="131"/>
        <v/>
      </c>
      <c r="EB59" s="815" t="str">
        <f t="shared" si="132"/>
        <v/>
      </c>
      <c r="EC59" s="816" t="str">
        <f t="shared" si="133"/>
        <v/>
      </c>
      <c r="ED59" s="815" t="str">
        <f t="shared" si="134"/>
        <v/>
      </c>
      <c r="EE59" s="815" t="str">
        <f t="shared" si="135"/>
        <v/>
      </c>
      <c r="EF59" s="815" t="str">
        <f t="shared" si="136"/>
        <v/>
      </c>
      <c r="EG59" s="815" t="str">
        <f t="shared" si="137"/>
        <v/>
      </c>
      <c r="EH59" s="815" t="str">
        <f t="shared" si="138"/>
        <v/>
      </c>
      <c r="EI59" s="815" t="str">
        <f t="shared" si="139"/>
        <v/>
      </c>
      <c r="EJ59" s="815" t="str">
        <f t="shared" si="140"/>
        <v/>
      </c>
      <c r="EK59" s="813">
        <f t="shared" si="141"/>
        <v>0</v>
      </c>
      <c r="EL59" s="813">
        <f t="shared" si="142"/>
        <v>0</v>
      </c>
      <c r="EM59" s="813">
        <f t="shared" si="143"/>
        <v>0</v>
      </c>
      <c r="EN59" s="813" t="e">
        <f t="shared" si="144"/>
        <v>#REF!</v>
      </c>
      <c r="EO59" s="812" t="str">
        <f t="shared" si="145"/>
        <v/>
      </c>
      <c r="EP59" s="813">
        <f t="shared" si="146"/>
        <v>0</v>
      </c>
      <c r="EQ59" s="813">
        <f t="shared" si="147"/>
        <v>0</v>
      </c>
      <c r="ER59" s="813">
        <f t="shared" si="148"/>
        <v>0</v>
      </c>
      <c r="ES59" s="813" t="e">
        <f t="shared" si="149"/>
        <v>#REF!</v>
      </c>
      <c r="ET59" s="812" t="str">
        <f t="shared" si="150"/>
        <v/>
      </c>
      <c r="EU59" s="812" t="e">
        <f t="shared" si="151"/>
        <v>#REF!</v>
      </c>
      <c r="EV59" s="815" t="e">
        <f t="shared" si="152"/>
        <v>#VALUE!</v>
      </c>
      <c r="EW59" s="815" t="e">
        <f t="shared" si="153"/>
        <v>#VALUE!</v>
      </c>
      <c r="EX59" s="817" t="str">
        <f t="shared" si="154"/>
        <v/>
      </c>
      <c r="EY59" s="818" t="e">
        <f t="shared" si="155"/>
        <v>#DIV/0!</v>
      </c>
      <c r="EZ59" s="893" t="e">
        <f t="shared" si="156"/>
        <v>#DIV/0!</v>
      </c>
      <c r="FA59" s="894" t="e">
        <f t="shared" si="157"/>
        <v>#DIV/0!</v>
      </c>
      <c r="FB59" s="819" t="str">
        <f t="shared" si="158"/>
        <v/>
      </c>
      <c r="FC59" s="820" t="str">
        <f t="shared" si="159"/>
        <v/>
      </c>
      <c r="FD59" s="829">
        <f t="shared" si="160"/>
        <v>0</v>
      </c>
      <c r="FE59" s="774">
        <f t="shared" si="161"/>
        <v>0</v>
      </c>
      <c r="FF59" s="703" t="b">
        <f t="shared" si="162"/>
        <v>0</v>
      </c>
      <c r="FG59" s="703" t="b">
        <f t="shared" si="163"/>
        <v>0</v>
      </c>
      <c r="FH59" s="703" t="b">
        <f t="shared" si="164"/>
        <v>0</v>
      </c>
      <c r="FI59" s="703" t="b">
        <f t="shared" si="165"/>
        <v>0</v>
      </c>
      <c r="FJ59" s="849" t="str">
        <f t="shared" si="179"/>
        <v/>
      </c>
      <c r="FK59" s="848" t="str">
        <f t="shared" si="180"/>
        <v/>
      </c>
      <c r="FL59" s="242" t="e">
        <f t="shared" si="181"/>
        <v>#N/A</v>
      </c>
      <c r="FM59" s="234" t="str">
        <f t="shared" si="166"/>
        <v/>
      </c>
      <c r="FN59" s="191" t="str">
        <f t="shared" ca="1" si="182"/>
        <v/>
      </c>
      <c r="FO59" s="192" t="str">
        <f t="shared" ca="1" si="183"/>
        <v/>
      </c>
      <c r="FP59" s="193" t="str">
        <f t="shared" ca="1" si="184"/>
        <v/>
      </c>
      <c r="FQ59" s="193" t="str">
        <f t="shared" ca="1" si="185"/>
        <v/>
      </c>
      <c r="FR59" s="243">
        <f t="shared" ca="1" si="186"/>
        <v>0</v>
      </c>
      <c r="FS59" s="244">
        <f t="shared" ca="1" si="187"/>
        <v>0</v>
      </c>
      <c r="FT59" s="191" t="str">
        <f t="shared" ca="1" si="188"/>
        <v/>
      </c>
      <c r="FU59" s="194" t="str">
        <f t="shared" ca="1" si="189"/>
        <v/>
      </c>
      <c r="FV59" s="245" t="str">
        <f t="shared" ca="1" si="167"/>
        <v/>
      </c>
      <c r="FW59" s="195" t="str">
        <f t="shared" ca="1" si="190"/>
        <v/>
      </c>
      <c r="FX59" s="195" t="str">
        <f t="shared" ca="1" si="191"/>
        <v/>
      </c>
      <c r="FY59" s="195" t="str">
        <f t="shared" ca="1" si="192"/>
        <v/>
      </c>
      <c r="FZ59" s="195" t="str">
        <f t="shared" ca="1" si="193"/>
        <v/>
      </c>
      <c r="GA59" s="195" t="str">
        <f t="shared" ca="1" si="194"/>
        <v/>
      </c>
      <c r="GB59" s="196" t="str">
        <f ca="1">IF(FY59="","",2+SUM(FO59:OFFSET(FO59,(FU59-1)*-1,0)))</f>
        <v/>
      </c>
      <c r="GC59" s="238" t="e">
        <f t="shared" si="195"/>
        <v>#N/A</v>
      </c>
      <c r="GD59" s="246" t="str">
        <f t="shared" si="168"/>
        <v/>
      </c>
      <c r="GE59" s="247" t="str">
        <f t="shared" si="169"/>
        <v/>
      </c>
      <c r="GF59" s="197" t="str">
        <f t="shared" si="170"/>
        <v/>
      </c>
      <c r="GG59" s="198" t="str">
        <f t="shared" si="171"/>
        <v/>
      </c>
      <c r="GH59" s="198" t="str">
        <f t="shared" si="172"/>
        <v/>
      </c>
      <c r="GI59" s="199" t="str">
        <f t="shared" si="173"/>
        <v/>
      </c>
      <c r="GJ59" s="473">
        <f t="shared" ca="1" si="174"/>
        <v>0</v>
      </c>
      <c r="GK59" s="834" t="str">
        <f t="shared" ca="1" si="196"/>
        <v/>
      </c>
    </row>
    <row r="60" spans="1:222" ht="12.6" hidden="1" customHeight="1" x14ac:dyDescent="0.2">
      <c r="A60" s="831" t="s">
        <v>746</v>
      </c>
      <c r="BZ60" s="214"/>
      <c r="CA60" s="214"/>
      <c r="CB60" s="289" t="str">
        <f t="shared" si="101"/>
        <v/>
      </c>
      <c r="CC60" s="290" t="str">
        <f>IF(CG20="","",VLOOKUP(CG20,#REF!,12,FALSE))</f>
        <v/>
      </c>
      <c r="CD60" s="1219" t="str">
        <f>IF(ISBLANK(CN20),IF(CG20="","",VLOOKUP(CG20,#REF!,13,FALSE)),CN20)</f>
        <v/>
      </c>
      <c r="CE60" s="1219" t="str">
        <f>IF(CG20="","",IF(VLOOKUP(CG20,#REF!,5,FALSE)="","R",UPPER(VLOOKUP(CG20,#REF!,5,FALSE))))</f>
        <v/>
      </c>
      <c r="CF60" s="1219" t="str">
        <f>IF(ISBLANK(CP20),IF(CG20="","",VLOOKUP(CG20,#REF!,6,FALSE)),CP20)</f>
        <v/>
      </c>
      <c r="CG60" s="1219" t="str">
        <f>IF(CG20="","",IF(VLOOKUP(CG20,#REF!,10,FALSE)="","",(VLOOKUP(CG20,#REF!,10,FALSE)*-1)))</f>
        <v/>
      </c>
      <c r="CH60" s="1219" t="str">
        <f>IF(CG20="","",IF(VLOOKUP(CG20,#REF!,7,FALSE)="","",(VLOOKUP(CG20,#REF!,7,FALSE)*-1)))</f>
        <v/>
      </c>
      <c r="CI60" s="1219" t="str">
        <f>IF(CG20="","",IF(VLOOKUP(CG20,#REF!,8,FALSE)="",$FC$4,(VLOOKUP(CG20,#REF!,8,FALSE))))</f>
        <v/>
      </c>
      <c r="CJ60" s="1219" t="str">
        <f>IF(CG20="","",VLOOKUP(CG20,#REF!,9,FALSE))</f>
        <v/>
      </c>
      <c r="CK60" s="1220">
        <f t="shared" si="102"/>
        <v>0</v>
      </c>
      <c r="CL60" s="1218" t="str">
        <f>IF(CQ20="","",VLOOKUP(CQ20,#REF!,12,FALSE))</f>
        <v/>
      </c>
      <c r="CM60" s="1219" t="str">
        <f>IF(ISBLANK(CX20),IF(CQ20="","",VLOOKUP(CQ20,#REF!,13,FALSE)),CX20)</f>
        <v/>
      </c>
      <c r="CN60" s="1219" t="str">
        <f>IF(CQ20="","",IF(VLOOKUP(CQ20,#REF!,5,FALSE)="","R",UPPER(VLOOKUP(CQ20,#REF!,5,FALSE))))</f>
        <v/>
      </c>
      <c r="CO60" s="1219" t="str">
        <f>IF(ISBLANK(CZ20),IF(CQ20="","",VLOOKUP(CQ20,#REF!,6,FALSE)),CZ20)</f>
        <v/>
      </c>
      <c r="CP60" s="1219" t="str">
        <f>IF(CQ20="","",IF(VLOOKUP(CQ20,#REF!,10,FALSE)="","",(VLOOKUP(CQ20,#REF!,10,FALSE)*-1)))</f>
        <v/>
      </c>
      <c r="CQ60" s="1219" t="str">
        <f>IF(CQ20="","",IF(VLOOKUP(CQ20,#REF!,7,FALSE)="","",(VLOOKUP(CQ20,#REF!,7,FALSE)*-1)))</f>
        <v/>
      </c>
      <c r="CR60" s="1219" t="str">
        <f>IF(CQ20="","",IF(VLOOKUP(CQ20,#REF!,8,FALSE)="",$FC$4,(VLOOKUP(CQ20,#REF!,8,FALSE))))</f>
        <v/>
      </c>
      <c r="CS60" s="1219" t="str">
        <f>IF(CQ20="","",VLOOKUP(CQ20,#REF!,9,FALSE))</f>
        <v/>
      </c>
      <c r="CT60" s="1220">
        <f t="shared" si="103"/>
        <v>0</v>
      </c>
      <c r="CU60" s="1230">
        <f t="shared" si="104"/>
        <v>0</v>
      </c>
      <c r="CV60" s="1224" t="str">
        <f t="shared" si="105"/>
        <v/>
      </c>
      <c r="CW60" s="1224" t="str">
        <f t="shared" si="106"/>
        <v/>
      </c>
      <c r="CX60" s="1224" t="str">
        <f t="shared" si="107"/>
        <v/>
      </c>
      <c r="CY60" s="1226">
        <f t="shared" si="108"/>
        <v>0</v>
      </c>
      <c r="CZ60" s="1226" t="e">
        <f t="shared" si="109"/>
        <v>#REF!</v>
      </c>
      <c r="DA60" s="1226" t="str">
        <f t="shared" si="110"/>
        <v/>
      </c>
      <c r="DB60" s="1224" t="str">
        <f t="shared" si="175"/>
        <v/>
      </c>
      <c r="DC60" s="1224" t="str">
        <f t="shared" si="111"/>
        <v/>
      </c>
      <c r="DD60" s="814">
        <f t="shared" si="176"/>
        <v>0</v>
      </c>
      <c r="DE60" s="812">
        <f t="shared" si="112"/>
        <v>0</v>
      </c>
      <c r="DF60" s="813" t="e">
        <f t="shared" si="113"/>
        <v>#REF!</v>
      </c>
      <c r="DG60" s="813" t="str">
        <f t="shared" si="114"/>
        <v/>
      </c>
      <c r="DH60" s="1224" t="str">
        <f t="shared" si="177"/>
        <v/>
      </c>
      <c r="DI60" s="1224" t="str">
        <f t="shared" si="115"/>
        <v/>
      </c>
      <c r="DJ60" s="1225">
        <f t="shared" si="178"/>
        <v>0</v>
      </c>
      <c r="DK60" s="1224" t="str">
        <f t="shared" si="116"/>
        <v/>
      </c>
      <c r="DL60" s="1224" t="str">
        <f t="shared" si="117"/>
        <v/>
      </c>
      <c r="DM60" s="1224" t="str">
        <f t="shared" si="118"/>
        <v/>
      </c>
      <c r="DN60" s="1224" t="str">
        <f t="shared" si="119"/>
        <v/>
      </c>
      <c r="DO60" s="828" t="e">
        <f t="shared" si="120"/>
        <v>#REF!</v>
      </c>
      <c r="DP60" s="828" t="e">
        <f t="shared" si="121"/>
        <v>#REF!</v>
      </c>
      <c r="DQ60" s="1224" t="str">
        <f t="shared" si="122"/>
        <v/>
      </c>
      <c r="DR60" s="1224" t="str">
        <f t="shared" si="122"/>
        <v/>
      </c>
      <c r="DS60" s="1224" t="str">
        <f t="shared" si="123"/>
        <v/>
      </c>
      <c r="DT60" s="1224" t="str">
        <f t="shared" si="124"/>
        <v/>
      </c>
      <c r="DU60" s="1224" t="str">
        <f t="shared" si="125"/>
        <v/>
      </c>
      <c r="DV60" s="828" t="e">
        <f t="shared" si="126"/>
        <v>#REF!</v>
      </c>
      <c r="DW60" s="828" t="e">
        <f t="shared" si="127"/>
        <v>#REF!</v>
      </c>
      <c r="DX60" s="812" t="str">
        <f t="shared" si="128"/>
        <v/>
      </c>
      <c r="DY60" s="812" t="str">
        <f t="shared" si="129"/>
        <v/>
      </c>
      <c r="DZ60" s="812" t="str">
        <f t="shared" si="130"/>
        <v/>
      </c>
      <c r="EA60" s="812" t="str">
        <f t="shared" si="131"/>
        <v/>
      </c>
      <c r="EB60" s="815" t="str">
        <f t="shared" si="132"/>
        <v/>
      </c>
      <c r="EC60" s="816" t="str">
        <f t="shared" si="133"/>
        <v/>
      </c>
      <c r="ED60" s="815" t="str">
        <f t="shared" si="134"/>
        <v/>
      </c>
      <c r="EE60" s="815" t="str">
        <f t="shared" si="135"/>
        <v/>
      </c>
      <c r="EF60" s="815" t="str">
        <f t="shared" si="136"/>
        <v/>
      </c>
      <c r="EG60" s="815" t="str">
        <f t="shared" si="137"/>
        <v/>
      </c>
      <c r="EH60" s="815" t="str">
        <f t="shared" si="138"/>
        <v/>
      </c>
      <c r="EI60" s="815" t="str">
        <f t="shared" si="139"/>
        <v/>
      </c>
      <c r="EJ60" s="815" t="str">
        <f t="shared" si="140"/>
        <v/>
      </c>
      <c r="EK60" s="813">
        <f t="shared" si="141"/>
        <v>0</v>
      </c>
      <c r="EL60" s="813">
        <f t="shared" si="142"/>
        <v>0</v>
      </c>
      <c r="EM60" s="813">
        <f t="shared" si="143"/>
        <v>0</v>
      </c>
      <c r="EN60" s="813" t="e">
        <f t="shared" si="144"/>
        <v>#REF!</v>
      </c>
      <c r="EO60" s="812" t="str">
        <f t="shared" si="145"/>
        <v/>
      </c>
      <c r="EP60" s="813">
        <f t="shared" si="146"/>
        <v>0</v>
      </c>
      <c r="EQ60" s="813">
        <f t="shared" si="147"/>
        <v>0</v>
      </c>
      <c r="ER60" s="813">
        <f t="shared" si="148"/>
        <v>0</v>
      </c>
      <c r="ES60" s="813" t="e">
        <f t="shared" si="149"/>
        <v>#REF!</v>
      </c>
      <c r="ET60" s="812" t="str">
        <f t="shared" si="150"/>
        <v/>
      </c>
      <c r="EU60" s="812" t="e">
        <f t="shared" si="151"/>
        <v>#REF!</v>
      </c>
      <c r="EV60" s="815" t="e">
        <f t="shared" si="152"/>
        <v>#VALUE!</v>
      </c>
      <c r="EW60" s="815" t="e">
        <f t="shared" si="153"/>
        <v>#VALUE!</v>
      </c>
      <c r="EX60" s="817" t="str">
        <f t="shared" si="154"/>
        <v/>
      </c>
      <c r="EY60" s="818" t="e">
        <f t="shared" si="155"/>
        <v>#DIV/0!</v>
      </c>
      <c r="EZ60" s="893" t="e">
        <f t="shared" si="156"/>
        <v>#DIV/0!</v>
      </c>
      <c r="FA60" s="894" t="e">
        <f t="shared" si="157"/>
        <v>#DIV/0!</v>
      </c>
      <c r="FB60" s="819" t="str">
        <f t="shared" si="158"/>
        <v/>
      </c>
      <c r="FC60" s="820" t="str">
        <f t="shared" si="159"/>
        <v/>
      </c>
      <c r="FD60" s="829">
        <f t="shared" si="160"/>
        <v>0</v>
      </c>
      <c r="FE60" s="774">
        <f t="shared" si="161"/>
        <v>0</v>
      </c>
      <c r="FF60" s="703" t="b">
        <f t="shared" si="162"/>
        <v>0</v>
      </c>
      <c r="FG60" s="703" t="b">
        <f t="shared" si="163"/>
        <v>0</v>
      </c>
      <c r="FH60" s="703" t="b">
        <f t="shared" si="164"/>
        <v>0</v>
      </c>
      <c r="FI60" s="703" t="b">
        <f t="shared" si="165"/>
        <v>0</v>
      </c>
      <c r="FJ60" s="849" t="str">
        <f t="shared" si="179"/>
        <v/>
      </c>
      <c r="FK60" s="848" t="str">
        <f t="shared" si="180"/>
        <v/>
      </c>
      <c r="FL60" s="242" t="e">
        <f t="shared" si="181"/>
        <v>#N/A</v>
      </c>
      <c r="FM60" s="234" t="str">
        <f t="shared" si="166"/>
        <v/>
      </c>
      <c r="FN60" s="191" t="str">
        <f t="shared" ca="1" si="182"/>
        <v/>
      </c>
      <c r="FO60" s="192" t="str">
        <f t="shared" ca="1" si="183"/>
        <v/>
      </c>
      <c r="FP60" s="193" t="str">
        <f t="shared" ca="1" si="184"/>
        <v/>
      </c>
      <c r="FQ60" s="193" t="str">
        <f t="shared" ca="1" si="185"/>
        <v/>
      </c>
      <c r="FR60" s="243">
        <f t="shared" ca="1" si="186"/>
        <v>0</v>
      </c>
      <c r="FS60" s="244">
        <f t="shared" ca="1" si="187"/>
        <v>0</v>
      </c>
      <c r="FT60" s="191" t="str">
        <f t="shared" ca="1" si="188"/>
        <v/>
      </c>
      <c r="FU60" s="194" t="str">
        <f t="shared" ca="1" si="189"/>
        <v/>
      </c>
      <c r="FV60" s="245" t="str">
        <f t="shared" ca="1" si="167"/>
        <v/>
      </c>
      <c r="FW60" s="195" t="str">
        <f t="shared" ca="1" si="190"/>
        <v/>
      </c>
      <c r="FX60" s="195" t="str">
        <f t="shared" ca="1" si="191"/>
        <v/>
      </c>
      <c r="FY60" s="195" t="str">
        <f t="shared" ca="1" si="192"/>
        <v/>
      </c>
      <c r="FZ60" s="195" t="str">
        <f t="shared" ca="1" si="193"/>
        <v/>
      </c>
      <c r="GA60" s="195" t="str">
        <f t="shared" ca="1" si="194"/>
        <v/>
      </c>
      <c r="GB60" s="196" t="str">
        <f ca="1">IF(FY60="","",2+SUM(FO60:OFFSET(FO60,(FU60-1)*-1,0)))</f>
        <v/>
      </c>
      <c r="GC60" s="238" t="e">
        <f t="shared" si="195"/>
        <v>#N/A</v>
      </c>
      <c r="GD60" s="246" t="str">
        <f t="shared" si="168"/>
        <v/>
      </c>
      <c r="GE60" s="247" t="str">
        <f t="shared" si="169"/>
        <v/>
      </c>
      <c r="GF60" s="197" t="str">
        <f t="shared" si="170"/>
        <v/>
      </c>
      <c r="GG60" s="198" t="str">
        <f t="shared" si="171"/>
        <v/>
      </c>
      <c r="GH60" s="198" t="str">
        <f t="shared" si="172"/>
        <v/>
      </c>
      <c r="GI60" s="199" t="str">
        <f t="shared" si="173"/>
        <v/>
      </c>
      <c r="GJ60" s="473">
        <f t="shared" ca="1" si="174"/>
        <v>0</v>
      </c>
      <c r="GK60" s="834" t="str">
        <f t="shared" ca="1" si="196"/>
        <v/>
      </c>
    </row>
    <row r="61" spans="1:222" ht="12.6" hidden="1" customHeight="1" x14ac:dyDescent="0.2">
      <c r="A61" s="833"/>
      <c r="BZ61" s="214"/>
      <c r="CA61" s="288"/>
      <c r="CB61" s="289" t="str">
        <f t="shared" si="101"/>
        <v/>
      </c>
      <c r="CC61" s="290" t="str">
        <f>IF(CG21="","",VLOOKUP(CG21,#REF!,12,FALSE))</f>
        <v/>
      </c>
      <c r="CD61" s="1219" t="str">
        <f>IF(ISBLANK(CN21),IF(CG21="","",VLOOKUP(CG21,#REF!,13,FALSE)),CN21)</f>
        <v/>
      </c>
      <c r="CE61" s="1219" t="str">
        <f>IF(CG21="","",IF(VLOOKUP(CG21,#REF!,5,FALSE)="","R",UPPER(VLOOKUP(CG21,#REF!,5,FALSE))))</f>
        <v/>
      </c>
      <c r="CF61" s="1219" t="str">
        <f>IF(ISBLANK(CP21),IF(CG21="","",VLOOKUP(CG21,#REF!,6,FALSE)),CP21)</f>
        <v/>
      </c>
      <c r="CG61" s="1219" t="str">
        <f>IF(CG21="","",IF(VLOOKUP(CG21,#REF!,10,FALSE)="","",(VLOOKUP(CG21,#REF!,10,FALSE)*-1)))</f>
        <v/>
      </c>
      <c r="CH61" s="1219" t="str">
        <f>IF(CG21="","",IF(VLOOKUP(CG21,#REF!,7,FALSE)="","",(VLOOKUP(CG21,#REF!,7,FALSE)*-1)))</f>
        <v/>
      </c>
      <c r="CI61" s="1219" t="str">
        <f>IF(CG21="","",IF(VLOOKUP(CG21,#REF!,8,FALSE)="",$FC$4,(VLOOKUP(CG21,#REF!,8,FALSE))))</f>
        <v/>
      </c>
      <c r="CJ61" s="1219" t="str">
        <f>IF(CG21="","",VLOOKUP(CG21,#REF!,9,FALSE))</f>
        <v/>
      </c>
      <c r="CK61" s="1220">
        <f t="shared" si="102"/>
        <v>0</v>
      </c>
      <c r="CL61" s="1218" t="str">
        <f>IF(CQ21="","",VLOOKUP(CQ21,#REF!,12,FALSE))</f>
        <v/>
      </c>
      <c r="CM61" s="1219" t="str">
        <f>IF(ISBLANK(CX21),IF(CQ21="","",VLOOKUP(CQ21,#REF!,13,FALSE)),CX21)</f>
        <v/>
      </c>
      <c r="CN61" s="1219" t="str">
        <f>IF(CQ21="","",IF(VLOOKUP(CQ21,#REF!,5,FALSE)="","R",UPPER(VLOOKUP(CQ21,#REF!,5,FALSE))))</f>
        <v/>
      </c>
      <c r="CO61" s="1219" t="str">
        <f>IF(ISBLANK(CZ21),IF(CQ21="","",VLOOKUP(CQ21,#REF!,6,FALSE)),CZ21)</f>
        <v/>
      </c>
      <c r="CP61" s="1219" t="str">
        <f>IF(CQ21="","",IF(VLOOKUP(CQ21,#REF!,10,FALSE)="","",(VLOOKUP(CQ21,#REF!,10,FALSE)*-1)))</f>
        <v/>
      </c>
      <c r="CQ61" s="1219" t="str">
        <f>IF(CQ21="","",IF(VLOOKUP(CQ21,#REF!,7,FALSE)="","",(VLOOKUP(CQ21,#REF!,7,FALSE)*-1)))</f>
        <v/>
      </c>
      <c r="CR61" s="1219" t="str">
        <f>IF(CQ21="","",IF(VLOOKUP(CQ21,#REF!,8,FALSE)="",$FC$4,(VLOOKUP(CQ21,#REF!,8,FALSE))))</f>
        <v/>
      </c>
      <c r="CS61" s="1219" t="str">
        <f>IF(CQ21="","",VLOOKUP(CQ21,#REF!,9,FALSE))</f>
        <v/>
      </c>
      <c r="CT61" s="1220">
        <f t="shared" si="103"/>
        <v>0</v>
      </c>
      <c r="CU61" s="1230">
        <f t="shared" si="104"/>
        <v>0</v>
      </c>
      <c r="CV61" s="1224" t="str">
        <f t="shared" si="105"/>
        <v/>
      </c>
      <c r="CW61" s="1224" t="str">
        <f t="shared" si="106"/>
        <v/>
      </c>
      <c r="CX61" s="1224" t="str">
        <f t="shared" si="107"/>
        <v/>
      </c>
      <c r="CY61" s="1226">
        <f t="shared" si="108"/>
        <v>0</v>
      </c>
      <c r="CZ61" s="1226" t="e">
        <f t="shared" si="109"/>
        <v>#REF!</v>
      </c>
      <c r="DA61" s="1226" t="str">
        <f t="shared" si="110"/>
        <v/>
      </c>
      <c r="DB61" s="1224" t="str">
        <f t="shared" si="175"/>
        <v/>
      </c>
      <c r="DC61" s="1224" t="str">
        <f t="shared" si="111"/>
        <v/>
      </c>
      <c r="DD61" s="814">
        <f t="shared" si="176"/>
        <v>0</v>
      </c>
      <c r="DE61" s="812">
        <f t="shared" si="112"/>
        <v>0</v>
      </c>
      <c r="DF61" s="813" t="e">
        <f t="shared" si="113"/>
        <v>#REF!</v>
      </c>
      <c r="DG61" s="813" t="str">
        <f t="shared" si="114"/>
        <v/>
      </c>
      <c r="DH61" s="1224" t="str">
        <f t="shared" si="177"/>
        <v/>
      </c>
      <c r="DI61" s="1224" t="str">
        <f t="shared" si="115"/>
        <v/>
      </c>
      <c r="DJ61" s="1225">
        <f t="shared" si="178"/>
        <v>0</v>
      </c>
      <c r="DK61" s="1224" t="str">
        <f t="shared" si="116"/>
        <v/>
      </c>
      <c r="DL61" s="1224" t="str">
        <f t="shared" si="117"/>
        <v/>
      </c>
      <c r="DM61" s="1224" t="str">
        <f t="shared" si="118"/>
        <v/>
      </c>
      <c r="DN61" s="1224" t="str">
        <f t="shared" si="119"/>
        <v/>
      </c>
      <c r="DO61" s="828" t="e">
        <f t="shared" si="120"/>
        <v>#REF!</v>
      </c>
      <c r="DP61" s="828" t="e">
        <f t="shared" si="121"/>
        <v>#REF!</v>
      </c>
      <c r="DQ61" s="1224" t="str">
        <f t="shared" si="122"/>
        <v/>
      </c>
      <c r="DR61" s="1224" t="str">
        <f t="shared" si="122"/>
        <v/>
      </c>
      <c r="DS61" s="1224" t="str">
        <f t="shared" si="123"/>
        <v/>
      </c>
      <c r="DT61" s="1224" t="str">
        <f t="shared" si="124"/>
        <v/>
      </c>
      <c r="DU61" s="1224" t="str">
        <f t="shared" si="125"/>
        <v/>
      </c>
      <c r="DV61" s="828" t="e">
        <f t="shared" si="126"/>
        <v>#REF!</v>
      </c>
      <c r="DW61" s="828" t="e">
        <f t="shared" si="127"/>
        <v>#REF!</v>
      </c>
      <c r="DX61" s="812" t="str">
        <f t="shared" si="128"/>
        <v/>
      </c>
      <c r="DY61" s="812" t="str">
        <f t="shared" si="129"/>
        <v/>
      </c>
      <c r="DZ61" s="812" t="str">
        <f t="shared" si="130"/>
        <v/>
      </c>
      <c r="EA61" s="812" t="str">
        <f t="shared" si="131"/>
        <v/>
      </c>
      <c r="EB61" s="815" t="str">
        <f t="shared" si="132"/>
        <v/>
      </c>
      <c r="EC61" s="816" t="str">
        <f t="shared" si="133"/>
        <v/>
      </c>
      <c r="ED61" s="815" t="str">
        <f t="shared" si="134"/>
        <v/>
      </c>
      <c r="EE61" s="815" t="str">
        <f t="shared" si="135"/>
        <v/>
      </c>
      <c r="EF61" s="815" t="str">
        <f t="shared" si="136"/>
        <v/>
      </c>
      <c r="EG61" s="815" t="str">
        <f t="shared" si="137"/>
        <v/>
      </c>
      <c r="EH61" s="815" t="str">
        <f t="shared" si="138"/>
        <v/>
      </c>
      <c r="EI61" s="815" t="str">
        <f t="shared" si="139"/>
        <v/>
      </c>
      <c r="EJ61" s="815" t="str">
        <f t="shared" si="140"/>
        <v/>
      </c>
      <c r="EK61" s="813">
        <f t="shared" si="141"/>
        <v>0</v>
      </c>
      <c r="EL61" s="813">
        <f t="shared" si="142"/>
        <v>0</v>
      </c>
      <c r="EM61" s="813">
        <f t="shared" si="143"/>
        <v>0</v>
      </c>
      <c r="EN61" s="813" t="e">
        <f t="shared" si="144"/>
        <v>#REF!</v>
      </c>
      <c r="EO61" s="812" t="str">
        <f t="shared" si="145"/>
        <v/>
      </c>
      <c r="EP61" s="813">
        <f t="shared" si="146"/>
        <v>0</v>
      </c>
      <c r="EQ61" s="813">
        <f t="shared" si="147"/>
        <v>0</v>
      </c>
      <c r="ER61" s="813">
        <f t="shared" si="148"/>
        <v>0</v>
      </c>
      <c r="ES61" s="813" t="e">
        <f t="shared" si="149"/>
        <v>#REF!</v>
      </c>
      <c r="ET61" s="812" t="str">
        <f t="shared" si="150"/>
        <v/>
      </c>
      <c r="EU61" s="812" t="e">
        <f t="shared" si="151"/>
        <v>#REF!</v>
      </c>
      <c r="EV61" s="815" t="e">
        <f t="shared" si="152"/>
        <v>#VALUE!</v>
      </c>
      <c r="EW61" s="815" t="e">
        <f t="shared" si="153"/>
        <v>#VALUE!</v>
      </c>
      <c r="EX61" s="817" t="str">
        <f t="shared" si="154"/>
        <v/>
      </c>
      <c r="EY61" s="818" t="e">
        <f t="shared" si="155"/>
        <v>#DIV/0!</v>
      </c>
      <c r="EZ61" s="893" t="e">
        <f t="shared" si="156"/>
        <v>#DIV/0!</v>
      </c>
      <c r="FA61" s="894" t="e">
        <f t="shared" si="157"/>
        <v>#DIV/0!</v>
      </c>
      <c r="FB61" s="819" t="str">
        <f t="shared" si="158"/>
        <v/>
      </c>
      <c r="FC61" s="820" t="str">
        <f t="shared" si="159"/>
        <v/>
      </c>
      <c r="FD61" s="829">
        <f t="shared" si="160"/>
        <v>0</v>
      </c>
      <c r="FE61" s="774">
        <f t="shared" si="161"/>
        <v>0</v>
      </c>
      <c r="FF61" s="703" t="b">
        <f t="shared" si="162"/>
        <v>0</v>
      </c>
      <c r="FG61" s="703" t="b">
        <f t="shared" si="163"/>
        <v>0</v>
      </c>
      <c r="FH61" s="703" t="b">
        <f t="shared" si="164"/>
        <v>0</v>
      </c>
      <c r="FI61" s="703" t="b">
        <f t="shared" si="165"/>
        <v>0</v>
      </c>
      <c r="FJ61" s="849" t="str">
        <f t="shared" si="179"/>
        <v/>
      </c>
      <c r="FK61" s="848" t="str">
        <f t="shared" si="180"/>
        <v/>
      </c>
      <c r="FL61" s="242" t="e">
        <f t="shared" si="181"/>
        <v>#N/A</v>
      </c>
      <c r="FM61" s="234" t="str">
        <f t="shared" si="166"/>
        <v/>
      </c>
      <c r="FN61" s="191" t="str">
        <f t="shared" ca="1" si="182"/>
        <v/>
      </c>
      <c r="FO61" s="192" t="str">
        <f t="shared" ca="1" si="183"/>
        <v/>
      </c>
      <c r="FP61" s="193" t="str">
        <f t="shared" ca="1" si="184"/>
        <v/>
      </c>
      <c r="FQ61" s="193" t="str">
        <f t="shared" ca="1" si="185"/>
        <v/>
      </c>
      <c r="FR61" s="243">
        <f t="shared" ca="1" si="186"/>
        <v>0</v>
      </c>
      <c r="FS61" s="244">
        <f t="shared" ca="1" si="187"/>
        <v>0</v>
      </c>
      <c r="FT61" s="191" t="str">
        <f t="shared" ca="1" si="188"/>
        <v/>
      </c>
      <c r="FU61" s="194" t="str">
        <f t="shared" ca="1" si="189"/>
        <v/>
      </c>
      <c r="FV61" s="245" t="str">
        <f t="shared" ca="1" si="167"/>
        <v/>
      </c>
      <c r="FW61" s="195" t="str">
        <f t="shared" ca="1" si="190"/>
        <v/>
      </c>
      <c r="FX61" s="195" t="str">
        <f t="shared" ca="1" si="191"/>
        <v/>
      </c>
      <c r="FY61" s="195" t="str">
        <f t="shared" ca="1" si="192"/>
        <v/>
      </c>
      <c r="FZ61" s="195" t="str">
        <f t="shared" ca="1" si="193"/>
        <v/>
      </c>
      <c r="GA61" s="195" t="str">
        <f t="shared" ca="1" si="194"/>
        <v/>
      </c>
      <c r="GB61" s="196" t="str">
        <f ca="1">IF(FY61="","",2+SUM(FO61:OFFSET(FO61,(FU61-1)*-1,0)))</f>
        <v/>
      </c>
      <c r="GC61" s="238" t="e">
        <f t="shared" si="195"/>
        <v>#N/A</v>
      </c>
      <c r="GD61" s="246" t="str">
        <f t="shared" si="168"/>
        <v/>
      </c>
      <c r="GE61" s="247" t="str">
        <f t="shared" si="169"/>
        <v/>
      </c>
      <c r="GF61" s="197" t="str">
        <f t="shared" si="170"/>
        <v/>
      </c>
      <c r="GG61" s="198" t="str">
        <f t="shared" si="171"/>
        <v/>
      </c>
      <c r="GH61" s="198" t="str">
        <f t="shared" si="172"/>
        <v/>
      </c>
      <c r="GI61" s="199" t="str">
        <f t="shared" si="173"/>
        <v/>
      </c>
      <c r="GJ61" s="473">
        <f t="shared" ca="1" si="174"/>
        <v>0</v>
      </c>
      <c r="GK61" s="834" t="str">
        <f t="shared" ca="1" si="196"/>
        <v/>
      </c>
    </row>
    <row r="62" spans="1:222" ht="12.6" hidden="1" customHeight="1" x14ac:dyDescent="0.2">
      <c r="BZ62" s="214"/>
      <c r="CA62" s="288"/>
      <c r="CB62" s="289" t="str">
        <f t="shared" si="101"/>
        <v/>
      </c>
      <c r="CC62" s="290" t="str">
        <f>IF(CG22="","",VLOOKUP(CG22,#REF!,12,FALSE))</f>
        <v/>
      </c>
      <c r="CD62" s="1219" t="str">
        <f>IF(ISBLANK(CN22),IF(CG22="","",VLOOKUP(CG22,#REF!,13,FALSE)),CN22)</f>
        <v/>
      </c>
      <c r="CE62" s="1219" t="str">
        <f>IF(CG22="","",IF(VLOOKUP(CG22,#REF!,5,FALSE)="","R",UPPER(VLOOKUP(CG22,#REF!,5,FALSE))))</f>
        <v/>
      </c>
      <c r="CF62" s="1219" t="str">
        <f>IF(ISBLANK(CP22),IF(CG22="","",VLOOKUP(CG22,#REF!,6,FALSE)),CP22)</f>
        <v/>
      </c>
      <c r="CG62" s="1219" t="str">
        <f>IF(CG22="","",IF(VLOOKUP(CG22,#REF!,10,FALSE)="","",(VLOOKUP(CG22,#REF!,10,FALSE)*-1)))</f>
        <v/>
      </c>
      <c r="CH62" s="1219" t="str">
        <f>IF(CG22="","",IF(VLOOKUP(CG22,#REF!,7,FALSE)="","",(VLOOKUP(CG22,#REF!,7,FALSE)*-1)))</f>
        <v/>
      </c>
      <c r="CI62" s="1219" t="str">
        <f>IF(CG22="","",IF(VLOOKUP(CG22,#REF!,8,FALSE)="",$FC$4,(VLOOKUP(CG22,#REF!,8,FALSE))))</f>
        <v/>
      </c>
      <c r="CJ62" s="1219" t="str">
        <f>IF(CG22="","",VLOOKUP(CG22,#REF!,9,FALSE))</f>
        <v/>
      </c>
      <c r="CK62" s="1220">
        <f t="shared" si="102"/>
        <v>0</v>
      </c>
      <c r="CL62" s="1218" t="str">
        <f>IF(CQ22="","",VLOOKUP(CQ22,#REF!,12,FALSE))</f>
        <v/>
      </c>
      <c r="CM62" s="1219" t="str">
        <f>IF(ISBLANK(CX22),IF(CQ22="","",VLOOKUP(CQ22,#REF!,13,FALSE)),CX22)</f>
        <v/>
      </c>
      <c r="CN62" s="1219" t="str">
        <f>IF(CQ22="","",IF(VLOOKUP(CQ22,#REF!,5,FALSE)="","R",UPPER(VLOOKUP(CQ22,#REF!,5,FALSE))))</f>
        <v/>
      </c>
      <c r="CO62" s="1219" t="str">
        <f>IF(ISBLANK(CZ22),IF(CQ22="","",VLOOKUP(CQ22,#REF!,6,FALSE)),CZ22)</f>
        <v/>
      </c>
      <c r="CP62" s="1219" t="str">
        <f>IF(CQ22="","",IF(VLOOKUP(CQ22,#REF!,10,FALSE)="","",(VLOOKUP(CQ22,#REF!,10,FALSE)*-1)))</f>
        <v/>
      </c>
      <c r="CQ62" s="1219" t="str">
        <f>IF(CQ22="","",IF(VLOOKUP(CQ22,#REF!,7,FALSE)="","",(VLOOKUP(CQ22,#REF!,7,FALSE)*-1)))</f>
        <v/>
      </c>
      <c r="CR62" s="1219" t="str">
        <f>IF(CQ22="","",IF(VLOOKUP(CQ22,#REF!,8,FALSE)="",$FC$4,(VLOOKUP(CQ22,#REF!,8,FALSE))))</f>
        <v/>
      </c>
      <c r="CS62" s="1219" t="str">
        <f>IF(CQ22="","",VLOOKUP(CQ22,#REF!,9,FALSE))</f>
        <v/>
      </c>
      <c r="CT62" s="1220">
        <f t="shared" si="103"/>
        <v>0</v>
      </c>
      <c r="CU62" s="1230">
        <f t="shared" si="104"/>
        <v>0</v>
      </c>
      <c r="CV62" s="1224" t="str">
        <f t="shared" si="105"/>
        <v/>
      </c>
      <c r="CW62" s="1224" t="str">
        <f t="shared" si="106"/>
        <v/>
      </c>
      <c r="CX62" s="1224" t="str">
        <f t="shared" si="107"/>
        <v/>
      </c>
      <c r="CY62" s="1226">
        <f t="shared" si="108"/>
        <v>0</v>
      </c>
      <c r="CZ62" s="1226" t="e">
        <f t="shared" si="109"/>
        <v>#REF!</v>
      </c>
      <c r="DA62" s="1226" t="str">
        <f t="shared" si="110"/>
        <v/>
      </c>
      <c r="DB62" s="1224" t="str">
        <f t="shared" si="175"/>
        <v/>
      </c>
      <c r="DC62" s="1224" t="str">
        <f t="shared" si="111"/>
        <v/>
      </c>
      <c r="DD62" s="814">
        <f t="shared" si="176"/>
        <v>0</v>
      </c>
      <c r="DE62" s="812">
        <f t="shared" si="112"/>
        <v>0</v>
      </c>
      <c r="DF62" s="813" t="e">
        <f t="shared" si="113"/>
        <v>#REF!</v>
      </c>
      <c r="DG62" s="813" t="str">
        <f t="shared" si="114"/>
        <v/>
      </c>
      <c r="DH62" s="1224" t="str">
        <f t="shared" si="177"/>
        <v/>
      </c>
      <c r="DI62" s="1224" t="str">
        <f t="shared" si="115"/>
        <v/>
      </c>
      <c r="DJ62" s="1225">
        <f t="shared" si="178"/>
        <v>0</v>
      </c>
      <c r="DK62" s="1224" t="str">
        <f t="shared" si="116"/>
        <v/>
      </c>
      <c r="DL62" s="1224" t="str">
        <f t="shared" si="117"/>
        <v/>
      </c>
      <c r="DM62" s="1224" t="str">
        <f t="shared" si="118"/>
        <v/>
      </c>
      <c r="DN62" s="1224" t="str">
        <f t="shared" si="119"/>
        <v/>
      </c>
      <c r="DO62" s="828" t="e">
        <f t="shared" si="120"/>
        <v>#REF!</v>
      </c>
      <c r="DP62" s="828" t="e">
        <f t="shared" si="121"/>
        <v>#REF!</v>
      </c>
      <c r="DQ62" s="1224" t="str">
        <f t="shared" si="122"/>
        <v/>
      </c>
      <c r="DR62" s="1224" t="str">
        <f t="shared" si="122"/>
        <v/>
      </c>
      <c r="DS62" s="1224" t="str">
        <f t="shared" si="123"/>
        <v/>
      </c>
      <c r="DT62" s="1224" t="str">
        <f t="shared" si="124"/>
        <v/>
      </c>
      <c r="DU62" s="1224" t="str">
        <f t="shared" si="125"/>
        <v/>
      </c>
      <c r="DV62" s="828" t="e">
        <f t="shared" si="126"/>
        <v>#REF!</v>
      </c>
      <c r="DW62" s="828" t="e">
        <f t="shared" si="127"/>
        <v>#REF!</v>
      </c>
      <c r="DX62" s="812" t="str">
        <f t="shared" si="128"/>
        <v/>
      </c>
      <c r="DY62" s="812" t="str">
        <f t="shared" si="129"/>
        <v/>
      </c>
      <c r="DZ62" s="812" t="str">
        <f t="shared" si="130"/>
        <v/>
      </c>
      <c r="EA62" s="812" t="str">
        <f t="shared" si="131"/>
        <v/>
      </c>
      <c r="EB62" s="815" t="str">
        <f t="shared" si="132"/>
        <v/>
      </c>
      <c r="EC62" s="816" t="str">
        <f t="shared" si="133"/>
        <v/>
      </c>
      <c r="ED62" s="815" t="str">
        <f t="shared" si="134"/>
        <v/>
      </c>
      <c r="EE62" s="815" t="str">
        <f t="shared" si="135"/>
        <v/>
      </c>
      <c r="EF62" s="815" t="str">
        <f t="shared" si="136"/>
        <v/>
      </c>
      <c r="EG62" s="815" t="str">
        <f t="shared" si="137"/>
        <v/>
      </c>
      <c r="EH62" s="815" t="str">
        <f t="shared" si="138"/>
        <v/>
      </c>
      <c r="EI62" s="815" t="str">
        <f t="shared" si="139"/>
        <v/>
      </c>
      <c r="EJ62" s="815" t="str">
        <f t="shared" si="140"/>
        <v/>
      </c>
      <c r="EK62" s="813">
        <f t="shared" si="141"/>
        <v>0</v>
      </c>
      <c r="EL62" s="813">
        <f t="shared" si="142"/>
        <v>0</v>
      </c>
      <c r="EM62" s="813">
        <f t="shared" si="143"/>
        <v>0</v>
      </c>
      <c r="EN62" s="813" t="e">
        <f t="shared" si="144"/>
        <v>#REF!</v>
      </c>
      <c r="EO62" s="812" t="str">
        <f t="shared" si="145"/>
        <v/>
      </c>
      <c r="EP62" s="813">
        <f t="shared" si="146"/>
        <v>0</v>
      </c>
      <c r="EQ62" s="813">
        <f t="shared" si="147"/>
        <v>0</v>
      </c>
      <c r="ER62" s="813">
        <f t="shared" si="148"/>
        <v>0</v>
      </c>
      <c r="ES62" s="813" t="e">
        <f t="shared" si="149"/>
        <v>#REF!</v>
      </c>
      <c r="ET62" s="812" t="str">
        <f t="shared" si="150"/>
        <v/>
      </c>
      <c r="EU62" s="812" t="e">
        <f t="shared" si="151"/>
        <v>#REF!</v>
      </c>
      <c r="EV62" s="815" t="e">
        <f t="shared" si="152"/>
        <v>#VALUE!</v>
      </c>
      <c r="EW62" s="815" t="e">
        <f t="shared" si="153"/>
        <v>#VALUE!</v>
      </c>
      <c r="EX62" s="817" t="str">
        <f t="shared" si="154"/>
        <v/>
      </c>
      <c r="EY62" s="818" t="e">
        <f t="shared" si="155"/>
        <v>#DIV/0!</v>
      </c>
      <c r="EZ62" s="893" t="e">
        <f t="shared" si="156"/>
        <v>#DIV/0!</v>
      </c>
      <c r="FA62" s="894" t="e">
        <f t="shared" si="157"/>
        <v>#DIV/0!</v>
      </c>
      <c r="FB62" s="819" t="str">
        <f t="shared" si="158"/>
        <v/>
      </c>
      <c r="FC62" s="820" t="str">
        <f t="shared" si="159"/>
        <v/>
      </c>
      <c r="FD62" s="829">
        <f t="shared" si="160"/>
        <v>0</v>
      </c>
      <c r="FE62" s="774">
        <f t="shared" si="161"/>
        <v>0</v>
      </c>
      <c r="FF62" s="703" t="b">
        <f t="shared" si="162"/>
        <v>0</v>
      </c>
      <c r="FG62" s="703" t="b">
        <f t="shared" si="163"/>
        <v>0</v>
      </c>
      <c r="FH62" s="703" t="b">
        <f t="shared" si="164"/>
        <v>0</v>
      </c>
      <c r="FI62" s="703" t="b">
        <f t="shared" si="165"/>
        <v>0</v>
      </c>
      <c r="FJ62" s="849" t="str">
        <f t="shared" si="179"/>
        <v/>
      </c>
      <c r="FK62" s="848" t="str">
        <f t="shared" si="180"/>
        <v/>
      </c>
      <c r="FL62" s="242" t="e">
        <f t="shared" si="181"/>
        <v>#N/A</v>
      </c>
      <c r="FM62" s="234" t="str">
        <f t="shared" si="166"/>
        <v/>
      </c>
      <c r="FN62" s="191" t="str">
        <f t="shared" ca="1" si="182"/>
        <v/>
      </c>
      <c r="FO62" s="192" t="str">
        <f t="shared" ca="1" si="183"/>
        <v/>
      </c>
      <c r="FP62" s="193" t="str">
        <f t="shared" ca="1" si="184"/>
        <v/>
      </c>
      <c r="FQ62" s="193" t="str">
        <f t="shared" ca="1" si="185"/>
        <v/>
      </c>
      <c r="FR62" s="243">
        <f t="shared" ca="1" si="186"/>
        <v>0</v>
      </c>
      <c r="FS62" s="244">
        <f t="shared" ca="1" si="187"/>
        <v>0</v>
      </c>
      <c r="FT62" s="191" t="str">
        <f t="shared" ca="1" si="188"/>
        <v/>
      </c>
      <c r="FU62" s="194" t="str">
        <f t="shared" ca="1" si="189"/>
        <v/>
      </c>
      <c r="FV62" s="245" t="str">
        <f t="shared" ca="1" si="167"/>
        <v/>
      </c>
      <c r="FW62" s="195" t="str">
        <f t="shared" ca="1" si="190"/>
        <v/>
      </c>
      <c r="FX62" s="195" t="str">
        <f t="shared" ca="1" si="191"/>
        <v/>
      </c>
      <c r="FY62" s="195" t="str">
        <f t="shared" ca="1" si="192"/>
        <v/>
      </c>
      <c r="FZ62" s="195" t="str">
        <f t="shared" ca="1" si="193"/>
        <v/>
      </c>
      <c r="GA62" s="195" t="str">
        <f t="shared" ca="1" si="194"/>
        <v/>
      </c>
      <c r="GB62" s="196" t="str">
        <f ca="1">IF(FY62="","",2+SUM(FO62:OFFSET(FO62,(FU62-1)*-1,0)))</f>
        <v/>
      </c>
      <c r="GC62" s="238" t="e">
        <f t="shared" si="195"/>
        <v>#N/A</v>
      </c>
      <c r="GD62" s="246" t="str">
        <f t="shared" si="168"/>
        <v/>
      </c>
      <c r="GE62" s="247" t="str">
        <f t="shared" si="169"/>
        <v/>
      </c>
      <c r="GF62" s="197" t="str">
        <f t="shared" si="170"/>
        <v/>
      </c>
      <c r="GG62" s="198" t="str">
        <f t="shared" si="171"/>
        <v/>
      </c>
      <c r="GH62" s="198" t="str">
        <f t="shared" si="172"/>
        <v/>
      </c>
      <c r="GI62" s="199" t="str">
        <f t="shared" si="173"/>
        <v/>
      </c>
      <c r="GJ62" s="473">
        <f t="shared" ca="1" si="174"/>
        <v>0</v>
      </c>
      <c r="GK62" s="834" t="str">
        <f t="shared" ca="1" si="196"/>
        <v/>
      </c>
    </row>
    <row r="63" spans="1:222" ht="12.6" hidden="1" customHeight="1" x14ac:dyDescent="0.2">
      <c r="BZ63" s="214"/>
      <c r="CA63" s="288"/>
      <c r="CB63" s="289" t="str">
        <f t="shared" si="101"/>
        <v/>
      </c>
      <c r="CC63" s="290" t="str">
        <f>IF(CG23="","",VLOOKUP(CG23,#REF!,12,FALSE))</f>
        <v/>
      </c>
      <c r="CD63" s="1219" t="str">
        <f>IF(ISBLANK(CN23),IF(CG23="","",VLOOKUP(CG23,#REF!,13,FALSE)),CN23)</f>
        <v/>
      </c>
      <c r="CE63" s="1219" t="str">
        <f>IF(CG23="","",IF(VLOOKUP(CG23,#REF!,5,FALSE)="","R",UPPER(VLOOKUP(CG23,#REF!,5,FALSE))))</f>
        <v/>
      </c>
      <c r="CF63" s="1219" t="str">
        <f>IF(ISBLANK(CP23),IF(CG23="","",VLOOKUP(CG23,#REF!,6,FALSE)),CP23)</f>
        <v/>
      </c>
      <c r="CG63" s="1219" t="str">
        <f>IF(CG23="","",IF(VLOOKUP(CG23,#REF!,10,FALSE)="","",(VLOOKUP(CG23,#REF!,10,FALSE)*-1)))</f>
        <v/>
      </c>
      <c r="CH63" s="1219" t="str">
        <f>IF(CG23="","",IF(VLOOKUP(CG23,#REF!,7,FALSE)="","",(VLOOKUP(CG23,#REF!,7,FALSE)*-1)))</f>
        <v/>
      </c>
      <c r="CI63" s="1219" t="str">
        <f>IF(CG23="","",IF(VLOOKUP(CG23,#REF!,8,FALSE)="",$FC$4,(VLOOKUP(CG23,#REF!,8,FALSE))))</f>
        <v/>
      </c>
      <c r="CJ63" s="1219" t="str">
        <f>IF(CG23="","",VLOOKUP(CG23,#REF!,9,FALSE))</f>
        <v/>
      </c>
      <c r="CK63" s="1220">
        <f t="shared" si="102"/>
        <v>0</v>
      </c>
      <c r="CL63" s="1218" t="str">
        <f>IF(CQ23="","",VLOOKUP(CQ23,#REF!,12,FALSE))</f>
        <v/>
      </c>
      <c r="CM63" s="1219" t="str">
        <f>IF(ISBLANK(CX23),IF(CQ23="","",VLOOKUP(CQ23,#REF!,13,FALSE)),CX23)</f>
        <v/>
      </c>
      <c r="CN63" s="1219" t="str">
        <f>IF(CQ23="","",IF(VLOOKUP(CQ23,#REF!,5,FALSE)="","R",UPPER(VLOOKUP(CQ23,#REF!,5,FALSE))))</f>
        <v/>
      </c>
      <c r="CO63" s="1219" t="str">
        <f>IF(ISBLANK(CZ23),IF(CQ23="","",VLOOKUP(CQ23,#REF!,6,FALSE)),CZ23)</f>
        <v/>
      </c>
      <c r="CP63" s="1219" t="str">
        <f>IF(CQ23="","",IF(VLOOKUP(CQ23,#REF!,10,FALSE)="","",(VLOOKUP(CQ23,#REF!,10,FALSE)*-1)))</f>
        <v/>
      </c>
      <c r="CQ63" s="1219" t="str">
        <f>IF(CQ23="","",IF(VLOOKUP(CQ23,#REF!,7,FALSE)="","",(VLOOKUP(CQ23,#REF!,7,FALSE)*-1)))</f>
        <v/>
      </c>
      <c r="CR63" s="1219" t="str">
        <f>IF(CQ23="","",IF(VLOOKUP(CQ23,#REF!,8,FALSE)="",$FC$4,(VLOOKUP(CQ23,#REF!,8,FALSE))))</f>
        <v/>
      </c>
      <c r="CS63" s="1219" t="str">
        <f>IF(CQ23="","",VLOOKUP(CQ23,#REF!,9,FALSE))</f>
        <v/>
      </c>
      <c r="CT63" s="1220">
        <f t="shared" si="103"/>
        <v>0</v>
      </c>
      <c r="CU63" s="1230">
        <f t="shared" si="104"/>
        <v>0</v>
      </c>
      <c r="CV63" s="1224" t="str">
        <f t="shared" si="105"/>
        <v/>
      </c>
      <c r="CW63" s="1224" t="str">
        <f t="shared" si="106"/>
        <v/>
      </c>
      <c r="CX63" s="1224" t="str">
        <f t="shared" si="107"/>
        <v/>
      </c>
      <c r="CY63" s="1226">
        <f t="shared" si="108"/>
        <v>0</v>
      </c>
      <c r="CZ63" s="1226" t="e">
        <f t="shared" si="109"/>
        <v>#REF!</v>
      </c>
      <c r="DA63" s="1226" t="str">
        <f t="shared" si="110"/>
        <v/>
      </c>
      <c r="DB63" s="1224" t="str">
        <f t="shared" si="175"/>
        <v/>
      </c>
      <c r="DC63" s="1224" t="str">
        <f t="shared" si="111"/>
        <v/>
      </c>
      <c r="DD63" s="814">
        <f t="shared" si="176"/>
        <v>0</v>
      </c>
      <c r="DE63" s="812">
        <f t="shared" si="112"/>
        <v>0</v>
      </c>
      <c r="DF63" s="813" t="e">
        <f t="shared" si="113"/>
        <v>#REF!</v>
      </c>
      <c r="DG63" s="813" t="str">
        <f t="shared" si="114"/>
        <v/>
      </c>
      <c r="DH63" s="1224" t="str">
        <f t="shared" si="177"/>
        <v/>
      </c>
      <c r="DI63" s="1224" t="str">
        <f t="shared" si="115"/>
        <v/>
      </c>
      <c r="DJ63" s="1225">
        <f t="shared" si="178"/>
        <v>0</v>
      </c>
      <c r="DK63" s="1224" t="str">
        <f t="shared" si="116"/>
        <v/>
      </c>
      <c r="DL63" s="1224" t="str">
        <f t="shared" si="117"/>
        <v/>
      </c>
      <c r="DM63" s="1224" t="str">
        <f t="shared" si="118"/>
        <v/>
      </c>
      <c r="DN63" s="1224" t="str">
        <f t="shared" si="119"/>
        <v/>
      </c>
      <c r="DO63" s="828" t="e">
        <f t="shared" si="120"/>
        <v>#REF!</v>
      </c>
      <c r="DP63" s="828" t="e">
        <f t="shared" si="121"/>
        <v>#REF!</v>
      </c>
      <c r="DQ63" s="1224" t="str">
        <f t="shared" si="122"/>
        <v/>
      </c>
      <c r="DR63" s="1224" t="str">
        <f t="shared" si="122"/>
        <v/>
      </c>
      <c r="DS63" s="1224" t="str">
        <f t="shared" si="123"/>
        <v/>
      </c>
      <c r="DT63" s="1224" t="str">
        <f t="shared" si="124"/>
        <v/>
      </c>
      <c r="DU63" s="1224" t="str">
        <f t="shared" si="125"/>
        <v/>
      </c>
      <c r="DV63" s="828" t="e">
        <f t="shared" si="126"/>
        <v>#REF!</v>
      </c>
      <c r="DW63" s="828" t="e">
        <f t="shared" si="127"/>
        <v>#REF!</v>
      </c>
      <c r="DX63" s="812" t="str">
        <f t="shared" si="128"/>
        <v/>
      </c>
      <c r="DY63" s="812" t="str">
        <f t="shared" si="129"/>
        <v/>
      </c>
      <c r="DZ63" s="812" t="str">
        <f t="shared" si="130"/>
        <v/>
      </c>
      <c r="EA63" s="812" t="str">
        <f t="shared" si="131"/>
        <v/>
      </c>
      <c r="EB63" s="815" t="str">
        <f t="shared" si="132"/>
        <v/>
      </c>
      <c r="EC63" s="816" t="str">
        <f t="shared" si="133"/>
        <v/>
      </c>
      <c r="ED63" s="815" t="str">
        <f t="shared" si="134"/>
        <v/>
      </c>
      <c r="EE63" s="815" t="str">
        <f t="shared" si="135"/>
        <v/>
      </c>
      <c r="EF63" s="815" t="str">
        <f t="shared" si="136"/>
        <v/>
      </c>
      <c r="EG63" s="815" t="str">
        <f t="shared" si="137"/>
        <v/>
      </c>
      <c r="EH63" s="815" t="str">
        <f t="shared" si="138"/>
        <v/>
      </c>
      <c r="EI63" s="815" t="str">
        <f t="shared" si="139"/>
        <v/>
      </c>
      <c r="EJ63" s="815" t="str">
        <f t="shared" si="140"/>
        <v/>
      </c>
      <c r="EK63" s="813">
        <f t="shared" si="141"/>
        <v>0</v>
      </c>
      <c r="EL63" s="813">
        <f t="shared" si="142"/>
        <v>0</v>
      </c>
      <c r="EM63" s="813">
        <f t="shared" si="143"/>
        <v>0</v>
      </c>
      <c r="EN63" s="813" t="e">
        <f t="shared" si="144"/>
        <v>#REF!</v>
      </c>
      <c r="EO63" s="812" t="str">
        <f t="shared" si="145"/>
        <v/>
      </c>
      <c r="EP63" s="813">
        <f t="shared" si="146"/>
        <v>0</v>
      </c>
      <c r="EQ63" s="813">
        <f t="shared" si="147"/>
        <v>0</v>
      </c>
      <c r="ER63" s="813">
        <f t="shared" si="148"/>
        <v>0</v>
      </c>
      <c r="ES63" s="813" t="e">
        <f t="shared" si="149"/>
        <v>#REF!</v>
      </c>
      <c r="ET63" s="812" t="str">
        <f t="shared" si="150"/>
        <v/>
      </c>
      <c r="EU63" s="812" t="e">
        <f t="shared" si="151"/>
        <v>#REF!</v>
      </c>
      <c r="EV63" s="815" t="e">
        <f t="shared" si="152"/>
        <v>#VALUE!</v>
      </c>
      <c r="EW63" s="815" t="e">
        <f t="shared" si="153"/>
        <v>#VALUE!</v>
      </c>
      <c r="EX63" s="817" t="str">
        <f t="shared" si="154"/>
        <v/>
      </c>
      <c r="EY63" s="818" t="e">
        <f t="shared" si="155"/>
        <v>#DIV/0!</v>
      </c>
      <c r="EZ63" s="893" t="e">
        <f t="shared" si="156"/>
        <v>#DIV/0!</v>
      </c>
      <c r="FA63" s="894" t="e">
        <f t="shared" si="157"/>
        <v>#DIV/0!</v>
      </c>
      <c r="FB63" s="819" t="str">
        <f t="shared" si="158"/>
        <v/>
      </c>
      <c r="FC63" s="820" t="str">
        <f t="shared" si="159"/>
        <v/>
      </c>
      <c r="FD63" s="829">
        <f t="shared" si="160"/>
        <v>0</v>
      </c>
      <c r="FE63" s="774">
        <f t="shared" si="161"/>
        <v>0</v>
      </c>
      <c r="FF63" s="703" t="b">
        <f t="shared" si="162"/>
        <v>0</v>
      </c>
      <c r="FG63" s="703" t="b">
        <f t="shared" si="163"/>
        <v>0</v>
      </c>
      <c r="FH63" s="703" t="b">
        <f t="shared" si="164"/>
        <v>0</v>
      </c>
      <c r="FI63" s="703" t="b">
        <f t="shared" si="165"/>
        <v>0</v>
      </c>
      <c r="FJ63" s="849" t="str">
        <f t="shared" si="179"/>
        <v/>
      </c>
      <c r="FK63" s="848" t="str">
        <f t="shared" si="180"/>
        <v/>
      </c>
      <c r="FL63" s="242" t="e">
        <f t="shared" si="181"/>
        <v>#N/A</v>
      </c>
      <c r="FM63" s="234" t="str">
        <f t="shared" si="166"/>
        <v/>
      </c>
      <c r="FN63" s="191" t="str">
        <f t="shared" ca="1" si="182"/>
        <v/>
      </c>
      <c r="FO63" s="192" t="str">
        <f t="shared" ca="1" si="183"/>
        <v/>
      </c>
      <c r="FP63" s="193" t="str">
        <f t="shared" ca="1" si="184"/>
        <v/>
      </c>
      <c r="FQ63" s="193" t="str">
        <f t="shared" ca="1" si="185"/>
        <v/>
      </c>
      <c r="FR63" s="243">
        <f t="shared" ca="1" si="186"/>
        <v>0</v>
      </c>
      <c r="FS63" s="244">
        <f t="shared" ca="1" si="187"/>
        <v>0</v>
      </c>
      <c r="FT63" s="191" t="str">
        <f t="shared" ca="1" si="188"/>
        <v/>
      </c>
      <c r="FU63" s="194" t="str">
        <f t="shared" ca="1" si="189"/>
        <v/>
      </c>
      <c r="FV63" s="245" t="str">
        <f t="shared" ca="1" si="167"/>
        <v/>
      </c>
      <c r="FW63" s="195" t="str">
        <f t="shared" ca="1" si="190"/>
        <v/>
      </c>
      <c r="FX63" s="195" t="str">
        <f t="shared" ca="1" si="191"/>
        <v/>
      </c>
      <c r="FY63" s="195" t="str">
        <f t="shared" ca="1" si="192"/>
        <v/>
      </c>
      <c r="FZ63" s="195" t="str">
        <f t="shared" ca="1" si="193"/>
        <v/>
      </c>
      <c r="GA63" s="195" t="str">
        <f t="shared" ca="1" si="194"/>
        <v/>
      </c>
      <c r="GB63" s="196" t="str">
        <f ca="1">IF(FY63="","",2+SUM(FO63:OFFSET(FO63,(FU63-1)*-1,0)))</f>
        <v/>
      </c>
      <c r="GC63" s="238" t="e">
        <f t="shared" si="195"/>
        <v>#N/A</v>
      </c>
      <c r="GD63" s="246" t="str">
        <f t="shared" si="168"/>
        <v/>
      </c>
      <c r="GE63" s="247" t="str">
        <f t="shared" si="169"/>
        <v/>
      </c>
      <c r="GF63" s="197" t="str">
        <f t="shared" si="170"/>
        <v/>
      </c>
      <c r="GG63" s="198" t="str">
        <f t="shared" si="171"/>
        <v/>
      </c>
      <c r="GH63" s="198" t="str">
        <f t="shared" si="172"/>
        <v/>
      </c>
      <c r="GI63" s="199" t="str">
        <f t="shared" si="173"/>
        <v/>
      </c>
      <c r="GJ63" s="473">
        <f t="shared" ca="1" si="174"/>
        <v>0</v>
      </c>
      <c r="GK63" s="834" t="str">
        <f t="shared" ca="1" si="196"/>
        <v/>
      </c>
    </row>
    <row r="64" spans="1:222" ht="12.6" hidden="1" customHeight="1" x14ac:dyDescent="0.2">
      <c r="BZ64" s="214"/>
      <c r="CA64" s="288"/>
      <c r="CB64" s="289" t="str">
        <f t="shared" si="101"/>
        <v/>
      </c>
      <c r="CC64" s="290" t="str">
        <f>IF(CG24="","",VLOOKUP(CG24,#REF!,12,FALSE))</f>
        <v/>
      </c>
      <c r="CD64" s="1219" t="str">
        <f>IF(ISBLANK(CN24),IF(CG24="","",VLOOKUP(CG24,#REF!,13,FALSE)),CN24)</f>
        <v/>
      </c>
      <c r="CE64" s="1219" t="str">
        <f>IF(CG24="","",IF(VLOOKUP(CG24,#REF!,5,FALSE)="","R",UPPER(VLOOKUP(CG24,#REF!,5,FALSE))))</f>
        <v/>
      </c>
      <c r="CF64" s="1219" t="str">
        <f>IF(ISBLANK(CP24),IF(CG24="","",VLOOKUP(CG24,#REF!,6,FALSE)),CP24)</f>
        <v/>
      </c>
      <c r="CG64" s="1219" t="str">
        <f>IF(CG24="","",IF(VLOOKUP(CG24,#REF!,10,FALSE)="","",(VLOOKUP(CG24,#REF!,10,FALSE)*-1)))</f>
        <v/>
      </c>
      <c r="CH64" s="1219" t="str">
        <f>IF(CG24="","",IF(VLOOKUP(CG24,#REF!,7,FALSE)="","",(VLOOKUP(CG24,#REF!,7,FALSE)*-1)))</f>
        <v/>
      </c>
      <c r="CI64" s="1219" t="str">
        <f>IF(CG24="","",IF(VLOOKUP(CG24,#REF!,8,FALSE)="",$FC$4,(VLOOKUP(CG24,#REF!,8,FALSE))))</f>
        <v/>
      </c>
      <c r="CJ64" s="1219" t="str">
        <f>IF(CG24="","",VLOOKUP(CG24,#REF!,9,FALSE))</f>
        <v/>
      </c>
      <c r="CK64" s="1220">
        <f t="shared" si="102"/>
        <v>0</v>
      </c>
      <c r="CL64" s="1218" t="str">
        <f>IF(CQ24="","",VLOOKUP(CQ24,#REF!,12,FALSE))</f>
        <v/>
      </c>
      <c r="CM64" s="1219" t="str">
        <f>IF(ISBLANK(CX24),IF(CQ24="","",VLOOKUP(CQ24,#REF!,13,FALSE)),CX24)</f>
        <v/>
      </c>
      <c r="CN64" s="1219" t="str">
        <f>IF(CQ24="","",IF(VLOOKUP(CQ24,#REF!,5,FALSE)="","R",UPPER(VLOOKUP(CQ24,#REF!,5,FALSE))))</f>
        <v/>
      </c>
      <c r="CO64" s="1219" t="str">
        <f>IF(ISBLANK(CZ24),IF(CQ24="","",VLOOKUP(CQ24,#REF!,6,FALSE)),CZ24)</f>
        <v/>
      </c>
      <c r="CP64" s="1219" t="str">
        <f>IF(CQ24="","",IF(VLOOKUP(CQ24,#REF!,10,FALSE)="","",(VLOOKUP(CQ24,#REF!,10,FALSE)*-1)))</f>
        <v/>
      </c>
      <c r="CQ64" s="1219" t="str">
        <f>IF(CQ24="","",IF(VLOOKUP(CQ24,#REF!,7,FALSE)="","",(VLOOKUP(CQ24,#REF!,7,FALSE)*-1)))</f>
        <v/>
      </c>
      <c r="CR64" s="1219" t="str">
        <f>IF(CQ24="","",IF(VLOOKUP(CQ24,#REF!,8,FALSE)="",$FC$4,(VLOOKUP(CQ24,#REF!,8,FALSE))))</f>
        <v/>
      </c>
      <c r="CS64" s="1219" t="str">
        <f>IF(CQ24="","",VLOOKUP(CQ24,#REF!,9,FALSE))</f>
        <v/>
      </c>
      <c r="CT64" s="1220">
        <f t="shared" si="103"/>
        <v>0</v>
      </c>
      <c r="CU64" s="1230">
        <f t="shared" si="104"/>
        <v>0</v>
      </c>
      <c r="CV64" s="1224" t="str">
        <f t="shared" si="105"/>
        <v/>
      </c>
      <c r="CW64" s="1224" t="str">
        <f t="shared" si="106"/>
        <v/>
      </c>
      <c r="CX64" s="1224" t="str">
        <f t="shared" si="107"/>
        <v/>
      </c>
      <c r="CY64" s="1226">
        <f t="shared" si="108"/>
        <v>0</v>
      </c>
      <c r="CZ64" s="1226" t="e">
        <f t="shared" si="109"/>
        <v>#REF!</v>
      </c>
      <c r="DA64" s="1226" t="str">
        <f t="shared" si="110"/>
        <v/>
      </c>
      <c r="DB64" s="1224" t="str">
        <f t="shared" si="175"/>
        <v/>
      </c>
      <c r="DC64" s="1224" t="str">
        <f t="shared" si="111"/>
        <v/>
      </c>
      <c r="DD64" s="814">
        <f t="shared" si="176"/>
        <v>0</v>
      </c>
      <c r="DE64" s="812">
        <f t="shared" si="112"/>
        <v>0</v>
      </c>
      <c r="DF64" s="813" t="e">
        <f t="shared" si="113"/>
        <v>#REF!</v>
      </c>
      <c r="DG64" s="813" t="str">
        <f t="shared" si="114"/>
        <v/>
      </c>
      <c r="DH64" s="1224" t="str">
        <f t="shared" si="177"/>
        <v/>
      </c>
      <c r="DI64" s="1224" t="str">
        <f t="shared" si="115"/>
        <v/>
      </c>
      <c r="DJ64" s="1225">
        <f t="shared" si="178"/>
        <v>0</v>
      </c>
      <c r="DK64" s="1224" t="str">
        <f t="shared" si="116"/>
        <v/>
      </c>
      <c r="DL64" s="1224" t="str">
        <f t="shared" si="117"/>
        <v/>
      </c>
      <c r="DM64" s="1224" t="str">
        <f t="shared" si="118"/>
        <v/>
      </c>
      <c r="DN64" s="1224" t="str">
        <f t="shared" si="119"/>
        <v/>
      </c>
      <c r="DO64" s="828" t="e">
        <f t="shared" si="120"/>
        <v>#REF!</v>
      </c>
      <c r="DP64" s="828" t="e">
        <f t="shared" si="121"/>
        <v>#REF!</v>
      </c>
      <c r="DQ64" s="1224" t="str">
        <f t="shared" si="122"/>
        <v/>
      </c>
      <c r="DR64" s="1224" t="str">
        <f t="shared" si="122"/>
        <v/>
      </c>
      <c r="DS64" s="1224" t="str">
        <f t="shared" si="123"/>
        <v/>
      </c>
      <c r="DT64" s="1224" t="str">
        <f t="shared" si="124"/>
        <v/>
      </c>
      <c r="DU64" s="1224" t="str">
        <f t="shared" si="125"/>
        <v/>
      </c>
      <c r="DV64" s="828" t="e">
        <f t="shared" si="126"/>
        <v>#REF!</v>
      </c>
      <c r="DW64" s="828" t="e">
        <f t="shared" si="127"/>
        <v>#REF!</v>
      </c>
      <c r="DX64" s="812" t="str">
        <f t="shared" si="128"/>
        <v/>
      </c>
      <c r="DY64" s="812" t="str">
        <f t="shared" si="129"/>
        <v/>
      </c>
      <c r="DZ64" s="812" t="str">
        <f t="shared" si="130"/>
        <v/>
      </c>
      <c r="EA64" s="812" t="str">
        <f t="shared" si="131"/>
        <v/>
      </c>
      <c r="EB64" s="815" t="str">
        <f t="shared" si="132"/>
        <v/>
      </c>
      <c r="EC64" s="816" t="str">
        <f t="shared" si="133"/>
        <v/>
      </c>
      <c r="ED64" s="815" t="str">
        <f t="shared" si="134"/>
        <v/>
      </c>
      <c r="EE64" s="815" t="str">
        <f t="shared" si="135"/>
        <v/>
      </c>
      <c r="EF64" s="815" t="str">
        <f t="shared" si="136"/>
        <v/>
      </c>
      <c r="EG64" s="815" t="str">
        <f t="shared" si="137"/>
        <v/>
      </c>
      <c r="EH64" s="815" t="str">
        <f t="shared" si="138"/>
        <v/>
      </c>
      <c r="EI64" s="815" t="str">
        <f t="shared" si="139"/>
        <v/>
      </c>
      <c r="EJ64" s="815" t="str">
        <f t="shared" si="140"/>
        <v/>
      </c>
      <c r="EK64" s="813">
        <f t="shared" si="141"/>
        <v>0</v>
      </c>
      <c r="EL64" s="813">
        <f t="shared" si="142"/>
        <v>0</v>
      </c>
      <c r="EM64" s="813">
        <f t="shared" si="143"/>
        <v>0</v>
      </c>
      <c r="EN64" s="813" t="e">
        <f t="shared" si="144"/>
        <v>#REF!</v>
      </c>
      <c r="EO64" s="812" t="str">
        <f t="shared" si="145"/>
        <v/>
      </c>
      <c r="EP64" s="813">
        <f t="shared" si="146"/>
        <v>0</v>
      </c>
      <c r="EQ64" s="813">
        <f t="shared" si="147"/>
        <v>0</v>
      </c>
      <c r="ER64" s="813">
        <f t="shared" si="148"/>
        <v>0</v>
      </c>
      <c r="ES64" s="813" t="e">
        <f t="shared" si="149"/>
        <v>#REF!</v>
      </c>
      <c r="ET64" s="812" t="str">
        <f t="shared" si="150"/>
        <v/>
      </c>
      <c r="EU64" s="812" t="e">
        <f t="shared" si="151"/>
        <v>#REF!</v>
      </c>
      <c r="EV64" s="815" t="e">
        <f t="shared" si="152"/>
        <v>#VALUE!</v>
      </c>
      <c r="EW64" s="815" t="e">
        <f t="shared" si="153"/>
        <v>#VALUE!</v>
      </c>
      <c r="EX64" s="817" t="str">
        <f t="shared" si="154"/>
        <v/>
      </c>
      <c r="EY64" s="818" t="e">
        <f t="shared" si="155"/>
        <v>#DIV/0!</v>
      </c>
      <c r="EZ64" s="893" t="e">
        <f t="shared" si="156"/>
        <v>#DIV/0!</v>
      </c>
      <c r="FA64" s="894" t="e">
        <f t="shared" si="157"/>
        <v>#DIV/0!</v>
      </c>
      <c r="FB64" s="819" t="str">
        <f t="shared" si="158"/>
        <v/>
      </c>
      <c r="FC64" s="820" t="str">
        <f t="shared" si="159"/>
        <v/>
      </c>
      <c r="FD64" s="829">
        <f t="shared" si="160"/>
        <v>0</v>
      </c>
      <c r="FE64" s="774">
        <f t="shared" si="161"/>
        <v>0</v>
      </c>
      <c r="FF64" s="703" t="b">
        <f t="shared" si="162"/>
        <v>0</v>
      </c>
      <c r="FG64" s="703" t="b">
        <f t="shared" si="163"/>
        <v>0</v>
      </c>
      <c r="FH64" s="703" t="b">
        <f t="shared" si="164"/>
        <v>0</v>
      </c>
      <c r="FI64" s="703" t="b">
        <f t="shared" si="165"/>
        <v>0</v>
      </c>
      <c r="FJ64" s="849" t="str">
        <f t="shared" si="179"/>
        <v/>
      </c>
      <c r="FK64" s="848" t="str">
        <f t="shared" si="180"/>
        <v/>
      </c>
      <c r="FL64" s="242" t="e">
        <f t="shared" si="181"/>
        <v>#N/A</v>
      </c>
      <c r="FM64" s="234" t="str">
        <f t="shared" si="166"/>
        <v/>
      </c>
      <c r="FN64" s="191" t="str">
        <f t="shared" ca="1" si="182"/>
        <v/>
      </c>
      <c r="FO64" s="192" t="str">
        <f t="shared" ca="1" si="183"/>
        <v/>
      </c>
      <c r="FP64" s="193" t="str">
        <f t="shared" ca="1" si="184"/>
        <v/>
      </c>
      <c r="FQ64" s="193" t="str">
        <f t="shared" ca="1" si="185"/>
        <v/>
      </c>
      <c r="FR64" s="243">
        <f t="shared" ca="1" si="186"/>
        <v>0</v>
      </c>
      <c r="FS64" s="244">
        <f t="shared" ca="1" si="187"/>
        <v>0</v>
      </c>
      <c r="FT64" s="191" t="str">
        <f t="shared" ca="1" si="188"/>
        <v/>
      </c>
      <c r="FU64" s="194" t="str">
        <f t="shared" ca="1" si="189"/>
        <v/>
      </c>
      <c r="FV64" s="245" t="str">
        <f t="shared" ca="1" si="167"/>
        <v/>
      </c>
      <c r="FW64" s="195" t="str">
        <f t="shared" ca="1" si="190"/>
        <v/>
      </c>
      <c r="FX64" s="195" t="str">
        <f t="shared" ca="1" si="191"/>
        <v/>
      </c>
      <c r="FY64" s="195" t="str">
        <f t="shared" ca="1" si="192"/>
        <v/>
      </c>
      <c r="FZ64" s="195" t="str">
        <f t="shared" ca="1" si="193"/>
        <v/>
      </c>
      <c r="GA64" s="195" t="str">
        <f t="shared" ca="1" si="194"/>
        <v/>
      </c>
      <c r="GB64" s="196" t="str">
        <f ca="1">IF(FY64="","",2+SUM(FO64:OFFSET(FO64,(FU64-1)*-1,0)))</f>
        <v/>
      </c>
      <c r="GC64" s="238" t="e">
        <f t="shared" si="195"/>
        <v>#N/A</v>
      </c>
      <c r="GD64" s="246" t="str">
        <f t="shared" si="168"/>
        <v/>
      </c>
      <c r="GE64" s="247" t="str">
        <f t="shared" si="169"/>
        <v/>
      </c>
      <c r="GF64" s="197" t="str">
        <f t="shared" si="170"/>
        <v/>
      </c>
      <c r="GG64" s="198" t="str">
        <f t="shared" si="171"/>
        <v/>
      </c>
      <c r="GH64" s="198" t="str">
        <f t="shared" si="172"/>
        <v/>
      </c>
      <c r="GI64" s="199" t="str">
        <f t="shared" si="173"/>
        <v/>
      </c>
      <c r="GJ64" s="473">
        <f t="shared" ca="1" si="174"/>
        <v>0</v>
      </c>
      <c r="GK64" s="834" t="str">
        <f t="shared" ca="1" si="196"/>
        <v/>
      </c>
    </row>
    <row r="65" spans="78:193" ht="12.6" hidden="1" customHeight="1" x14ac:dyDescent="0.2">
      <c r="BZ65" s="214"/>
      <c r="CA65" s="288"/>
      <c r="CB65" s="289" t="str">
        <f t="shared" si="101"/>
        <v/>
      </c>
      <c r="CC65" s="290" t="str">
        <f>IF(CG25="","",VLOOKUP(CG25,#REF!,12,FALSE))</f>
        <v/>
      </c>
      <c r="CD65" s="1219" t="str">
        <f>IF(ISBLANK(CN25),IF(CG25="","",VLOOKUP(CG25,#REF!,13,FALSE)),CN25)</f>
        <v/>
      </c>
      <c r="CE65" s="1219" t="str">
        <f>IF(CG25="","",IF(VLOOKUP(CG25,#REF!,5,FALSE)="","R",UPPER(VLOOKUP(CG25,#REF!,5,FALSE))))</f>
        <v/>
      </c>
      <c r="CF65" s="1219" t="str">
        <f>IF(ISBLANK(CP25),IF(CG25="","",VLOOKUP(CG25,#REF!,6,FALSE)),CP25)</f>
        <v/>
      </c>
      <c r="CG65" s="1219" t="str">
        <f>IF(CG25="","",IF(VLOOKUP(CG25,#REF!,10,FALSE)="","",(VLOOKUP(CG25,#REF!,10,FALSE)*-1)))</f>
        <v/>
      </c>
      <c r="CH65" s="1219" t="str">
        <f>IF(CG25="","",IF(VLOOKUP(CG25,#REF!,7,FALSE)="","",(VLOOKUP(CG25,#REF!,7,FALSE)*-1)))</f>
        <v/>
      </c>
      <c r="CI65" s="1219" t="str">
        <f>IF(CG25="","",IF(VLOOKUP(CG25,#REF!,8,FALSE)="",$FC$4,(VLOOKUP(CG25,#REF!,8,FALSE))))</f>
        <v/>
      </c>
      <c r="CJ65" s="1219" t="str">
        <f>IF(CG25="","",VLOOKUP(CG25,#REF!,9,FALSE))</f>
        <v/>
      </c>
      <c r="CK65" s="1220">
        <f t="shared" si="102"/>
        <v>0</v>
      </c>
      <c r="CL65" s="1218" t="str">
        <f>IF(CQ25="","",VLOOKUP(CQ25,#REF!,12,FALSE))</f>
        <v/>
      </c>
      <c r="CM65" s="1219" t="str">
        <f>IF(ISBLANK(CX25),IF(CQ25="","",VLOOKUP(CQ25,#REF!,13,FALSE)),CX25)</f>
        <v/>
      </c>
      <c r="CN65" s="1219" t="str">
        <f>IF(CQ25="","",IF(VLOOKUP(CQ25,#REF!,5,FALSE)="","R",UPPER(VLOOKUP(CQ25,#REF!,5,FALSE))))</f>
        <v/>
      </c>
      <c r="CO65" s="1219" t="str">
        <f>IF(ISBLANK(CZ25),IF(CQ25="","",VLOOKUP(CQ25,#REF!,6,FALSE)),CZ25)</f>
        <v/>
      </c>
      <c r="CP65" s="1219" t="str">
        <f>IF(CQ25="","",IF(VLOOKUP(CQ25,#REF!,10,FALSE)="","",(VLOOKUP(CQ25,#REF!,10,FALSE)*-1)))</f>
        <v/>
      </c>
      <c r="CQ65" s="1219" t="str">
        <f>IF(CQ25="","",IF(VLOOKUP(CQ25,#REF!,7,FALSE)="","",(VLOOKUP(CQ25,#REF!,7,FALSE)*-1)))</f>
        <v/>
      </c>
      <c r="CR65" s="1219" t="str">
        <f>IF(CQ25="","",IF(VLOOKUP(CQ25,#REF!,8,FALSE)="",$FC$4,(VLOOKUP(CQ25,#REF!,8,FALSE))))</f>
        <v/>
      </c>
      <c r="CS65" s="1219" t="str">
        <f>IF(CQ25="","",VLOOKUP(CQ25,#REF!,9,FALSE))</f>
        <v/>
      </c>
      <c r="CT65" s="1220">
        <f t="shared" si="103"/>
        <v>0</v>
      </c>
      <c r="CU65" s="1230">
        <f t="shared" si="104"/>
        <v>0</v>
      </c>
      <c r="CV65" s="1224" t="str">
        <f t="shared" si="105"/>
        <v/>
      </c>
      <c r="CW65" s="1224" t="str">
        <f t="shared" si="106"/>
        <v/>
      </c>
      <c r="CX65" s="1224" t="str">
        <f t="shared" si="107"/>
        <v/>
      </c>
      <c r="CY65" s="1226">
        <f t="shared" si="108"/>
        <v>0</v>
      </c>
      <c r="CZ65" s="1226" t="e">
        <f t="shared" si="109"/>
        <v>#REF!</v>
      </c>
      <c r="DA65" s="1226" t="str">
        <f t="shared" si="110"/>
        <v/>
      </c>
      <c r="DB65" s="1224" t="str">
        <f t="shared" si="175"/>
        <v/>
      </c>
      <c r="DC65" s="1224" t="str">
        <f t="shared" si="111"/>
        <v/>
      </c>
      <c r="DD65" s="814">
        <f t="shared" si="176"/>
        <v>0</v>
      </c>
      <c r="DE65" s="812">
        <f t="shared" si="112"/>
        <v>0</v>
      </c>
      <c r="DF65" s="813" t="e">
        <f t="shared" si="113"/>
        <v>#REF!</v>
      </c>
      <c r="DG65" s="813" t="str">
        <f t="shared" si="114"/>
        <v/>
      </c>
      <c r="DH65" s="1224" t="str">
        <f t="shared" si="177"/>
        <v/>
      </c>
      <c r="DI65" s="1224" t="str">
        <f t="shared" si="115"/>
        <v/>
      </c>
      <c r="DJ65" s="1225">
        <f t="shared" si="178"/>
        <v>0</v>
      </c>
      <c r="DK65" s="1224" t="str">
        <f t="shared" si="116"/>
        <v/>
      </c>
      <c r="DL65" s="1224" t="str">
        <f t="shared" si="117"/>
        <v/>
      </c>
      <c r="DM65" s="1224" t="str">
        <f t="shared" si="118"/>
        <v/>
      </c>
      <c r="DN65" s="1224" t="str">
        <f t="shared" si="119"/>
        <v/>
      </c>
      <c r="DO65" s="828" t="e">
        <f t="shared" si="120"/>
        <v>#REF!</v>
      </c>
      <c r="DP65" s="828" t="e">
        <f t="shared" si="121"/>
        <v>#REF!</v>
      </c>
      <c r="DQ65" s="1224" t="str">
        <f t="shared" si="122"/>
        <v/>
      </c>
      <c r="DR65" s="1224" t="str">
        <f t="shared" si="122"/>
        <v/>
      </c>
      <c r="DS65" s="1224" t="str">
        <f t="shared" si="123"/>
        <v/>
      </c>
      <c r="DT65" s="1224" t="str">
        <f t="shared" si="124"/>
        <v/>
      </c>
      <c r="DU65" s="1224" t="str">
        <f t="shared" si="125"/>
        <v/>
      </c>
      <c r="DV65" s="828" t="e">
        <f t="shared" si="126"/>
        <v>#REF!</v>
      </c>
      <c r="DW65" s="828" t="e">
        <f t="shared" si="127"/>
        <v>#REF!</v>
      </c>
      <c r="DX65" s="812" t="str">
        <f t="shared" si="128"/>
        <v/>
      </c>
      <c r="DY65" s="812" t="str">
        <f t="shared" si="129"/>
        <v/>
      </c>
      <c r="DZ65" s="812" t="str">
        <f t="shared" si="130"/>
        <v/>
      </c>
      <c r="EA65" s="812" t="str">
        <f t="shared" si="131"/>
        <v/>
      </c>
      <c r="EB65" s="815" t="str">
        <f t="shared" si="132"/>
        <v/>
      </c>
      <c r="EC65" s="816" t="str">
        <f t="shared" si="133"/>
        <v/>
      </c>
      <c r="ED65" s="815" t="str">
        <f t="shared" si="134"/>
        <v/>
      </c>
      <c r="EE65" s="815" t="str">
        <f t="shared" si="135"/>
        <v/>
      </c>
      <c r="EF65" s="815" t="str">
        <f t="shared" si="136"/>
        <v/>
      </c>
      <c r="EG65" s="815" t="str">
        <f t="shared" si="137"/>
        <v/>
      </c>
      <c r="EH65" s="815" t="str">
        <f t="shared" si="138"/>
        <v/>
      </c>
      <c r="EI65" s="815" t="str">
        <f t="shared" si="139"/>
        <v/>
      </c>
      <c r="EJ65" s="815" t="str">
        <f t="shared" si="140"/>
        <v/>
      </c>
      <c r="EK65" s="813">
        <f t="shared" si="141"/>
        <v>0</v>
      </c>
      <c r="EL65" s="813">
        <f t="shared" si="142"/>
        <v>0</v>
      </c>
      <c r="EM65" s="813">
        <f t="shared" si="143"/>
        <v>0</v>
      </c>
      <c r="EN65" s="813" t="e">
        <f t="shared" si="144"/>
        <v>#REF!</v>
      </c>
      <c r="EO65" s="812" t="str">
        <f t="shared" si="145"/>
        <v/>
      </c>
      <c r="EP65" s="813">
        <f t="shared" si="146"/>
        <v>0</v>
      </c>
      <c r="EQ65" s="813">
        <f t="shared" si="147"/>
        <v>0</v>
      </c>
      <c r="ER65" s="813">
        <f t="shared" si="148"/>
        <v>0</v>
      </c>
      <c r="ES65" s="813" t="e">
        <f t="shared" si="149"/>
        <v>#REF!</v>
      </c>
      <c r="ET65" s="812" t="str">
        <f t="shared" si="150"/>
        <v/>
      </c>
      <c r="EU65" s="812" t="e">
        <f t="shared" si="151"/>
        <v>#REF!</v>
      </c>
      <c r="EV65" s="815" t="e">
        <f t="shared" si="152"/>
        <v>#VALUE!</v>
      </c>
      <c r="EW65" s="815" t="e">
        <f t="shared" si="153"/>
        <v>#VALUE!</v>
      </c>
      <c r="EX65" s="817" t="str">
        <f t="shared" si="154"/>
        <v/>
      </c>
      <c r="EY65" s="818" t="e">
        <f t="shared" si="155"/>
        <v>#DIV/0!</v>
      </c>
      <c r="EZ65" s="893" t="e">
        <f t="shared" si="156"/>
        <v>#DIV/0!</v>
      </c>
      <c r="FA65" s="894" t="e">
        <f t="shared" si="157"/>
        <v>#DIV/0!</v>
      </c>
      <c r="FB65" s="819" t="str">
        <f t="shared" si="158"/>
        <v/>
      </c>
      <c r="FC65" s="820" t="str">
        <f t="shared" si="159"/>
        <v/>
      </c>
      <c r="FD65" s="829">
        <f t="shared" si="160"/>
        <v>0</v>
      </c>
      <c r="FE65" s="774">
        <f t="shared" si="161"/>
        <v>0</v>
      </c>
      <c r="FF65" s="703" t="b">
        <f t="shared" si="162"/>
        <v>0</v>
      </c>
      <c r="FG65" s="703" t="b">
        <f t="shared" si="163"/>
        <v>0</v>
      </c>
      <c r="FH65" s="703" t="b">
        <f t="shared" si="164"/>
        <v>0</v>
      </c>
      <c r="FI65" s="703" t="b">
        <f t="shared" si="165"/>
        <v>0</v>
      </c>
      <c r="FJ65" s="849" t="str">
        <f t="shared" si="179"/>
        <v/>
      </c>
      <c r="FK65" s="848" t="str">
        <f t="shared" si="180"/>
        <v/>
      </c>
      <c r="FL65" s="242" t="e">
        <f t="shared" si="181"/>
        <v>#N/A</v>
      </c>
      <c r="FM65" s="234" t="str">
        <f t="shared" si="166"/>
        <v/>
      </c>
      <c r="FN65" s="191" t="str">
        <f t="shared" ca="1" si="182"/>
        <v/>
      </c>
      <c r="FO65" s="192" t="str">
        <f t="shared" ca="1" si="183"/>
        <v/>
      </c>
      <c r="FP65" s="193" t="str">
        <f t="shared" ca="1" si="184"/>
        <v/>
      </c>
      <c r="FQ65" s="193" t="str">
        <f t="shared" ca="1" si="185"/>
        <v/>
      </c>
      <c r="FR65" s="243">
        <f t="shared" ca="1" si="186"/>
        <v>0</v>
      </c>
      <c r="FS65" s="244">
        <f t="shared" ca="1" si="187"/>
        <v>0</v>
      </c>
      <c r="FT65" s="191" t="str">
        <f t="shared" ca="1" si="188"/>
        <v/>
      </c>
      <c r="FU65" s="194" t="str">
        <f t="shared" ca="1" si="189"/>
        <v/>
      </c>
      <c r="FV65" s="245" t="str">
        <f t="shared" ca="1" si="167"/>
        <v/>
      </c>
      <c r="FW65" s="195" t="str">
        <f t="shared" ca="1" si="190"/>
        <v/>
      </c>
      <c r="FX65" s="195" t="str">
        <f t="shared" ca="1" si="191"/>
        <v/>
      </c>
      <c r="FY65" s="195" t="str">
        <f t="shared" ca="1" si="192"/>
        <v/>
      </c>
      <c r="FZ65" s="195" t="str">
        <f t="shared" ca="1" si="193"/>
        <v/>
      </c>
      <c r="GA65" s="195" t="str">
        <f t="shared" ca="1" si="194"/>
        <v/>
      </c>
      <c r="GB65" s="196" t="str">
        <f ca="1">IF(FY65="","",2+SUM(FO65:OFFSET(FO65,(FU65-1)*-1,0)))</f>
        <v/>
      </c>
      <c r="GC65" s="238" t="e">
        <f t="shared" si="195"/>
        <v>#N/A</v>
      </c>
      <c r="GD65" s="246" t="str">
        <f t="shared" si="168"/>
        <v/>
      </c>
      <c r="GE65" s="247" t="str">
        <f t="shared" si="169"/>
        <v/>
      </c>
      <c r="GF65" s="197" t="str">
        <f t="shared" si="170"/>
        <v/>
      </c>
      <c r="GG65" s="198" t="str">
        <f t="shared" si="171"/>
        <v/>
      </c>
      <c r="GH65" s="198" t="str">
        <f t="shared" si="172"/>
        <v/>
      </c>
      <c r="GI65" s="199" t="str">
        <f t="shared" si="173"/>
        <v/>
      </c>
      <c r="GJ65" s="473">
        <f t="shared" ca="1" si="174"/>
        <v>0</v>
      </c>
      <c r="GK65" s="834" t="str">
        <f t="shared" ca="1" si="196"/>
        <v/>
      </c>
    </row>
    <row r="66" spans="78:193" ht="12.6" hidden="1" customHeight="1" x14ac:dyDescent="0.2">
      <c r="BZ66" s="214"/>
      <c r="CA66" s="288"/>
      <c r="CB66" s="289" t="str">
        <f t="shared" si="101"/>
        <v/>
      </c>
      <c r="CC66" s="290" t="str">
        <f>IF(CG26="","",VLOOKUP(CG26,#REF!,12,FALSE))</f>
        <v/>
      </c>
      <c r="CD66" s="1219" t="str">
        <f>IF(ISBLANK(CN26),IF(CG26="","",VLOOKUP(CG26,#REF!,13,FALSE)),CN26)</f>
        <v/>
      </c>
      <c r="CE66" s="1219" t="str">
        <f>IF(CG26="","",IF(VLOOKUP(CG26,#REF!,5,FALSE)="","R",UPPER(VLOOKUP(CG26,#REF!,5,FALSE))))</f>
        <v/>
      </c>
      <c r="CF66" s="1219" t="str">
        <f>IF(ISBLANK(CP26),IF(CG26="","",VLOOKUP(CG26,#REF!,6,FALSE)),CP26)</f>
        <v/>
      </c>
      <c r="CG66" s="1219" t="str">
        <f>IF(CG26="","",IF(VLOOKUP(CG26,#REF!,10,FALSE)="","",(VLOOKUP(CG26,#REF!,10,FALSE)*-1)))</f>
        <v/>
      </c>
      <c r="CH66" s="1219" t="str">
        <f>IF(CG26="","",IF(VLOOKUP(CG26,#REF!,7,FALSE)="","",(VLOOKUP(CG26,#REF!,7,FALSE)*-1)))</f>
        <v/>
      </c>
      <c r="CI66" s="1219" t="str">
        <f>IF(CG26="","",IF(VLOOKUP(CG26,#REF!,8,FALSE)="",$FC$4,(VLOOKUP(CG26,#REF!,8,FALSE))))</f>
        <v/>
      </c>
      <c r="CJ66" s="1219" t="str">
        <f>IF(CG26="","",VLOOKUP(CG26,#REF!,9,FALSE))</f>
        <v/>
      </c>
      <c r="CK66" s="1220">
        <f t="shared" si="102"/>
        <v>0</v>
      </c>
      <c r="CL66" s="1218" t="str">
        <f>IF(CQ26="","",VLOOKUP(CQ26,#REF!,12,FALSE))</f>
        <v/>
      </c>
      <c r="CM66" s="1219" t="str">
        <f>IF(ISBLANK(CX26),IF(CQ26="","",VLOOKUP(CQ26,#REF!,13,FALSE)),CX26)</f>
        <v/>
      </c>
      <c r="CN66" s="1219" t="str">
        <f>IF(CQ26="","",IF(VLOOKUP(CQ26,#REF!,5,FALSE)="","R",UPPER(VLOOKUP(CQ26,#REF!,5,FALSE))))</f>
        <v/>
      </c>
      <c r="CO66" s="1219" t="str">
        <f>IF(ISBLANK(CZ26),IF(CQ26="","",VLOOKUP(CQ26,#REF!,6,FALSE)),CZ26)</f>
        <v/>
      </c>
      <c r="CP66" s="1219" t="str">
        <f>IF(CQ26="","",IF(VLOOKUP(CQ26,#REF!,10,FALSE)="","",(VLOOKUP(CQ26,#REF!,10,FALSE)*-1)))</f>
        <v/>
      </c>
      <c r="CQ66" s="1219" t="str">
        <f>IF(CQ26="","",IF(VLOOKUP(CQ26,#REF!,7,FALSE)="","",(VLOOKUP(CQ26,#REF!,7,FALSE)*-1)))</f>
        <v/>
      </c>
      <c r="CR66" s="1219" t="str">
        <f>IF(CQ26="","",IF(VLOOKUP(CQ26,#REF!,8,FALSE)="",$FC$4,(VLOOKUP(CQ26,#REF!,8,FALSE))))</f>
        <v/>
      </c>
      <c r="CS66" s="1219" t="str">
        <f>IF(CQ26="","",VLOOKUP(CQ26,#REF!,9,FALSE))</f>
        <v/>
      </c>
      <c r="CT66" s="1220">
        <f t="shared" si="103"/>
        <v>0</v>
      </c>
      <c r="CU66" s="1230">
        <f t="shared" si="104"/>
        <v>0</v>
      </c>
      <c r="CV66" s="1224" t="str">
        <f t="shared" si="105"/>
        <v/>
      </c>
      <c r="CW66" s="1224" t="str">
        <f t="shared" si="106"/>
        <v/>
      </c>
      <c r="CX66" s="1224" t="str">
        <f t="shared" si="107"/>
        <v/>
      </c>
      <c r="CY66" s="1226">
        <f t="shared" si="108"/>
        <v>0</v>
      </c>
      <c r="CZ66" s="1226" t="e">
        <f t="shared" si="109"/>
        <v>#REF!</v>
      </c>
      <c r="DA66" s="1226" t="str">
        <f t="shared" si="110"/>
        <v/>
      </c>
      <c r="DB66" s="1224" t="str">
        <f t="shared" si="175"/>
        <v/>
      </c>
      <c r="DC66" s="1224" t="str">
        <f t="shared" si="111"/>
        <v/>
      </c>
      <c r="DD66" s="814">
        <f t="shared" si="176"/>
        <v>0</v>
      </c>
      <c r="DE66" s="812">
        <f t="shared" si="112"/>
        <v>0</v>
      </c>
      <c r="DF66" s="813" t="e">
        <f t="shared" si="113"/>
        <v>#REF!</v>
      </c>
      <c r="DG66" s="813" t="str">
        <f t="shared" si="114"/>
        <v/>
      </c>
      <c r="DH66" s="1224" t="str">
        <f t="shared" si="177"/>
        <v/>
      </c>
      <c r="DI66" s="1224" t="str">
        <f t="shared" si="115"/>
        <v/>
      </c>
      <c r="DJ66" s="1225">
        <f t="shared" si="178"/>
        <v>0</v>
      </c>
      <c r="DK66" s="1224" t="str">
        <f t="shared" si="116"/>
        <v/>
      </c>
      <c r="DL66" s="1224" t="str">
        <f t="shared" si="117"/>
        <v/>
      </c>
      <c r="DM66" s="1224" t="str">
        <f t="shared" si="118"/>
        <v/>
      </c>
      <c r="DN66" s="1224" t="str">
        <f t="shared" si="119"/>
        <v/>
      </c>
      <c r="DO66" s="828" t="e">
        <f t="shared" si="120"/>
        <v>#REF!</v>
      </c>
      <c r="DP66" s="828" t="e">
        <f t="shared" si="121"/>
        <v>#REF!</v>
      </c>
      <c r="DQ66" s="1224" t="str">
        <f t="shared" si="122"/>
        <v/>
      </c>
      <c r="DR66" s="1224" t="str">
        <f t="shared" si="122"/>
        <v/>
      </c>
      <c r="DS66" s="1224" t="str">
        <f t="shared" si="123"/>
        <v/>
      </c>
      <c r="DT66" s="1224" t="str">
        <f t="shared" si="124"/>
        <v/>
      </c>
      <c r="DU66" s="1224" t="str">
        <f t="shared" si="125"/>
        <v/>
      </c>
      <c r="DV66" s="828" t="e">
        <f t="shared" si="126"/>
        <v>#REF!</v>
      </c>
      <c r="DW66" s="828" t="e">
        <f t="shared" si="127"/>
        <v>#REF!</v>
      </c>
      <c r="DX66" s="812" t="str">
        <f t="shared" si="128"/>
        <v/>
      </c>
      <c r="DY66" s="812" t="str">
        <f t="shared" si="129"/>
        <v/>
      </c>
      <c r="DZ66" s="812" t="str">
        <f t="shared" si="130"/>
        <v/>
      </c>
      <c r="EA66" s="812" t="str">
        <f t="shared" si="131"/>
        <v/>
      </c>
      <c r="EB66" s="815" t="str">
        <f t="shared" si="132"/>
        <v/>
      </c>
      <c r="EC66" s="816" t="str">
        <f t="shared" si="133"/>
        <v/>
      </c>
      <c r="ED66" s="815" t="str">
        <f t="shared" si="134"/>
        <v/>
      </c>
      <c r="EE66" s="815" t="str">
        <f t="shared" si="135"/>
        <v/>
      </c>
      <c r="EF66" s="815" t="str">
        <f t="shared" si="136"/>
        <v/>
      </c>
      <c r="EG66" s="815" t="str">
        <f t="shared" si="137"/>
        <v/>
      </c>
      <c r="EH66" s="815" t="str">
        <f t="shared" si="138"/>
        <v/>
      </c>
      <c r="EI66" s="815" t="str">
        <f t="shared" si="139"/>
        <v/>
      </c>
      <c r="EJ66" s="815" t="str">
        <f t="shared" si="140"/>
        <v/>
      </c>
      <c r="EK66" s="813">
        <f t="shared" si="141"/>
        <v>0</v>
      </c>
      <c r="EL66" s="813">
        <f t="shared" si="142"/>
        <v>0</v>
      </c>
      <c r="EM66" s="813">
        <f t="shared" si="143"/>
        <v>0</v>
      </c>
      <c r="EN66" s="813" t="e">
        <f t="shared" si="144"/>
        <v>#REF!</v>
      </c>
      <c r="EO66" s="812" t="str">
        <f t="shared" si="145"/>
        <v/>
      </c>
      <c r="EP66" s="813">
        <f t="shared" si="146"/>
        <v>0</v>
      </c>
      <c r="EQ66" s="813">
        <f t="shared" si="147"/>
        <v>0</v>
      </c>
      <c r="ER66" s="813">
        <f t="shared" si="148"/>
        <v>0</v>
      </c>
      <c r="ES66" s="813" t="e">
        <f t="shared" si="149"/>
        <v>#REF!</v>
      </c>
      <c r="ET66" s="812" t="str">
        <f t="shared" si="150"/>
        <v/>
      </c>
      <c r="EU66" s="812" t="e">
        <f t="shared" si="151"/>
        <v>#REF!</v>
      </c>
      <c r="EV66" s="815" t="e">
        <f t="shared" si="152"/>
        <v>#VALUE!</v>
      </c>
      <c r="EW66" s="815" t="e">
        <f t="shared" si="153"/>
        <v>#VALUE!</v>
      </c>
      <c r="EX66" s="817" t="str">
        <f t="shared" si="154"/>
        <v/>
      </c>
      <c r="EY66" s="818" t="e">
        <f t="shared" si="155"/>
        <v>#DIV/0!</v>
      </c>
      <c r="EZ66" s="893" t="e">
        <f t="shared" si="156"/>
        <v>#DIV/0!</v>
      </c>
      <c r="FA66" s="894" t="e">
        <f t="shared" si="157"/>
        <v>#DIV/0!</v>
      </c>
      <c r="FB66" s="819" t="str">
        <f t="shared" si="158"/>
        <v/>
      </c>
      <c r="FC66" s="820" t="str">
        <f t="shared" si="159"/>
        <v/>
      </c>
      <c r="FD66" s="829">
        <f t="shared" si="160"/>
        <v>0</v>
      </c>
      <c r="FE66" s="774">
        <f t="shared" si="161"/>
        <v>0</v>
      </c>
      <c r="FF66" s="703" t="b">
        <f t="shared" si="162"/>
        <v>0</v>
      </c>
      <c r="FG66" s="703" t="b">
        <f t="shared" si="163"/>
        <v>0</v>
      </c>
      <c r="FH66" s="703" t="b">
        <f t="shared" si="164"/>
        <v>0</v>
      </c>
      <c r="FI66" s="703" t="b">
        <f t="shared" si="165"/>
        <v>0</v>
      </c>
      <c r="FJ66" s="849" t="str">
        <f t="shared" si="179"/>
        <v/>
      </c>
      <c r="FK66" s="848" t="str">
        <f t="shared" si="180"/>
        <v/>
      </c>
      <c r="FL66" s="242" t="e">
        <f t="shared" si="181"/>
        <v>#N/A</v>
      </c>
      <c r="FM66" s="234" t="str">
        <f t="shared" si="166"/>
        <v/>
      </c>
      <c r="FN66" s="191" t="str">
        <f t="shared" ca="1" si="182"/>
        <v/>
      </c>
      <c r="FO66" s="192" t="str">
        <f t="shared" ca="1" si="183"/>
        <v/>
      </c>
      <c r="FP66" s="193" t="str">
        <f t="shared" ca="1" si="184"/>
        <v/>
      </c>
      <c r="FQ66" s="193" t="str">
        <f t="shared" ca="1" si="185"/>
        <v/>
      </c>
      <c r="FR66" s="243">
        <f t="shared" ca="1" si="186"/>
        <v>0</v>
      </c>
      <c r="FS66" s="244">
        <f t="shared" ca="1" si="187"/>
        <v>0</v>
      </c>
      <c r="FT66" s="191" t="str">
        <f t="shared" ca="1" si="188"/>
        <v/>
      </c>
      <c r="FU66" s="194" t="str">
        <f t="shared" ca="1" si="189"/>
        <v/>
      </c>
      <c r="FV66" s="245" t="str">
        <f t="shared" ca="1" si="167"/>
        <v/>
      </c>
      <c r="FW66" s="195" t="str">
        <f t="shared" ca="1" si="190"/>
        <v/>
      </c>
      <c r="FX66" s="195" t="str">
        <f t="shared" ca="1" si="191"/>
        <v/>
      </c>
      <c r="FY66" s="195" t="str">
        <f t="shared" ca="1" si="192"/>
        <v/>
      </c>
      <c r="FZ66" s="195" t="str">
        <f t="shared" ca="1" si="193"/>
        <v/>
      </c>
      <c r="GA66" s="195" t="str">
        <f t="shared" ca="1" si="194"/>
        <v/>
      </c>
      <c r="GB66" s="196" t="str">
        <f ca="1">IF(FY66="","",2+SUM(FO66:OFFSET(FO66,(FU66-1)*-1,0)))</f>
        <v/>
      </c>
      <c r="GC66" s="238" t="e">
        <f t="shared" si="195"/>
        <v>#N/A</v>
      </c>
      <c r="GD66" s="246" t="str">
        <f t="shared" si="168"/>
        <v/>
      </c>
      <c r="GE66" s="247" t="str">
        <f t="shared" si="169"/>
        <v/>
      </c>
      <c r="GF66" s="197" t="str">
        <f t="shared" si="170"/>
        <v/>
      </c>
      <c r="GG66" s="198" t="str">
        <f t="shared" si="171"/>
        <v/>
      </c>
      <c r="GH66" s="198" t="str">
        <f t="shared" si="172"/>
        <v/>
      </c>
      <c r="GI66" s="199" t="str">
        <f t="shared" si="173"/>
        <v/>
      </c>
      <c r="GJ66" s="473">
        <f t="shared" ca="1" si="174"/>
        <v>0</v>
      </c>
      <c r="GK66" s="834" t="str">
        <f t="shared" ca="1" si="196"/>
        <v/>
      </c>
    </row>
    <row r="67" spans="78:193" ht="12.6" hidden="1" customHeight="1" x14ac:dyDescent="0.2">
      <c r="BZ67" s="214"/>
      <c r="CA67" s="214"/>
      <c r="CB67" s="289" t="str">
        <f t="shared" si="101"/>
        <v/>
      </c>
      <c r="CC67" s="290" t="str">
        <f>IF(CG27="","",VLOOKUP(CG27,#REF!,12,FALSE))</f>
        <v/>
      </c>
      <c r="CD67" s="1219" t="str">
        <f>IF(ISBLANK(CN27),IF(CG27="","",VLOOKUP(CG27,#REF!,13,FALSE)),CN27)</f>
        <v/>
      </c>
      <c r="CE67" s="1219" t="str">
        <f>IF(CG27="","",IF(VLOOKUP(CG27,#REF!,5,FALSE)="","R",UPPER(VLOOKUP(CG27,#REF!,5,FALSE))))</f>
        <v/>
      </c>
      <c r="CF67" s="1219" t="str">
        <f>IF(ISBLANK(CP27),IF(CG27="","",VLOOKUP(CG27,#REF!,6,FALSE)),CP27)</f>
        <v/>
      </c>
      <c r="CG67" s="1219" t="str">
        <f>IF(CG27="","",IF(VLOOKUP(CG27,#REF!,10,FALSE)="","",(VLOOKUP(CG27,#REF!,10,FALSE)*-1)))</f>
        <v/>
      </c>
      <c r="CH67" s="1219" t="str">
        <f>IF(CG27="","",IF(VLOOKUP(CG27,#REF!,7,FALSE)="","",(VLOOKUP(CG27,#REF!,7,FALSE)*-1)))</f>
        <v/>
      </c>
      <c r="CI67" s="1219" t="str">
        <f>IF(CG27="","",IF(VLOOKUP(CG27,#REF!,8,FALSE)="",$FC$4,(VLOOKUP(CG27,#REF!,8,FALSE))))</f>
        <v/>
      </c>
      <c r="CJ67" s="1219" t="str">
        <f>IF(CG27="","",VLOOKUP(CG27,#REF!,9,FALSE))</f>
        <v/>
      </c>
      <c r="CK67" s="1220">
        <f t="shared" si="102"/>
        <v>0</v>
      </c>
      <c r="CL67" s="1218" t="str">
        <f>IF(CQ27="","",VLOOKUP(CQ27,#REF!,12,FALSE))</f>
        <v/>
      </c>
      <c r="CM67" s="1219" t="str">
        <f>IF(ISBLANK(CX27),IF(CQ27="","",VLOOKUP(CQ27,#REF!,13,FALSE)),CX27)</f>
        <v/>
      </c>
      <c r="CN67" s="1219" t="str">
        <f>IF(CQ27="","",IF(VLOOKUP(CQ27,#REF!,5,FALSE)="","R",UPPER(VLOOKUP(CQ27,#REF!,5,FALSE))))</f>
        <v/>
      </c>
      <c r="CO67" s="1219" t="str">
        <f>IF(ISBLANK(CZ27),IF(CQ27="","",VLOOKUP(CQ27,#REF!,6,FALSE)),CZ27)</f>
        <v/>
      </c>
      <c r="CP67" s="1219" t="str">
        <f>IF(CQ27="","",IF(VLOOKUP(CQ27,#REF!,10,FALSE)="","",(VLOOKUP(CQ27,#REF!,10,FALSE)*-1)))</f>
        <v/>
      </c>
      <c r="CQ67" s="1219" t="str">
        <f>IF(CQ27="","",IF(VLOOKUP(CQ27,#REF!,7,FALSE)="","",(VLOOKUP(CQ27,#REF!,7,FALSE)*-1)))</f>
        <v/>
      </c>
      <c r="CR67" s="1219" t="str">
        <f>IF(CQ27="","",IF(VLOOKUP(CQ27,#REF!,8,FALSE)="",$FC$4,(VLOOKUP(CQ27,#REF!,8,FALSE))))</f>
        <v/>
      </c>
      <c r="CS67" s="1219" t="str">
        <f>IF(CQ27="","",VLOOKUP(CQ27,#REF!,9,FALSE))</f>
        <v/>
      </c>
      <c r="CT67" s="1220">
        <f t="shared" si="103"/>
        <v>0</v>
      </c>
      <c r="CU67" s="1230">
        <f t="shared" si="104"/>
        <v>0</v>
      </c>
      <c r="CV67" s="1224" t="str">
        <f t="shared" si="105"/>
        <v/>
      </c>
      <c r="CW67" s="1224" t="str">
        <f t="shared" si="106"/>
        <v/>
      </c>
      <c r="CX67" s="1224" t="str">
        <f t="shared" si="107"/>
        <v/>
      </c>
      <c r="CY67" s="1226">
        <f t="shared" si="108"/>
        <v>0</v>
      </c>
      <c r="CZ67" s="1226" t="e">
        <f t="shared" si="109"/>
        <v>#REF!</v>
      </c>
      <c r="DA67" s="1226" t="str">
        <f t="shared" si="110"/>
        <v/>
      </c>
      <c r="DB67" s="1224" t="str">
        <f t="shared" si="175"/>
        <v/>
      </c>
      <c r="DC67" s="1224" t="str">
        <f t="shared" si="111"/>
        <v/>
      </c>
      <c r="DD67" s="814">
        <f t="shared" si="176"/>
        <v>0</v>
      </c>
      <c r="DE67" s="812">
        <f t="shared" si="112"/>
        <v>0</v>
      </c>
      <c r="DF67" s="813" t="e">
        <f t="shared" si="113"/>
        <v>#REF!</v>
      </c>
      <c r="DG67" s="813" t="str">
        <f t="shared" si="114"/>
        <v/>
      </c>
      <c r="DH67" s="1224" t="str">
        <f t="shared" si="177"/>
        <v/>
      </c>
      <c r="DI67" s="1224" t="str">
        <f t="shared" si="115"/>
        <v/>
      </c>
      <c r="DJ67" s="1225">
        <f t="shared" si="178"/>
        <v>0</v>
      </c>
      <c r="DK67" s="1224" t="str">
        <f t="shared" si="116"/>
        <v/>
      </c>
      <c r="DL67" s="1224" t="str">
        <f t="shared" si="117"/>
        <v/>
      </c>
      <c r="DM67" s="1224" t="str">
        <f t="shared" si="118"/>
        <v/>
      </c>
      <c r="DN67" s="1224" t="str">
        <f t="shared" si="119"/>
        <v/>
      </c>
      <c r="DO67" s="828" t="e">
        <f t="shared" si="120"/>
        <v>#REF!</v>
      </c>
      <c r="DP67" s="828" t="e">
        <f t="shared" si="121"/>
        <v>#REF!</v>
      </c>
      <c r="DQ67" s="1224" t="str">
        <f t="shared" si="122"/>
        <v/>
      </c>
      <c r="DR67" s="1224" t="str">
        <f t="shared" si="122"/>
        <v/>
      </c>
      <c r="DS67" s="1224" t="str">
        <f t="shared" si="123"/>
        <v/>
      </c>
      <c r="DT67" s="1224" t="str">
        <f t="shared" si="124"/>
        <v/>
      </c>
      <c r="DU67" s="1224" t="str">
        <f t="shared" si="125"/>
        <v/>
      </c>
      <c r="DV67" s="828" t="e">
        <f t="shared" si="126"/>
        <v>#REF!</v>
      </c>
      <c r="DW67" s="828" t="e">
        <f t="shared" si="127"/>
        <v>#REF!</v>
      </c>
      <c r="DX67" s="812" t="str">
        <f t="shared" si="128"/>
        <v/>
      </c>
      <c r="DY67" s="812" t="str">
        <f t="shared" si="129"/>
        <v/>
      </c>
      <c r="DZ67" s="812" t="str">
        <f t="shared" si="130"/>
        <v/>
      </c>
      <c r="EA67" s="812" t="str">
        <f t="shared" si="131"/>
        <v/>
      </c>
      <c r="EB67" s="815" t="str">
        <f t="shared" si="132"/>
        <v/>
      </c>
      <c r="EC67" s="816" t="str">
        <f t="shared" si="133"/>
        <v/>
      </c>
      <c r="ED67" s="815" t="str">
        <f t="shared" si="134"/>
        <v/>
      </c>
      <c r="EE67" s="815" t="str">
        <f t="shared" si="135"/>
        <v/>
      </c>
      <c r="EF67" s="815" t="str">
        <f t="shared" si="136"/>
        <v/>
      </c>
      <c r="EG67" s="815" t="str">
        <f t="shared" si="137"/>
        <v/>
      </c>
      <c r="EH67" s="815" t="str">
        <f t="shared" si="138"/>
        <v/>
      </c>
      <c r="EI67" s="815" t="str">
        <f t="shared" si="139"/>
        <v/>
      </c>
      <c r="EJ67" s="815" t="str">
        <f t="shared" si="140"/>
        <v/>
      </c>
      <c r="EK67" s="813">
        <f t="shared" si="141"/>
        <v>0</v>
      </c>
      <c r="EL67" s="813">
        <f t="shared" si="142"/>
        <v>0</v>
      </c>
      <c r="EM67" s="813">
        <f t="shared" si="143"/>
        <v>0</v>
      </c>
      <c r="EN67" s="813" t="e">
        <f t="shared" si="144"/>
        <v>#REF!</v>
      </c>
      <c r="EO67" s="812" t="str">
        <f t="shared" si="145"/>
        <v/>
      </c>
      <c r="EP67" s="813">
        <f t="shared" si="146"/>
        <v>0</v>
      </c>
      <c r="EQ67" s="813">
        <f t="shared" si="147"/>
        <v>0</v>
      </c>
      <c r="ER67" s="813">
        <f t="shared" si="148"/>
        <v>0</v>
      </c>
      <c r="ES67" s="813" t="e">
        <f t="shared" si="149"/>
        <v>#REF!</v>
      </c>
      <c r="ET67" s="812" t="str">
        <f t="shared" si="150"/>
        <v/>
      </c>
      <c r="EU67" s="812" t="e">
        <f t="shared" si="151"/>
        <v>#REF!</v>
      </c>
      <c r="EV67" s="815" t="e">
        <f t="shared" si="152"/>
        <v>#VALUE!</v>
      </c>
      <c r="EW67" s="815" t="e">
        <f t="shared" si="153"/>
        <v>#VALUE!</v>
      </c>
      <c r="EX67" s="817" t="str">
        <f t="shared" si="154"/>
        <v/>
      </c>
      <c r="EY67" s="818" t="e">
        <f t="shared" si="155"/>
        <v>#DIV/0!</v>
      </c>
      <c r="EZ67" s="893" t="e">
        <f t="shared" si="156"/>
        <v>#DIV/0!</v>
      </c>
      <c r="FA67" s="894" t="e">
        <f t="shared" si="157"/>
        <v>#DIV/0!</v>
      </c>
      <c r="FB67" s="819" t="str">
        <f t="shared" si="158"/>
        <v/>
      </c>
      <c r="FC67" s="820" t="str">
        <f t="shared" si="159"/>
        <v/>
      </c>
      <c r="FD67" s="829">
        <f t="shared" si="160"/>
        <v>0</v>
      </c>
      <c r="FE67" s="774">
        <f t="shared" si="161"/>
        <v>0</v>
      </c>
      <c r="FF67" s="703" t="b">
        <f t="shared" si="162"/>
        <v>0</v>
      </c>
      <c r="FG67" s="703" t="b">
        <f t="shared" si="163"/>
        <v>0</v>
      </c>
      <c r="FH67" s="703" t="b">
        <f t="shared" si="164"/>
        <v>0</v>
      </c>
      <c r="FI67" s="703" t="b">
        <f t="shared" si="165"/>
        <v>0</v>
      </c>
      <c r="FJ67" s="849" t="str">
        <f t="shared" si="179"/>
        <v/>
      </c>
      <c r="FK67" s="848" t="str">
        <f t="shared" si="180"/>
        <v/>
      </c>
      <c r="FL67" s="242" t="e">
        <f t="shared" si="181"/>
        <v>#N/A</v>
      </c>
      <c r="FM67" s="234" t="str">
        <f t="shared" si="166"/>
        <v/>
      </c>
      <c r="FN67" s="191" t="str">
        <f t="shared" ca="1" si="182"/>
        <v/>
      </c>
      <c r="FO67" s="192" t="str">
        <f t="shared" ca="1" si="183"/>
        <v/>
      </c>
      <c r="FP67" s="193" t="str">
        <f t="shared" ca="1" si="184"/>
        <v/>
      </c>
      <c r="FQ67" s="193" t="str">
        <f t="shared" ca="1" si="185"/>
        <v/>
      </c>
      <c r="FR67" s="243">
        <f t="shared" ca="1" si="186"/>
        <v>0</v>
      </c>
      <c r="FS67" s="244">
        <f t="shared" ca="1" si="187"/>
        <v>0</v>
      </c>
      <c r="FT67" s="191" t="str">
        <f t="shared" ca="1" si="188"/>
        <v/>
      </c>
      <c r="FU67" s="194" t="str">
        <f t="shared" ca="1" si="189"/>
        <v/>
      </c>
      <c r="FV67" s="245" t="str">
        <f t="shared" ca="1" si="167"/>
        <v/>
      </c>
      <c r="FW67" s="195" t="str">
        <f t="shared" ca="1" si="190"/>
        <v/>
      </c>
      <c r="FX67" s="195" t="str">
        <f t="shared" ca="1" si="191"/>
        <v/>
      </c>
      <c r="FY67" s="195" t="str">
        <f t="shared" ca="1" si="192"/>
        <v/>
      </c>
      <c r="FZ67" s="195" t="str">
        <f t="shared" ca="1" si="193"/>
        <v/>
      </c>
      <c r="GA67" s="195" t="str">
        <f t="shared" ca="1" si="194"/>
        <v/>
      </c>
      <c r="GB67" s="196" t="str">
        <f ca="1">IF(FY67="","",2+SUM(FO67:OFFSET(FO67,(FU67-1)*-1,0)))</f>
        <v/>
      </c>
      <c r="GC67" s="238" t="e">
        <f t="shared" si="195"/>
        <v>#N/A</v>
      </c>
      <c r="GD67" s="246" t="str">
        <f t="shared" si="168"/>
        <v/>
      </c>
      <c r="GE67" s="247" t="str">
        <f t="shared" si="169"/>
        <v/>
      </c>
      <c r="GF67" s="197" t="str">
        <f t="shared" si="170"/>
        <v/>
      </c>
      <c r="GG67" s="198" t="str">
        <f t="shared" si="171"/>
        <v/>
      </c>
      <c r="GH67" s="198" t="str">
        <f t="shared" si="172"/>
        <v/>
      </c>
      <c r="GI67" s="199" t="str">
        <f t="shared" si="173"/>
        <v/>
      </c>
      <c r="GJ67" s="473">
        <f t="shared" ca="1" si="174"/>
        <v>0</v>
      </c>
      <c r="GK67" s="834" t="str">
        <f t="shared" ca="1" si="196"/>
        <v/>
      </c>
    </row>
    <row r="68" spans="78:193" ht="12.6" hidden="1" customHeight="1" x14ac:dyDescent="0.2">
      <c r="BZ68" s="214"/>
      <c r="CA68" s="214"/>
      <c r="CB68" s="289" t="str">
        <f t="shared" si="101"/>
        <v/>
      </c>
      <c r="CC68" s="290" t="str">
        <f>IF(CG28="","",VLOOKUP(CG28,#REF!,12,FALSE))</f>
        <v/>
      </c>
      <c r="CD68" s="1219" t="str">
        <f>IF(ISBLANK(CN28),IF(CG28="","",VLOOKUP(CG28,#REF!,13,FALSE)),CN28)</f>
        <v/>
      </c>
      <c r="CE68" s="1219" t="str">
        <f>IF(CG28="","",IF(VLOOKUP(CG28,#REF!,5,FALSE)="","R",UPPER(VLOOKUP(CG28,#REF!,5,FALSE))))</f>
        <v/>
      </c>
      <c r="CF68" s="1219" t="str">
        <f>IF(ISBLANK(CP28),IF(CG28="","",VLOOKUP(CG28,#REF!,6,FALSE)),CP28)</f>
        <v/>
      </c>
      <c r="CG68" s="1219" t="str">
        <f>IF(CG28="","",IF(VLOOKUP(CG28,#REF!,10,FALSE)="","",(VLOOKUP(CG28,#REF!,10,FALSE)*-1)))</f>
        <v/>
      </c>
      <c r="CH68" s="1219" t="str">
        <f>IF(CG28="","",IF(VLOOKUP(CG28,#REF!,7,FALSE)="","",(VLOOKUP(CG28,#REF!,7,FALSE)*-1)))</f>
        <v/>
      </c>
      <c r="CI68" s="1219" t="str">
        <f>IF(CG28="","",IF(VLOOKUP(CG28,#REF!,8,FALSE)="",$FC$4,(VLOOKUP(CG28,#REF!,8,FALSE))))</f>
        <v/>
      </c>
      <c r="CJ68" s="1219" t="str">
        <f>IF(CG28="","",VLOOKUP(CG28,#REF!,9,FALSE))</f>
        <v/>
      </c>
      <c r="CK68" s="1220">
        <f t="shared" si="102"/>
        <v>0</v>
      </c>
      <c r="CL68" s="1218" t="str">
        <f>IF(CQ28="","",VLOOKUP(CQ28,#REF!,12,FALSE))</f>
        <v/>
      </c>
      <c r="CM68" s="1219" t="str">
        <f>IF(ISBLANK(CX28),IF(CQ28="","",VLOOKUP(CQ28,#REF!,13,FALSE)),CX28)</f>
        <v/>
      </c>
      <c r="CN68" s="1219" t="str">
        <f>IF(CQ28="","",IF(VLOOKUP(CQ28,#REF!,5,FALSE)="","R",UPPER(VLOOKUP(CQ28,#REF!,5,FALSE))))</f>
        <v/>
      </c>
      <c r="CO68" s="1219" t="str">
        <f>IF(ISBLANK(CZ28),IF(CQ28="","",VLOOKUP(CQ28,#REF!,6,FALSE)),CZ28)</f>
        <v/>
      </c>
      <c r="CP68" s="1219" t="str">
        <f>IF(CQ28="","",IF(VLOOKUP(CQ28,#REF!,10,FALSE)="","",(VLOOKUP(CQ28,#REF!,10,FALSE)*-1)))</f>
        <v/>
      </c>
      <c r="CQ68" s="1219" t="str">
        <f>IF(CQ28="","",IF(VLOOKUP(CQ28,#REF!,7,FALSE)="","",(VLOOKUP(CQ28,#REF!,7,FALSE)*-1)))</f>
        <v/>
      </c>
      <c r="CR68" s="1219" t="str">
        <f>IF(CQ28="","",IF(VLOOKUP(CQ28,#REF!,8,FALSE)="",$FC$4,(VLOOKUP(CQ28,#REF!,8,FALSE))))</f>
        <v/>
      </c>
      <c r="CS68" s="1219" t="str">
        <f>IF(CQ28="","",VLOOKUP(CQ28,#REF!,9,FALSE))</f>
        <v/>
      </c>
      <c r="CT68" s="1220">
        <f t="shared" si="103"/>
        <v>0</v>
      </c>
      <c r="CU68" s="1230">
        <f t="shared" si="104"/>
        <v>0</v>
      </c>
      <c r="CV68" s="1224" t="str">
        <f t="shared" si="105"/>
        <v/>
      </c>
      <c r="CW68" s="1224" t="str">
        <f t="shared" si="106"/>
        <v/>
      </c>
      <c r="CX68" s="1224" t="str">
        <f t="shared" si="107"/>
        <v/>
      </c>
      <c r="CY68" s="1226">
        <f t="shared" si="108"/>
        <v>0</v>
      </c>
      <c r="CZ68" s="1226" t="e">
        <f t="shared" si="109"/>
        <v>#REF!</v>
      </c>
      <c r="DA68" s="1226" t="str">
        <f t="shared" si="110"/>
        <v/>
      </c>
      <c r="DB68" s="1224" t="str">
        <f t="shared" si="175"/>
        <v/>
      </c>
      <c r="DC68" s="1224" t="str">
        <f t="shared" si="111"/>
        <v/>
      </c>
      <c r="DD68" s="814">
        <f t="shared" si="176"/>
        <v>0</v>
      </c>
      <c r="DE68" s="812">
        <f t="shared" si="112"/>
        <v>0</v>
      </c>
      <c r="DF68" s="813" t="e">
        <f t="shared" si="113"/>
        <v>#REF!</v>
      </c>
      <c r="DG68" s="813" t="str">
        <f t="shared" si="114"/>
        <v/>
      </c>
      <c r="DH68" s="1224" t="str">
        <f t="shared" si="177"/>
        <v/>
      </c>
      <c r="DI68" s="1224" t="str">
        <f t="shared" si="115"/>
        <v/>
      </c>
      <c r="DJ68" s="1225">
        <f t="shared" si="178"/>
        <v>0</v>
      </c>
      <c r="DK68" s="1224" t="str">
        <f t="shared" si="116"/>
        <v/>
      </c>
      <c r="DL68" s="1224" t="str">
        <f t="shared" si="117"/>
        <v/>
      </c>
      <c r="DM68" s="1224" t="str">
        <f t="shared" si="118"/>
        <v/>
      </c>
      <c r="DN68" s="1224" t="str">
        <f t="shared" si="119"/>
        <v/>
      </c>
      <c r="DO68" s="828" t="e">
        <f t="shared" si="120"/>
        <v>#REF!</v>
      </c>
      <c r="DP68" s="828" t="e">
        <f t="shared" si="121"/>
        <v>#REF!</v>
      </c>
      <c r="DQ68" s="1224" t="str">
        <f t="shared" si="122"/>
        <v/>
      </c>
      <c r="DR68" s="1224" t="str">
        <f t="shared" si="122"/>
        <v/>
      </c>
      <c r="DS68" s="1224" t="str">
        <f t="shared" si="123"/>
        <v/>
      </c>
      <c r="DT68" s="1224" t="str">
        <f t="shared" si="124"/>
        <v/>
      </c>
      <c r="DU68" s="1224" t="str">
        <f t="shared" si="125"/>
        <v/>
      </c>
      <c r="DV68" s="828" t="e">
        <f t="shared" si="126"/>
        <v>#REF!</v>
      </c>
      <c r="DW68" s="828" t="e">
        <f t="shared" si="127"/>
        <v>#REF!</v>
      </c>
      <c r="DX68" s="812" t="str">
        <f t="shared" si="128"/>
        <v/>
      </c>
      <c r="DY68" s="812" t="str">
        <f t="shared" si="129"/>
        <v/>
      </c>
      <c r="DZ68" s="812" t="str">
        <f t="shared" si="130"/>
        <v/>
      </c>
      <c r="EA68" s="812" t="str">
        <f t="shared" si="131"/>
        <v/>
      </c>
      <c r="EB68" s="815" t="str">
        <f t="shared" si="132"/>
        <v/>
      </c>
      <c r="EC68" s="816" t="str">
        <f t="shared" si="133"/>
        <v/>
      </c>
      <c r="ED68" s="815" t="str">
        <f t="shared" si="134"/>
        <v/>
      </c>
      <c r="EE68" s="815" t="str">
        <f t="shared" si="135"/>
        <v/>
      </c>
      <c r="EF68" s="815" t="str">
        <f t="shared" si="136"/>
        <v/>
      </c>
      <c r="EG68" s="815" t="str">
        <f t="shared" si="137"/>
        <v/>
      </c>
      <c r="EH68" s="815" t="str">
        <f t="shared" si="138"/>
        <v/>
      </c>
      <c r="EI68" s="815" t="str">
        <f t="shared" si="139"/>
        <v/>
      </c>
      <c r="EJ68" s="815" t="str">
        <f t="shared" si="140"/>
        <v/>
      </c>
      <c r="EK68" s="813">
        <f t="shared" si="141"/>
        <v>0</v>
      </c>
      <c r="EL68" s="813">
        <f t="shared" si="142"/>
        <v>0</v>
      </c>
      <c r="EM68" s="813">
        <f t="shared" si="143"/>
        <v>0</v>
      </c>
      <c r="EN68" s="813" t="e">
        <f t="shared" si="144"/>
        <v>#REF!</v>
      </c>
      <c r="EO68" s="812" t="str">
        <f t="shared" si="145"/>
        <v/>
      </c>
      <c r="EP68" s="813">
        <f t="shared" si="146"/>
        <v>0</v>
      </c>
      <c r="EQ68" s="813">
        <f t="shared" si="147"/>
        <v>0</v>
      </c>
      <c r="ER68" s="813">
        <f t="shared" si="148"/>
        <v>0</v>
      </c>
      <c r="ES68" s="813" t="e">
        <f t="shared" si="149"/>
        <v>#REF!</v>
      </c>
      <c r="ET68" s="812" t="str">
        <f t="shared" si="150"/>
        <v/>
      </c>
      <c r="EU68" s="812" t="e">
        <f t="shared" si="151"/>
        <v>#REF!</v>
      </c>
      <c r="EV68" s="815" t="e">
        <f t="shared" si="152"/>
        <v>#VALUE!</v>
      </c>
      <c r="EW68" s="815" t="e">
        <f t="shared" si="153"/>
        <v>#VALUE!</v>
      </c>
      <c r="EX68" s="817" t="str">
        <f t="shared" si="154"/>
        <v/>
      </c>
      <c r="EY68" s="818" t="e">
        <f t="shared" si="155"/>
        <v>#DIV/0!</v>
      </c>
      <c r="EZ68" s="893" t="e">
        <f t="shared" si="156"/>
        <v>#DIV/0!</v>
      </c>
      <c r="FA68" s="894" t="e">
        <f t="shared" si="157"/>
        <v>#DIV/0!</v>
      </c>
      <c r="FB68" s="819" t="str">
        <f t="shared" si="158"/>
        <v/>
      </c>
      <c r="FC68" s="820" t="str">
        <f t="shared" si="159"/>
        <v/>
      </c>
      <c r="FD68" s="829">
        <f t="shared" si="160"/>
        <v>0</v>
      </c>
      <c r="FE68" s="774">
        <f t="shared" si="161"/>
        <v>0</v>
      </c>
      <c r="FF68" s="703" t="b">
        <f t="shared" si="162"/>
        <v>0</v>
      </c>
      <c r="FG68" s="703" t="b">
        <f t="shared" si="163"/>
        <v>0</v>
      </c>
      <c r="FH68" s="703" t="b">
        <f t="shared" si="164"/>
        <v>0</v>
      </c>
      <c r="FI68" s="703" t="b">
        <f t="shared" si="165"/>
        <v>0</v>
      </c>
      <c r="FJ68" s="849" t="str">
        <f t="shared" si="179"/>
        <v/>
      </c>
      <c r="FK68" s="848" t="str">
        <f t="shared" si="180"/>
        <v/>
      </c>
      <c r="FL68" s="242" t="e">
        <f t="shared" si="181"/>
        <v>#N/A</v>
      </c>
      <c r="FM68" s="234" t="str">
        <f t="shared" si="166"/>
        <v/>
      </c>
      <c r="FN68" s="191" t="str">
        <f t="shared" ca="1" si="182"/>
        <v/>
      </c>
      <c r="FO68" s="192" t="str">
        <f t="shared" ca="1" si="183"/>
        <v/>
      </c>
      <c r="FP68" s="193" t="str">
        <f t="shared" ca="1" si="184"/>
        <v/>
      </c>
      <c r="FQ68" s="193" t="str">
        <f t="shared" ca="1" si="185"/>
        <v/>
      </c>
      <c r="FR68" s="243">
        <f t="shared" ca="1" si="186"/>
        <v>0</v>
      </c>
      <c r="FS68" s="244">
        <f t="shared" ca="1" si="187"/>
        <v>0</v>
      </c>
      <c r="FT68" s="191" t="str">
        <f t="shared" ca="1" si="188"/>
        <v/>
      </c>
      <c r="FU68" s="194" t="str">
        <f t="shared" ca="1" si="189"/>
        <v/>
      </c>
      <c r="FV68" s="245" t="str">
        <f t="shared" ca="1" si="167"/>
        <v/>
      </c>
      <c r="FW68" s="195" t="str">
        <f t="shared" ca="1" si="190"/>
        <v/>
      </c>
      <c r="FX68" s="195" t="str">
        <f t="shared" ca="1" si="191"/>
        <v/>
      </c>
      <c r="FY68" s="195" t="str">
        <f t="shared" ca="1" si="192"/>
        <v/>
      </c>
      <c r="FZ68" s="195" t="str">
        <f t="shared" ca="1" si="193"/>
        <v/>
      </c>
      <c r="GA68" s="195" t="str">
        <f t="shared" ca="1" si="194"/>
        <v/>
      </c>
      <c r="GB68" s="196" t="str">
        <f ca="1">IF(FY68="","",2+SUM(FO68:OFFSET(FO68,(FU68-1)*-1,0)))</f>
        <v/>
      </c>
      <c r="GC68" s="238" t="e">
        <f t="shared" si="195"/>
        <v>#N/A</v>
      </c>
      <c r="GD68" s="246" t="str">
        <f t="shared" si="168"/>
        <v/>
      </c>
      <c r="GE68" s="247" t="str">
        <f t="shared" si="169"/>
        <v/>
      </c>
      <c r="GF68" s="197" t="str">
        <f t="shared" si="170"/>
        <v/>
      </c>
      <c r="GG68" s="198" t="str">
        <f t="shared" si="171"/>
        <v/>
      </c>
      <c r="GH68" s="198" t="str">
        <f t="shared" si="172"/>
        <v/>
      </c>
      <c r="GI68" s="199" t="str">
        <f t="shared" si="173"/>
        <v/>
      </c>
      <c r="GJ68" s="473">
        <f t="shared" ca="1" si="174"/>
        <v>0</v>
      </c>
      <c r="GK68" s="834" t="str">
        <f t="shared" ca="1" si="196"/>
        <v/>
      </c>
    </row>
    <row r="69" spans="78:193" ht="12.6" hidden="1" customHeight="1" x14ac:dyDescent="0.2">
      <c r="BZ69" s="214"/>
      <c r="CA69" s="214"/>
      <c r="CB69" s="289" t="str">
        <f t="shared" si="101"/>
        <v/>
      </c>
      <c r="CC69" s="290" t="str">
        <f>IF(CG29="","",VLOOKUP(CG29,#REF!,12,FALSE))</f>
        <v/>
      </c>
      <c r="CD69" s="1219" t="str">
        <f>IF(ISBLANK(CN29),IF(CG29="","",VLOOKUP(CG29,#REF!,13,FALSE)),CN29)</f>
        <v/>
      </c>
      <c r="CE69" s="1219" t="str">
        <f>IF(CG29="","",IF(VLOOKUP(CG29,#REF!,5,FALSE)="","R",UPPER(VLOOKUP(CG29,#REF!,5,FALSE))))</f>
        <v/>
      </c>
      <c r="CF69" s="1219" t="str">
        <f>IF(ISBLANK(CP29),IF(CG29="","",VLOOKUP(CG29,#REF!,6,FALSE)),CP29)</f>
        <v/>
      </c>
      <c r="CG69" s="1219" t="str">
        <f>IF(CG29="","",IF(VLOOKUP(CG29,#REF!,10,FALSE)="","",(VLOOKUP(CG29,#REF!,10,FALSE)*-1)))</f>
        <v/>
      </c>
      <c r="CH69" s="1219" t="str">
        <f>IF(CG29="","",IF(VLOOKUP(CG29,#REF!,7,FALSE)="","",(VLOOKUP(CG29,#REF!,7,FALSE)*-1)))</f>
        <v/>
      </c>
      <c r="CI69" s="1219" t="str">
        <f>IF(CG29="","",IF(VLOOKUP(CG29,#REF!,8,FALSE)="",$FC$4,(VLOOKUP(CG29,#REF!,8,FALSE))))</f>
        <v/>
      </c>
      <c r="CJ69" s="1219" t="str">
        <f>IF(CG29="","",VLOOKUP(CG29,#REF!,9,FALSE))</f>
        <v/>
      </c>
      <c r="CK69" s="1220">
        <f t="shared" si="102"/>
        <v>0</v>
      </c>
      <c r="CL69" s="1218" t="str">
        <f>IF(CQ29="","",VLOOKUP(CQ29,#REF!,12,FALSE))</f>
        <v/>
      </c>
      <c r="CM69" s="1219" t="str">
        <f>IF(ISBLANK(CX29),IF(CQ29="","",VLOOKUP(CQ29,#REF!,13,FALSE)),CX29)</f>
        <v/>
      </c>
      <c r="CN69" s="1219" t="str">
        <f>IF(CQ29="","",IF(VLOOKUP(CQ29,#REF!,5,FALSE)="","R",UPPER(VLOOKUP(CQ29,#REF!,5,FALSE))))</f>
        <v/>
      </c>
      <c r="CO69" s="1219" t="str">
        <f>IF(ISBLANK(CZ29),IF(CQ29="","",VLOOKUP(CQ29,#REF!,6,FALSE)),CZ29)</f>
        <v/>
      </c>
      <c r="CP69" s="1219" t="str">
        <f>IF(CQ29="","",IF(VLOOKUP(CQ29,#REF!,10,FALSE)="","",(VLOOKUP(CQ29,#REF!,10,FALSE)*-1)))</f>
        <v/>
      </c>
      <c r="CQ69" s="1219" t="str">
        <f>IF(CQ29="","",IF(VLOOKUP(CQ29,#REF!,7,FALSE)="","",(VLOOKUP(CQ29,#REF!,7,FALSE)*-1)))</f>
        <v/>
      </c>
      <c r="CR69" s="1219" t="str">
        <f>IF(CQ29="","",IF(VLOOKUP(CQ29,#REF!,8,FALSE)="",$FC$4,(VLOOKUP(CQ29,#REF!,8,FALSE))))</f>
        <v/>
      </c>
      <c r="CS69" s="1219" t="str">
        <f>IF(CQ29="","",VLOOKUP(CQ29,#REF!,9,FALSE))</f>
        <v/>
      </c>
      <c r="CT69" s="1220">
        <f t="shared" si="103"/>
        <v>0</v>
      </c>
      <c r="CU69" s="1230">
        <f t="shared" si="104"/>
        <v>0</v>
      </c>
      <c r="CV69" s="1224" t="str">
        <f t="shared" si="105"/>
        <v/>
      </c>
      <c r="CW69" s="1224" t="str">
        <f t="shared" si="106"/>
        <v/>
      </c>
      <c r="CX69" s="1224" t="str">
        <f t="shared" si="107"/>
        <v/>
      </c>
      <c r="CY69" s="1226">
        <f t="shared" si="108"/>
        <v>0</v>
      </c>
      <c r="CZ69" s="1226" t="e">
        <f t="shared" si="109"/>
        <v>#REF!</v>
      </c>
      <c r="DA69" s="1226" t="str">
        <f t="shared" si="110"/>
        <v/>
      </c>
      <c r="DB69" s="1224" t="str">
        <f t="shared" si="175"/>
        <v/>
      </c>
      <c r="DC69" s="1224" t="str">
        <f t="shared" si="111"/>
        <v/>
      </c>
      <c r="DD69" s="814">
        <f t="shared" si="176"/>
        <v>0</v>
      </c>
      <c r="DE69" s="812">
        <f t="shared" si="112"/>
        <v>0</v>
      </c>
      <c r="DF69" s="813" t="e">
        <f t="shared" si="113"/>
        <v>#REF!</v>
      </c>
      <c r="DG69" s="813" t="str">
        <f t="shared" si="114"/>
        <v/>
      </c>
      <c r="DH69" s="1224" t="str">
        <f t="shared" si="177"/>
        <v/>
      </c>
      <c r="DI69" s="1224" t="str">
        <f t="shared" si="115"/>
        <v/>
      </c>
      <c r="DJ69" s="1225">
        <f t="shared" si="178"/>
        <v>0</v>
      </c>
      <c r="DK69" s="1224" t="str">
        <f t="shared" si="116"/>
        <v/>
      </c>
      <c r="DL69" s="1224" t="str">
        <f t="shared" si="117"/>
        <v/>
      </c>
      <c r="DM69" s="1224" t="str">
        <f t="shared" si="118"/>
        <v/>
      </c>
      <c r="DN69" s="1224" t="str">
        <f t="shared" si="119"/>
        <v/>
      </c>
      <c r="DO69" s="828" t="e">
        <f t="shared" si="120"/>
        <v>#REF!</v>
      </c>
      <c r="DP69" s="828" t="e">
        <f t="shared" si="121"/>
        <v>#REF!</v>
      </c>
      <c r="DQ69" s="1224" t="str">
        <f t="shared" si="122"/>
        <v/>
      </c>
      <c r="DR69" s="1224" t="str">
        <f t="shared" si="122"/>
        <v/>
      </c>
      <c r="DS69" s="1224" t="str">
        <f t="shared" si="123"/>
        <v/>
      </c>
      <c r="DT69" s="1224" t="str">
        <f t="shared" si="124"/>
        <v/>
      </c>
      <c r="DU69" s="1224" t="str">
        <f t="shared" si="125"/>
        <v/>
      </c>
      <c r="DV69" s="828" t="e">
        <f t="shared" si="126"/>
        <v>#REF!</v>
      </c>
      <c r="DW69" s="828" t="e">
        <f t="shared" si="127"/>
        <v>#REF!</v>
      </c>
      <c r="DX69" s="812" t="str">
        <f t="shared" si="128"/>
        <v/>
      </c>
      <c r="DY69" s="812" t="str">
        <f t="shared" si="129"/>
        <v/>
      </c>
      <c r="DZ69" s="812" t="str">
        <f t="shared" si="130"/>
        <v/>
      </c>
      <c r="EA69" s="812" t="str">
        <f t="shared" si="131"/>
        <v/>
      </c>
      <c r="EB69" s="815" t="str">
        <f t="shared" si="132"/>
        <v/>
      </c>
      <c r="EC69" s="816" t="str">
        <f t="shared" si="133"/>
        <v/>
      </c>
      <c r="ED69" s="815" t="str">
        <f t="shared" si="134"/>
        <v/>
      </c>
      <c r="EE69" s="815" t="str">
        <f t="shared" si="135"/>
        <v/>
      </c>
      <c r="EF69" s="815" t="str">
        <f t="shared" si="136"/>
        <v/>
      </c>
      <c r="EG69" s="815" t="str">
        <f t="shared" si="137"/>
        <v/>
      </c>
      <c r="EH69" s="815" t="str">
        <f t="shared" si="138"/>
        <v/>
      </c>
      <c r="EI69" s="815" t="str">
        <f t="shared" si="139"/>
        <v/>
      </c>
      <c r="EJ69" s="815" t="str">
        <f t="shared" si="140"/>
        <v/>
      </c>
      <c r="EK69" s="813">
        <f t="shared" si="141"/>
        <v>0</v>
      </c>
      <c r="EL69" s="813">
        <f t="shared" si="142"/>
        <v>0</v>
      </c>
      <c r="EM69" s="813">
        <f t="shared" si="143"/>
        <v>0</v>
      </c>
      <c r="EN69" s="813" t="e">
        <f t="shared" si="144"/>
        <v>#REF!</v>
      </c>
      <c r="EO69" s="812" t="str">
        <f t="shared" si="145"/>
        <v/>
      </c>
      <c r="EP69" s="813">
        <f t="shared" si="146"/>
        <v>0</v>
      </c>
      <c r="EQ69" s="813">
        <f t="shared" si="147"/>
        <v>0</v>
      </c>
      <c r="ER69" s="813">
        <f t="shared" si="148"/>
        <v>0</v>
      </c>
      <c r="ES69" s="813" t="e">
        <f t="shared" si="149"/>
        <v>#REF!</v>
      </c>
      <c r="ET69" s="812" t="str">
        <f t="shared" si="150"/>
        <v/>
      </c>
      <c r="EU69" s="812" t="e">
        <f t="shared" si="151"/>
        <v>#REF!</v>
      </c>
      <c r="EV69" s="815" t="e">
        <f t="shared" si="152"/>
        <v>#VALUE!</v>
      </c>
      <c r="EW69" s="815" t="e">
        <f t="shared" si="153"/>
        <v>#VALUE!</v>
      </c>
      <c r="EX69" s="817" t="str">
        <f t="shared" si="154"/>
        <v/>
      </c>
      <c r="EY69" s="818" t="e">
        <f t="shared" si="155"/>
        <v>#DIV/0!</v>
      </c>
      <c r="EZ69" s="893" t="e">
        <f t="shared" si="156"/>
        <v>#DIV/0!</v>
      </c>
      <c r="FA69" s="894" t="e">
        <f t="shared" si="157"/>
        <v>#DIV/0!</v>
      </c>
      <c r="FB69" s="819" t="str">
        <f t="shared" si="158"/>
        <v/>
      </c>
      <c r="FC69" s="820" t="str">
        <f t="shared" si="159"/>
        <v/>
      </c>
      <c r="FD69" s="829">
        <f t="shared" si="160"/>
        <v>0</v>
      </c>
      <c r="FE69" s="774">
        <f t="shared" si="161"/>
        <v>0</v>
      </c>
      <c r="FF69" s="703" t="b">
        <f t="shared" si="162"/>
        <v>0</v>
      </c>
      <c r="FG69" s="703" t="b">
        <f t="shared" si="163"/>
        <v>0</v>
      </c>
      <c r="FH69" s="703" t="b">
        <f t="shared" si="164"/>
        <v>0</v>
      </c>
      <c r="FI69" s="703" t="b">
        <f t="shared" si="165"/>
        <v>0</v>
      </c>
      <c r="FJ69" s="849" t="str">
        <f t="shared" si="179"/>
        <v/>
      </c>
      <c r="FK69" s="848" t="str">
        <f t="shared" si="180"/>
        <v/>
      </c>
      <c r="FL69" s="242" t="e">
        <f t="shared" si="181"/>
        <v>#N/A</v>
      </c>
      <c r="FM69" s="234" t="str">
        <f t="shared" si="166"/>
        <v/>
      </c>
      <c r="FN69" s="191" t="str">
        <f t="shared" ca="1" si="182"/>
        <v/>
      </c>
      <c r="FO69" s="192" t="str">
        <f t="shared" ca="1" si="183"/>
        <v/>
      </c>
      <c r="FP69" s="193" t="str">
        <f t="shared" ca="1" si="184"/>
        <v/>
      </c>
      <c r="FQ69" s="193" t="str">
        <f t="shared" ca="1" si="185"/>
        <v/>
      </c>
      <c r="FR69" s="243">
        <f t="shared" ca="1" si="186"/>
        <v>0</v>
      </c>
      <c r="FS69" s="244">
        <f t="shared" ca="1" si="187"/>
        <v>0</v>
      </c>
      <c r="FT69" s="191" t="str">
        <f t="shared" ca="1" si="188"/>
        <v/>
      </c>
      <c r="FU69" s="194" t="str">
        <f t="shared" ca="1" si="189"/>
        <v/>
      </c>
      <c r="FV69" s="245" t="str">
        <f t="shared" ca="1" si="167"/>
        <v/>
      </c>
      <c r="FW69" s="195" t="str">
        <f t="shared" ca="1" si="190"/>
        <v/>
      </c>
      <c r="FX69" s="195" t="str">
        <f t="shared" ca="1" si="191"/>
        <v/>
      </c>
      <c r="FY69" s="195" t="str">
        <f t="shared" ca="1" si="192"/>
        <v/>
      </c>
      <c r="FZ69" s="195" t="str">
        <f t="shared" ca="1" si="193"/>
        <v/>
      </c>
      <c r="GA69" s="195" t="str">
        <f t="shared" ca="1" si="194"/>
        <v/>
      </c>
      <c r="GB69" s="196" t="str">
        <f ca="1">IF(FY69="","",2+SUM(FO69:OFFSET(FO69,(FU69-1)*-1,0)))</f>
        <v/>
      </c>
      <c r="GC69" s="238" t="e">
        <f t="shared" si="195"/>
        <v>#N/A</v>
      </c>
      <c r="GD69" s="246" t="str">
        <f t="shared" si="168"/>
        <v/>
      </c>
      <c r="GE69" s="247" t="str">
        <f t="shared" si="169"/>
        <v/>
      </c>
      <c r="GF69" s="197" t="str">
        <f t="shared" si="170"/>
        <v/>
      </c>
      <c r="GG69" s="198" t="str">
        <f t="shared" si="171"/>
        <v/>
      </c>
      <c r="GH69" s="198" t="str">
        <f t="shared" si="172"/>
        <v/>
      </c>
      <c r="GI69" s="199" t="str">
        <f t="shared" si="173"/>
        <v/>
      </c>
      <c r="GJ69" s="473">
        <f t="shared" ca="1" si="174"/>
        <v>0</v>
      </c>
      <c r="GK69" s="834" t="str">
        <f t="shared" ca="1" si="196"/>
        <v/>
      </c>
    </row>
    <row r="70" spans="78:193" ht="12.6" hidden="1" customHeight="1" x14ac:dyDescent="0.2">
      <c r="BZ70" s="214"/>
      <c r="CA70" s="214"/>
      <c r="CB70" s="289" t="str">
        <f t="shared" si="101"/>
        <v/>
      </c>
      <c r="CC70" s="290" t="str">
        <f>IF(CG30="","",VLOOKUP(CG30,#REF!,12,FALSE))</f>
        <v/>
      </c>
      <c r="CD70" s="1219" t="str">
        <f>IF(ISBLANK(CN30),IF(CG30="","",VLOOKUP(CG30,#REF!,13,FALSE)),CN30)</f>
        <v/>
      </c>
      <c r="CE70" s="1219" t="str">
        <f>IF(CG30="","",IF(VLOOKUP(CG30,#REF!,5,FALSE)="","R",UPPER(VLOOKUP(CG30,#REF!,5,FALSE))))</f>
        <v/>
      </c>
      <c r="CF70" s="1219" t="str">
        <f>IF(ISBLANK(CP30),IF(CG30="","",VLOOKUP(CG30,#REF!,6,FALSE)),CP30)</f>
        <v/>
      </c>
      <c r="CG70" s="1219" t="str">
        <f>IF(CG30="","",IF(VLOOKUP(CG30,#REF!,10,FALSE)="","",(VLOOKUP(CG30,#REF!,10,FALSE)*-1)))</f>
        <v/>
      </c>
      <c r="CH70" s="1219" t="str">
        <f>IF(CG30="","",IF(VLOOKUP(CG30,#REF!,7,FALSE)="","",(VLOOKUP(CG30,#REF!,7,FALSE)*-1)))</f>
        <v/>
      </c>
      <c r="CI70" s="1219" t="str">
        <f>IF(CG30="","",IF(VLOOKUP(CG30,#REF!,8,FALSE)="",$FC$4,(VLOOKUP(CG30,#REF!,8,FALSE))))</f>
        <v/>
      </c>
      <c r="CJ70" s="1219" t="str">
        <f>IF(CG30="","",VLOOKUP(CG30,#REF!,9,FALSE))</f>
        <v/>
      </c>
      <c r="CK70" s="1220">
        <f t="shared" si="102"/>
        <v>0</v>
      </c>
      <c r="CL70" s="1218" t="str">
        <f>IF(CQ30="","",VLOOKUP(CQ30,#REF!,12,FALSE))</f>
        <v/>
      </c>
      <c r="CM70" s="1219" t="str">
        <f>IF(ISBLANK(CX30),IF(CQ30="","",VLOOKUP(CQ30,#REF!,13,FALSE)),CX30)</f>
        <v/>
      </c>
      <c r="CN70" s="1219" t="str">
        <f>IF(CQ30="","",IF(VLOOKUP(CQ30,#REF!,5,FALSE)="","R",UPPER(VLOOKUP(CQ30,#REF!,5,FALSE))))</f>
        <v/>
      </c>
      <c r="CO70" s="1219" t="str">
        <f>IF(ISBLANK(CZ30),IF(CQ30="","",VLOOKUP(CQ30,#REF!,6,FALSE)),CZ30)</f>
        <v/>
      </c>
      <c r="CP70" s="1219" t="str">
        <f>IF(CQ30="","",IF(VLOOKUP(CQ30,#REF!,10,FALSE)="","",(VLOOKUP(CQ30,#REF!,10,FALSE)*-1)))</f>
        <v/>
      </c>
      <c r="CQ70" s="1219" t="str">
        <f>IF(CQ30="","",IF(VLOOKUP(CQ30,#REF!,7,FALSE)="","",(VLOOKUP(CQ30,#REF!,7,FALSE)*-1)))</f>
        <v/>
      </c>
      <c r="CR70" s="1219" t="str">
        <f>IF(CQ30="","",IF(VLOOKUP(CQ30,#REF!,8,FALSE)="",$FC$4,(VLOOKUP(CQ30,#REF!,8,FALSE))))</f>
        <v/>
      </c>
      <c r="CS70" s="1219" t="str">
        <f>IF(CQ30="","",VLOOKUP(CQ30,#REF!,9,FALSE))</f>
        <v/>
      </c>
      <c r="CT70" s="1220">
        <f t="shared" si="103"/>
        <v>0</v>
      </c>
      <c r="CU70" s="1230">
        <f t="shared" si="104"/>
        <v>0</v>
      </c>
      <c r="CV70" s="1224" t="str">
        <f t="shared" si="105"/>
        <v/>
      </c>
      <c r="CW70" s="1224" t="str">
        <f t="shared" si="106"/>
        <v/>
      </c>
      <c r="CX70" s="1224" t="str">
        <f t="shared" si="107"/>
        <v/>
      </c>
      <c r="CY70" s="1226">
        <f t="shared" si="108"/>
        <v>0</v>
      </c>
      <c r="CZ70" s="1226" t="e">
        <f t="shared" si="109"/>
        <v>#REF!</v>
      </c>
      <c r="DA70" s="1226" t="str">
        <f t="shared" si="110"/>
        <v/>
      </c>
      <c r="DB70" s="1224" t="str">
        <f t="shared" si="175"/>
        <v/>
      </c>
      <c r="DC70" s="1224" t="str">
        <f t="shared" si="111"/>
        <v/>
      </c>
      <c r="DD70" s="814">
        <f t="shared" si="176"/>
        <v>0</v>
      </c>
      <c r="DE70" s="812">
        <f t="shared" si="112"/>
        <v>0</v>
      </c>
      <c r="DF70" s="813" t="e">
        <f t="shared" si="113"/>
        <v>#REF!</v>
      </c>
      <c r="DG70" s="813" t="str">
        <f t="shared" si="114"/>
        <v/>
      </c>
      <c r="DH70" s="1224" t="str">
        <f t="shared" si="177"/>
        <v/>
      </c>
      <c r="DI70" s="1224" t="str">
        <f t="shared" si="115"/>
        <v/>
      </c>
      <c r="DJ70" s="1225">
        <f t="shared" si="178"/>
        <v>0</v>
      </c>
      <c r="DK70" s="1224" t="str">
        <f t="shared" si="116"/>
        <v/>
      </c>
      <c r="DL70" s="1224" t="str">
        <f t="shared" si="117"/>
        <v/>
      </c>
      <c r="DM70" s="1224" t="str">
        <f t="shared" si="118"/>
        <v/>
      </c>
      <c r="DN70" s="1224" t="str">
        <f t="shared" si="119"/>
        <v/>
      </c>
      <c r="DO70" s="828" t="e">
        <f t="shared" si="120"/>
        <v>#REF!</v>
      </c>
      <c r="DP70" s="828" t="e">
        <f t="shared" si="121"/>
        <v>#REF!</v>
      </c>
      <c r="DQ70" s="1224" t="str">
        <f t="shared" si="122"/>
        <v/>
      </c>
      <c r="DR70" s="1224" t="str">
        <f t="shared" si="122"/>
        <v/>
      </c>
      <c r="DS70" s="1224" t="str">
        <f t="shared" si="123"/>
        <v/>
      </c>
      <c r="DT70" s="1224" t="str">
        <f t="shared" si="124"/>
        <v/>
      </c>
      <c r="DU70" s="1224" t="str">
        <f t="shared" si="125"/>
        <v/>
      </c>
      <c r="DV70" s="828" t="e">
        <f t="shared" si="126"/>
        <v>#REF!</v>
      </c>
      <c r="DW70" s="828" t="e">
        <f t="shared" si="127"/>
        <v>#REF!</v>
      </c>
      <c r="DX70" s="812" t="str">
        <f t="shared" si="128"/>
        <v/>
      </c>
      <c r="DY70" s="812" t="str">
        <f t="shared" si="129"/>
        <v/>
      </c>
      <c r="DZ70" s="812" t="str">
        <f t="shared" si="130"/>
        <v/>
      </c>
      <c r="EA70" s="812" t="str">
        <f t="shared" si="131"/>
        <v/>
      </c>
      <c r="EB70" s="815" t="str">
        <f t="shared" si="132"/>
        <v/>
      </c>
      <c r="EC70" s="816" t="str">
        <f t="shared" si="133"/>
        <v/>
      </c>
      <c r="ED70" s="815" t="str">
        <f t="shared" si="134"/>
        <v/>
      </c>
      <c r="EE70" s="815" t="str">
        <f t="shared" si="135"/>
        <v/>
      </c>
      <c r="EF70" s="815" t="str">
        <f t="shared" si="136"/>
        <v/>
      </c>
      <c r="EG70" s="815" t="str">
        <f t="shared" si="137"/>
        <v/>
      </c>
      <c r="EH70" s="815" t="str">
        <f t="shared" si="138"/>
        <v/>
      </c>
      <c r="EI70" s="815" t="str">
        <f t="shared" si="139"/>
        <v/>
      </c>
      <c r="EJ70" s="815" t="str">
        <f t="shared" si="140"/>
        <v/>
      </c>
      <c r="EK70" s="813">
        <f t="shared" si="141"/>
        <v>0</v>
      </c>
      <c r="EL70" s="813">
        <f t="shared" si="142"/>
        <v>0</v>
      </c>
      <c r="EM70" s="813">
        <f t="shared" si="143"/>
        <v>0</v>
      </c>
      <c r="EN70" s="813" t="e">
        <f t="shared" si="144"/>
        <v>#REF!</v>
      </c>
      <c r="EO70" s="812" t="str">
        <f t="shared" si="145"/>
        <v/>
      </c>
      <c r="EP70" s="813">
        <f t="shared" si="146"/>
        <v>0</v>
      </c>
      <c r="EQ70" s="813">
        <f t="shared" si="147"/>
        <v>0</v>
      </c>
      <c r="ER70" s="813">
        <f t="shared" si="148"/>
        <v>0</v>
      </c>
      <c r="ES70" s="813" t="e">
        <f t="shared" si="149"/>
        <v>#REF!</v>
      </c>
      <c r="ET70" s="812" t="str">
        <f t="shared" si="150"/>
        <v/>
      </c>
      <c r="EU70" s="812" t="e">
        <f t="shared" si="151"/>
        <v>#REF!</v>
      </c>
      <c r="EV70" s="815" t="e">
        <f t="shared" si="152"/>
        <v>#VALUE!</v>
      </c>
      <c r="EW70" s="815" t="e">
        <f t="shared" si="153"/>
        <v>#VALUE!</v>
      </c>
      <c r="EX70" s="817" t="str">
        <f t="shared" si="154"/>
        <v/>
      </c>
      <c r="EY70" s="818" t="e">
        <f t="shared" si="155"/>
        <v>#DIV/0!</v>
      </c>
      <c r="EZ70" s="893" t="e">
        <f t="shared" si="156"/>
        <v>#DIV/0!</v>
      </c>
      <c r="FA70" s="894" t="e">
        <f t="shared" si="157"/>
        <v>#DIV/0!</v>
      </c>
      <c r="FB70" s="819" t="str">
        <f t="shared" si="158"/>
        <v/>
      </c>
      <c r="FC70" s="820" t="str">
        <f t="shared" si="159"/>
        <v/>
      </c>
      <c r="FD70" s="829">
        <f t="shared" si="160"/>
        <v>0</v>
      </c>
      <c r="FE70" s="774">
        <f t="shared" si="161"/>
        <v>0</v>
      </c>
      <c r="FF70" s="704" t="b">
        <f t="shared" si="162"/>
        <v>0</v>
      </c>
      <c r="FG70" s="704" t="b">
        <f t="shared" si="163"/>
        <v>0</v>
      </c>
      <c r="FH70" s="704" t="b">
        <f t="shared" si="164"/>
        <v>0</v>
      </c>
      <c r="FI70" s="704" t="b">
        <f t="shared" si="165"/>
        <v>0</v>
      </c>
      <c r="FJ70" s="849" t="str">
        <f t="shared" si="179"/>
        <v/>
      </c>
      <c r="FK70" s="848" t="str">
        <f t="shared" si="180"/>
        <v/>
      </c>
      <c r="FL70" s="242" t="e">
        <f t="shared" si="181"/>
        <v>#N/A</v>
      </c>
      <c r="FM70" s="234" t="str">
        <f t="shared" si="166"/>
        <v/>
      </c>
      <c r="FN70" s="191" t="str">
        <f t="shared" ca="1" si="182"/>
        <v/>
      </c>
      <c r="FO70" s="192" t="str">
        <f t="shared" ca="1" si="183"/>
        <v/>
      </c>
      <c r="FP70" s="193" t="str">
        <f t="shared" ca="1" si="184"/>
        <v/>
      </c>
      <c r="FQ70" s="193" t="str">
        <f t="shared" ca="1" si="185"/>
        <v/>
      </c>
      <c r="FR70" s="243">
        <f t="shared" ca="1" si="186"/>
        <v>0</v>
      </c>
      <c r="FS70" s="244">
        <f t="shared" ca="1" si="187"/>
        <v>0</v>
      </c>
      <c r="FT70" s="191" t="str">
        <f t="shared" ca="1" si="188"/>
        <v/>
      </c>
      <c r="FU70" s="194" t="str">
        <f t="shared" ca="1" si="189"/>
        <v/>
      </c>
      <c r="FV70" s="245" t="str">
        <f t="shared" ca="1" si="167"/>
        <v/>
      </c>
      <c r="FW70" s="195" t="str">
        <f t="shared" ca="1" si="190"/>
        <v/>
      </c>
      <c r="FX70" s="195" t="str">
        <f t="shared" ca="1" si="191"/>
        <v/>
      </c>
      <c r="FY70" s="195" t="str">
        <f t="shared" ca="1" si="192"/>
        <v/>
      </c>
      <c r="FZ70" s="195" t="str">
        <f t="shared" ca="1" si="193"/>
        <v/>
      </c>
      <c r="GA70" s="195" t="str">
        <f t="shared" ca="1" si="194"/>
        <v/>
      </c>
      <c r="GB70" s="196" t="str">
        <f ca="1">IF(FY70="","",2+SUM(FO70:OFFSET(FO70,(FU70-1)*-1,0)))</f>
        <v/>
      </c>
      <c r="GC70" s="238" t="e">
        <f t="shared" si="195"/>
        <v>#N/A</v>
      </c>
      <c r="GD70" s="246" t="str">
        <f t="shared" si="168"/>
        <v/>
      </c>
      <c r="GE70" s="247" t="str">
        <f t="shared" si="169"/>
        <v/>
      </c>
      <c r="GF70" s="197" t="str">
        <f t="shared" si="170"/>
        <v/>
      </c>
      <c r="GG70" s="198" t="str">
        <f t="shared" si="171"/>
        <v/>
      </c>
      <c r="GH70" s="198" t="str">
        <f t="shared" si="172"/>
        <v/>
      </c>
      <c r="GI70" s="199" t="str">
        <f t="shared" si="173"/>
        <v/>
      </c>
      <c r="GJ70" s="473">
        <f t="shared" ca="1" si="174"/>
        <v>0</v>
      </c>
      <c r="GK70" s="834" t="str">
        <f t="shared" ca="1" si="196"/>
        <v/>
      </c>
    </row>
    <row r="71" spans="78:193" ht="12.6" hidden="1" customHeight="1" x14ac:dyDescent="0.2">
      <c r="BZ71" s="214"/>
      <c r="CA71" s="214"/>
      <c r="CB71" s="289" t="str">
        <f t="shared" si="101"/>
        <v/>
      </c>
      <c r="CC71" s="290" t="str">
        <f>IF(CG31="","",VLOOKUP(CG31,#REF!,12,FALSE))</f>
        <v/>
      </c>
      <c r="CD71" s="1219" t="str">
        <f>IF(ISBLANK(CN31),IF(CG31="","",VLOOKUP(CG31,#REF!,13,FALSE)),CN31)</f>
        <v/>
      </c>
      <c r="CE71" s="1219" t="str">
        <f>IF(CG31="","",IF(VLOOKUP(CG31,#REF!,5,FALSE)="","R",UPPER(VLOOKUP(CG31,#REF!,5,FALSE))))</f>
        <v/>
      </c>
      <c r="CF71" s="1219" t="str">
        <f>IF(ISBLANK(CP31),IF(CG31="","",VLOOKUP(CG31,#REF!,6,FALSE)),CP31)</f>
        <v/>
      </c>
      <c r="CG71" s="1219" t="str">
        <f>IF(CG31="","",IF(VLOOKUP(CG31,#REF!,10,FALSE)="","",(VLOOKUP(CG31,#REF!,10,FALSE)*-1)))</f>
        <v/>
      </c>
      <c r="CH71" s="1219" t="str">
        <f>IF(CG31="","",IF(VLOOKUP(CG31,#REF!,7,FALSE)="","",(VLOOKUP(CG31,#REF!,7,FALSE)*-1)))</f>
        <v/>
      </c>
      <c r="CI71" s="1219" t="str">
        <f>IF(CG31="","",IF(VLOOKUP(CG31,#REF!,8,FALSE)="",$FC$4,(VLOOKUP(CG31,#REF!,8,FALSE))))</f>
        <v/>
      </c>
      <c r="CJ71" s="1219" t="str">
        <f>IF(CG31="","",VLOOKUP(CG31,#REF!,9,FALSE))</f>
        <v/>
      </c>
      <c r="CK71" s="1220">
        <f t="shared" si="102"/>
        <v>0</v>
      </c>
      <c r="CL71" s="1218" t="str">
        <f>IF(CQ31="","",VLOOKUP(CQ31,#REF!,12,FALSE))</f>
        <v/>
      </c>
      <c r="CM71" s="1219" t="str">
        <f>IF(ISBLANK(CX31),IF(CQ31="","",VLOOKUP(CQ31,#REF!,13,FALSE)),CX31)</f>
        <v/>
      </c>
      <c r="CN71" s="1219" t="str">
        <f>IF(CQ31="","",IF(VLOOKUP(CQ31,#REF!,5,FALSE)="","R",UPPER(VLOOKUP(CQ31,#REF!,5,FALSE))))</f>
        <v/>
      </c>
      <c r="CO71" s="1219" t="str">
        <f>IF(ISBLANK(CZ31),IF(CQ31="","",VLOOKUP(CQ31,#REF!,6,FALSE)),CZ31)</f>
        <v/>
      </c>
      <c r="CP71" s="1219" t="str">
        <f>IF(CQ31="","",IF(VLOOKUP(CQ31,#REF!,10,FALSE)="","",(VLOOKUP(CQ31,#REF!,10,FALSE)*-1)))</f>
        <v/>
      </c>
      <c r="CQ71" s="1219" t="str">
        <f>IF(CQ31="","",IF(VLOOKUP(CQ31,#REF!,7,FALSE)="","",(VLOOKUP(CQ31,#REF!,7,FALSE)*-1)))</f>
        <v/>
      </c>
      <c r="CR71" s="1219" t="str">
        <f>IF(CQ31="","",IF(VLOOKUP(CQ31,#REF!,8,FALSE)="",$FC$4,(VLOOKUP(CQ31,#REF!,8,FALSE))))</f>
        <v/>
      </c>
      <c r="CS71" s="1219" t="str">
        <f>IF(CQ31="","",VLOOKUP(CQ31,#REF!,9,FALSE))</f>
        <v/>
      </c>
      <c r="CT71" s="1220">
        <f t="shared" si="103"/>
        <v>0</v>
      </c>
      <c r="CU71" s="1230">
        <f t="shared" si="104"/>
        <v>0</v>
      </c>
      <c r="CV71" s="1224" t="str">
        <f t="shared" si="105"/>
        <v/>
      </c>
      <c r="CW71" s="1224" t="str">
        <f t="shared" si="106"/>
        <v/>
      </c>
      <c r="CX71" s="1224" t="str">
        <f t="shared" si="107"/>
        <v/>
      </c>
      <c r="CY71" s="1226">
        <f t="shared" si="108"/>
        <v>0</v>
      </c>
      <c r="CZ71" s="1226" t="e">
        <f t="shared" si="109"/>
        <v>#REF!</v>
      </c>
      <c r="DA71" s="1226" t="str">
        <f t="shared" si="110"/>
        <v/>
      </c>
      <c r="DB71" s="1224" t="str">
        <f t="shared" si="175"/>
        <v/>
      </c>
      <c r="DC71" s="1224" t="str">
        <f t="shared" si="111"/>
        <v/>
      </c>
      <c r="DD71" s="814">
        <f t="shared" si="176"/>
        <v>0</v>
      </c>
      <c r="DE71" s="812">
        <f t="shared" si="112"/>
        <v>0</v>
      </c>
      <c r="DF71" s="813" t="e">
        <f t="shared" si="113"/>
        <v>#REF!</v>
      </c>
      <c r="DG71" s="813" t="str">
        <f t="shared" si="114"/>
        <v/>
      </c>
      <c r="DH71" s="1224" t="str">
        <f t="shared" si="177"/>
        <v/>
      </c>
      <c r="DI71" s="1224" t="str">
        <f t="shared" si="115"/>
        <v/>
      </c>
      <c r="DJ71" s="1225">
        <f t="shared" si="178"/>
        <v>0</v>
      </c>
      <c r="DK71" s="1224" t="str">
        <f t="shared" si="116"/>
        <v/>
      </c>
      <c r="DL71" s="1224" t="str">
        <f t="shared" si="117"/>
        <v/>
      </c>
      <c r="DM71" s="1224" t="str">
        <f t="shared" si="118"/>
        <v/>
      </c>
      <c r="DN71" s="1224" t="str">
        <f t="shared" si="119"/>
        <v/>
      </c>
      <c r="DO71" s="828" t="e">
        <f t="shared" si="120"/>
        <v>#REF!</v>
      </c>
      <c r="DP71" s="828" t="e">
        <f t="shared" si="121"/>
        <v>#REF!</v>
      </c>
      <c r="DQ71" s="1224" t="str">
        <f t="shared" si="122"/>
        <v/>
      </c>
      <c r="DR71" s="1224" t="str">
        <f t="shared" si="122"/>
        <v/>
      </c>
      <c r="DS71" s="1224" t="str">
        <f t="shared" si="123"/>
        <v/>
      </c>
      <c r="DT71" s="1224" t="str">
        <f t="shared" si="124"/>
        <v/>
      </c>
      <c r="DU71" s="1224" t="str">
        <f t="shared" si="125"/>
        <v/>
      </c>
      <c r="DV71" s="828" t="e">
        <f t="shared" si="126"/>
        <v>#REF!</v>
      </c>
      <c r="DW71" s="828" t="e">
        <f t="shared" si="127"/>
        <v>#REF!</v>
      </c>
      <c r="DX71" s="812" t="str">
        <f t="shared" si="128"/>
        <v/>
      </c>
      <c r="DY71" s="812" t="str">
        <f t="shared" si="129"/>
        <v/>
      </c>
      <c r="DZ71" s="812" t="str">
        <f t="shared" si="130"/>
        <v/>
      </c>
      <c r="EA71" s="812" t="str">
        <f t="shared" si="131"/>
        <v/>
      </c>
      <c r="EB71" s="815" t="str">
        <f t="shared" si="132"/>
        <v/>
      </c>
      <c r="EC71" s="816" t="str">
        <f t="shared" si="133"/>
        <v/>
      </c>
      <c r="ED71" s="815" t="str">
        <f t="shared" si="134"/>
        <v/>
      </c>
      <c r="EE71" s="815" t="str">
        <f t="shared" si="135"/>
        <v/>
      </c>
      <c r="EF71" s="815" t="str">
        <f t="shared" si="136"/>
        <v/>
      </c>
      <c r="EG71" s="815" t="str">
        <f t="shared" si="137"/>
        <v/>
      </c>
      <c r="EH71" s="815" t="str">
        <f t="shared" si="138"/>
        <v/>
      </c>
      <c r="EI71" s="815" t="str">
        <f t="shared" si="139"/>
        <v/>
      </c>
      <c r="EJ71" s="815" t="str">
        <f t="shared" si="140"/>
        <v/>
      </c>
      <c r="EK71" s="813">
        <f t="shared" si="141"/>
        <v>0</v>
      </c>
      <c r="EL71" s="813">
        <f t="shared" si="142"/>
        <v>0</v>
      </c>
      <c r="EM71" s="813">
        <f t="shared" si="143"/>
        <v>0</v>
      </c>
      <c r="EN71" s="813" t="e">
        <f t="shared" si="144"/>
        <v>#REF!</v>
      </c>
      <c r="EO71" s="812" t="str">
        <f t="shared" si="145"/>
        <v/>
      </c>
      <c r="EP71" s="813">
        <f t="shared" si="146"/>
        <v>0</v>
      </c>
      <c r="EQ71" s="813">
        <f t="shared" si="147"/>
        <v>0</v>
      </c>
      <c r="ER71" s="813">
        <f t="shared" si="148"/>
        <v>0</v>
      </c>
      <c r="ES71" s="813" t="e">
        <f t="shared" si="149"/>
        <v>#REF!</v>
      </c>
      <c r="ET71" s="812" t="str">
        <f t="shared" si="150"/>
        <v/>
      </c>
      <c r="EU71" s="812" t="e">
        <f t="shared" si="151"/>
        <v>#REF!</v>
      </c>
      <c r="EV71" s="815" t="e">
        <f t="shared" si="152"/>
        <v>#VALUE!</v>
      </c>
      <c r="EW71" s="815" t="e">
        <f t="shared" si="153"/>
        <v>#VALUE!</v>
      </c>
      <c r="EX71" s="817" t="str">
        <f t="shared" si="154"/>
        <v/>
      </c>
      <c r="EY71" s="818" t="e">
        <f t="shared" si="155"/>
        <v>#DIV/0!</v>
      </c>
      <c r="EZ71" s="893" t="e">
        <f t="shared" si="156"/>
        <v>#DIV/0!</v>
      </c>
      <c r="FA71" s="894" t="e">
        <f t="shared" si="157"/>
        <v>#DIV/0!</v>
      </c>
      <c r="FB71" s="819" t="str">
        <f t="shared" si="158"/>
        <v/>
      </c>
      <c r="FC71" s="820" t="str">
        <f t="shared" si="159"/>
        <v/>
      </c>
      <c r="FD71" s="829">
        <f t="shared" si="160"/>
        <v>0</v>
      </c>
      <c r="FE71" s="774">
        <f t="shared" si="161"/>
        <v>0</v>
      </c>
      <c r="FF71" s="704" t="b">
        <f t="shared" si="162"/>
        <v>0</v>
      </c>
      <c r="FG71" s="704" t="b">
        <f t="shared" si="163"/>
        <v>0</v>
      </c>
      <c r="FH71" s="704" t="b">
        <f t="shared" si="164"/>
        <v>0</v>
      </c>
      <c r="FI71" s="704" t="b">
        <f t="shared" si="165"/>
        <v>0</v>
      </c>
      <c r="FJ71" s="849" t="str">
        <f t="shared" si="179"/>
        <v/>
      </c>
      <c r="FK71" s="848" t="str">
        <f t="shared" si="180"/>
        <v/>
      </c>
      <c r="FL71" s="242" t="e">
        <f t="shared" si="181"/>
        <v>#N/A</v>
      </c>
      <c r="FM71" s="234" t="str">
        <f t="shared" si="166"/>
        <v/>
      </c>
      <c r="FN71" s="191" t="str">
        <f t="shared" ca="1" si="182"/>
        <v/>
      </c>
      <c r="FO71" s="192" t="str">
        <f t="shared" ca="1" si="183"/>
        <v/>
      </c>
      <c r="FP71" s="193" t="str">
        <f t="shared" ca="1" si="184"/>
        <v/>
      </c>
      <c r="FQ71" s="193" t="str">
        <f t="shared" ca="1" si="185"/>
        <v/>
      </c>
      <c r="FR71" s="243">
        <f t="shared" ca="1" si="186"/>
        <v>0</v>
      </c>
      <c r="FS71" s="244">
        <f t="shared" ca="1" si="187"/>
        <v>0</v>
      </c>
      <c r="FT71" s="191" t="str">
        <f t="shared" ca="1" si="188"/>
        <v/>
      </c>
      <c r="FU71" s="194" t="str">
        <f t="shared" ca="1" si="189"/>
        <v/>
      </c>
      <c r="FV71" s="245" t="str">
        <f t="shared" ca="1" si="167"/>
        <v/>
      </c>
      <c r="FW71" s="195" t="str">
        <f t="shared" ca="1" si="190"/>
        <v/>
      </c>
      <c r="FX71" s="195" t="str">
        <f t="shared" ca="1" si="191"/>
        <v/>
      </c>
      <c r="FY71" s="195" t="str">
        <f t="shared" ca="1" si="192"/>
        <v/>
      </c>
      <c r="FZ71" s="195" t="str">
        <f t="shared" ca="1" si="193"/>
        <v/>
      </c>
      <c r="GA71" s="195" t="str">
        <f t="shared" ca="1" si="194"/>
        <v/>
      </c>
      <c r="GB71" s="196" t="str">
        <f ca="1">IF(FY71="","",2+SUM(FO71:OFFSET(FO71,(FU71-1)*-1,0)))</f>
        <v/>
      </c>
      <c r="GC71" s="238" t="e">
        <f t="shared" si="195"/>
        <v>#N/A</v>
      </c>
      <c r="GD71" s="246" t="str">
        <f t="shared" si="168"/>
        <v/>
      </c>
      <c r="GE71" s="247" t="str">
        <f t="shared" si="169"/>
        <v/>
      </c>
      <c r="GF71" s="197" t="str">
        <f t="shared" si="170"/>
        <v/>
      </c>
      <c r="GG71" s="198" t="str">
        <f t="shared" si="171"/>
        <v/>
      </c>
      <c r="GH71" s="198" t="str">
        <f t="shared" si="172"/>
        <v/>
      </c>
      <c r="GI71" s="199" t="str">
        <f t="shared" si="173"/>
        <v/>
      </c>
      <c r="GJ71" s="473">
        <f t="shared" ca="1" si="174"/>
        <v>0</v>
      </c>
      <c r="GK71" s="834" t="str">
        <f t="shared" ca="1" si="196"/>
        <v/>
      </c>
    </row>
    <row r="72" spans="78:193" ht="12.6" hidden="1" customHeight="1" x14ac:dyDescent="0.2">
      <c r="BZ72" s="214"/>
      <c r="CA72" s="214"/>
      <c r="CB72" s="289" t="str">
        <f t="shared" si="101"/>
        <v/>
      </c>
      <c r="CC72" s="290" t="str">
        <f>IF(CG32="","",VLOOKUP(CG32,#REF!,12,FALSE))</f>
        <v/>
      </c>
      <c r="CD72" s="1219" t="str">
        <f>IF(ISBLANK(CN32),IF(CG32="","",VLOOKUP(CG32,#REF!,13,FALSE)),CN32)</f>
        <v/>
      </c>
      <c r="CE72" s="1219" t="str">
        <f>IF(CG32="","",IF(VLOOKUP(CG32,#REF!,5,FALSE)="","R",UPPER(VLOOKUP(CG32,#REF!,5,FALSE))))</f>
        <v/>
      </c>
      <c r="CF72" s="1219" t="str">
        <f>IF(ISBLANK(CP32),IF(CG32="","",VLOOKUP(CG32,#REF!,6,FALSE)),CP32)</f>
        <v/>
      </c>
      <c r="CG72" s="1219" t="str">
        <f>IF(CG32="","",IF(VLOOKUP(CG32,#REF!,10,FALSE)="","",(VLOOKUP(CG32,#REF!,10,FALSE)*-1)))</f>
        <v/>
      </c>
      <c r="CH72" s="1219" t="str">
        <f>IF(CG32="","",IF(VLOOKUP(CG32,#REF!,7,FALSE)="","",(VLOOKUP(CG32,#REF!,7,FALSE)*-1)))</f>
        <v/>
      </c>
      <c r="CI72" s="1219" t="str">
        <f>IF(CG32="","",IF(VLOOKUP(CG32,#REF!,8,FALSE)="",$FC$4,(VLOOKUP(CG32,#REF!,8,FALSE))))</f>
        <v/>
      </c>
      <c r="CJ72" s="1219" t="str">
        <f>IF(CG32="","",VLOOKUP(CG32,#REF!,9,FALSE))</f>
        <v/>
      </c>
      <c r="CK72" s="1220">
        <f t="shared" si="102"/>
        <v>0</v>
      </c>
      <c r="CL72" s="1218" t="str">
        <f>IF(CQ32="","",VLOOKUP(CQ32,#REF!,12,FALSE))</f>
        <v/>
      </c>
      <c r="CM72" s="1219" t="str">
        <f>IF(ISBLANK(CX32),IF(CQ32="","",VLOOKUP(CQ32,#REF!,13,FALSE)),CX32)</f>
        <v/>
      </c>
      <c r="CN72" s="1219" t="str">
        <f>IF(CQ32="","",IF(VLOOKUP(CQ32,#REF!,5,FALSE)="","R",UPPER(VLOOKUP(CQ32,#REF!,5,FALSE))))</f>
        <v/>
      </c>
      <c r="CO72" s="1219" t="str">
        <f>IF(ISBLANK(CZ32),IF(CQ32="","",VLOOKUP(CQ32,#REF!,6,FALSE)),CZ32)</f>
        <v/>
      </c>
      <c r="CP72" s="1219" t="str">
        <f>IF(CQ32="","",IF(VLOOKUP(CQ32,#REF!,10,FALSE)="","",(VLOOKUP(CQ32,#REF!,10,FALSE)*-1)))</f>
        <v/>
      </c>
      <c r="CQ72" s="1219" t="str">
        <f>IF(CQ32="","",IF(VLOOKUP(CQ32,#REF!,7,FALSE)="","",(VLOOKUP(CQ32,#REF!,7,FALSE)*-1)))</f>
        <v/>
      </c>
      <c r="CR72" s="1219" t="str">
        <f>IF(CQ32="","",IF(VLOOKUP(CQ32,#REF!,8,FALSE)="",$FC$4,(VLOOKUP(CQ32,#REF!,8,FALSE))))</f>
        <v/>
      </c>
      <c r="CS72" s="1219" t="str">
        <f>IF(CQ32="","",VLOOKUP(CQ32,#REF!,9,FALSE))</f>
        <v/>
      </c>
      <c r="CT72" s="1220">
        <f t="shared" si="103"/>
        <v>0</v>
      </c>
      <c r="CU72" s="1230">
        <f t="shared" si="104"/>
        <v>0</v>
      </c>
      <c r="CV72" s="1224" t="str">
        <f t="shared" si="105"/>
        <v/>
      </c>
      <c r="CW72" s="1224" t="str">
        <f t="shared" si="106"/>
        <v/>
      </c>
      <c r="CX72" s="1224" t="str">
        <f t="shared" si="107"/>
        <v/>
      </c>
      <c r="CY72" s="1226">
        <f t="shared" si="108"/>
        <v>0</v>
      </c>
      <c r="CZ72" s="1226" t="e">
        <f t="shared" si="109"/>
        <v>#REF!</v>
      </c>
      <c r="DA72" s="1226" t="str">
        <f t="shared" si="110"/>
        <v/>
      </c>
      <c r="DB72" s="1224" t="str">
        <f t="shared" si="175"/>
        <v/>
      </c>
      <c r="DC72" s="1224" t="str">
        <f t="shared" si="111"/>
        <v/>
      </c>
      <c r="DD72" s="814">
        <f t="shared" si="176"/>
        <v>0</v>
      </c>
      <c r="DE72" s="812">
        <f t="shared" si="112"/>
        <v>0</v>
      </c>
      <c r="DF72" s="813" t="e">
        <f t="shared" si="113"/>
        <v>#REF!</v>
      </c>
      <c r="DG72" s="813" t="str">
        <f t="shared" si="114"/>
        <v/>
      </c>
      <c r="DH72" s="1224" t="str">
        <f t="shared" si="177"/>
        <v/>
      </c>
      <c r="DI72" s="1224" t="str">
        <f t="shared" si="115"/>
        <v/>
      </c>
      <c r="DJ72" s="1225">
        <f t="shared" si="178"/>
        <v>0</v>
      </c>
      <c r="DK72" s="1224" t="str">
        <f t="shared" si="116"/>
        <v/>
      </c>
      <c r="DL72" s="1224" t="str">
        <f t="shared" si="117"/>
        <v/>
      </c>
      <c r="DM72" s="1224" t="str">
        <f t="shared" si="118"/>
        <v/>
      </c>
      <c r="DN72" s="1224" t="str">
        <f t="shared" si="119"/>
        <v/>
      </c>
      <c r="DO72" s="828" t="e">
        <f t="shared" si="120"/>
        <v>#REF!</v>
      </c>
      <c r="DP72" s="828" t="e">
        <f t="shared" si="121"/>
        <v>#REF!</v>
      </c>
      <c r="DQ72" s="1224" t="str">
        <f t="shared" si="122"/>
        <v/>
      </c>
      <c r="DR72" s="1224" t="str">
        <f t="shared" si="122"/>
        <v/>
      </c>
      <c r="DS72" s="1224" t="str">
        <f t="shared" si="123"/>
        <v/>
      </c>
      <c r="DT72" s="1224" t="str">
        <f t="shared" si="124"/>
        <v/>
      </c>
      <c r="DU72" s="1224" t="str">
        <f t="shared" si="125"/>
        <v/>
      </c>
      <c r="DV72" s="828" t="e">
        <f t="shared" si="126"/>
        <v>#REF!</v>
      </c>
      <c r="DW72" s="828" t="e">
        <f t="shared" si="127"/>
        <v>#REF!</v>
      </c>
      <c r="DX72" s="812" t="str">
        <f t="shared" si="128"/>
        <v/>
      </c>
      <c r="DY72" s="812" t="str">
        <f t="shared" si="129"/>
        <v/>
      </c>
      <c r="DZ72" s="812" t="str">
        <f t="shared" si="130"/>
        <v/>
      </c>
      <c r="EA72" s="812" t="str">
        <f t="shared" si="131"/>
        <v/>
      </c>
      <c r="EB72" s="815" t="str">
        <f t="shared" si="132"/>
        <v/>
      </c>
      <c r="EC72" s="816" t="str">
        <f t="shared" si="133"/>
        <v/>
      </c>
      <c r="ED72" s="815" t="str">
        <f t="shared" si="134"/>
        <v/>
      </c>
      <c r="EE72" s="815" t="str">
        <f t="shared" si="135"/>
        <v/>
      </c>
      <c r="EF72" s="815" t="str">
        <f t="shared" si="136"/>
        <v/>
      </c>
      <c r="EG72" s="815" t="str">
        <f t="shared" si="137"/>
        <v/>
      </c>
      <c r="EH72" s="815" t="str">
        <f t="shared" si="138"/>
        <v/>
      </c>
      <c r="EI72" s="815" t="str">
        <f t="shared" si="139"/>
        <v/>
      </c>
      <c r="EJ72" s="815" t="str">
        <f t="shared" si="140"/>
        <v/>
      </c>
      <c r="EK72" s="813">
        <f t="shared" si="141"/>
        <v>0</v>
      </c>
      <c r="EL72" s="813">
        <f t="shared" si="142"/>
        <v>0</v>
      </c>
      <c r="EM72" s="813">
        <f t="shared" si="143"/>
        <v>0</v>
      </c>
      <c r="EN72" s="813" t="e">
        <f t="shared" si="144"/>
        <v>#REF!</v>
      </c>
      <c r="EO72" s="812" t="str">
        <f t="shared" si="145"/>
        <v/>
      </c>
      <c r="EP72" s="813">
        <f t="shared" si="146"/>
        <v>0</v>
      </c>
      <c r="EQ72" s="813">
        <f t="shared" si="147"/>
        <v>0</v>
      </c>
      <c r="ER72" s="813">
        <f t="shared" si="148"/>
        <v>0</v>
      </c>
      <c r="ES72" s="813" t="e">
        <f t="shared" si="149"/>
        <v>#REF!</v>
      </c>
      <c r="ET72" s="812" t="str">
        <f t="shared" si="150"/>
        <v/>
      </c>
      <c r="EU72" s="812" t="e">
        <f t="shared" si="151"/>
        <v>#REF!</v>
      </c>
      <c r="EV72" s="815" t="e">
        <f t="shared" si="152"/>
        <v>#VALUE!</v>
      </c>
      <c r="EW72" s="815" t="e">
        <f t="shared" si="153"/>
        <v>#VALUE!</v>
      </c>
      <c r="EX72" s="817" t="str">
        <f t="shared" si="154"/>
        <v/>
      </c>
      <c r="EY72" s="818" t="e">
        <f t="shared" si="155"/>
        <v>#DIV/0!</v>
      </c>
      <c r="EZ72" s="893" t="e">
        <f t="shared" si="156"/>
        <v>#DIV/0!</v>
      </c>
      <c r="FA72" s="894" t="e">
        <f t="shared" si="157"/>
        <v>#DIV/0!</v>
      </c>
      <c r="FB72" s="819" t="str">
        <f t="shared" si="158"/>
        <v/>
      </c>
      <c r="FC72" s="820" t="str">
        <f t="shared" si="159"/>
        <v/>
      </c>
      <c r="FD72" s="829">
        <f t="shared" si="160"/>
        <v>0</v>
      </c>
      <c r="FE72" s="774">
        <f t="shared" si="161"/>
        <v>0</v>
      </c>
      <c r="FF72" s="703" t="b">
        <f t="shared" si="162"/>
        <v>0</v>
      </c>
      <c r="FG72" s="703" t="b">
        <f t="shared" si="163"/>
        <v>0</v>
      </c>
      <c r="FH72" s="703" t="b">
        <f t="shared" si="164"/>
        <v>0</v>
      </c>
      <c r="FI72" s="703" t="b">
        <f t="shared" si="165"/>
        <v>0</v>
      </c>
      <c r="FJ72" s="849" t="str">
        <f t="shared" si="179"/>
        <v/>
      </c>
      <c r="FK72" s="848" t="str">
        <f t="shared" si="180"/>
        <v/>
      </c>
      <c r="FL72" s="242" t="e">
        <f t="shared" si="181"/>
        <v>#N/A</v>
      </c>
      <c r="FM72" s="234" t="str">
        <f t="shared" si="166"/>
        <v/>
      </c>
      <c r="FN72" s="191" t="str">
        <f t="shared" ca="1" si="182"/>
        <v/>
      </c>
      <c r="FO72" s="192" t="str">
        <f t="shared" ca="1" si="183"/>
        <v/>
      </c>
      <c r="FP72" s="193" t="str">
        <f t="shared" ca="1" si="184"/>
        <v/>
      </c>
      <c r="FQ72" s="193" t="str">
        <f t="shared" ca="1" si="185"/>
        <v/>
      </c>
      <c r="FR72" s="243">
        <f t="shared" ca="1" si="186"/>
        <v>0</v>
      </c>
      <c r="FS72" s="244">
        <f t="shared" ca="1" si="187"/>
        <v>0</v>
      </c>
      <c r="FT72" s="191" t="str">
        <f t="shared" ca="1" si="188"/>
        <v/>
      </c>
      <c r="FU72" s="194" t="str">
        <f t="shared" ca="1" si="189"/>
        <v/>
      </c>
      <c r="FV72" s="245" t="str">
        <f t="shared" ca="1" si="167"/>
        <v/>
      </c>
      <c r="FW72" s="195" t="str">
        <f t="shared" ca="1" si="190"/>
        <v/>
      </c>
      <c r="FX72" s="195" t="str">
        <f t="shared" ca="1" si="191"/>
        <v/>
      </c>
      <c r="FY72" s="195" t="str">
        <f t="shared" ca="1" si="192"/>
        <v/>
      </c>
      <c r="FZ72" s="195" t="str">
        <f t="shared" ca="1" si="193"/>
        <v/>
      </c>
      <c r="GA72" s="195" t="str">
        <f t="shared" ca="1" si="194"/>
        <v/>
      </c>
      <c r="GB72" s="196" t="str">
        <f ca="1">IF(FY72="","",2+SUM(FO72:OFFSET(FO72,(FU72-1)*-1,0)))</f>
        <v/>
      </c>
      <c r="GC72" s="238" t="e">
        <f t="shared" si="195"/>
        <v>#N/A</v>
      </c>
      <c r="GD72" s="246" t="str">
        <f t="shared" si="168"/>
        <v/>
      </c>
      <c r="GE72" s="247" t="str">
        <f t="shared" si="169"/>
        <v/>
      </c>
      <c r="GF72" s="197" t="str">
        <f t="shared" si="170"/>
        <v/>
      </c>
      <c r="GG72" s="198" t="str">
        <f t="shared" si="171"/>
        <v/>
      </c>
      <c r="GH72" s="198" t="str">
        <f t="shared" si="172"/>
        <v/>
      </c>
      <c r="GI72" s="199" t="str">
        <f t="shared" si="173"/>
        <v/>
      </c>
      <c r="GJ72" s="473">
        <f t="shared" ca="1" si="174"/>
        <v>0</v>
      </c>
      <c r="GK72" s="834" t="str">
        <f t="shared" ca="1" si="196"/>
        <v/>
      </c>
    </row>
    <row r="73" spans="78:193" ht="12.6" hidden="1" customHeight="1" x14ac:dyDescent="0.2">
      <c r="BZ73" s="214"/>
      <c r="CA73" s="214"/>
      <c r="CB73" s="289" t="str">
        <f t="shared" si="101"/>
        <v/>
      </c>
      <c r="CC73" s="290" t="str">
        <f>IF(CG33="","",VLOOKUP(CG33,#REF!,12,FALSE))</f>
        <v/>
      </c>
      <c r="CD73" s="1219" t="str">
        <f>IF(ISBLANK(CN33),IF(CG33="","",VLOOKUP(CG33,#REF!,13,FALSE)),CN33)</f>
        <v/>
      </c>
      <c r="CE73" s="1219" t="str">
        <f>IF(CG33="","",IF(VLOOKUP(CG33,#REF!,5,FALSE)="","R",UPPER(VLOOKUP(CG33,#REF!,5,FALSE))))</f>
        <v/>
      </c>
      <c r="CF73" s="1219" t="str">
        <f>IF(ISBLANK(CP33),IF(CG33="","",VLOOKUP(CG33,#REF!,6,FALSE)),CP33)</f>
        <v/>
      </c>
      <c r="CG73" s="1219" t="str">
        <f>IF(CG33="","",IF(VLOOKUP(CG33,#REF!,10,FALSE)="","",(VLOOKUP(CG33,#REF!,10,FALSE)*-1)))</f>
        <v/>
      </c>
      <c r="CH73" s="1219" t="str">
        <f>IF(CG33="","",IF(VLOOKUP(CG33,#REF!,7,FALSE)="","",(VLOOKUP(CG33,#REF!,7,FALSE)*-1)))</f>
        <v/>
      </c>
      <c r="CI73" s="1219" t="str">
        <f>IF(CG33="","",IF(VLOOKUP(CG33,#REF!,8,FALSE)="",$FC$4,(VLOOKUP(CG33,#REF!,8,FALSE))))</f>
        <v/>
      </c>
      <c r="CJ73" s="1219" t="str">
        <f>IF(CG33="","",VLOOKUP(CG33,#REF!,9,FALSE))</f>
        <v/>
      </c>
      <c r="CK73" s="1220">
        <f t="shared" si="102"/>
        <v>0</v>
      </c>
      <c r="CL73" s="1218" t="str">
        <f>IF(CQ33="","",VLOOKUP(CQ33,#REF!,12,FALSE))</f>
        <v/>
      </c>
      <c r="CM73" s="1219" t="str">
        <f>IF(ISBLANK(CX33),IF(CQ33="","",VLOOKUP(CQ33,#REF!,13,FALSE)),CX33)</f>
        <v/>
      </c>
      <c r="CN73" s="1219" t="str">
        <f>IF(CQ33="","",IF(VLOOKUP(CQ33,#REF!,5,FALSE)="","R",UPPER(VLOOKUP(CQ33,#REF!,5,FALSE))))</f>
        <v/>
      </c>
      <c r="CO73" s="1219" t="str">
        <f>IF(ISBLANK(CZ33),IF(CQ33="","",VLOOKUP(CQ33,#REF!,6,FALSE)),CZ33)</f>
        <v/>
      </c>
      <c r="CP73" s="1219" t="str">
        <f>IF(CQ33="","",IF(VLOOKUP(CQ33,#REF!,10,FALSE)="","",(VLOOKUP(CQ33,#REF!,10,FALSE)*-1)))</f>
        <v/>
      </c>
      <c r="CQ73" s="1219" t="str">
        <f>IF(CQ33="","",IF(VLOOKUP(CQ33,#REF!,7,FALSE)="","",(VLOOKUP(CQ33,#REF!,7,FALSE)*-1)))</f>
        <v/>
      </c>
      <c r="CR73" s="1219" t="str">
        <f>IF(CQ33="","",IF(VLOOKUP(CQ33,#REF!,8,FALSE)="",$FC$4,(VLOOKUP(CQ33,#REF!,8,FALSE))))</f>
        <v/>
      </c>
      <c r="CS73" s="1219" t="str">
        <f>IF(CQ33="","",VLOOKUP(CQ33,#REF!,9,FALSE))</f>
        <v/>
      </c>
      <c r="CT73" s="1220">
        <f t="shared" si="103"/>
        <v>0</v>
      </c>
      <c r="CU73" s="1230">
        <f t="shared" si="104"/>
        <v>0</v>
      </c>
      <c r="CV73" s="1224" t="str">
        <f t="shared" si="105"/>
        <v/>
      </c>
      <c r="CW73" s="1224" t="str">
        <f t="shared" si="106"/>
        <v/>
      </c>
      <c r="CX73" s="1224" t="str">
        <f t="shared" si="107"/>
        <v/>
      </c>
      <c r="CY73" s="1226">
        <f t="shared" si="108"/>
        <v>0</v>
      </c>
      <c r="CZ73" s="1226" t="e">
        <f t="shared" si="109"/>
        <v>#REF!</v>
      </c>
      <c r="DA73" s="1226" t="str">
        <f t="shared" si="110"/>
        <v/>
      </c>
      <c r="DB73" s="1224" t="str">
        <f t="shared" si="175"/>
        <v/>
      </c>
      <c r="DC73" s="1224" t="str">
        <f t="shared" si="111"/>
        <v/>
      </c>
      <c r="DD73" s="814">
        <f t="shared" si="176"/>
        <v>0</v>
      </c>
      <c r="DE73" s="812">
        <f t="shared" si="112"/>
        <v>0</v>
      </c>
      <c r="DF73" s="813" t="e">
        <f t="shared" si="113"/>
        <v>#REF!</v>
      </c>
      <c r="DG73" s="813" t="str">
        <f t="shared" si="114"/>
        <v/>
      </c>
      <c r="DH73" s="1224" t="str">
        <f t="shared" si="177"/>
        <v/>
      </c>
      <c r="DI73" s="1224" t="str">
        <f t="shared" si="115"/>
        <v/>
      </c>
      <c r="DJ73" s="1225">
        <f t="shared" si="178"/>
        <v>0</v>
      </c>
      <c r="DK73" s="1224" t="str">
        <f t="shared" si="116"/>
        <v/>
      </c>
      <c r="DL73" s="1224" t="str">
        <f t="shared" si="117"/>
        <v/>
      </c>
      <c r="DM73" s="1224" t="str">
        <f t="shared" si="118"/>
        <v/>
      </c>
      <c r="DN73" s="1224" t="str">
        <f t="shared" si="119"/>
        <v/>
      </c>
      <c r="DO73" s="828" t="e">
        <f t="shared" si="120"/>
        <v>#REF!</v>
      </c>
      <c r="DP73" s="828" t="e">
        <f t="shared" si="121"/>
        <v>#REF!</v>
      </c>
      <c r="DQ73" s="1224" t="str">
        <f t="shared" si="122"/>
        <v/>
      </c>
      <c r="DR73" s="1224" t="str">
        <f t="shared" si="122"/>
        <v/>
      </c>
      <c r="DS73" s="1224" t="str">
        <f t="shared" si="123"/>
        <v/>
      </c>
      <c r="DT73" s="1224" t="str">
        <f t="shared" si="124"/>
        <v/>
      </c>
      <c r="DU73" s="1224" t="str">
        <f t="shared" si="125"/>
        <v/>
      </c>
      <c r="DV73" s="828" t="e">
        <f t="shared" si="126"/>
        <v>#REF!</v>
      </c>
      <c r="DW73" s="828" t="e">
        <f t="shared" si="127"/>
        <v>#REF!</v>
      </c>
      <c r="DX73" s="812" t="str">
        <f t="shared" si="128"/>
        <v/>
      </c>
      <c r="DY73" s="812" t="str">
        <f t="shared" si="129"/>
        <v/>
      </c>
      <c r="DZ73" s="812" t="str">
        <f t="shared" si="130"/>
        <v/>
      </c>
      <c r="EA73" s="812" t="str">
        <f t="shared" si="131"/>
        <v/>
      </c>
      <c r="EB73" s="815" t="str">
        <f t="shared" si="132"/>
        <v/>
      </c>
      <c r="EC73" s="816" t="str">
        <f t="shared" si="133"/>
        <v/>
      </c>
      <c r="ED73" s="815" t="str">
        <f t="shared" si="134"/>
        <v/>
      </c>
      <c r="EE73" s="815" t="str">
        <f t="shared" si="135"/>
        <v/>
      </c>
      <c r="EF73" s="815" t="str">
        <f t="shared" si="136"/>
        <v/>
      </c>
      <c r="EG73" s="815" t="str">
        <f t="shared" si="137"/>
        <v/>
      </c>
      <c r="EH73" s="815" t="str">
        <f t="shared" si="138"/>
        <v/>
      </c>
      <c r="EI73" s="815" t="str">
        <f t="shared" si="139"/>
        <v/>
      </c>
      <c r="EJ73" s="815" t="str">
        <f t="shared" si="140"/>
        <v/>
      </c>
      <c r="EK73" s="813">
        <f t="shared" si="141"/>
        <v>0</v>
      </c>
      <c r="EL73" s="813">
        <f t="shared" si="142"/>
        <v>0</v>
      </c>
      <c r="EM73" s="813">
        <f t="shared" si="143"/>
        <v>0</v>
      </c>
      <c r="EN73" s="813" t="e">
        <f t="shared" si="144"/>
        <v>#REF!</v>
      </c>
      <c r="EO73" s="812" t="str">
        <f t="shared" si="145"/>
        <v/>
      </c>
      <c r="EP73" s="813">
        <f t="shared" si="146"/>
        <v>0</v>
      </c>
      <c r="EQ73" s="813">
        <f t="shared" si="147"/>
        <v>0</v>
      </c>
      <c r="ER73" s="813">
        <f t="shared" si="148"/>
        <v>0</v>
      </c>
      <c r="ES73" s="813" t="e">
        <f t="shared" si="149"/>
        <v>#REF!</v>
      </c>
      <c r="ET73" s="812" t="str">
        <f t="shared" si="150"/>
        <v/>
      </c>
      <c r="EU73" s="812" t="e">
        <f t="shared" si="151"/>
        <v>#REF!</v>
      </c>
      <c r="EV73" s="815" t="e">
        <f t="shared" si="152"/>
        <v>#VALUE!</v>
      </c>
      <c r="EW73" s="815" t="e">
        <f t="shared" si="153"/>
        <v>#VALUE!</v>
      </c>
      <c r="EX73" s="817" t="str">
        <f t="shared" si="154"/>
        <v/>
      </c>
      <c r="EY73" s="818" t="e">
        <f t="shared" si="155"/>
        <v>#DIV/0!</v>
      </c>
      <c r="EZ73" s="893" t="e">
        <f t="shared" si="156"/>
        <v>#DIV/0!</v>
      </c>
      <c r="FA73" s="894" t="e">
        <f t="shared" si="157"/>
        <v>#DIV/0!</v>
      </c>
      <c r="FB73" s="819" t="str">
        <f t="shared" si="158"/>
        <v/>
      </c>
      <c r="FC73" s="820" t="str">
        <f t="shared" si="159"/>
        <v/>
      </c>
      <c r="FD73" s="829">
        <f t="shared" si="160"/>
        <v>0</v>
      </c>
      <c r="FE73" s="774">
        <f t="shared" si="161"/>
        <v>0</v>
      </c>
      <c r="FF73" s="703" t="b">
        <f t="shared" si="162"/>
        <v>0</v>
      </c>
      <c r="FG73" s="703" t="b">
        <f t="shared" si="163"/>
        <v>0</v>
      </c>
      <c r="FH73" s="703" t="b">
        <f t="shared" si="164"/>
        <v>0</v>
      </c>
      <c r="FI73" s="703" t="b">
        <f t="shared" si="165"/>
        <v>0</v>
      </c>
      <c r="FJ73" s="849" t="str">
        <f t="shared" si="179"/>
        <v/>
      </c>
      <c r="FK73" s="848" t="str">
        <f t="shared" si="180"/>
        <v/>
      </c>
      <c r="FL73" s="242" t="e">
        <f t="shared" si="181"/>
        <v>#N/A</v>
      </c>
      <c r="FM73" s="234" t="str">
        <f t="shared" si="166"/>
        <v/>
      </c>
      <c r="FN73" s="191" t="str">
        <f t="shared" ca="1" si="182"/>
        <v/>
      </c>
      <c r="FO73" s="192" t="str">
        <f t="shared" ca="1" si="183"/>
        <v/>
      </c>
      <c r="FP73" s="193" t="str">
        <f t="shared" ca="1" si="184"/>
        <v/>
      </c>
      <c r="FQ73" s="193" t="str">
        <f t="shared" ca="1" si="185"/>
        <v/>
      </c>
      <c r="FR73" s="243">
        <f t="shared" ca="1" si="186"/>
        <v>0</v>
      </c>
      <c r="FS73" s="244">
        <f t="shared" ca="1" si="187"/>
        <v>0</v>
      </c>
      <c r="FT73" s="191" t="str">
        <f t="shared" ca="1" si="188"/>
        <v/>
      </c>
      <c r="FU73" s="194" t="str">
        <f t="shared" ca="1" si="189"/>
        <v/>
      </c>
      <c r="FV73" s="245" t="str">
        <f t="shared" ca="1" si="167"/>
        <v/>
      </c>
      <c r="FW73" s="195" t="str">
        <f t="shared" ca="1" si="190"/>
        <v/>
      </c>
      <c r="FX73" s="195" t="str">
        <f t="shared" ca="1" si="191"/>
        <v/>
      </c>
      <c r="FY73" s="195" t="str">
        <f t="shared" ca="1" si="192"/>
        <v/>
      </c>
      <c r="FZ73" s="195" t="str">
        <f t="shared" ca="1" si="193"/>
        <v/>
      </c>
      <c r="GA73" s="195" t="str">
        <f t="shared" ca="1" si="194"/>
        <v/>
      </c>
      <c r="GB73" s="196" t="str">
        <f ca="1">IF(FY73="","",2+SUM(FO73:OFFSET(FO73,(FU73-1)*-1,0)))</f>
        <v/>
      </c>
      <c r="GC73" s="238" t="e">
        <f t="shared" si="195"/>
        <v>#N/A</v>
      </c>
      <c r="GD73" s="246" t="str">
        <f t="shared" si="168"/>
        <v/>
      </c>
      <c r="GE73" s="247" t="str">
        <f t="shared" si="169"/>
        <v/>
      </c>
      <c r="GF73" s="197" t="str">
        <f t="shared" si="170"/>
        <v/>
      </c>
      <c r="GG73" s="198" t="str">
        <f t="shared" si="171"/>
        <v/>
      </c>
      <c r="GH73" s="198" t="str">
        <f t="shared" si="172"/>
        <v/>
      </c>
      <c r="GI73" s="199" t="str">
        <f t="shared" si="173"/>
        <v/>
      </c>
      <c r="GJ73" s="473">
        <f t="shared" ca="1" si="174"/>
        <v>0</v>
      </c>
      <c r="GK73" s="834" t="str">
        <f t="shared" ca="1" si="196"/>
        <v/>
      </c>
    </row>
    <row r="74" spans="78:193" ht="12.6" hidden="1" customHeight="1" x14ac:dyDescent="0.2">
      <c r="BZ74" s="214"/>
      <c r="CA74" s="214"/>
      <c r="CB74" s="289" t="str">
        <f t="shared" si="101"/>
        <v/>
      </c>
      <c r="CC74" s="290" t="str">
        <f>IF(CG34="","",VLOOKUP(CG34,#REF!,12,FALSE))</f>
        <v/>
      </c>
      <c r="CD74" s="1219" t="str">
        <f>IF(ISBLANK(CN34),IF(CG34="","",VLOOKUP(CG34,#REF!,13,FALSE)),CN34)</f>
        <v/>
      </c>
      <c r="CE74" s="1219" t="str">
        <f>IF(CG34="","",IF(VLOOKUP(CG34,#REF!,5,FALSE)="","R",UPPER(VLOOKUP(CG34,#REF!,5,FALSE))))</f>
        <v/>
      </c>
      <c r="CF74" s="1219" t="str">
        <f>IF(ISBLANK(CP34),IF(CG34="","",VLOOKUP(CG34,#REF!,6,FALSE)),CP34)</f>
        <v/>
      </c>
      <c r="CG74" s="1219" t="str">
        <f>IF(CG34="","",IF(VLOOKUP(CG34,#REF!,10,FALSE)="","",(VLOOKUP(CG34,#REF!,10,FALSE)*-1)))</f>
        <v/>
      </c>
      <c r="CH74" s="1219" t="str">
        <f>IF(CG34="","",IF(VLOOKUP(CG34,#REF!,7,FALSE)="","",(VLOOKUP(CG34,#REF!,7,FALSE)*-1)))</f>
        <v/>
      </c>
      <c r="CI74" s="1219" t="str">
        <f>IF(CG34="","",IF(VLOOKUP(CG34,#REF!,8,FALSE)="",$FC$4,(VLOOKUP(CG34,#REF!,8,FALSE))))</f>
        <v/>
      </c>
      <c r="CJ74" s="1219" t="str">
        <f>IF(CG34="","",VLOOKUP(CG34,#REF!,9,FALSE))</f>
        <v/>
      </c>
      <c r="CK74" s="1220">
        <f t="shared" si="102"/>
        <v>0</v>
      </c>
      <c r="CL74" s="1218" t="str">
        <f>IF(CQ34="","",VLOOKUP(CQ34,#REF!,12,FALSE))</f>
        <v/>
      </c>
      <c r="CM74" s="1219" t="str">
        <f>IF(ISBLANK(CX34),IF(CQ34="","",VLOOKUP(CQ34,#REF!,13,FALSE)),CX34)</f>
        <v/>
      </c>
      <c r="CN74" s="1219" t="str">
        <f>IF(CQ34="","",IF(VLOOKUP(CQ34,#REF!,5,FALSE)="","R",UPPER(VLOOKUP(CQ34,#REF!,5,FALSE))))</f>
        <v/>
      </c>
      <c r="CO74" s="1219" t="str">
        <f>IF(ISBLANK(CZ34),IF(CQ34="","",VLOOKUP(CQ34,#REF!,6,FALSE)),CZ34)</f>
        <v/>
      </c>
      <c r="CP74" s="1219" t="str">
        <f>IF(CQ34="","",IF(VLOOKUP(CQ34,#REF!,10,FALSE)="","",(VLOOKUP(CQ34,#REF!,10,FALSE)*-1)))</f>
        <v/>
      </c>
      <c r="CQ74" s="1219" t="str">
        <f>IF(CQ34="","",IF(VLOOKUP(CQ34,#REF!,7,FALSE)="","",(VLOOKUP(CQ34,#REF!,7,FALSE)*-1)))</f>
        <v/>
      </c>
      <c r="CR74" s="1219" t="str">
        <f>IF(CQ34="","",IF(VLOOKUP(CQ34,#REF!,8,FALSE)="",$FC$4,(VLOOKUP(CQ34,#REF!,8,FALSE))))</f>
        <v/>
      </c>
      <c r="CS74" s="1219" t="str">
        <f>IF(CQ34="","",VLOOKUP(CQ34,#REF!,9,FALSE))</f>
        <v/>
      </c>
      <c r="CT74" s="1220">
        <f t="shared" si="103"/>
        <v>0</v>
      </c>
      <c r="CU74" s="1230">
        <f t="shared" si="104"/>
        <v>0</v>
      </c>
      <c r="CV74" s="1224" t="str">
        <f t="shared" si="105"/>
        <v/>
      </c>
      <c r="CW74" s="1224" t="str">
        <f t="shared" si="106"/>
        <v/>
      </c>
      <c r="CX74" s="1224" t="str">
        <f t="shared" si="107"/>
        <v/>
      </c>
      <c r="CY74" s="1226">
        <f t="shared" si="108"/>
        <v>0</v>
      </c>
      <c r="CZ74" s="1226" t="e">
        <f t="shared" si="109"/>
        <v>#REF!</v>
      </c>
      <c r="DA74" s="1226" t="str">
        <f t="shared" si="110"/>
        <v/>
      </c>
      <c r="DB74" s="1224" t="str">
        <f t="shared" si="175"/>
        <v/>
      </c>
      <c r="DC74" s="1224" t="str">
        <f t="shared" si="111"/>
        <v/>
      </c>
      <c r="DD74" s="814">
        <f t="shared" si="176"/>
        <v>0</v>
      </c>
      <c r="DE74" s="812">
        <f t="shared" si="112"/>
        <v>0</v>
      </c>
      <c r="DF74" s="813" t="e">
        <f t="shared" si="113"/>
        <v>#REF!</v>
      </c>
      <c r="DG74" s="813" t="str">
        <f t="shared" si="114"/>
        <v/>
      </c>
      <c r="DH74" s="1224" t="str">
        <f t="shared" si="177"/>
        <v/>
      </c>
      <c r="DI74" s="1224" t="str">
        <f t="shared" si="115"/>
        <v/>
      </c>
      <c r="DJ74" s="1225">
        <f t="shared" si="178"/>
        <v>0</v>
      </c>
      <c r="DK74" s="1224" t="str">
        <f t="shared" si="116"/>
        <v/>
      </c>
      <c r="DL74" s="1224" t="str">
        <f t="shared" si="117"/>
        <v/>
      </c>
      <c r="DM74" s="1224" t="str">
        <f t="shared" si="118"/>
        <v/>
      </c>
      <c r="DN74" s="1224" t="str">
        <f t="shared" si="119"/>
        <v/>
      </c>
      <c r="DO74" s="828" t="e">
        <f t="shared" si="120"/>
        <v>#REF!</v>
      </c>
      <c r="DP74" s="828" t="e">
        <f t="shared" si="121"/>
        <v>#REF!</v>
      </c>
      <c r="DQ74" s="1224" t="str">
        <f t="shared" si="122"/>
        <v/>
      </c>
      <c r="DR74" s="1224" t="str">
        <f t="shared" si="122"/>
        <v/>
      </c>
      <c r="DS74" s="1224" t="str">
        <f t="shared" si="123"/>
        <v/>
      </c>
      <c r="DT74" s="1224" t="str">
        <f t="shared" si="124"/>
        <v/>
      </c>
      <c r="DU74" s="1224" t="str">
        <f t="shared" si="125"/>
        <v/>
      </c>
      <c r="DV74" s="828" t="e">
        <f t="shared" si="126"/>
        <v>#REF!</v>
      </c>
      <c r="DW74" s="828" t="e">
        <f t="shared" si="127"/>
        <v>#REF!</v>
      </c>
      <c r="DX74" s="812" t="str">
        <f t="shared" si="128"/>
        <v/>
      </c>
      <c r="DY74" s="812" t="str">
        <f t="shared" si="129"/>
        <v/>
      </c>
      <c r="DZ74" s="812" t="str">
        <f t="shared" si="130"/>
        <v/>
      </c>
      <c r="EA74" s="812" t="str">
        <f t="shared" si="131"/>
        <v/>
      </c>
      <c r="EB74" s="815" t="str">
        <f t="shared" si="132"/>
        <v/>
      </c>
      <c r="EC74" s="816" t="str">
        <f t="shared" si="133"/>
        <v/>
      </c>
      <c r="ED74" s="815" t="str">
        <f t="shared" si="134"/>
        <v/>
      </c>
      <c r="EE74" s="815" t="str">
        <f t="shared" si="135"/>
        <v/>
      </c>
      <c r="EF74" s="815" t="str">
        <f t="shared" si="136"/>
        <v/>
      </c>
      <c r="EG74" s="815" t="str">
        <f t="shared" si="137"/>
        <v/>
      </c>
      <c r="EH74" s="815" t="str">
        <f t="shared" si="138"/>
        <v/>
      </c>
      <c r="EI74" s="815" t="str">
        <f t="shared" si="139"/>
        <v/>
      </c>
      <c r="EJ74" s="815" t="str">
        <f t="shared" si="140"/>
        <v/>
      </c>
      <c r="EK74" s="813">
        <f t="shared" si="141"/>
        <v>0</v>
      </c>
      <c r="EL74" s="813">
        <f t="shared" si="142"/>
        <v>0</v>
      </c>
      <c r="EM74" s="813">
        <f t="shared" si="143"/>
        <v>0</v>
      </c>
      <c r="EN74" s="813" t="e">
        <f t="shared" si="144"/>
        <v>#REF!</v>
      </c>
      <c r="EO74" s="812" t="str">
        <f t="shared" si="145"/>
        <v/>
      </c>
      <c r="EP74" s="813">
        <f t="shared" si="146"/>
        <v>0</v>
      </c>
      <c r="EQ74" s="813">
        <f t="shared" si="147"/>
        <v>0</v>
      </c>
      <c r="ER74" s="813">
        <f t="shared" si="148"/>
        <v>0</v>
      </c>
      <c r="ES74" s="813" t="e">
        <f t="shared" si="149"/>
        <v>#REF!</v>
      </c>
      <c r="ET74" s="812" t="str">
        <f t="shared" si="150"/>
        <v/>
      </c>
      <c r="EU74" s="812" t="e">
        <f t="shared" si="151"/>
        <v>#REF!</v>
      </c>
      <c r="EV74" s="815" t="e">
        <f t="shared" si="152"/>
        <v>#VALUE!</v>
      </c>
      <c r="EW74" s="815" t="e">
        <f t="shared" si="153"/>
        <v>#VALUE!</v>
      </c>
      <c r="EX74" s="817" t="str">
        <f t="shared" si="154"/>
        <v/>
      </c>
      <c r="EY74" s="818" t="e">
        <f t="shared" si="155"/>
        <v>#DIV/0!</v>
      </c>
      <c r="EZ74" s="893" t="e">
        <f t="shared" si="156"/>
        <v>#DIV/0!</v>
      </c>
      <c r="FA74" s="894" t="e">
        <f t="shared" si="157"/>
        <v>#DIV/0!</v>
      </c>
      <c r="FB74" s="819" t="str">
        <f t="shared" si="158"/>
        <v/>
      </c>
      <c r="FC74" s="820" t="str">
        <f t="shared" si="159"/>
        <v/>
      </c>
      <c r="FD74" s="829">
        <f t="shared" si="160"/>
        <v>0</v>
      </c>
      <c r="FE74" s="774">
        <f t="shared" si="161"/>
        <v>0</v>
      </c>
      <c r="FF74" s="703" t="b">
        <f t="shared" si="162"/>
        <v>0</v>
      </c>
      <c r="FG74" s="703" t="b">
        <f t="shared" si="163"/>
        <v>0</v>
      </c>
      <c r="FH74" s="703" t="b">
        <f t="shared" si="164"/>
        <v>0</v>
      </c>
      <c r="FI74" s="703" t="b">
        <f t="shared" si="165"/>
        <v>0</v>
      </c>
      <c r="FJ74" s="849" t="str">
        <f t="shared" si="179"/>
        <v/>
      </c>
      <c r="FK74" s="848" t="str">
        <f t="shared" si="180"/>
        <v/>
      </c>
      <c r="FL74" s="242" t="e">
        <f t="shared" si="181"/>
        <v>#N/A</v>
      </c>
      <c r="FM74" s="234" t="str">
        <f t="shared" si="166"/>
        <v/>
      </c>
      <c r="FN74" s="191" t="str">
        <f t="shared" ca="1" si="182"/>
        <v/>
      </c>
      <c r="FO74" s="192" t="str">
        <f t="shared" ca="1" si="183"/>
        <v/>
      </c>
      <c r="FP74" s="193" t="str">
        <f t="shared" ca="1" si="184"/>
        <v/>
      </c>
      <c r="FQ74" s="193" t="str">
        <f t="shared" ca="1" si="185"/>
        <v/>
      </c>
      <c r="FR74" s="243">
        <f t="shared" ca="1" si="186"/>
        <v>0</v>
      </c>
      <c r="FS74" s="244">
        <f t="shared" ca="1" si="187"/>
        <v>0</v>
      </c>
      <c r="FT74" s="191" t="str">
        <f t="shared" ca="1" si="188"/>
        <v/>
      </c>
      <c r="FU74" s="194" t="str">
        <f t="shared" ca="1" si="189"/>
        <v/>
      </c>
      <c r="FV74" s="245" t="str">
        <f t="shared" ca="1" si="167"/>
        <v/>
      </c>
      <c r="FW74" s="195" t="str">
        <f t="shared" ca="1" si="190"/>
        <v/>
      </c>
      <c r="FX74" s="195" t="str">
        <f t="shared" ca="1" si="191"/>
        <v/>
      </c>
      <c r="FY74" s="195" t="str">
        <f t="shared" ca="1" si="192"/>
        <v/>
      </c>
      <c r="FZ74" s="195" t="str">
        <f t="shared" ca="1" si="193"/>
        <v/>
      </c>
      <c r="GA74" s="195" t="str">
        <f t="shared" ca="1" si="194"/>
        <v/>
      </c>
      <c r="GB74" s="196" t="str">
        <f ca="1">IF(FY74="","",2+SUM(FO74:OFFSET(FO74,(FU74-1)*-1,0)))</f>
        <v/>
      </c>
      <c r="GC74" s="238" t="e">
        <f t="shared" si="195"/>
        <v>#N/A</v>
      </c>
      <c r="GD74" s="246" t="str">
        <f t="shared" si="168"/>
        <v/>
      </c>
      <c r="GE74" s="247" t="str">
        <f t="shared" si="169"/>
        <v/>
      </c>
      <c r="GF74" s="197" t="str">
        <f t="shared" si="170"/>
        <v/>
      </c>
      <c r="GG74" s="198" t="str">
        <f t="shared" si="171"/>
        <v/>
      </c>
      <c r="GH74" s="198" t="str">
        <f t="shared" si="172"/>
        <v/>
      </c>
      <c r="GI74" s="199" t="str">
        <f t="shared" si="173"/>
        <v/>
      </c>
      <c r="GJ74" s="473">
        <f t="shared" ca="1" si="174"/>
        <v>0</v>
      </c>
      <c r="GK74" s="834" t="str">
        <f t="shared" ca="1" si="196"/>
        <v/>
      </c>
    </row>
    <row r="75" spans="78:193" ht="12.6" hidden="1" customHeight="1" x14ac:dyDescent="0.2">
      <c r="BZ75" s="214"/>
      <c r="CA75" s="214"/>
      <c r="CB75" s="289" t="str">
        <f t="shared" si="101"/>
        <v/>
      </c>
      <c r="CC75" s="290" t="str">
        <f>IF(CG35="","",VLOOKUP(CG35,#REF!,12,FALSE))</f>
        <v/>
      </c>
      <c r="CD75" s="1219" t="str">
        <f>IF(ISBLANK(CN35),IF(CG35="","",VLOOKUP(CG35,#REF!,13,FALSE)),CN35)</f>
        <v/>
      </c>
      <c r="CE75" s="1219" t="str">
        <f>IF(CG35="","",IF(VLOOKUP(CG35,#REF!,5,FALSE)="","R",UPPER(VLOOKUP(CG35,#REF!,5,FALSE))))</f>
        <v/>
      </c>
      <c r="CF75" s="1219" t="str">
        <f>IF(ISBLANK(CP35),IF(CG35="","",VLOOKUP(CG35,#REF!,6,FALSE)),CP35)</f>
        <v/>
      </c>
      <c r="CG75" s="1219" t="str">
        <f>IF(CG35="","",IF(VLOOKUP(CG35,#REF!,10,FALSE)="","",(VLOOKUP(CG35,#REF!,10,FALSE)*-1)))</f>
        <v/>
      </c>
      <c r="CH75" s="1219" t="str">
        <f>IF(CG35="","",IF(VLOOKUP(CG35,#REF!,7,FALSE)="","",(VLOOKUP(CG35,#REF!,7,FALSE)*-1)))</f>
        <v/>
      </c>
      <c r="CI75" s="1219" t="str">
        <f>IF(CG35="","",IF(VLOOKUP(CG35,#REF!,8,FALSE)="",$FC$4,(VLOOKUP(CG35,#REF!,8,FALSE))))</f>
        <v/>
      </c>
      <c r="CJ75" s="1219" t="str">
        <f>IF(CG35="","",VLOOKUP(CG35,#REF!,9,FALSE))</f>
        <v/>
      </c>
      <c r="CK75" s="1220">
        <f t="shared" si="102"/>
        <v>0</v>
      </c>
      <c r="CL75" s="1218" t="str">
        <f>IF(CQ35="","",VLOOKUP(CQ35,#REF!,12,FALSE))</f>
        <v/>
      </c>
      <c r="CM75" s="1219" t="str">
        <f>IF(ISBLANK(CX35),IF(CQ35="","",VLOOKUP(CQ35,#REF!,13,FALSE)),CX35)</f>
        <v/>
      </c>
      <c r="CN75" s="1219" t="str">
        <f>IF(CQ35="","",IF(VLOOKUP(CQ35,#REF!,5,FALSE)="","R",UPPER(VLOOKUP(CQ35,#REF!,5,FALSE))))</f>
        <v/>
      </c>
      <c r="CO75" s="1219" t="str">
        <f>IF(ISBLANK(CZ35),IF(CQ35="","",VLOOKUP(CQ35,#REF!,6,FALSE)),CZ35)</f>
        <v/>
      </c>
      <c r="CP75" s="1219" t="str">
        <f>IF(CQ35="","",IF(VLOOKUP(CQ35,#REF!,10,FALSE)="","",(VLOOKUP(CQ35,#REF!,10,FALSE)*-1)))</f>
        <v/>
      </c>
      <c r="CQ75" s="1219" t="str">
        <f>IF(CQ35="","",IF(VLOOKUP(CQ35,#REF!,7,FALSE)="","",(VLOOKUP(CQ35,#REF!,7,FALSE)*-1)))</f>
        <v/>
      </c>
      <c r="CR75" s="1219" t="str">
        <f>IF(CQ35="","",IF(VLOOKUP(CQ35,#REF!,8,FALSE)="",$FC$4,(VLOOKUP(CQ35,#REF!,8,FALSE))))</f>
        <v/>
      </c>
      <c r="CS75" s="1219" t="str">
        <f>IF(CQ35="","",VLOOKUP(CQ35,#REF!,9,FALSE))</f>
        <v/>
      </c>
      <c r="CT75" s="1220">
        <f t="shared" si="103"/>
        <v>0</v>
      </c>
      <c r="CU75" s="1230">
        <f t="shared" si="104"/>
        <v>0</v>
      </c>
      <c r="CV75" s="1224" t="str">
        <f t="shared" si="105"/>
        <v/>
      </c>
      <c r="CW75" s="1224" t="str">
        <f t="shared" si="106"/>
        <v/>
      </c>
      <c r="CX75" s="1224" t="str">
        <f t="shared" si="107"/>
        <v/>
      </c>
      <c r="CY75" s="1226">
        <f t="shared" si="108"/>
        <v>0</v>
      </c>
      <c r="CZ75" s="1226" t="e">
        <f t="shared" si="109"/>
        <v>#REF!</v>
      </c>
      <c r="DA75" s="1226" t="str">
        <f t="shared" si="110"/>
        <v/>
      </c>
      <c r="DB75" s="1224" t="str">
        <f t="shared" si="175"/>
        <v/>
      </c>
      <c r="DC75" s="1224" t="str">
        <f t="shared" si="111"/>
        <v/>
      </c>
      <c r="DD75" s="814">
        <f t="shared" si="176"/>
        <v>0</v>
      </c>
      <c r="DE75" s="812">
        <f t="shared" si="112"/>
        <v>0</v>
      </c>
      <c r="DF75" s="813" t="e">
        <f t="shared" si="113"/>
        <v>#REF!</v>
      </c>
      <c r="DG75" s="813" t="str">
        <f t="shared" si="114"/>
        <v/>
      </c>
      <c r="DH75" s="1224" t="str">
        <f t="shared" si="177"/>
        <v/>
      </c>
      <c r="DI75" s="1224" t="str">
        <f t="shared" si="115"/>
        <v/>
      </c>
      <c r="DJ75" s="1225">
        <f t="shared" si="178"/>
        <v>0</v>
      </c>
      <c r="DK75" s="1224" t="str">
        <f t="shared" ref="DK75:DK85" si="197">IF(CV75="","",CEILING(CV75-DD75-DJ75-0.0625,0.125))</f>
        <v/>
      </c>
      <c r="DL75" s="1224" t="str">
        <f t="shared" ref="DL75:DL85" si="198">IF(AND(EG75="",CH75=""),"",IF(EG75="ERR","ERR",IF(ISNUMBER(EG75),(EG75/2)*-1,CH75)))</f>
        <v/>
      </c>
      <c r="DM75" s="1224" t="str">
        <f t="shared" si="118"/>
        <v/>
      </c>
      <c r="DN75" s="1224" t="str">
        <f t="shared" si="119"/>
        <v/>
      </c>
      <c r="DO75" s="828" t="e">
        <f t="shared" si="120"/>
        <v>#REF!</v>
      </c>
      <c r="DP75" s="828" t="e">
        <f t="shared" si="121"/>
        <v>#REF!</v>
      </c>
      <c r="DQ75" s="1224" t="str">
        <f t="shared" si="122"/>
        <v/>
      </c>
      <c r="DR75" s="1224" t="str">
        <f t="shared" si="122"/>
        <v/>
      </c>
      <c r="DS75" s="1224" t="str">
        <f t="shared" si="123"/>
        <v/>
      </c>
      <c r="DT75" s="1224" t="str">
        <f t="shared" si="124"/>
        <v/>
      </c>
      <c r="DU75" s="1224" t="str">
        <f t="shared" si="125"/>
        <v/>
      </c>
      <c r="DV75" s="828" t="e">
        <f t="shared" si="126"/>
        <v>#REF!</v>
      </c>
      <c r="DW75" s="828" t="e">
        <f t="shared" si="127"/>
        <v>#REF!</v>
      </c>
      <c r="DX75" s="812" t="str">
        <f t="shared" ref="DX75:DX85" si="199">IF(ISERROR(DT75),"ERR",IF(DT75="","",IF(DV75="ERR","ERR",CEILING(DV75-0.0625,0.125))))</f>
        <v/>
      </c>
      <c r="DY75" s="812" t="str">
        <f t="shared" ref="DY75:DY85" si="200">IF(ISERROR(DU75),"ERR",IF(DU75="","",IF(DW75="ERR","ERR",CEILING(DW75-0.0625,0.125))))</f>
        <v/>
      </c>
      <c r="DZ75" s="812" t="str">
        <f t="shared" si="130"/>
        <v/>
      </c>
      <c r="EA75" s="812" t="str">
        <f t="shared" si="131"/>
        <v/>
      </c>
      <c r="EB75" s="815" t="str">
        <f t="shared" si="132"/>
        <v/>
      </c>
      <c r="EC75" s="816" t="str">
        <f t="shared" ref="EC75:EC85" si="201">IF(AND(DR75="",DY75=""),"",IF(OR(CI75=EB75,CR75=EB75),EB75,CI75))</f>
        <v/>
      </c>
      <c r="ED75" s="815" t="str">
        <f t="shared" si="134"/>
        <v/>
      </c>
      <c r="EE75" s="815" t="str">
        <f t="shared" si="135"/>
        <v/>
      </c>
      <c r="EF75" s="815" t="str">
        <f t="shared" si="136"/>
        <v/>
      </c>
      <c r="EG75" s="815" t="str">
        <f t="shared" si="137"/>
        <v/>
      </c>
      <c r="EH75" s="815" t="str">
        <f t="shared" si="138"/>
        <v/>
      </c>
      <c r="EI75" s="815" t="str">
        <f t="shared" si="139"/>
        <v/>
      </c>
      <c r="EJ75" s="815" t="str">
        <f t="shared" si="140"/>
        <v/>
      </c>
      <c r="EK75" s="813">
        <f t="shared" ref="EK75:EK85" si="202">IF(CK75="",0,ATAN(CK75/12))</f>
        <v>0</v>
      </c>
      <c r="EL75" s="813">
        <f t="shared" ref="EL75:EL85" si="203">CU75-EK75</f>
        <v>0</v>
      </c>
      <c r="EM75" s="813">
        <f t="shared" ref="EM75:EM85" si="204">TAN(EL75)*12</f>
        <v>0</v>
      </c>
      <c r="EN75" s="813" t="e">
        <f t="shared" si="144"/>
        <v>#REF!</v>
      </c>
      <c r="EO75" s="812" t="str">
        <f t="shared" ref="EO75:EO85" si="205">IF(CF75="","",CF75*TAN(EK75))</f>
        <v/>
      </c>
      <c r="EP75" s="813">
        <f t="shared" ref="EP75:EP85" si="206">IF(CT75="",0,ATAN(CT75/12))</f>
        <v>0</v>
      </c>
      <c r="EQ75" s="813">
        <f t="shared" ref="EQ75:EQ85" si="207">CU75+EP75</f>
        <v>0</v>
      </c>
      <c r="ER75" s="813">
        <f t="shared" ref="ER75:ER85" si="208">TAN(EQ75)*-12</f>
        <v>0</v>
      </c>
      <c r="ES75" s="813" t="e">
        <f t="shared" si="149"/>
        <v>#REF!</v>
      </c>
      <c r="ET75" s="812" t="str">
        <f t="shared" ref="ET75:ET85" si="209">IF(CO75="","",CO75*TAN(EP75))</f>
        <v/>
      </c>
      <c r="EU75" s="812" t="e">
        <f t="shared" si="151"/>
        <v>#REF!</v>
      </c>
      <c r="EV75" s="815" t="e">
        <f t="shared" si="152"/>
        <v>#VALUE!</v>
      </c>
      <c r="EW75" s="815" t="e">
        <f t="shared" si="153"/>
        <v>#VALUE!</v>
      </c>
      <c r="EX75" s="817" t="str">
        <f t="shared" si="154"/>
        <v/>
      </c>
      <c r="EY75" s="818" t="e">
        <f t="shared" ref="EY75:EY85" si="210">TRUNC(IF(FA75&lt;1.03,25.667,IF(FA75&lt;1.2,29.667,IF(FA75&lt;1.79,33.583,IF(FA75&lt;2.3,37.75,IF(FA75&lt;3.76,42,IF(FA75&lt;4.76,50.167,IF(FA75&lt;8.45,58.167,"ERR"))))))))</f>
        <v>#DIV/0!</v>
      </c>
      <c r="EZ75" s="893" t="e">
        <f t="shared" si="156"/>
        <v>#DIV/0!</v>
      </c>
      <c r="FA75" s="894" t="e">
        <f t="shared" si="157"/>
        <v>#DIV/0!</v>
      </c>
      <c r="FB75" s="819" t="str">
        <f t="shared" si="158"/>
        <v/>
      </c>
      <c r="FC75" s="820" t="str">
        <f t="shared" si="159"/>
        <v/>
      </c>
      <c r="FD75" s="829">
        <f t="shared" si="160"/>
        <v>0</v>
      </c>
      <c r="FE75" s="774">
        <f t="shared" si="161"/>
        <v>0</v>
      </c>
      <c r="FF75" s="703" t="b">
        <f t="shared" si="162"/>
        <v>0</v>
      </c>
      <c r="FG75" s="703" t="b">
        <f t="shared" si="163"/>
        <v>0</v>
      </c>
      <c r="FH75" s="703" t="b">
        <f t="shared" si="164"/>
        <v>0</v>
      </c>
      <c r="FI75" s="703" t="b">
        <f t="shared" si="165"/>
        <v>0</v>
      </c>
      <c r="FJ75" s="849" t="str">
        <f t="shared" si="179"/>
        <v/>
      </c>
      <c r="FK75" s="848" t="str">
        <f t="shared" si="180"/>
        <v/>
      </c>
      <c r="FL75" s="242" t="e">
        <f t="shared" si="181"/>
        <v>#N/A</v>
      </c>
      <c r="FM75" s="234" t="str">
        <f t="shared" si="166"/>
        <v/>
      </c>
      <c r="FN75" s="191" t="str">
        <f t="shared" ca="1" si="182"/>
        <v/>
      </c>
      <c r="FO75" s="192" t="str">
        <f t="shared" ca="1" si="183"/>
        <v/>
      </c>
      <c r="FP75" s="193" t="str">
        <f t="shared" ca="1" si="184"/>
        <v/>
      </c>
      <c r="FQ75" s="193" t="str">
        <f t="shared" ca="1" si="185"/>
        <v/>
      </c>
      <c r="FR75" s="243">
        <f t="shared" ca="1" si="186"/>
        <v>0</v>
      </c>
      <c r="FS75" s="244">
        <f t="shared" ca="1" si="187"/>
        <v>0</v>
      </c>
      <c r="FT75" s="191" t="str">
        <f t="shared" ca="1" si="188"/>
        <v/>
      </c>
      <c r="FU75" s="194" t="str">
        <f t="shared" ca="1" si="189"/>
        <v/>
      </c>
      <c r="FV75" s="245" t="str">
        <f t="shared" ca="1" si="167"/>
        <v/>
      </c>
      <c r="FW75" s="195" t="str">
        <f t="shared" ca="1" si="190"/>
        <v/>
      </c>
      <c r="FX75" s="195" t="str">
        <f t="shared" ca="1" si="191"/>
        <v/>
      </c>
      <c r="FY75" s="195" t="str">
        <f t="shared" ca="1" si="192"/>
        <v/>
      </c>
      <c r="FZ75" s="195" t="str">
        <f t="shared" ca="1" si="193"/>
        <v/>
      </c>
      <c r="GA75" s="195" t="str">
        <f t="shared" ca="1" si="194"/>
        <v/>
      </c>
      <c r="GB75" s="196" t="str">
        <f ca="1">IF(FY75="","",2+SUM(FO75:OFFSET(FO75,(FU75-1)*-1,0)))</f>
        <v/>
      </c>
      <c r="GC75" s="238" t="e">
        <f t="shared" si="195"/>
        <v>#N/A</v>
      </c>
      <c r="GD75" s="246" t="str">
        <f t="shared" si="168"/>
        <v/>
      </c>
      <c r="GE75" s="247" t="str">
        <f t="shared" si="169"/>
        <v/>
      </c>
      <c r="GF75" s="197" t="str">
        <f t="shared" si="170"/>
        <v/>
      </c>
      <c r="GG75" s="198" t="str">
        <f t="shared" si="171"/>
        <v/>
      </c>
      <c r="GH75" s="198" t="str">
        <f t="shared" si="172"/>
        <v/>
      </c>
      <c r="GI75" s="199" t="str">
        <f t="shared" si="173"/>
        <v/>
      </c>
      <c r="GJ75" s="473">
        <f t="shared" ca="1" si="174"/>
        <v>0</v>
      </c>
      <c r="GK75" s="834" t="str">
        <f t="shared" ca="1" si="196"/>
        <v/>
      </c>
    </row>
    <row r="76" spans="78:193" ht="12.6" hidden="1" customHeight="1" x14ac:dyDescent="0.2">
      <c r="BZ76" s="214"/>
      <c r="CA76" s="214"/>
      <c r="CB76" s="289" t="str">
        <f t="shared" si="101"/>
        <v/>
      </c>
      <c r="CC76" s="290" t="str">
        <f>IF(CG36="","",VLOOKUP(CG36,#REF!,12,FALSE))</f>
        <v/>
      </c>
      <c r="CD76" s="1219" t="str">
        <f>IF(ISBLANK(CN36),IF(CG36="","",VLOOKUP(CG36,#REF!,13,FALSE)),CN36)</f>
        <v/>
      </c>
      <c r="CE76" s="1219" t="str">
        <f>IF(CG36="","",IF(VLOOKUP(CG36,#REF!,5,FALSE)="","R",UPPER(VLOOKUP(CG36,#REF!,5,FALSE))))</f>
        <v/>
      </c>
      <c r="CF76" s="1219" t="str">
        <f>IF(ISBLANK(CP36),IF(CG36="","",VLOOKUP(CG36,#REF!,6,FALSE)),CP36)</f>
        <v/>
      </c>
      <c r="CG76" s="1219" t="str">
        <f>IF(CG36="","",IF(VLOOKUP(CG36,#REF!,10,FALSE)="","",(VLOOKUP(CG36,#REF!,10,FALSE)*-1)))</f>
        <v/>
      </c>
      <c r="CH76" s="1219" t="str">
        <f>IF(CG36="","",IF(VLOOKUP(CG36,#REF!,7,FALSE)="","",(VLOOKUP(CG36,#REF!,7,FALSE)*-1)))</f>
        <v/>
      </c>
      <c r="CI76" s="1219" t="str">
        <f>IF(CG36="","",IF(VLOOKUP(CG36,#REF!,8,FALSE)="",$FC$4,(VLOOKUP(CG36,#REF!,8,FALSE))))</f>
        <v/>
      </c>
      <c r="CJ76" s="1219" t="str">
        <f>IF(CG36="","",VLOOKUP(CG36,#REF!,9,FALSE))</f>
        <v/>
      </c>
      <c r="CK76" s="1220">
        <f t="shared" si="102"/>
        <v>0</v>
      </c>
      <c r="CL76" s="1218" t="str">
        <f>IF(CQ36="","",VLOOKUP(CQ36,#REF!,12,FALSE))</f>
        <v/>
      </c>
      <c r="CM76" s="1219" t="str">
        <f>IF(ISBLANK(CX36),IF(CQ36="","",VLOOKUP(CQ36,#REF!,13,FALSE)),CX36)</f>
        <v/>
      </c>
      <c r="CN76" s="1219" t="str">
        <f>IF(CQ36="","",IF(VLOOKUP(CQ36,#REF!,5,FALSE)="","R",UPPER(VLOOKUP(CQ36,#REF!,5,FALSE))))</f>
        <v/>
      </c>
      <c r="CO76" s="1219" t="str">
        <f>IF(ISBLANK(CZ36),IF(CQ36="","",VLOOKUP(CQ36,#REF!,6,FALSE)),CZ36)</f>
        <v/>
      </c>
      <c r="CP76" s="1219" t="str">
        <f>IF(CQ36="","",IF(VLOOKUP(CQ36,#REF!,10,FALSE)="","",(VLOOKUP(CQ36,#REF!,10,FALSE)*-1)))</f>
        <v/>
      </c>
      <c r="CQ76" s="1219" t="str">
        <f>IF(CQ36="","",IF(VLOOKUP(CQ36,#REF!,7,FALSE)="","",(VLOOKUP(CQ36,#REF!,7,FALSE)*-1)))</f>
        <v/>
      </c>
      <c r="CR76" s="1219" t="str">
        <f>IF(CQ36="","",IF(VLOOKUP(CQ36,#REF!,8,FALSE)="",$FC$4,(VLOOKUP(CQ36,#REF!,8,FALSE))))</f>
        <v/>
      </c>
      <c r="CS76" s="1219" t="str">
        <f>IF(CQ36="","",VLOOKUP(CQ36,#REF!,9,FALSE))</f>
        <v/>
      </c>
      <c r="CT76" s="1220">
        <f t="shared" si="103"/>
        <v>0</v>
      </c>
      <c r="CU76" s="1230">
        <f t="shared" si="104"/>
        <v>0</v>
      </c>
      <c r="CV76" s="1224" t="str">
        <f t="shared" si="105"/>
        <v/>
      </c>
      <c r="CW76" s="1224" t="str">
        <f t="shared" si="106"/>
        <v/>
      </c>
      <c r="CX76" s="1224" t="str">
        <f t="shared" si="107"/>
        <v/>
      </c>
      <c r="CY76" s="1226">
        <f t="shared" si="108"/>
        <v>0</v>
      </c>
      <c r="CZ76" s="1226" t="e">
        <f t="shared" si="109"/>
        <v>#REF!</v>
      </c>
      <c r="DA76" s="1226" t="str">
        <f t="shared" si="110"/>
        <v/>
      </c>
      <c r="DB76" s="1224" t="str">
        <f t="shared" si="175"/>
        <v/>
      </c>
      <c r="DC76" s="1224" t="str">
        <f t="shared" si="111"/>
        <v/>
      </c>
      <c r="DD76" s="814">
        <f t="shared" si="176"/>
        <v>0</v>
      </c>
      <c r="DE76" s="812">
        <f t="shared" si="112"/>
        <v>0</v>
      </c>
      <c r="DF76" s="813" t="e">
        <f t="shared" si="113"/>
        <v>#REF!</v>
      </c>
      <c r="DG76" s="813" t="str">
        <f t="shared" si="114"/>
        <v/>
      </c>
      <c r="DH76" s="1224" t="str">
        <f t="shared" si="177"/>
        <v/>
      </c>
      <c r="DI76" s="1224" t="str">
        <f t="shared" si="115"/>
        <v/>
      </c>
      <c r="DJ76" s="1225">
        <f t="shared" si="178"/>
        <v>0</v>
      </c>
      <c r="DK76" s="1224" t="str">
        <f t="shared" si="197"/>
        <v/>
      </c>
      <c r="DL76" s="1224" t="str">
        <f t="shared" si="198"/>
        <v/>
      </c>
      <c r="DM76" s="1224" t="str">
        <f t="shared" si="118"/>
        <v/>
      </c>
      <c r="DN76" s="1224" t="str">
        <f t="shared" si="119"/>
        <v/>
      </c>
      <c r="DO76" s="828" t="e">
        <f t="shared" si="120"/>
        <v>#REF!</v>
      </c>
      <c r="DP76" s="828" t="e">
        <f t="shared" si="121"/>
        <v>#REF!</v>
      </c>
      <c r="DQ76" s="1224" t="str">
        <f t="shared" si="122"/>
        <v/>
      </c>
      <c r="DR76" s="1224" t="str">
        <f t="shared" si="122"/>
        <v/>
      </c>
      <c r="DS76" s="1224" t="str">
        <f t="shared" si="123"/>
        <v/>
      </c>
      <c r="DT76" s="1224" t="str">
        <f t="shared" si="124"/>
        <v/>
      </c>
      <c r="DU76" s="1224" t="str">
        <f t="shared" si="125"/>
        <v/>
      </c>
      <c r="DV76" s="828" t="e">
        <f t="shared" si="126"/>
        <v>#REF!</v>
      </c>
      <c r="DW76" s="828" t="e">
        <f t="shared" si="127"/>
        <v>#REF!</v>
      </c>
      <c r="DX76" s="812" t="str">
        <f t="shared" si="199"/>
        <v/>
      </c>
      <c r="DY76" s="812" t="str">
        <f t="shared" si="200"/>
        <v/>
      </c>
      <c r="DZ76" s="812" t="str">
        <f t="shared" si="130"/>
        <v/>
      </c>
      <c r="EA76" s="812" t="str">
        <f t="shared" si="131"/>
        <v/>
      </c>
      <c r="EB76" s="815" t="str">
        <f t="shared" si="132"/>
        <v/>
      </c>
      <c r="EC76" s="816" t="str">
        <f t="shared" si="201"/>
        <v/>
      </c>
      <c r="ED76" s="815" t="str">
        <f t="shared" si="134"/>
        <v/>
      </c>
      <c r="EE76" s="815" t="str">
        <f t="shared" si="135"/>
        <v/>
      </c>
      <c r="EF76" s="815" t="str">
        <f t="shared" si="136"/>
        <v/>
      </c>
      <c r="EG76" s="815" t="str">
        <f t="shared" si="137"/>
        <v/>
      </c>
      <c r="EH76" s="815" t="str">
        <f t="shared" si="138"/>
        <v/>
      </c>
      <c r="EI76" s="815" t="str">
        <f t="shared" si="139"/>
        <v/>
      </c>
      <c r="EJ76" s="815" t="str">
        <f t="shared" si="140"/>
        <v/>
      </c>
      <c r="EK76" s="813">
        <f t="shared" si="202"/>
        <v>0</v>
      </c>
      <c r="EL76" s="813">
        <f t="shared" si="203"/>
        <v>0</v>
      </c>
      <c r="EM76" s="813">
        <f t="shared" si="204"/>
        <v>0</v>
      </c>
      <c r="EN76" s="813" t="e">
        <f t="shared" si="144"/>
        <v>#REF!</v>
      </c>
      <c r="EO76" s="812" t="str">
        <f t="shared" si="205"/>
        <v/>
      </c>
      <c r="EP76" s="813">
        <f t="shared" si="206"/>
        <v>0</v>
      </c>
      <c r="EQ76" s="813">
        <f t="shared" si="207"/>
        <v>0</v>
      </c>
      <c r="ER76" s="813">
        <f t="shared" si="208"/>
        <v>0</v>
      </c>
      <c r="ES76" s="813" t="e">
        <f t="shared" si="149"/>
        <v>#REF!</v>
      </c>
      <c r="ET76" s="812" t="str">
        <f t="shared" si="209"/>
        <v/>
      </c>
      <c r="EU76" s="812" t="e">
        <f t="shared" si="151"/>
        <v>#REF!</v>
      </c>
      <c r="EV76" s="815" t="e">
        <f t="shared" si="152"/>
        <v>#VALUE!</v>
      </c>
      <c r="EW76" s="815" t="e">
        <f t="shared" si="153"/>
        <v>#VALUE!</v>
      </c>
      <c r="EX76" s="817" t="str">
        <f t="shared" si="154"/>
        <v/>
      </c>
      <c r="EY76" s="818" t="e">
        <f t="shared" si="210"/>
        <v>#DIV/0!</v>
      </c>
      <c r="EZ76" s="893" t="e">
        <f t="shared" si="156"/>
        <v>#DIV/0!</v>
      </c>
      <c r="FA76" s="894" t="e">
        <f t="shared" si="157"/>
        <v>#DIV/0!</v>
      </c>
      <c r="FB76" s="819" t="str">
        <f t="shared" si="158"/>
        <v/>
      </c>
      <c r="FC76" s="820" t="str">
        <f t="shared" si="159"/>
        <v/>
      </c>
      <c r="FD76" s="829">
        <f t="shared" si="160"/>
        <v>0</v>
      </c>
      <c r="FE76" s="774">
        <f t="shared" si="161"/>
        <v>0</v>
      </c>
      <c r="FF76" s="703" t="b">
        <f t="shared" si="162"/>
        <v>0</v>
      </c>
      <c r="FG76" s="703" t="b">
        <f t="shared" si="163"/>
        <v>0</v>
      </c>
      <c r="FH76" s="703" t="b">
        <f t="shared" si="164"/>
        <v>0</v>
      </c>
      <c r="FI76" s="703" t="b">
        <f t="shared" si="165"/>
        <v>0</v>
      </c>
      <c r="FJ76" s="849" t="str">
        <f t="shared" si="179"/>
        <v/>
      </c>
      <c r="FK76" s="848" t="str">
        <f t="shared" si="180"/>
        <v/>
      </c>
      <c r="FL76" s="242" t="e">
        <f t="shared" si="181"/>
        <v>#N/A</v>
      </c>
      <c r="FM76" s="234" t="str">
        <f t="shared" si="166"/>
        <v/>
      </c>
      <c r="FN76" s="191" t="str">
        <f t="shared" ca="1" si="182"/>
        <v/>
      </c>
      <c r="FO76" s="192" t="str">
        <f t="shared" ca="1" si="183"/>
        <v/>
      </c>
      <c r="FP76" s="193" t="str">
        <f t="shared" ca="1" si="184"/>
        <v/>
      </c>
      <c r="FQ76" s="193" t="str">
        <f t="shared" ca="1" si="185"/>
        <v/>
      </c>
      <c r="FR76" s="243">
        <f t="shared" ca="1" si="186"/>
        <v>0</v>
      </c>
      <c r="FS76" s="244">
        <f t="shared" ca="1" si="187"/>
        <v>0</v>
      </c>
      <c r="FT76" s="191" t="str">
        <f t="shared" ca="1" si="188"/>
        <v/>
      </c>
      <c r="FU76" s="194" t="str">
        <f t="shared" ca="1" si="189"/>
        <v/>
      </c>
      <c r="FV76" s="245" t="str">
        <f t="shared" ca="1" si="167"/>
        <v/>
      </c>
      <c r="FW76" s="195" t="str">
        <f t="shared" ca="1" si="190"/>
        <v/>
      </c>
      <c r="FX76" s="195" t="str">
        <f t="shared" ca="1" si="191"/>
        <v/>
      </c>
      <c r="FY76" s="195" t="str">
        <f t="shared" ca="1" si="192"/>
        <v/>
      </c>
      <c r="FZ76" s="195" t="str">
        <f t="shared" ca="1" si="193"/>
        <v/>
      </c>
      <c r="GA76" s="195" t="str">
        <f t="shared" ca="1" si="194"/>
        <v/>
      </c>
      <c r="GB76" s="196" t="str">
        <f ca="1">IF(FY76="","",2+SUM(FO76:OFFSET(FO76,(FU76-1)*-1,0)))</f>
        <v/>
      </c>
      <c r="GC76" s="238" t="e">
        <f t="shared" si="195"/>
        <v>#N/A</v>
      </c>
      <c r="GD76" s="246" t="str">
        <f t="shared" si="168"/>
        <v/>
      </c>
      <c r="GE76" s="247" t="str">
        <f t="shared" si="169"/>
        <v/>
      </c>
      <c r="GF76" s="197" t="str">
        <f t="shared" si="170"/>
        <v/>
      </c>
      <c r="GG76" s="198" t="str">
        <f t="shared" si="171"/>
        <v/>
      </c>
      <c r="GH76" s="198" t="str">
        <f t="shared" si="172"/>
        <v/>
      </c>
      <c r="GI76" s="199" t="str">
        <f t="shared" si="173"/>
        <v/>
      </c>
      <c r="GJ76" s="473">
        <f t="shared" ca="1" si="174"/>
        <v>0</v>
      </c>
      <c r="GK76" s="834" t="str">
        <f t="shared" ca="1" si="196"/>
        <v/>
      </c>
    </row>
    <row r="77" spans="78:193" ht="12.6" hidden="1" customHeight="1" x14ac:dyDescent="0.2">
      <c r="BZ77" s="214"/>
      <c r="CA77" s="214"/>
      <c r="CB77" s="289" t="str">
        <f t="shared" si="101"/>
        <v/>
      </c>
      <c r="CC77" s="290" t="str">
        <f>IF(CG37="","",VLOOKUP(CG37,#REF!,12,FALSE))</f>
        <v/>
      </c>
      <c r="CD77" s="1219" t="str">
        <f>IF(ISBLANK(CN37),IF(CG37="","",VLOOKUP(CG37,#REF!,13,FALSE)),CN37)</f>
        <v/>
      </c>
      <c r="CE77" s="1219" t="str">
        <f>IF(CG37="","",IF(VLOOKUP(CG37,#REF!,5,FALSE)="","R",UPPER(VLOOKUP(CG37,#REF!,5,FALSE))))</f>
        <v/>
      </c>
      <c r="CF77" s="1219" t="str">
        <f>IF(ISBLANK(CP37),IF(CG37="","",VLOOKUP(CG37,#REF!,6,FALSE)),CP37)</f>
        <v/>
      </c>
      <c r="CG77" s="1219" t="str">
        <f>IF(CG37="","",IF(VLOOKUP(CG37,#REF!,10,FALSE)="","",(VLOOKUP(CG37,#REF!,10,FALSE)*-1)))</f>
        <v/>
      </c>
      <c r="CH77" s="1219" t="str">
        <f>IF(CG37="","",IF(VLOOKUP(CG37,#REF!,7,FALSE)="","",(VLOOKUP(CG37,#REF!,7,FALSE)*-1)))</f>
        <v/>
      </c>
      <c r="CI77" s="1219" t="str">
        <f>IF(CG37="","",IF(VLOOKUP(CG37,#REF!,8,FALSE)="",$FC$4,(VLOOKUP(CG37,#REF!,8,FALSE))))</f>
        <v/>
      </c>
      <c r="CJ77" s="1219" t="str">
        <f>IF(CG37="","",VLOOKUP(CG37,#REF!,9,FALSE))</f>
        <v/>
      </c>
      <c r="CK77" s="1220">
        <f t="shared" si="102"/>
        <v>0</v>
      </c>
      <c r="CL77" s="1218" t="str">
        <f>IF(CQ37="","",VLOOKUP(CQ37,#REF!,12,FALSE))</f>
        <v/>
      </c>
      <c r="CM77" s="1219" t="str">
        <f>IF(ISBLANK(CX37),IF(CQ37="","",VLOOKUP(CQ37,#REF!,13,FALSE)),CX37)</f>
        <v/>
      </c>
      <c r="CN77" s="1219" t="str">
        <f>IF(CQ37="","",IF(VLOOKUP(CQ37,#REF!,5,FALSE)="","R",UPPER(VLOOKUP(CQ37,#REF!,5,FALSE))))</f>
        <v/>
      </c>
      <c r="CO77" s="1219" t="str">
        <f>IF(ISBLANK(CZ37),IF(CQ37="","",VLOOKUP(CQ37,#REF!,6,FALSE)),CZ37)</f>
        <v/>
      </c>
      <c r="CP77" s="1219" t="str">
        <f>IF(CQ37="","",IF(VLOOKUP(CQ37,#REF!,10,FALSE)="","",(VLOOKUP(CQ37,#REF!,10,FALSE)*-1)))</f>
        <v/>
      </c>
      <c r="CQ77" s="1219" t="str">
        <f>IF(CQ37="","",IF(VLOOKUP(CQ37,#REF!,7,FALSE)="","",(VLOOKUP(CQ37,#REF!,7,FALSE)*-1)))</f>
        <v/>
      </c>
      <c r="CR77" s="1219" t="str">
        <f>IF(CQ37="","",IF(VLOOKUP(CQ37,#REF!,8,FALSE)="",$FC$4,(VLOOKUP(CQ37,#REF!,8,FALSE))))</f>
        <v/>
      </c>
      <c r="CS77" s="1219" t="str">
        <f>IF(CQ37="","",VLOOKUP(CQ37,#REF!,9,FALSE))</f>
        <v/>
      </c>
      <c r="CT77" s="1220">
        <f t="shared" si="103"/>
        <v>0</v>
      </c>
      <c r="CU77" s="1230">
        <f t="shared" si="104"/>
        <v>0</v>
      </c>
      <c r="CV77" s="1224" t="str">
        <f t="shared" si="105"/>
        <v/>
      </c>
      <c r="CW77" s="1224" t="str">
        <f t="shared" si="106"/>
        <v/>
      </c>
      <c r="CX77" s="1224" t="str">
        <f t="shared" si="107"/>
        <v/>
      </c>
      <c r="CY77" s="1226">
        <f t="shared" si="108"/>
        <v>0</v>
      </c>
      <c r="CZ77" s="1226" t="e">
        <f t="shared" si="109"/>
        <v>#REF!</v>
      </c>
      <c r="DA77" s="1226" t="str">
        <f t="shared" si="110"/>
        <v/>
      </c>
      <c r="DB77" s="1224" t="str">
        <f t="shared" si="175"/>
        <v/>
      </c>
      <c r="DC77" s="1224" t="str">
        <f t="shared" si="111"/>
        <v/>
      </c>
      <c r="DD77" s="814">
        <f t="shared" si="176"/>
        <v>0</v>
      </c>
      <c r="DE77" s="812">
        <f t="shared" si="112"/>
        <v>0</v>
      </c>
      <c r="DF77" s="813" t="e">
        <f t="shared" si="113"/>
        <v>#REF!</v>
      </c>
      <c r="DG77" s="813" t="str">
        <f t="shared" si="114"/>
        <v/>
      </c>
      <c r="DH77" s="1224" t="str">
        <f t="shared" si="177"/>
        <v/>
      </c>
      <c r="DI77" s="1224" t="str">
        <f t="shared" si="115"/>
        <v/>
      </c>
      <c r="DJ77" s="1225">
        <f t="shared" si="178"/>
        <v>0</v>
      </c>
      <c r="DK77" s="1224" t="str">
        <f t="shared" si="197"/>
        <v/>
      </c>
      <c r="DL77" s="1224" t="str">
        <f t="shared" si="198"/>
        <v/>
      </c>
      <c r="DM77" s="1224" t="str">
        <f t="shared" si="118"/>
        <v/>
      </c>
      <c r="DN77" s="1224" t="str">
        <f t="shared" si="119"/>
        <v/>
      </c>
      <c r="DO77" s="828" t="e">
        <f t="shared" si="120"/>
        <v>#REF!</v>
      </c>
      <c r="DP77" s="828" t="e">
        <f t="shared" si="121"/>
        <v>#REF!</v>
      </c>
      <c r="DQ77" s="1224" t="str">
        <f t="shared" si="122"/>
        <v/>
      </c>
      <c r="DR77" s="1224" t="str">
        <f t="shared" si="122"/>
        <v/>
      </c>
      <c r="DS77" s="1224" t="str">
        <f t="shared" si="123"/>
        <v/>
      </c>
      <c r="DT77" s="1224" t="str">
        <f t="shared" si="124"/>
        <v/>
      </c>
      <c r="DU77" s="1224" t="str">
        <f t="shared" si="125"/>
        <v/>
      </c>
      <c r="DV77" s="828" t="e">
        <f t="shared" si="126"/>
        <v>#REF!</v>
      </c>
      <c r="DW77" s="828" t="e">
        <f t="shared" si="127"/>
        <v>#REF!</v>
      </c>
      <c r="DX77" s="812" t="str">
        <f t="shared" si="199"/>
        <v/>
      </c>
      <c r="DY77" s="812" t="str">
        <f t="shared" si="200"/>
        <v/>
      </c>
      <c r="DZ77" s="812" t="str">
        <f t="shared" si="130"/>
        <v/>
      </c>
      <c r="EA77" s="812" t="str">
        <f t="shared" si="131"/>
        <v/>
      </c>
      <c r="EB77" s="815" t="str">
        <f t="shared" si="132"/>
        <v/>
      </c>
      <c r="EC77" s="816" t="str">
        <f t="shared" si="201"/>
        <v/>
      </c>
      <c r="ED77" s="815" t="str">
        <f t="shared" si="134"/>
        <v/>
      </c>
      <c r="EE77" s="815" t="str">
        <f t="shared" si="135"/>
        <v/>
      </c>
      <c r="EF77" s="815" t="str">
        <f t="shared" si="136"/>
        <v/>
      </c>
      <c r="EG77" s="815" t="str">
        <f t="shared" si="137"/>
        <v/>
      </c>
      <c r="EH77" s="815" t="str">
        <f t="shared" si="138"/>
        <v/>
      </c>
      <c r="EI77" s="815" t="str">
        <f t="shared" si="139"/>
        <v/>
      </c>
      <c r="EJ77" s="815" t="str">
        <f t="shared" si="140"/>
        <v/>
      </c>
      <c r="EK77" s="813">
        <f t="shared" si="202"/>
        <v>0</v>
      </c>
      <c r="EL77" s="813">
        <f t="shared" si="203"/>
        <v>0</v>
      </c>
      <c r="EM77" s="813">
        <f t="shared" si="204"/>
        <v>0</v>
      </c>
      <c r="EN77" s="813" t="e">
        <f t="shared" si="144"/>
        <v>#REF!</v>
      </c>
      <c r="EO77" s="812" t="str">
        <f t="shared" si="205"/>
        <v/>
      </c>
      <c r="EP77" s="813">
        <f t="shared" si="206"/>
        <v>0</v>
      </c>
      <c r="EQ77" s="813">
        <f t="shared" si="207"/>
        <v>0</v>
      </c>
      <c r="ER77" s="813">
        <f t="shared" si="208"/>
        <v>0</v>
      </c>
      <c r="ES77" s="813" t="e">
        <f t="shared" si="149"/>
        <v>#REF!</v>
      </c>
      <c r="ET77" s="812" t="str">
        <f t="shared" si="209"/>
        <v/>
      </c>
      <c r="EU77" s="812" t="e">
        <f t="shared" si="151"/>
        <v>#REF!</v>
      </c>
      <c r="EV77" s="815" t="e">
        <f t="shared" si="152"/>
        <v>#VALUE!</v>
      </c>
      <c r="EW77" s="815" t="e">
        <f t="shared" si="153"/>
        <v>#VALUE!</v>
      </c>
      <c r="EX77" s="817" t="str">
        <f t="shared" si="154"/>
        <v/>
      </c>
      <c r="EY77" s="818" t="e">
        <f t="shared" si="210"/>
        <v>#DIV/0!</v>
      </c>
      <c r="EZ77" s="893" t="e">
        <f t="shared" si="156"/>
        <v>#DIV/0!</v>
      </c>
      <c r="FA77" s="894" t="e">
        <f t="shared" si="157"/>
        <v>#DIV/0!</v>
      </c>
      <c r="FB77" s="819" t="str">
        <f t="shared" si="158"/>
        <v/>
      </c>
      <c r="FC77" s="820" t="str">
        <f t="shared" si="159"/>
        <v/>
      </c>
      <c r="FD77" s="829">
        <f t="shared" si="160"/>
        <v>0</v>
      </c>
      <c r="FE77" s="774">
        <f t="shared" si="161"/>
        <v>0</v>
      </c>
      <c r="FF77" s="703" t="b">
        <f t="shared" si="162"/>
        <v>0</v>
      </c>
      <c r="FG77" s="703" t="b">
        <f t="shared" si="163"/>
        <v>0</v>
      </c>
      <c r="FH77" s="703" t="b">
        <f t="shared" si="164"/>
        <v>0</v>
      </c>
      <c r="FI77" s="703" t="b">
        <f t="shared" si="165"/>
        <v>0</v>
      </c>
      <c r="FJ77" s="849" t="str">
        <f t="shared" si="179"/>
        <v/>
      </c>
      <c r="FK77" s="848" t="str">
        <f t="shared" si="180"/>
        <v/>
      </c>
      <c r="FL77" s="242" t="e">
        <f t="shared" si="181"/>
        <v>#N/A</v>
      </c>
      <c r="FM77" s="234" t="str">
        <f t="shared" si="166"/>
        <v/>
      </c>
      <c r="FN77" s="191" t="str">
        <f t="shared" ca="1" si="182"/>
        <v/>
      </c>
      <c r="FO77" s="192" t="str">
        <f t="shared" ca="1" si="183"/>
        <v/>
      </c>
      <c r="FP77" s="193" t="str">
        <f t="shared" ca="1" si="184"/>
        <v/>
      </c>
      <c r="FQ77" s="193" t="str">
        <f t="shared" ca="1" si="185"/>
        <v/>
      </c>
      <c r="FR77" s="243">
        <f t="shared" ca="1" si="186"/>
        <v>0</v>
      </c>
      <c r="FS77" s="244">
        <f t="shared" ca="1" si="187"/>
        <v>0</v>
      </c>
      <c r="FT77" s="191" t="str">
        <f t="shared" ca="1" si="188"/>
        <v/>
      </c>
      <c r="FU77" s="194" t="str">
        <f t="shared" ca="1" si="189"/>
        <v/>
      </c>
      <c r="FV77" s="245" t="str">
        <f t="shared" ca="1" si="167"/>
        <v/>
      </c>
      <c r="FW77" s="195" t="str">
        <f t="shared" ca="1" si="190"/>
        <v/>
      </c>
      <c r="FX77" s="195" t="str">
        <f t="shared" ca="1" si="191"/>
        <v/>
      </c>
      <c r="FY77" s="195" t="str">
        <f t="shared" ca="1" si="192"/>
        <v/>
      </c>
      <c r="FZ77" s="195" t="str">
        <f t="shared" ca="1" si="193"/>
        <v/>
      </c>
      <c r="GA77" s="195" t="str">
        <f t="shared" ca="1" si="194"/>
        <v/>
      </c>
      <c r="GB77" s="196" t="str">
        <f ca="1">IF(FY77="","",2+SUM(FO77:OFFSET(FO77,(FU77-1)*-1,0)))</f>
        <v/>
      </c>
      <c r="GC77" s="238" t="e">
        <f t="shared" si="195"/>
        <v>#N/A</v>
      </c>
      <c r="GD77" s="246" t="str">
        <f t="shared" si="168"/>
        <v/>
      </c>
      <c r="GE77" s="247" t="str">
        <f t="shared" si="169"/>
        <v/>
      </c>
      <c r="GF77" s="197" t="str">
        <f t="shared" si="170"/>
        <v/>
      </c>
      <c r="GG77" s="198" t="str">
        <f t="shared" si="171"/>
        <v/>
      </c>
      <c r="GH77" s="198" t="str">
        <f t="shared" si="172"/>
        <v/>
      </c>
      <c r="GI77" s="199" t="str">
        <f t="shared" si="173"/>
        <v/>
      </c>
      <c r="GJ77" s="473">
        <f t="shared" ca="1" si="174"/>
        <v>0</v>
      </c>
      <c r="GK77" s="834" t="str">
        <f t="shared" ca="1" si="196"/>
        <v/>
      </c>
    </row>
    <row r="78" spans="78:193" ht="12.6" hidden="1" customHeight="1" x14ac:dyDescent="0.2">
      <c r="BZ78" s="214"/>
      <c r="CA78" s="214"/>
      <c r="CB78" s="289" t="str">
        <f t="shared" si="101"/>
        <v/>
      </c>
      <c r="CC78" s="290" t="str">
        <f>IF(CG38="","",VLOOKUP(CG38,#REF!,12,FALSE))</f>
        <v/>
      </c>
      <c r="CD78" s="1219" t="str">
        <f>IF(ISBLANK(CN38),IF(CG38="","",VLOOKUP(CG38,#REF!,13,FALSE)),CN38)</f>
        <v/>
      </c>
      <c r="CE78" s="1219" t="str">
        <f>IF(CG38="","",IF(VLOOKUP(CG38,#REF!,5,FALSE)="","R",UPPER(VLOOKUP(CG38,#REF!,5,FALSE))))</f>
        <v/>
      </c>
      <c r="CF78" s="1219" t="str">
        <f>IF(ISBLANK(CP38),IF(CG38="","",VLOOKUP(CG38,#REF!,6,FALSE)),CP38)</f>
        <v/>
      </c>
      <c r="CG78" s="1219" t="str">
        <f>IF(CG38="","",IF(VLOOKUP(CG38,#REF!,10,FALSE)="","",(VLOOKUP(CG38,#REF!,10,FALSE)*-1)))</f>
        <v/>
      </c>
      <c r="CH78" s="1219" t="str">
        <f>IF(CG38="","",IF(VLOOKUP(CG38,#REF!,7,FALSE)="","",(VLOOKUP(CG38,#REF!,7,FALSE)*-1)))</f>
        <v/>
      </c>
      <c r="CI78" s="1219" t="str">
        <f>IF(CG38="","",IF(VLOOKUP(CG38,#REF!,8,FALSE)="",$FC$4,(VLOOKUP(CG38,#REF!,8,FALSE))))</f>
        <v/>
      </c>
      <c r="CJ78" s="1219" t="str">
        <f>IF(CG38="","",VLOOKUP(CG38,#REF!,9,FALSE))</f>
        <v/>
      </c>
      <c r="CK78" s="1220">
        <f t="shared" si="102"/>
        <v>0</v>
      </c>
      <c r="CL78" s="1218" t="str">
        <f>IF(CQ38="","",VLOOKUP(CQ38,#REF!,12,FALSE))</f>
        <v/>
      </c>
      <c r="CM78" s="1219" t="str">
        <f>IF(ISBLANK(CX38),IF(CQ38="","",VLOOKUP(CQ38,#REF!,13,FALSE)),CX38)</f>
        <v/>
      </c>
      <c r="CN78" s="1219" t="str">
        <f>IF(CQ38="","",IF(VLOOKUP(CQ38,#REF!,5,FALSE)="","R",UPPER(VLOOKUP(CQ38,#REF!,5,FALSE))))</f>
        <v/>
      </c>
      <c r="CO78" s="1219" t="str">
        <f>IF(ISBLANK(CZ38),IF(CQ38="","",VLOOKUP(CQ38,#REF!,6,FALSE)),CZ38)</f>
        <v/>
      </c>
      <c r="CP78" s="1219" t="str">
        <f>IF(CQ38="","",IF(VLOOKUP(CQ38,#REF!,10,FALSE)="","",(VLOOKUP(CQ38,#REF!,10,FALSE)*-1)))</f>
        <v/>
      </c>
      <c r="CQ78" s="1219" t="str">
        <f>IF(CQ38="","",IF(VLOOKUP(CQ38,#REF!,7,FALSE)="","",(VLOOKUP(CQ38,#REF!,7,FALSE)*-1)))</f>
        <v/>
      </c>
      <c r="CR78" s="1219" t="str">
        <f>IF(CQ38="","",IF(VLOOKUP(CQ38,#REF!,8,FALSE)="",$FC$4,(VLOOKUP(CQ38,#REF!,8,FALSE))))</f>
        <v/>
      </c>
      <c r="CS78" s="1219" t="str">
        <f>IF(CQ38="","",VLOOKUP(CQ38,#REF!,9,FALSE))</f>
        <v/>
      </c>
      <c r="CT78" s="1220">
        <f t="shared" si="103"/>
        <v>0</v>
      </c>
      <c r="CU78" s="1230">
        <f t="shared" si="104"/>
        <v>0</v>
      </c>
      <c r="CV78" s="1224" t="str">
        <f t="shared" si="105"/>
        <v/>
      </c>
      <c r="CW78" s="1224" t="str">
        <f t="shared" si="106"/>
        <v/>
      </c>
      <c r="CX78" s="1224" t="str">
        <f t="shared" si="107"/>
        <v/>
      </c>
      <c r="CY78" s="1226">
        <f t="shared" si="108"/>
        <v>0</v>
      </c>
      <c r="CZ78" s="1226" t="e">
        <f t="shared" si="109"/>
        <v>#REF!</v>
      </c>
      <c r="DA78" s="1226" t="str">
        <f t="shared" si="110"/>
        <v/>
      </c>
      <c r="DB78" s="1224" t="str">
        <f t="shared" si="175"/>
        <v/>
      </c>
      <c r="DC78" s="1224" t="str">
        <f t="shared" si="111"/>
        <v/>
      </c>
      <c r="DD78" s="814">
        <f t="shared" si="176"/>
        <v>0</v>
      </c>
      <c r="DE78" s="812">
        <f t="shared" si="112"/>
        <v>0</v>
      </c>
      <c r="DF78" s="813" t="e">
        <f t="shared" si="113"/>
        <v>#REF!</v>
      </c>
      <c r="DG78" s="813" t="str">
        <f t="shared" si="114"/>
        <v/>
      </c>
      <c r="DH78" s="1224" t="str">
        <f t="shared" si="177"/>
        <v/>
      </c>
      <c r="DI78" s="1224" t="str">
        <f t="shared" si="115"/>
        <v/>
      </c>
      <c r="DJ78" s="1225">
        <f t="shared" si="178"/>
        <v>0</v>
      </c>
      <c r="DK78" s="1224" t="str">
        <f t="shared" si="197"/>
        <v/>
      </c>
      <c r="DL78" s="1224" t="str">
        <f t="shared" si="198"/>
        <v/>
      </c>
      <c r="DM78" s="1224" t="str">
        <f t="shared" si="118"/>
        <v/>
      </c>
      <c r="DN78" s="1224" t="str">
        <f t="shared" si="119"/>
        <v/>
      </c>
      <c r="DO78" s="828" t="e">
        <f t="shared" si="120"/>
        <v>#REF!</v>
      </c>
      <c r="DP78" s="828" t="e">
        <f t="shared" si="121"/>
        <v>#REF!</v>
      </c>
      <c r="DQ78" s="1224" t="str">
        <f t="shared" si="122"/>
        <v/>
      </c>
      <c r="DR78" s="1224" t="str">
        <f t="shared" si="122"/>
        <v/>
      </c>
      <c r="DS78" s="1224" t="str">
        <f t="shared" si="123"/>
        <v/>
      </c>
      <c r="DT78" s="1224" t="str">
        <f t="shared" si="124"/>
        <v/>
      </c>
      <c r="DU78" s="1224" t="str">
        <f t="shared" si="125"/>
        <v/>
      </c>
      <c r="DV78" s="828" t="e">
        <f t="shared" si="126"/>
        <v>#REF!</v>
      </c>
      <c r="DW78" s="828" t="e">
        <f t="shared" si="127"/>
        <v>#REF!</v>
      </c>
      <c r="DX78" s="812" t="str">
        <f t="shared" si="199"/>
        <v/>
      </c>
      <c r="DY78" s="812" t="str">
        <f t="shared" si="200"/>
        <v/>
      </c>
      <c r="DZ78" s="812" t="str">
        <f t="shared" si="130"/>
        <v/>
      </c>
      <c r="EA78" s="812" t="str">
        <f t="shared" si="131"/>
        <v/>
      </c>
      <c r="EB78" s="815" t="str">
        <f t="shared" si="132"/>
        <v/>
      </c>
      <c r="EC78" s="816" t="str">
        <f t="shared" si="201"/>
        <v/>
      </c>
      <c r="ED78" s="815" t="str">
        <f t="shared" si="134"/>
        <v/>
      </c>
      <c r="EE78" s="815" t="str">
        <f t="shared" si="135"/>
        <v/>
      </c>
      <c r="EF78" s="815" t="str">
        <f t="shared" si="136"/>
        <v/>
      </c>
      <c r="EG78" s="815" t="str">
        <f t="shared" si="137"/>
        <v/>
      </c>
      <c r="EH78" s="815" t="str">
        <f t="shared" si="138"/>
        <v/>
      </c>
      <c r="EI78" s="815" t="str">
        <f t="shared" si="139"/>
        <v/>
      </c>
      <c r="EJ78" s="815" t="str">
        <f t="shared" si="140"/>
        <v/>
      </c>
      <c r="EK78" s="813">
        <f t="shared" si="202"/>
        <v>0</v>
      </c>
      <c r="EL78" s="813">
        <f t="shared" si="203"/>
        <v>0</v>
      </c>
      <c r="EM78" s="813">
        <f t="shared" si="204"/>
        <v>0</v>
      </c>
      <c r="EN78" s="813" t="e">
        <f t="shared" si="144"/>
        <v>#REF!</v>
      </c>
      <c r="EO78" s="812" t="str">
        <f t="shared" si="205"/>
        <v/>
      </c>
      <c r="EP78" s="813">
        <f t="shared" si="206"/>
        <v>0</v>
      </c>
      <c r="EQ78" s="813">
        <f t="shared" si="207"/>
        <v>0</v>
      </c>
      <c r="ER78" s="813">
        <f t="shared" si="208"/>
        <v>0</v>
      </c>
      <c r="ES78" s="813" t="e">
        <f t="shared" si="149"/>
        <v>#REF!</v>
      </c>
      <c r="ET78" s="812" t="str">
        <f t="shared" si="209"/>
        <v/>
      </c>
      <c r="EU78" s="812" t="e">
        <f t="shared" si="151"/>
        <v>#REF!</v>
      </c>
      <c r="EV78" s="815" t="e">
        <f t="shared" si="152"/>
        <v>#VALUE!</v>
      </c>
      <c r="EW78" s="815" t="e">
        <f t="shared" si="153"/>
        <v>#VALUE!</v>
      </c>
      <c r="EX78" s="817" t="str">
        <f t="shared" si="154"/>
        <v/>
      </c>
      <c r="EY78" s="818" t="e">
        <f t="shared" si="210"/>
        <v>#DIV/0!</v>
      </c>
      <c r="EZ78" s="893" t="e">
        <f t="shared" si="156"/>
        <v>#DIV/0!</v>
      </c>
      <c r="FA78" s="894" t="e">
        <f t="shared" si="157"/>
        <v>#DIV/0!</v>
      </c>
      <c r="FB78" s="819" t="str">
        <f t="shared" si="158"/>
        <v/>
      </c>
      <c r="FC78" s="820" t="str">
        <f t="shared" si="159"/>
        <v/>
      </c>
      <c r="FD78" s="829">
        <f t="shared" si="160"/>
        <v>0</v>
      </c>
      <c r="FE78" s="774">
        <f t="shared" si="161"/>
        <v>0</v>
      </c>
      <c r="FF78" s="703" t="b">
        <f t="shared" si="162"/>
        <v>0</v>
      </c>
      <c r="FG78" s="703" t="b">
        <f t="shared" si="163"/>
        <v>0</v>
      </c>
      <c r="FH78" s="703" t="b">
        <f t="shared" si="164"/>
        <v>0</v>
      </c>
      <c r="FI78" s="703" t="b">
        <f t="shared" si="165"/>
        <v>0</v>
      </c>
      <c r="FJ78" s="849" t="str">
        <f t="shared" si="179"/>
        <v/>
      </c>
      <c r="FK78" s="848" t="str">
        <f t="shared" si="180"/>
        <v/>
      </c>
      <c r="FL78" s="242" t="e">
        <f t="shared" si="181"/>
        <v>#N/A</v>
      </c>
      <c r="FM78" s="234" t="str">
        <f t="shared" si="166"/>
        <v/>
      </c>
      <c r="FN78" s="191" t="str">
        <f t="shared" ca="1" si="182"/>
        <v/>
      </c>
      <c r="FO78" s="192" t="str">
        <f t="shared" ca="1" si="183"/>
        <v/>
      </c>
      <c r="FP78" s="193" t="str">
        <f t="shared" ca="1" si="184"/>
        <v/>
      </c>
      <c r="FQ78" s="193" t="str">
        <f t="shared" ca="1" si="185"/>
        <v/>
      </c>
      <c r="FR78" s="243">
        <f t="shared" ca="1" si="186"/>
        <v>0</v>
      </c>
      <c r="FS78" s="244">
        <f t="shared" ca="1" si="187"/>
        <v>0</v>
      </c>
      <c r="FT78" s="191" t="str">
        <f t="shared" ca="1" si="188"/>
        <v/>
      </c>
      <c r="FU78" s="194" t="str">
        <f t="shared" ca="1" si="189"/>
        <v/>
      </c>
      <c r="FV78" s="245" t="str">
        <f t="shared" ca="1" si="167"/>
        <v/>
      </c>
      <c r="FW78" s="195" t="str">
        <f t="shared" ca="1" si="190"/>
        <v/>
      </c>
      <c r="FX78" s="195" t="str">
        <f t="shared" ca="1" si="191"/>
        <v/>
      </c>
      <c r="FY78" s="195" t="str">
        <f t="shared" ca="1" si="192"/>
        <v/>
      </c>
      <c r="FZ78" s="195" t="str">
        <f t="shared" ca="1" si="193"/>
        <v/>
      </c>
      <c r="GA78" s="195" t="str">
        <f t="shared" ca="1" si="194"/>
        <v/>
      </c>
      <c r="GB78" s="196" t="str">
        <f ca="1">IF(FY78="","",2+SUM(FO78:OFFSET(FO78,(FU78-1)*-1,0)))</f>
        <v/>
      </c>
      <c r="GC78" s="238" t="e">
        <f t="shared" si="195"/>
        <v>#N/A</v>
      </c>
      <c r="GD78" s="246" t="str">
        <f t="shared" si="168"/>
        <v/>
      </c>
      <c r="GE78" s="247" t="str">
        <f t="shared" si="169"/>
        <v/>
      </c>
      <c r="GF78" s="197" t="str">
        <f t="shared" si="170"/>
        <v/>
      </c>
      <c r="GG78" s="198" t="str">
        <f t="shared" si="171"/>
        <v/>
      </c>
      <c r="GH78" s="198" t="str">
        <f t="shared" si="172"/>
        <v/>
      </c>
      <c r="GI78" s="199" t="str">
        <f t="shared" si="173"/>
        <v/>
      </c>
      <c r="GJ78" s="473">
        <f t="shared" ca="1" si="174"/>
        <v>0</v>
      </c>
      <c r="GK78" s="834" t="str">
        <f t="shared" ca="1" si="196"/>
        <v/>
      </c>
    </row>
    <row r="79" spans="78:193" ht="12.6" hidden="1" customHeight="1" x14ac:dyDescent="0.2">
      <c r="BZ79" s="214"/>
      <c r="CA79" s="214"/>
      <c r="CB79" s="289" t="str">
        <f t="shared" si="101"/>
        <v/>
      </c>
      <c r="CC79" s="290" t="str">
        <f>IF(CG39="","",VLOOKUP(CG39,#REF!,12,FALSE))</f>
        <v/>
      </c>
      <c r="CD79" s="1219" t="str">
        <f>IF(ISBLANK(CN39),IF(CG39="","",VLOOKUP(CG39,#REF!,13,FALSE)),CN39)</f>
        <v/>
      </c>
      <c r="CE79" s="1219" t="str">
        <f>IF(CG39="","",IF(VLOOKUP(CG39,#REF!,5,FALSE)="","R",UPPER(VLOOKUP(CG39,#REF!,5,FALSE))))</f>
        <v/>
      </c>
      <c r="CF79" s="1219" t="str">
        <f>IF(ISBLANK(CP39),IF(CG39="","",VLOOKUP(CG39,#REF!,6,FALSE)),CP39)</f>
        <v/>
      </c>
      <c r="CG79" s="1219" t="str">
        <f>IF(CG39="","",IF(VLOOKUP(CG39,#REF!,10,FALSE)="","",(VLOOKUP(CG39,#REF!,10,FALSE)*-1)))</f>
        <v/>
      </c>
      <c r="CH79" s="1219" t="str">
        <f>IF(CG39="","",IF(VLOOKUP(CG39,#REF!,7,FALSE)="","",(VLOOKUP(CG39,#REF!,7,FALSE)*-1)))</f>
        <v/>
      </c>
      <c r="CI79" s="1219" t="str">
        <f>IF(CG39="","",IF(VLOOKUP(CG39,#REF!,8,FALSE)="",$FC$4,(VLOOKUP(CG39,#REF!,8,FALSE))))</f>
        <v/>
      </c>
      <c r="CJ79" s="1219" t="str">
        <f>IF(CG39="","",VLOOKUP(CG39,#REF!,9,FALSE))</f>
        <v/>
      </c>
      <c r="CK79" s="1220">
        <f t="shared" si="102"/>
        <v>0</v>
      </c>
      <c r="CL79" s="1218" t="str">
        <f>IF(CQ39="","",VLOOKUP(CQ39,#REF!,12,FALSE))</f>
        <v/>
      </c>
      <c r="CM79" s="1219" t="str">
        <f>IF(ISBLANK(CX39),IF(CQ39="","",VLOOKUP(CQ39,#REF!,13,FALSE)),CX39)</f>
        <v/>
      </c>
      <c r="CN79" s="1219" t="str">
        <f>IF(CQ39="","",IF(VLOOKUP(CQ39,#REF!,5,FALSE)="","R",UPPER(VLOOKUP(CQ39,#REF!,5,FALSE))))</f>
        <v/>
      </c>
      <c r="CO79" s="1219" t="str">
        <f>IF(ISBLANK(CZ39),IF(CQ39="","",VLOOKUP(CQ39,#REF!,6,FALSE)),CZ39)</f>
        <v/>
      </c>
      <c r="CP79" s="1219" t="str">
        <f>IF(CQ39="","",IF(VLOOKUP(CQ39,#REF!,10,FALSE)="","",(VLOOKUP(CQ39,#REF!,10,FALSE)*-1)))</f>
        <v/>
      </c>
      <c r="CQ79" s="1219" t="str">
        <f>IF(CQ39="","",IF(VLOOKUP(CQ39,#REF!,7,FALSE)="","",(VLOOKUP(CQ39,#REF!,7,FALSE)*-1)))</f>
        <v/>
      </c>
      <c r="CR79" s="1219" t="str">
        <f>IF(CQ39="","",IF(VLOOKUP(CQ39,#REF!,8,FALSE)="",$FC$4,(VLOOKUP(CQ39,#REF!,8,FALSE))))</f>
        <v/>
      </c>
      <c r="CS79" s="1219" t="str">
        <f>IF(CQ39="","",VLOOKUP(CQ39,#REF!,9,FALSE))</f>
        <v/>
      </c>
      <c r="CT79" s="1220">
        <f t="shared" si="103"/>
        <v>0</v>
      </c>
      <c r="CU79" s="1230">
        <f t="shared" si="104"/>
        <v>0</v>
      </c>
      <c r="CV79" s="1224" t="str">
        <f t="shared" si="105"/>
        <v/>
      </c>
      <c r="CW79" s="1224" t="str">
        <f t="shared" si="106"/>
        <v/>
      </c>
      <c r="CX79" s="1224" t="str">
        <f t="shared" si="107"/>
        <v/>
      </c>
      <c r="CY79" s="1226">
        <f t="shared" si="108"/>
        <v>0</v>
      </c>
      <c r="CZ79" s="1226" t="e">
        <f t="shared" si="109"/>
        <v>#REF!</v>
      </c>
      <c r="DA79" s="1226" t="str">
        <f t="shared" si="110"/>
        <v/>
      </c>
      <c r="DB79" s="1224" t="str">
        <f t="shared" si="175"/>
        <v/>
      </c>
      <c r="DC79" s="1224" t="str">
        <f t="shared" si="111"/>
        <v/>
      </c>
      <c r="DD79" s="814">
        <f t="shared" si="176"/>
        <v>0</v>
      </c>
      <c r="DE79" s="812">
        <f t="shared" si="112"/>
        <v>0</v>
      </c>
      <c r="DF79" s="813" t="e">
        <f t="shared" si="113"/>
        <v>#REF!</v>
      </c>
      <c r="DG79" s="813" t="str">
        <f t="shared" si="114"/>
        <v/>
      </c>
      <c r="DH79" s="1224" t="str">
        <f t="shared" si="177"/>
        <v/>
      </c>
      <c r="DI79" s="1224" t="str">
        <f t="shared" si="115"/>
        <v/>
      </c>
      <c r="DJ79" s="1225">
        <f t="shared" si="178"/>
        <v>0</v>
      </c>
      <c r="DK79" s="1224" t="str">
        <f t="shared" si="197"/>
        <v/>
      </c>
      <c r="DL79" s="1224" t="str">
        <f t="shared" si="198"/>
        <v/>
      </c>
      <c r="DM79" s="1224" t="str">
        <f t="shared" si="118"/>
        <v/>
      </c>
      <c r="DN79" s="1224" t="str">
        <f t="shared" si="119"/>
        <v/>
      </c>
      <c r="DO79" s="828" t="e">
        <f t="shared" si="120"/>
        <v>#REF!</v>
      </c>
      <c r="DP79" s="828" t="e">
        <f t="shared" si="121"/>
        <v>#REF!</v>
      </c>
      <c r="DQ79" s="1224" t="str">
        <f t="shared" si="122"/>
        <v/>
      </c>
      <c r="DR79" s="1224" t="str">
        <f t="shared" si="122"/>
        <v/>
      </c>
      <c r="DS79" s="1224" t="str">
        <f t="shared" si="123"/>
        <v/>
      </c>
      <c r="DT79" s="1224" t="str">
        <f t="shared" si="124"/>
        <v/>
      </c>
      <c r="DU79" s="1224" t="str">
        <f t="shared" si="125"/>
        <v/>
      </c>
      <c r="DV79" s="828" t="e">
        <f t="shared" si="126"/>
        <v>#REF!</v>
      </c>
      <c r="DW79" s="828" t="e">
        <f t="shared" si="127"/>
        <v>#REF!</v>
      </c>
      <c r="DX79" s="812" t="str">
        <f t="shared" si="199"/>
        <v/>
      </c>
      <c r="DY79" s="812" t="str">
        <f t="shared" si="200"/>
        <v/>
      </c>
      <c r="DZ79" s="812" t="str">
        <f t="shared" si="130"/>
        <v/>
      </c>
      <c r="EA79" s="812" t="str">
        <f t="shared" si="131"/>
        <v/>
      </c>
      <c r="EB79" s="815" t="str">
        <f t="shared" si="132"/>
        <v/>
      </c>
      <c r="EC79" s="816" t="str">
        <f t="shared" si="201"/>
        <v/>
      </c>
      <c r="ED79" s="815" t="str">
        <f t="shared" si="134"/>
        <v/>
      </c>
      <c r="EE79" s="815" t="str">
        <f t="shared" si="135"/>
        <v/>
      </c>
      <c r="EF79" s="815" t="str">
        <f t="shared" si="136"/>
        <v/>
      </c>
      <c r="EG79" s="815" t="str">
        <f t="shared" si="137"/>
        <v/>
      </c>
      <c r="EH79" s="815" t="str">
        <f t="shared" si="138"/>
        <v/>
      </c>
      <c r="EI79" s="815" t="str">
        <f t="shared" si="139"/>
        <v/>
      </c>
      <c r="EJ79" s="815" t="str">
        <f t="shared" si="140"/>
        <v/>
      </c>
      <c r="EK79" s="813">
        <f t="shared" si="202"/>
        <v>0</v>
      </c>
      <c r="EL79" s="813">
        <f t="shared" si="203"/>
        <v>0</v>
      </c>
      <c r="EM79" s="813">
        <f t="shared" si="204"/>
        <v>0</v>
      </c>
      <c r="EN79" s="813" t="e">
        <f t="shared" si="144"/>
        <v>#REF!</v>
      </c>
      <c r="EO79" s="812" t="str">
        <f t="shared" si="205"/>
        <v/>
      </c>
      <c r="EP79" s="813">
        <f t="shared" si="206"/>
        <v>0</v>
      </c>
      <c r="EQ79" s="813">
        <f t="shared" si="207"/>
        <v>0</v>
      </c>
      <c r="ER79" s="813">
        <f t="shared" si="208"/>
        <v>0</v>
      </c>
      <c r="ES79" s="813" t="e">
        <f t="shared" si="149"/>
        <v>#REF!</v>
      </c>
      <c r="ET79" s="812" t="str">
        <f t="shared" si="209"/>
        <v/>
      </c>
      <c r="EU79" s="812" t="e">
        <f t="shared" si="151"/>
        <v>#REF!</v>
      </c>
      <c r="EV79" s="815" t="e">
        <f t="shared" si="152"/>
        <v>#VALUE!</v>
      </c>
      <c r="EW79" s="815" t="e">
        <f t="shared" si="153"/>
        <v>#VALUE!</v>
      </c>
      <c r="EX79" s="817" t="str">
        <f t="shared" si="154"/>
        <v/>
      </c>
      <c r="EY79" s="818" t="e">
        <f t="shared" si="210"/>
        <v>#DIV/0!</v>
      </c>
      <c r="EZ79" s="893" t="e">
        <f t="shared" si="156"/>
        <v>#DIV/0!</v>
      </c>
      <c r="FA79" s="894" t="e">
        <f t="shared" si="157"/>
        <v>#DIV/0!</v>
      </c>
      <c r="FB79" s="819" t="str">
        <f t="shared" si="158"/>
        <v/>
      </c>
      <c r="FC79" s="820" t="str">
        <f t="shared" si="159"/>
        <v/>
      </c>
      <c r="FD79" s="829">
        <f t="shared" si="160"/>
        <v>0</v>
      </c>
      <c r="FE79" s="774">
        <f t="shared" si="161"/>
        <v>0</v>
      </c>
      <c r="FF79" s="703" t="b">
        <f t="shared" si="162"/>
        <v>0</v>
      </c>
      <c r="FG79" s="703" t="b">
        <f t="shared" si="163"/>
        <v>0</v>
      </c>
      <c r="FH79" s="703" t="b">
        <f t="shared" si="164"/>
        <v>0</v>
      </c>
      <c r="FI79" s="703" t="b">
        <f t="shared" si="165"/>
        <v>0</v>
      </c>
      <c r="FJ79" s="849" t="str">
        <f t="shared" si="179"/>
        <v/>
      </c>
      <c r="FK79" s="848" t="str">
        <f t="shared" si="180"/>
        <v/>
      </c>
      <c r="FL79" s="242" t="e">
        <f t="shared" si="181"/>
        <v>#N/A</v>
      </c>
      <c r="FM79" s="234" t="str">
        <f t="shared" si="166"/>
        <v/>
      </c>
      <c r="FN79" s="191" t="str">
        <f t="shared" ca="1" si="182"/>
        <v/>
      </c>
      <c r="FO79" s="192" t="str">
        <f t="shared" ca="1" si="183"/>
        <v/>
      </c>
      <c r="FP79" s="193" t="str">
        <f t="shared" ca="1" si="184"/>
        <v/>
      </c>
      <c r="FQ79" s="193" t="str">
        <f t="shared" ca="1" si="185"/>
        <v/>
      </c>
      <c r="FR79" s="243">
        <f t="shared" ca="1" si="186"/>
        <v>0</v>
      </c>
      <c r="FS79" s="244">
        <f t="shared" ca="1" si="187"/>
        <v>0</v>
      </c>
      <c r="FT79" s="191" t="str">
        <f t="shared" ca="1" si="188"/>
        <v/>
      </c>
      <c r="FU79" s="194" t="str">
        <f t="shared" ca="1" si="189"/>
        <v/>
      </c>
      <c r="FV79" s="245" t="str">
        <f t="shared" ca="1" si="167"/>
        <v/>
      </c>
      <c r="FW79" s="195" t="str">
        <f t="shared" ca="1" si="190"/>
        <v/>
      </c>
      <c r="FX79" s="195" t="str">
        <f t="shared" ca="1" si="191"/>
        <v/>
      </c>
      <c r="FY79" s="195" t="str">
        <f t="shared" ca="1" si="192"/>
        <v/>
      </c>
      <c r="FZ79" s="195" t="str">
        <f t="shared" ca="1" si="193"/>
        <v/>
      </c>
      <c r="GA79" s="195" t="str">
        <f t="shared" ca="1" si="194"/>
        <v/>
      </c>
      <c r="GB79" s="196" t="str">
        <f ca="1">IF(FY79="","",2+SUM(FO79:OFFSET(FO79,(FU79-1)*-1,0)))</f>
        <v/>
      </c>
      <c r="GC79" s="238" t="e">
        <f t="shared" si="195"/>
        <v>#N/A</v>
      </c>
      <c r="GD79" s="246" t="str">
        <f t="shared" si="168"/>
        <v/>
      </c>
      <c r="GE79" s="247" t="str">
        <f t="shared" si="169"/>
        <v/>
      </c>
      <c r="GF79" s="197" t="str">
        <f t="shared" si="170"/>
        <v/>
      </c>
      <c r="GG79" s="198" t="str">
        <f t="shared" si="171"/>
        <v/>
      </c>
      <c r="GH79" s="198" t="str">
        <f t="shared" si="172"/>
        <v/>
      </c>
      <c r="GI79" s="199" t="str">
        <f t="shared" si="173"/>
        <v/>
      </c>
      <c r="GJ79" s="473">
        <f t="shared" ca="1" si="174"/>
        <v>0</v>
      </c>
      <c r="GK79" s="834" t="str">
        <f t="shared" ca="1" si="196"/>
        <v/>
      </c>
    </row>
    <row r="80" spans="78:193" ht="12.6" hidden="1" customHeight="1" x14ac:dyDescent="0.2">
      <c r="BZ80" s="214"/>
      <c r="CA80" s="214"/>
      <c r="CB80" s="289" t="str">
        <f t="shared" si="101"/>
        <v/>
      </c>
      <c r="CC80" s="290" t="str">
        <f>IF(CG40="","",VLOOKUP(CG40,#REF!,12,FALSE))</f>
        <v/>
      </c>
      <c r="CD80" s="1219" t="str">
        <f>IF(ISBLANK(CN40),IF(CG40="","",VLOOKUP(CG40,#REF!,13,FALSE)),CN40)</f>
        <v/>
      </c>
      <c r="CE80" s="1219" t="str">
        <f>IF(CG40="","",IF(VLOOKUP(CG40,#REF!,5,FALSE)="","R",UPPER(VLOOKUP(CG40,#REF!,5,FALSE))))</f>
        <v/>
      </c>
      <c r="CF80" s="1219" t="str">
        <f>IF(ISBLANK(CP40),IF(CG40="","",VLOOKUP(CG40,#REF!,6,FALSE)),CP40)</f>
        <v/>
      </c>
      <c r="CG80" s="1219" t="str">
        <f>IF(CG40="","",IF(VLOOKUP(CG40,#REF!,10,FALSE)="","",(VLOOKUP(CG40,#REF!,10,FALSE)*-1)))</f>
        <v/>
      </c>
      <c r="CH80" s="1219" t="str">
        <f>IF(CG40="","",IF(VLOOKUP(CG40,#REF!,7,FALSE)="","",(VLOOKUP(CG40,#REF!,7,FALSE)*-1)))</f>
        <v/>
      </c>
      <c r="CI80" s="1219" t="str">
        <f>IF(CG40="","",IF(VLOOKUP(CG40,#REF!,8,FALSE)="",$FC$4,(VLOOKUP(CG40,#REF!,8,FALSE))))</f>
        <v/>
      </c>
      <c r="CJ80" s="1219" t="str">
        <f>IF(CG40="","",VLOOKUP(CG40,#REF!,9,FALSE))</f>
        <v/>
      </c>
      <c r="CK80" s="1220">
        <f t="shared" si="102"/>
        <v>0</v>
      </c>
      <c r="CL80" s="1218" t="str">
        <f>IF(CQ40="","",VLOOKUP(CQ40,#REF!,12,FALSE))</f>
        <v/>
      </c>
      <c r="CM80" s="1219" t="str">
        <f>IF(ISBLANK(CX40),IF(CQ40="","",VLOOKUP(CQ40,#REF!,13,FALSE)),CX40)</f>
        <v/>
      </c>
      <c r="CN80" s="1219" t="str">
        <f>IF(CQ40="","",IF(VLOOKUP(CQ40,#REF!,5,FALSE)="","R",UPPER(VLOOKUP(CQ40,#REF!,5,FALSE))))</f>
        <v/>
      </c>
      <c r="CO80" s="1219" t="str">
        <f>IF(ISBLANK(CZ40),IF(CQ40="","",VLOOKUP(CQ40,#REF!,6,FALSE)),CZ40)</f>
        <v/>
      </c>
      <c r="CP80" s="1219" t="str">
        <f>IF(CQ40="","",IF(VLOOKUP(CQ40,#REF!,10,FALSE)="","",(VLOOKUP(CQ40,#REF!,10,FALSE)*-1)))</f>
        <v/>
      </c>
      <c r="CQ80" s="1219" t="str">
        <f>IF(CQ40="","",IF(VLOOKUP(CQ40,#REF!,7,FALSE)="","",(VLOOKUP(CQ40,#REF!,7,FALSE)*-1)))</f>
        <v/>
      </c>
      <c r="CR80" s="1219" t="str">
        <f>IF(CQ40="","",IF(VLOOKUP(CQ40,#REF!,8,FALSE)="",$FC$4,(VLOOKUP(CQ40,#REF!,8,FALSE))))</f>
        <v/>
      </c>
      <c r="CS80" s="1219" t="str">
        <f>IF(CQ40="","",VLOOKUP(CQ40,#REF!,9,FALSE))</f>
        <v/>
      </c>
      <c r="CT80" s="1220">
        <f t="shared" si="103"/>
        <v>0</v>
      </c>
      <c r="CU80" s="1230">
        <f t="shared" si="104"/>
        <v>0</v>
      </c>
      <c r="CV80" s="1224" t="str">
        <f t="shared" si="105"/>
        <v/>
      </c>
      <c r="CW80" s="1224" t="str">
        <f t="shared" si="106"/>
        <v/>
      </c>
      <c r="CX80" s="1224" t="str">
        <f t="shared" si="107"/>
        <v/>
      </c>
      <c r="CY80" s="1226">
        <f t="shared" si="108"/>
        <v>0</v>
      </c>
      <c r="CZ80" s="1226" t="e">
        <f t="shared" si="109"/>
        <v>#REF!</v>
      </c>
      <c r="DA80" s="1226" t="str">
        <f t="shared" si="110"/>
        <v/>
      </c>
      <c r="DB80" s="1224" t="str">
        <f t="shared" si="175"/>
        <v/>
      </c>
      <c r="DC80" s="1224" t="str">
        <f t="shared" si="111"/>
        <v/>
      </c>
      <c r="DD80" s="814">
        <f t="shared" si="176"/>
        <v>0</v>
      </c>
      <c r="DE80" s="812">
        <f t="shared" si="112"/>
        <v>0</v>
      </c>
      <c r="DF80" s="813" t="e">
        <f t="shared" si="113"/>
        <v>#REF!</v>
      </c>
      <c r="DG80" s="813" t="str">
        <f t="shared" si="114"/>
        <v/>
      </c>
      <c r="DH80" s="1224" t="str">
        <f t="shared" si="177"/>
        <v/>
      </c>
      <c r="DI80" s="1224" t="str">
        <f t="shared" si="115"/>
        <v/>
      </c>
      <c r="DJ80" s="1225">
        <f t="shared" si="178"/>
        <v>0</v>
      </c>
      <c r="DK80" s="1224" t="str">
        <f t="shared" si="197"/>
        <v/>
      </c>
      <c r="DL80" s="1224" t="str">
        <f t="shared" si="198"/>
        <v/>
      </c>
      <c r="DM80" s="1224" t="str">
        <f t="shared" si="118"/>
        <v/>
      </c>
      <c r="DN80" s="1224" t="str">
        <f t="shared" si="119"/>
        <v/>
      </c>
      <c r="DO80" s="828" t="e">
        <f t="shared" si="120"/>
        <v>#REF!</v>
      </c>
      <c r="DP80" s="828" t="e">
        <f t="shared" si="121"/>
        <v>#REF!</v>
      </c>
      <c r="DQ80" s="1224" t="str">
        <f t="shared" si="122"/>
        <v/>
      </c>
      <c r="DR80" s="1224" t="str">
        <f t="shared" si="122"/>
        <v/>
      </c>
      <c r="DS80" s="1224" t="str">
        <f t="shared" si="123"/>
        <v/>
      </c>
      <c r="DT80" s="1224" t="str">
        <f t="shared" si="124"/>
        <v/>
      </c>
      <c r="DU80" s="1224" t="str">
        <f t="shared" si="125"/>
        <v/>
      </c>
      <c r="DV80" s="828" t="e">
        <f t="shared" si="126"/>
        <v>#REF!</v>
      </c>
      <c r="DW80" s="828" t="e">
        <f t="shared" si="127"/>
        <v>#REF!</v>
      </c>
      <c r="DX80" s="812" t="str">
        <f t="shared" si="199"/>
        <v/>
      </c>
      <c r="DY80" s="812" t="str">
        <f t="shared" si="200"/>
        <v/>
      </c>
      <c r="DZ80" s="812" t="str">
        <f t="shared" si="130"/>
        <v/>
      </c>
      <c r="EA80" s="812" t="str">
        <f t="shared" si="131"/>
        <v/>
      </c>
      <c r="EB80" s="815" t="str">
        <f t="shared" si="132"/>
        <v/>
      </c>
      <c r="EC80" s="816" t="str">
        <f t="shared" si="201"/>
        <v/>
      </c>
      <c r="ED80" s="815" t="str">
        <f t="shared" si="134"/>
        <v/>
      </c>
      <c r="EE80" s="815" t="str">
        <f t="shared" si="135"/>
        <v/>
      </c>
      <c r="EF80" s="815" t="str">
        <f t="shared" si="136"/>
        <v/>
      </c>
      <c r="EG80" s="815" t="str">
        <f t="shared" si="137"/>
        <v/>
      </c>
      <c r="EH80" s="815" t="str">
        <f t="shared" si="138"/>
        <v/>
      </c>
      <c r="EI80" s="815" t="str">
        <f t="shared" si="139"/>
        <v/>
      </c>
      <c r="EJ80" s="815" t="str">
        <f t="shared" si="140"/>
        <v/>
      </c>
      <c r="EK80" s="813">
        <f t="shared" si="202"/>
        <v>0</v>
      </c>
      <c r="EL80" s="813">
        <f t="shared" si="203"/>
        <v>0</v>
      </c>
      <c r="EM80" s="813">
        <f t="shared" si="204"/>
        <v>0</v>
      </c>
      <c r="EN80" s="813" t="e">
        <f t="shared" si="144"/>
        <v>#REF!</v>
      </c>
      <c r="EO80" s="812" t="str">
        <f t="shared" si="205"/>
        <v/>
      </c>
      <c r="EP80" s="813">
        <f t="shared" si="206"/>
        <v>0</v>
      </c>
      <c r="EQ80" s="813">
        <f t="shared" si="207"/>
        <v>0</v>
      </c>
      <c r="ER80" s="813">
        <f t="shared" si="208"/>
        <v>0</v>
      </c>
      <c r="ES80" s="813" t="e">
        <f t="shared" si="149"/>
        <v>#REF!</v>
      </c>
      <c r="ET80" s="812" t="str">
        <f t="shared" si="209"/>
        <v/>
      </c>
      <c r="EU80" s="812" t="e">
        <f t="shared" si="151"/>
        <v>#REF!</v>
      </c>
      <c r="EV80" s="815" t="e">
        <f t="shared" si="152"/>
        <v>#VALUE!</v>
      </c>
      <c r="EW80" s="815" t="e">
        <f t="shared" si="153"/>
        <v>#VALUE!</v>
      </c>
      <c r="EX80" s="817" t="str">
        <f t="shared" si="154"/>
        <v/>
      </c>
      <c r="EY80" s="818" t="e">
        <f t="shared" si="210"/>
        <v>#DIV/0!</v>
      </c>
      <c r="EZ80" s="893" t="e">
        <f t="shared" si="156"/>
        <v>#DIV/0!</v>
      </c>
      <c r="FA80" s="894" t="e">
        <f t="shared" si="157"/>
        <v>#DIV/0!</v>
      </c>
      <c r="FB80" s="819" t="str">
        <f t="shared" si="158"/>
        <v/>
      </c>
      <c r="FC80" s="820" t="str">
        <f t="shared" si="159"/>
        <v/>
      </c>
      <c r="FD80" s="829">
        <f t="shared" si="160"/>
        <v>0</v>
      </c>
      <c r="FE80" s="774">
        <f t="shared" si="161"/>
        <v>0</v>
      </c>
      <c r="FF80" s="703" t="b">
        <f t="shared" si="162"/>
        <v>0</v>
      </c>
      <c r="FG80" s="703" t="b">
        <f t="shared" si="163"/>
        <v>0</v>
      </c>
      <c r="FH80" s="703" t="b">
        <f t="shared" si="164"/>
        <v>0</v>
      </c>
      <c r="FI80" s="703" t="b">
        <f t="shared" si="165"/>
        <v>0</v>
      </c>
      <c r="FJ80" s="849" t="str">
        <f t="shared" si="179"/>
        <v/>
      </c>
      <c r="FK80" s="848" t="str">
        <f t="shared" si="180"/>
        <v/>
      </c>
      <c r="FL80" s="242" t="e">
        <f t="shared" si="181"/>
        <v>#N/A</v>
      </c>
      <c r="FM80" s="234" t="str">
        <f t="shared" si="166"/>
        <v/>
      </c>
      <c r="FN80" s="191" t="str">
        <f t="shared" ca="1" si="182"/>
        <v/>
      </c>
      <c r="FO80" s="192" t="str">
        <f t="shared" ca="1" si="183"/>
        <v/>
      </c>
      <c r="FP80" s="193" t="str">
        <f t="shared" ca="1" si="184"/>
        <v/>
      </c>
      <c r="FQ80" s="193" t="str">
        <f t="shared" ca="1" si="185"/>
        <v/>
      </c>
      <c r="FR80" s="243">
        <f t="shared" ca="1" si="186"/>
        <v>0</v>
      </c>
      <c r="FS80" s="244">
        <f t="shared" ca="1" si="187"/>
        <v>0</v>
      </c>
      <c r="FT80" s="191" t="str">
        <f t="shared" ca="1" si="188"/>
        <v/>
      </c>
      <c r="FU80" s="194" t="str">
        <f t="shared" ca="1" si="189"/>
        <v/>
      </c>
      <c r="FV80" s="245" t="str">
        <f t="shared" ca="1" si="167"/>
        <v/>
      </c>
      <c r="FW80" s="195" t="str">
        <f t="shared" ca="1" si="190"/>
        <v/>
      </c>
      <c r="FX80" s="195" t="str">
        <f t="shared" ca="1" si="191"/>
        <v/>
      </c>
      <c r="FY80" s="195" t="str">
        <f t="shared" ca="1" si="192"/>
        <v/>
      </c>
      <c r="FZ80" s="195" t="str">
        <f t="shared" ca="1" si="193"/>
        <v/>
      </c>
      <c r="GA80" s="195" t="str">
        <f t="shared" ca="1" si="194"/>
        <v/>
      </c>
      <c r="GB80" s="196" t="str">
        <f ca="1">IF(FY80="","",2+SUM(FO80:OFFSET(FO80,(FU80-1)*-1,0)))</f>
        <v/>
      </c>
      <c r="GC80" s="238" t="e">
        <f t="shared" si="195"/>
        <v>#N/A</v>
      </c>
      <c r="GD80" s="246" t="str">
        <f t="shared" si="168"/>
        <v/>
      </c>
      <c r="GE80" s="247" t="str">
        <f t="shared" si="169"/>
        <v/>
      </c>
      <c r="GF80" s="197" t="str">
        <f t="shared" si="170"/>
        <v/>
      </c>
      <c r="GG80" s="198" t="str">
        <f t="shared" si="171"/>
        <v/>
      </c>
      <c r="GH80" s="198" t="str">
        <f t="shared" si="172"/>
        <v/>
      </c>
      <c r="GI80" s="199" t="str">
        <f t="shared" si="173"/>
        <v/>
      </c>
      <c r="GJ80" s="473">
        <f t="shared" ca="1" si="174"/>
        <v>0</v>
      </c>
      <c r="GK80" s="834" t="str">
        <f t="shared" ca="1" si="196"/>
        <v/>
      </c>
    </row>
    <row r="81" spans="1:193" ht="12.6" hidden="1" customHeight="1" x14ac:dyDescent="0.2">
      <c r="BZ81" s="214"/>
      <c r="CA81" s="214"/>
      <c r="CB81" s="289" t="str">
        <f t="shared" si="101"/>
        <v/>
      </c>
      <c r="CC81" s="290" t="str">
        <f>IF(CG41="","",VLOOKUP(CG41,#REF!,12,FALSE))</f>
        <v/>
      </c>
      <c r="CD81" s="1219" t="str">
        <f>IF(ISBLANK(CN41),IF(CG41="","",VLOOKUP(CG41,#REF!,13,FALSE)),CN41)</f>
        <v/>
      </c>
      <c r="CE81" s="1219" t="str">
        <f>IF(CG41="","",IF(VLOOKUP(CG41,#REF!,5,FALSE)="","R",UPPER(VLOOKUP(CG41,#REF!,5,FALSE))))</f>
        <v/>
      </c>
      <c r="CF81" s="1219" t="str">
        <f>IF(ISBLANK(CP41),IF(CG41="","",VLOOKUP(CG41,#REF!,6,FALSE)),CP41)</f>
        <v/>
      </c>
      <c r="CG81" s="1219" t="str">
        <f>IF(CG41="","",IF(VLOOKUP(CG41,#REF!,10,FALSE)="","",(VLOOKUP(CG41,#REF!,10,FALSE)*-1)))</f>
        <v/>
      </c>
      <c r="CH81" s="1219" t="str">
        <f>IF(CG41="","",IF(VLOOKUP(CG41,#REF!,7,FALSE)="","",(VLOOKUP(CG41,#REF!,7,FALSE)*-1)))</f>
        <v/>
      </c>
      <c r="CI81" s="1219" t="str">
        <f>IF(CG41="","",IF(VLOOKUP(CG41,#REF!,8,FALSE)="",$FC$4,(VLOOKUP(CG41,#REF!,8,FALSE))))</f>
        <v/>
      </c>
      <c r="CJ81" s="1219" t="str">
        <f>IF(CG41="","",VLOOKUP(CG41,#REF!,9,FALSE))</f>
        <v/>
      </c>
      <c r="CK81" s="1220">
        <f t="shared" si="102"/>
        <v>0</v>
      </c>
      <c r="CL81" s="1218" t="str">
        <f>IF(CQ41="","",VLOOKUP(CQ41,#REF!,12,FALSE))</f>
        <v/>
      </c>
      <c r="CM81" s="1219" t="str">
        <f>IF(ISBLANK(CX41),IF(CQ41="","",VLOOKUP(CQ41,#REF!,13,FALSE)),CX41)</f>
        <v/>
      </c>
      <c r="CN81" s="1219" t="str">
        <f>IF(CQ41="","",IF(VLOOKUP(CQ41,#REF!,5,FALSE)="","R",UPPER(VLOOKUP(CQ41,#REF!,5,FALSE))))</f>
        <v/>
      </c>
      <c r="CO81" s="1219" t="str">
        <f>IF(ISBLANK(CZ41),IF(CQ41="","",VLOOKUP(CQ41,#REF!,6,FALSE)),CZ41)</f>
        <v/>
      </c>
      <c r="CP81" s="1219" t="str">
        <f>IF(CQ41="","",IF(VLOOKUP(CQ41,#REF!,10,FALSE)="","",(VLOOKUP(CQ41,#REF!,10,FALSE)*-1)))</f>
        <v/>
      </c>
      <c r="CQ81" s="1219" t="str">
        <f>IF(CQ41="","",IF(VLOOKUP(CQ41,#REF!,7,FALSE)="","",(VLOOKUP(CQ41,#REF!,7,FALSE)*-1)))</f>
        <v/>
      </c>
      <c r="CR81" s="1219" t="str">
        <f>IF(CQ41="","",IF(VLOOKUP(CQ41,#REF!,8,FALSE)="",$FC$4,(VLOOKUP(CQ41,#REF!,8,FALSE))))</f>
        <v/>
      </c>
      <c r="CS81" s="1219" t="str">
        <f>IF(CQ41="","",VLOOKUP(CQ41,#REF!,9,FALSE))</f>
        <v/>
      </c>
      <c r="CT81" s="1220">
        <f t="shared" si="103"/>
        <v>0</v>
      </c>
      <c r="CU81" s="1230">
        <f t="shared" si="104"/>
        <v>0</v>
      </c>
      <c r="CV81" s="1224" t="str">
        <f t="shared" si="105"/>
        <v/>
      </c>
      <c r="CW81" s="1224" t="str">
        <f t="shared" si="106"/>
        <v/>
      </c>
      <c r="CX81" s="1224" t="str">
        <f t="shared" si="107"/>
        <v/>
      </c>
      <c r="CY81" s="1226">
        <f t="shared" si="108"/>
        <v>0</v>
      </c>
      <c r="CZ81" s="1226" t="e">
        <f t="shared" si="109"/>
        <v>#REF!</v>
      </c>
      <c r="DA81" s="1226" t="str">
        <f t="shared" si="110"/>
        <v/>
      </c>
      <c r="DB81" s="1224" t="str">
        <f t="shared" si="175"/>
        <v/>
      </c>
      <c r="DC81" s="1224" t="str">
        <f t="shared" si="111"/>
        <v/>
      </c>
      <c r="DD81" s="814">
        <f t="shared" si="176"/>
        <v>0</v>
      </c>
      <c r="DE81" s="812">
        <f t="shared" si="112"/>
        <v>0</v>
      </c>
      <c r="DF81" s="813" t="e">
        <f t="shared" si="113"/>
        <v>#REF!</v>
      </c>
      <c r="DG81" s="813" t="str">
        <f t="shared" si="114"/>
        <v/>
      </c>
      <c r="DH81" s="1224" t="str">
        <f t="shared" si="177"/>
        <v/>
      </c>
      <c r="DI81" s="1224" t="str">
        <f t="shared" si="115"/>
        <v/>
      </c>
      <c r="DJ81" s="1225">
        <f t="shared" si="178"/>
        <v>0</v>
      </c>
      <c r="DK81" s="1224" t="str">
        <f t="shared" si="197"/>
        <v/>
      </c>
      <c r="DL81" s="1224" t="str">
        <f t="shared" si="198"/>
        <v/>
      </c>
      <c r="DM81" s="1224" t="str">
        <f t="shared" si="118"/>
        <v/>
      </c>
      <c r="DN81" s="1224" t="str">
        <f t="shared" si="119"/>
        <v/>
      </c>
      <c r="DO81" s="828" t="e">
        <f t="shared" si="120"/>
        <v>#REF!</v>
      </c>
      <c r="DP81" s="828" t="e">
        <f t="shared" si="121"/>
        <v>#REF!</v>
      </c>
      <c r="DQ81" s="1224" t="str">
        <f t="shared" si="122"/>
        <v/>
      </c>
      <c r="DR81" s="1224" t="str">
        <f t="shared" si="122"/>
        <v/>
      </c>
      <c r="DS81" s="1224" t="str">
        <f t="shared" si="123"/>
        <v/>
      </c>
      <c r="DT81" s="1224" t="str">
        <f t="shared" si="124"/>
        <v/>
      </c>
      <c r="DU81" s="1224" t="str">
        <f t="shared" si="125"/>
        <v/>
      </c>
      <c r="DV81" s="828" t="e">
        <f t="shared" si="126"/>
        <v>#REF!</v>
      </c>
      <c r="DW81" s="828" t="e">
        <f t="shared" si="127"/>
        <v>#REF!</v>
      </c>
      <c r="DX81" s="812" t="str">
        <f t="shared" si="199"/>
        <v/>
      </c>
      <c r="DY81" s="812" t="str">
        <f t="shared" si="200"/>
        <v/>
      </c>
      <c r="DZ81" s="812" t="str">
        <f t="shared" si="130"/>
        <v/>
      </c>
      <c r="EA81" s="812" t="str">
        <f t="shared" si="131"/>
        <v/>
      </c>
      <c r="EB81" s="815" t="str">
        <f t="shared" si="132"/>
        <v/>
      </c>
      <c r="EC81" s="816" t="str">
        <f t="shared" si="201"/>
        <v/>
      </c>
      <c r="ED81" s="815" t="str">
        <f t="shared" si="134"/>
        <v/>
      </c>
      <c r="EE81" s="815" t="str">
        <f t="shared" si="135"/>
        <v/>
      </c>
      <c r="EF81" s="815" t="str">
        <f t="shared" si="136"/>
        <v/>
      </c>
      <c r="EG81" s="815" t="str">
        <f t="shared" si="137"/>
        <v/>
      </c>
      <c r="EH81" s="815" t="str">
        <f t="shared" si="138"/>
        <v/>
      </c>
      <c r="EI81" s="815" t="str">
        <f t="shared" si="139"/>
        <v/>
      </c>
      <c r="EJ81" s="815" t="str">
        <f t="shared" si="140"/>
        <v/>
      </c>
      <c r="EK81" s="813">
        <f t="shared" si="202"/>
        <v>0</v>
      </c>
      <c r="EL81" s="813">
        <f t="shared" si="203"/>
        <v>0</v>
      </c>
      <c r="EM81" s="813">
        <f t="shared" si="204"/>
        <v>0</v>
      </c>
      <c r="EN81" s="813" t="e">
        <f t="shared" si="144"/>
        <v>#REF!</v>
      </c>
      <c r="EO81" s="812" t="str">
        <f t="shared" si="205"/>
        <v/>
      </c>
      <c r="EP81" s="813">
        <f t="shared" si="206"/>
        <v>0</v>
      </c>
      <c r="EQ81" s="813">
        <f t="shared" si="207"/>
        <v>0</v>
      </c>
      <c r="ER81" s="813">
        <f t="shared" si="208"/>
        <v>0</v>
      </c>
      <c r="ES81" s="813" t="e">
        <f t="shared" si="149"/>
        <v>#REF!</v>
      </c>
      <c r="ET81" s="812" t="str">
        <f t="shared" si="209"/>
        <v/>
      </c>
      <c r="EU81" s="812" t="e">
        <f t="shared" si="151"/>
        <v>#REF!</v>
      </c>
      <c r="EV81" s="815" t="e">
        <f t="shared" si="152"/>
        <v>#VALUE!</v>
      </c>
      <c r="EW81" s="815" t="e">
        <f t="shared" si="153"/>
        <v>#VALUE!</v>
      </c>
      <c r="EX81" s="817" t="str">
        <f t="shared" si="154"/>
        <v/>
      </c>
      <c r="EY81" s="818" t="e">
        <f t="shared" si="210"/>
        <v>#DIV/0!</v>
      </c>
      <c r="EZ81" s="893" t="e">
        <f t="shared" si="156"/>
        <v>#DIV/0!</v>
      </c>
      <c r="FA81" s="894" t="e">
        <f t="shared" si="157"/>
        <v>#DIV/0!</v>
      </c>
      <c r="FB81" s="819" t="str">
        <f t="shared" si="158"/>
        <v/>
      </c>
      <c r="FC81" s="820" t="str">
        <f t="shared" si="159"/>
        <v/>
      </c>
      <c r="FD81" s="829">
        <f t="shared" si="160"/>
        <v>0</v>
      </c>
      <c r="FE81" s="774">
        <f t="shared" si="161"/>
        <v>0</v>
      </c>
      <c r="FF81" s="703" t="b">
        <f t="shared" si="162"/>
        <v>0</v>
      </c>
      <c r="FG81" s="703" t="b">
        <f t="shared" si="163"/>
        <v>0</v>
      </c>
      <c r="FH81" s="703" t="b">
        <f t="shared" si="164"/>
        <v>0</v>
      </c>
      <c r="FI81" s="703" t="b">
        <f t="shared" si="165"/>
        <v>0</v>
      </c>
      <c r="FJ81" s="849" t="str">
        <f t="shared" si="179"/>
        <v/>
      </c>
      <c r="FK81" s="848" t="str">
        <f t="shared" si="180"/>
        <v/>
      </c>
      <c r="FL81" s="242" t="e">
        <f t="shared" si="181"/>
        <v>#N/A</v>
      </c>
      <c r="FM81" s="234" t="str">
        <f t="shared" si="166"/>
        <v/>
      </c>
      <c r="FN81" s="191" t="str">
        <f t="shared" ca="1" si="182"/>
        <v/>
      </c>
      <c r="FO81" s="192" t="str">
        <f t="shared" ca="1" si="183"/>
        <v/>
      </c>
      <c r="FP81" s="193" t="str">
        <f t="shared" ca="1" si="184"/>
        <v/>
      </c>
      <c r="FQ81" s="193" t="str">
        <f t="shared" ca="1" si="185"/>
        <v/>
      </c>
      <c r="FR81" s="243">
        <f t="shared" ca="1" si="186"/>
        <v>0</v>
      </c>
      <c r="FS81" s="244">
        <f t="shared" ca="1" si="187"/>
        <v>0</v>
      </c>
      <c r="FT81" s="191" t="str">
        <f t="shared" ca="1" si="188"/>
        <v/>
      </c>
      <c r="FU81" s="194" t="str">
        <f t="shared" ca="1" si="189"/>
        <v/>
      </c>
      <c r="FV81" s="245" t="str">
        <f t="shared" ca="1" si="167"/>
        <v/>
      </c>
      <c r="FW81" s="195" t="str">
        <f t="shared" ca="1" si="190"/>
        <v/>
      </c>
      <c r="FX81" s="195" t="str">
        <f t="shared" ca="1" si="191"/>
        <v/>
      </c>
      <c r="FY81" s="195" t="str">
        <f t="shared" ca="1" si="192"/>
        <v/>
      </c>
      <c r="FZ81" s="195" t="str">
        <f t="shared" ca="1" si="193"/>
        <v/>
      </c>
      <c r="GA81" s="195" t="str">
        <f t="shared" ca="1" si="194"/>
        <v/>
      </c>
      <c r="GB81" s="196" t="str">
        <f ca="1">IF(FY81="","",2+SUM(FO81:OFFSET(FO81,(FU81-1)*-1,0)))</f>
        <v/>
      </c>
      <c r="GC81" s="238" t="e">
        <f t="shared" si="195"/>
        <v>#N/A</v>
      </c>
      <c r="GD81" s="246" t="str">
        <f t="shared" si="168"/>
        <v/>
      </c>
      <c r="GE81" s="247" t="str">
        <f t="shared" si="169"/>
        <v/>
      </c>
      <c r="GF81" s="197" t="str">
        <f t="shared" si="170"/>
        <v/>
      </c>
      <c r="GG81" s="198" t="str">
        <f t="shared" si="171"/>
        <v/>
      </c>
      <c r="GH81" s="198" t="str">
        <f t="shared" si="172"/>
        <v/>
      </c>
      <c r="GI81" s="199" t="str">
        <f t="shared" si="173"/>
        <v/>
      </c>
      <c r="GJ81" s="473">
        <f t="shared" ca="1" si="174"/>
        <v>0</v>
      </c>
      <c r="GK81" s="834" t="str">
        <f t="shared" ca="1" si="196"/>
        <v/>
      </c>
    </row>
    <row r="82" spans="1:193" ht="12.6" hidden="1" customHeight="1" x14ac:dyDescent="0.2">
      <c r="BZ82" s="214"/>
      <c r="CA82" s="214"/>
      <c r="CB82" s="289" t="str">
        <f t="shared" si="101"/>
        <v/>
      </c>
      <c r="CC82" s="290" t="str">
        <f>IF(CG42="","",VLOOKUP(CG42,#REF!,12,FALSE))</f>
        <v/>
      </c>
      <c r="CD82" s="1219" t="str">
        <f>IF(ISBLANK(CN42),IF(CG42="","",VLOOKUP(CG42,#REF!,13,FALSE)),CN42)</f>
        <v/>
      </c>
      <c r="CE82" s="1219" t="str">
        <f>IF(CG42="","",IF(VLOOKUP(CG42,#REF!,5,FALSE)="","R",UPPER(VLOOKUP(CG42,#REF!,5,FALSE))))</f>
        <v/>
      </c>
      <c r="CF82" s="1219" t="str">
        <f>IF(ISBLANK(CP42),IF(CG42="","",VLOOKUP(CG42,#REF!,6,FALSE)),CP42)</f>
        <v/>
      </c>
      <c r="CG82" s="1219" t="str">
        <f>IF(CG42="","",IF(VLOOKUP(CG42,#REF!,10,FALSE)="","",(VLOOKUP(CG42,#REF!,10,FALSE)*-1)))</f>
        <v/>
      </c>
      <c r="CH82" s="1219" t="str">
        <f>IF(CG42="","",IF(VLOOKUP(CG42,#REF!,7,FALSE)="","",(VLOOKUP(CG42,#REF!,7,FALSE)*-1)))</f>
        <v/>
      </c>
      <c r="CI82" s="1219" t="str">
        <f>IF(CG42="","",IF(VLOOKUP(CG42,#REF!,8,FALSE)="",$FC$4,(VLOOKUP(CG42,#REF!,8,FALSE))))</f>
        <v/>
      </c>
      <c r="CJ82" s="1219" t="str">
        <f>IF(CG42="","",VLOOKUP(CG42,#REF!,9,FALSE))</f>
        <v/>
      </c>
      <c r="CK82" s="1220">
        <f t="shared" si="102"/>
        <v>0</v>
      </c>
      <c r="CL82" s="1218" t="str">
        <f>IF(CQ42="","",VLOOKUP(CQ42,#REF!,12,FALSE))</f>
        <v/>
      </c>
      <c r="CM82" s="1219" t="str">
        <f>IF(ISBLANK(CX42),IF(CQ42="","",VLOOKUP(CQ42,#REF!,13,FALSE)),CX42)</f>
        <v/>
      </c>
      <c r="CN82" s="1219" t="str">
        <f>IF(CQ42="","",IF(VLOOKUP(CQ42,#REF!,5,FALSE)="","R",UPPER(VLOOKUP(CQ42,#REF!,5,FALSE))))</f>
        <v/>
      </c>
      <c r="CO82" s="1219" t="str">
        <f>IF(ISBLANK(CZ42),IF(CQ42="","",VLOOKUP(CQ42,#REF!,6,FALSE)),CZ42)</f>
        <v/>
      </c>
      <c r="CP82" s="1219" t="str">
        <f>IF(CQ42="","",IF(VLOOKUP(CQ42,#REF!,10,FALSE)="","",(VLOOKUP(CQ42,#REF!,10,FALSE)*-1)))</f>
        <v/>
      </c>
      <c r="CQ82" s="1219" t="str">
        <f>IF(CQ42="","",IF(VLOOKUP(CQ42,#REF!,7,FALSE)="","",(VLOOKUP(CQ42,#REF!,7,FALSE)*-1)))</f>
        <v/>
      </c>
      <c r="CR82" s="1219" t="str">
        <f>IF(CQ42="","",IF(VLOOKUP(CQ42,#REF!,8,FALSE)="",$FC$4,(VLOOKUP(CQ42,#REF!,8,FALSE))))</f>
        <v/>
      </c>
      <c r="CS82" s="1219" t="str">
        <f>IF(CQ42="","",VLOOKUP(CQ42,#REF!,9,FALSE))</f>
        <v/>
      </c>
      <c r="CT82" s="1220">
        <f t="shared" si="103"/>
        <v>0</v>
      </c>
      <c r="CU82" s="1230">
        <f t="shared" si="104"/>
        <v>0</v>
      </c>
      <c r="CV82" s="1224" t="str">
        <f t="shared" si="105"/>
        <v/>
      </c>
      <c r="CW82" s="1224" t="str">
        <f t="shared" si="106"/>
        <v/>
      </c>
      <c r="CX82" s="1224" t="str">
        <f t="shared" si="107"/>
        <v/>
      </c>
      <c r="CY82" s="1226">
        <f t="shared" si="108"/>
        <v>0</v>
      </c>
      <c r="CZ82" s="1226" t="e">
        <f t="shared" si="109"/>
        <v>#REF!</v>
      </c>
      <c r="DA82" s="1226" t="str">
        <f t="shared" si="110"/>
        <v/>
      </c>
      <c r="DB82" s="1224" t="str">
        <f t="shared" si="175"/>
        <v/>
      </c>
      <c r="DC82" s="1224" t="str">
        <f t="shared" si="111"/>
        <v/>
      </c>
      <c r="DD82" s="814">
        <f t="shared" si="176"/>
        <v>0</v>
      </c>
      <c r="DE82" s="812">
        <f t="shared" si="112"/>
        <v>0</v>
      </c>
      <c r="DF82" s="813" t="e">
        <f t="shared" si="113"/>
        <v>#REF!</v>
      </c>
      <c r="DG82" s="813" t="str">
        <f t="shared" si="114"/>
        <v/>
      </c>
      <c r="DH82" s="1224" t="str">
        <f t="shared" si="177"/>
        <v/>
      </c>
      <c r="DI82" s="1224" t="str">
        <f t="shared" si="115"/>
        <v/>
      </c>
      <c r="DJ82" s="1225">
        <f t="shared" si="178"/>
        <v>0</v>
      </c>
      <c r="DK82" s="1224" t="str">
        <f t="shared" si="197"/>
        <v/>
      </c>
      <c r="DL82" s="1224" t="str">
        <f t="shared" si="198"/>
        <v/>
      </c>
      <c r="DM82" s="1224" t="str">
        <f t="shared" si="118"/>
        <v/>
      </c>
      <c r="DN82" s="1224" t="str">
        <f t="shared" si="119"/>
        <v/>
      </c>
      <c r="DO82" s="828" t="e">
        <f t="shared" si="120"/>
        <v>#REF!</v>
      </c>
      <c r="DP82" s="828" t="e">
        <f t="shared" si="121"/>
        <v>#REF!</v>
      </c>
      <c r="DQ82" s="1224" t="str">
        <f t="shared" si="122"/>
        <v/>
      </c>
      <c r="DR82" s="1224" t="str">
        <f t="shared" si="122"/>
        <v/>
      </c>
      <c r="DS82" s="1224" t="str">
        <f t="shared" si="123"/>
        <v/>
      </c>
      <c r="DT82" s="1224" t="str">
        <f t="shared" si="124"/>
        <v/>
      </c>
      <c r="DU82" s="1224" t="str">
        <f t="shared" si="125"/>
        <v/>
      </c>
      <c r="DV82" s="828" t="e">
        <f t="shared" si="126"/>
        <v>#REF!</v>
      </c>
      <c r="DW82" s="828" t="e">
        <f t="shared" si="127"/>
        <v>#REF!</v>
      </c>
      <c r="DX82" s="812" t="str">
        <f t="shared" si="199"/>
        <v/>
      </c>
      <c r="DY82" s="812" t="str">
        <f t="shared" si="200"/>
        <v/>
      </c>
      <c r="DZ82" s="812" t="str">
        <f t="shared" si="130"/>
        <v/>
      </c>
      <c r="EA82" s="812" t="str">
        <f t="shared" si="131"/>
        <v/>
      </c>
      <c r="EB82" s="815" t="str">
        <f t="shared" si="132"/>
        <v/>
      </c>
      <c r="EC82" s="816" t="str">
        <f t="shared" si="201"/>
        <v/>
      </c>
      <c r="ED82" s="815" t="str">
        <f t="shared" si="134"/>
        <v/>
      </c>
      <c r="EE82" s="815" t="str">
        <f t="shared" si="135"/>
        <v/>
      </c>
      <c r="EF82" s="815" t="str">
        <f t="shared" si="136"/>
        <v/>
      </c>
      <c r="EG82" s="815" t="str">
        <f t="shared" si="137"/>
        <v/>
      </c>
      <c r="EH82" s="815" t="str">
        <f t="shared" si="138"/>
        <v/>
      </c>
      <c r="EI82" s="815" t="str">
        <f t="shared" si="139"/>
        <v/>
      </c>
      <c r="EJ82" s="815" t="str">
        <f t="shared" si="140"/>
        <v/>
      </c>
      <c r="EK82" s="813">
        <f t="shared" si="202"/>
        <v>0</v>
      </c>
      <c r="EL82" s="813">
        <f t="shared" si="203"/>
        <v>0</v>
      </c>
      <c r="EM82" s="813">
        <f t="shared" si="204"/>
        <v>0</v>
      </c>
      <c r="EN82" s="813" t="e">
        <f t="shared" si="144"/>
        <v>#REF!</v>
      </c>
      <c r="EO82" s="812" t="str">
        <f t="shared" si="205"/>
        <v/>
      </c>
      <c r="EP82" s="813">
        <f t="shared" si="206"/>
        <v>0</v>
      </c>
      <c r="EQ82" s="813">
        <f t="shared" si="207"/>
        <v>0</v>
      </c>
      <c r="ER82" s="813">
        <f t="shared" si="208"/>
        <v>0</v>
      </c>
      <c r="ES82" s="813" t="e">
        <f t="shared" si="149"/>
        <v>#REF!</v>
      </c>
      <c r="ET82" s="812" t="str">
        <f t="shared" si="209"/>
        <v/>
      </c>
      <c r="EU82" s="812" t="e">
        <f t="shared" si="151"/>
        <v>#REF!</v>
      </c>
      <c r="EV82" s="815" t="e">
        <f t="shared" si="152"/>
        <v>#VALUE!</v>
      </c>
      <c r="EW82" s="815" t="e">
        <f t="shared" si="153"/>
        <v>#VALUE!</v>
      </c>
      <c r="EX82" s="817" t="str">
        <f t="shared" si="154"/>
        <v/>
      </c>
      <c r="EY82" s="818" t="e">
        <f t="shared" si="210"/>
        <v>#DIV/0!</v>
      </c>
      <c r="EZ82" s="893" t="e">
        <f t="shared" si="156"/>
        <v>#DIV/0!</v>
      </c>
      <c r="FA82" s="894" t="e">
        <f t="shared" si="157"/>
        <v>#DIV/0!</v>
      </c>
      <c r="FB82" s="819" t="str">
        <f t="shared" si="158"/>
        <v/>
      </c>
      <c r="FC82" s="820" t="str">
        <f t="shared" si="159"/>
        <v/>
      </c>
      <c r="FD82" s="829">
        <f t="shared" si="160"/>
        <v>0</v>
      </c>
      <c r="FE82" s="774">
        <f t="shared" si="161"/>
        <v>0</v>
      </c>
      <c r="FF82" s="703" t="b">
        <f t="shared" si="162"/>
        <v>0</v>
      </c>
      <c r="FG82" s="703" t="b">
        <f t="shared" si="163"/>
        <v>0</v>
      </c>
      <c r="FH82" s="703" t="b">
        <f t="shared" si="164"/>
        <v>0</v>
      </c>
      <c r="FI82" s="703" t="b">
        <f t="shared" si="165"/>
        <v>0</v>
      </c>
      <c r="FJ82" s="849" t="str">
        <f t="shared" si="179"/>
        <v/>
      </c>
      <c r="FK82" s="848" t="str">
        <f t="shared" si="180"/>
        <v/>
      </c>
      <c r="FL82" s="242" t="e">
        <f t="shared" si="181"/>
        <v>#N/A</v>
      </c>
      <c r="FM82" s="234" t="str">
        <f t="shared" si="166"/>
        <v/>
      </c>
      <c r="FN82" s="191" t="str">
        <f t="shared" ca="1" si="182"/>
        <v/>
      </c>
      <c r="FO82" s="192" t="str">
        <f t="shared" ca="1" si="183"/>
        <v/>
      </c>
      <c r="FP82" s="193" t="str">
        <f t="shared" ca="1" si="184"/>
        <v/>
      </c>
      <c r="FQ82" s="193" t="str">
        <f t="shared" ca="1" si="185"/>
        <v/>
      </c>
      <c r="FR82" s="243">
        <f t="shared" ca="1" si="186"/>
        <v>0</v>
      </c>
      <c r="FS82" s="244">
        <f t="shared" ca="1" si="187"/>
        <v>0</v>
      </c>
      <c r="FT82" s="191" t="str">
        <f t="shared" ca="1" si="188"/>
        <v/>
      </c>
      <c r="FU82" s="194" t="str">
        <f t="shared" ca="1" si="189"/>
        <v/>
      </c>
      <c r="FV82" s="245" t="str">
        <f t="shared" ca="1" si="167"/>
        <v/>
      </c>
      <c r="FW82" s="195" t="str">
        <f t="shared" ca="1" si="190"/>
        <v/>
      </c>
      <c r="FX82" s="195" t="str">
        <f t="shared" ca="1" si="191"/>
        <v/>
      </c>
      <c r="FY82" s="195" t="str">
        <f t="shared" ca="1" si="192"/>
        <v/>
      </c>
      <c r="FZ82" s="195" t="str">
        <f t="shared" ca="1" si="193"/>
        <v/>
      </c>
      <c r="GA82" s="195" t="str">
        <f t="shared" ca="1" si="194"/>
        <v/>
      </c>
      <c r="GB82" s="196" t="str">
        <f ca="1">IF(FY82="","",2+SUM(FO82:OFFSET(FO82,(FU82-1)*-1,0)))</f>
        <v/>
      </c>
      <c r="GC82" s="238" t="e">
        <f t="shared" si="195"/>
        <v>#N/A</v>
      </c>
      <c r="GD82" s="246" t="str">
        <f t="shared" si="168"/>
        <v/>
      </c>
      <c r="GE82" s="247" t="str">
        <f t="shared" si="169"/>
        <v/>
      </c>
      <c r="GF82" s="197" t="str">
        <f t="shared" si="170"/>
        <v/>
      </c>
      <c r="GG82" s="198" t="str">
        <f t="shared" si="171"/>
        <v/>
      </c>
      <c r="GH82" s="198" t="str">
        <f t="shared" si="172"/>
        <v/>
      </c>
      <c r="GI82" s="199" t="str">
        <f t="shared" si="173"/>
        <v/>
      </c>
      <c r="GJ82" s="473">
        <f t="shared" ca="1" si="174"/>
        <v>0</v>
      </c>
      <c r="GK82" s="834" t="str">
        <f t="shared" ca="1" si="196"/>
        <v/>
      </c>
    </row>
    <row r="83" spans="1:193" ht="12.6" hidden="1" customHeight="1" x14ac:dyDescent="0.2">
      <c r="BZ83" s="214"/>
      <c r="CA83" s="214"/>
      <c r="CB83" s="289" t="str">
        <f t="shared" si="101"/>
        <v/>
      </c>
      <c r="CC83" s="290" t="str">
        <f>IF(CG43="","",VLOOKUP(CG43,#REF!,12,FALSE))</f>
        <v/>
      </c>
      <c r="CD83" s="1219" t="str">
        <f>IF(ISBLANK(CN43),IF(CG43="","",VLOOKUP(CG43,#REF!,13,FALSE)),CN43)</f>
        <v/>
      </c>
      <c r="CE83" s="1219" t="str">
        <f>IF(CG43="","",IF(VLOOKUP(CG43,#REF!,5,FALSE)="","R",UPPER(VLOOKUP(CG43,#REF!,5,FALSE))))</f>
        <v/>
      </c>
      <c r="CF83" s="1219" t="str">
        <f>IF(ISBLANK(CP43),IF(CG43="","",VLOOKUP(CG43,#REF!,6,FALSE)),CP43)</f>
        <v/>
      </c>
      <c r="CG83" s="1219" t="str">
        <f>IF(CG43="","",IF(VLOOKUP(CG43,#REF!,10,FALSE)="","",(VLOOKUP(CG43,#REF!,10,FALSE)*-1)))</f>
        <v/>
      </c>
      <c r="CH83" s="1219" t="str">
        <f>IF(CG43="","",IF(VLOOKUP(CG43,#REF!,7,FALSE)="","",(VLOOKUP(CG43,#REF!,7,FALSE)*-1)))</f>
        <v/>
      </c>
      <c r="CI83" s="1219" t="str">
        <f>IF(CG43="","",IF(VLOOKUP(CG43,#REF!,8,FALSE)="",$FC$4,(VLOOKUP(CG43,#REF!,8,FALSE))))</f>
        <v/>
      </c>
      <c r="CJ83" s="1219" t="str">
        <f>IF(CG43="","",VLOOKUP(CG43,#REF!,9,FALSE))</f>
        <v/>
      </c>
      <c r="CK83" s="1220">
        <f t="shared" si="102"/>
        <v>0</v>
      </c>
      <c r="CL83" s="1218" t="str">
        <f>IF(CQ43="","",VLOOKUP(CQ43,#REF!,12,FALSE))</f>
        <v/>
      </c>
      <c r="CM83" s="1219" t="str">
        <f>IF(ISBLANK(CX43),IF(CQ43="","",VLOOKUP(CQ43,#REF!,13,FALSE)),CX43)</f>
        <v/>
      </c>
      <c r="CN83" s="1219" t="str">
        <f>IF(CQ43="","",IF(VLOOKUP(CQ43,#REF!,5,FALSE)="","R",UPPER(VLOOKUP(CQ43,#REF!,5,FALSE))))</f>
        <v/>
      </c>
      <c r="CO83" s="1219" t="str">
        <f>IF(ISBLANK(CZ43),IF(CQ43="","",VLOOKUP(CQ43,#REF!,6,FALSE)),CZ43)</f>
        <v/>
      </c>
      <c r="CP83" s="1219" t="str">
        <f>IF(CQ43="","",IF(VLOOKUP(CQ43,#REF!,10,FALSE)="","",(VLOOKUP(CQ43,#REF!,10,FALSE)*-1)))</f>
        <v/>
      </c>
      <c r="CQ83" s="1219" t="str">
        <f>IF(CQ43="","",IF(VLOOKUP(CQ43,#REF!,7,FALSE)="","",(VLOOKUP(CQ43,#REF!,7,FALSE)*-1)))</f>
        <v/>
      </c>
      <c r="CR83" s="1219" t="str">
        <f>IF(CQ43="","",IF(VLOOKUP(CQ43,#REF!,8,FALSE)="",$FC$4,(VLOOKUP(CQ43,#REF!,8,FALSE))))</f>
        <v/>
      </c>
      <c r="CS83" s="1219" t="str">
        <f>IF(CQ43="","",VLOOKUP(CQ43,#REF!,9,FALSE))</f>
        <v/>
      </c>
      <c r="CT83" s="1220">
        <f t="shared" si="103"/>
        <v>0</v>
      </c>
      <c r="CU83" s="1230">
        <f t="shared" si="104"/>
        <v>0</v>
      </c>
      <c r="CV83" s="1224" t="str">
        <f t="shared" si="105"/>
        <v/>
      </c>
      <c r="CW83" s="1224" t="str">
        <f t="shared" si="106"/>
        <v/>
      </c>
      <c r="CX83" s="1224" t="str">
        <f t="shared" si="107"/>
        <v/>
      </c>
      <c r="CY83" s="1226">
        <f t="shared" si="108"/>
        <v>0</v>
      </c>
      <c r="CZ83" s="1226" t="e">
        <f t="shared" si="109"/>
        <v>#REF!</v>
      </c>
      <c r="DA83" s="1226" t="str">
        <f t="shared" si="110"/>
        <v/>
      </c>
      <c r="DB83" s="1224" t="str">
        <f t="shared" si="175"/>
        <v/>
      </c>
      <c r="DC83" s="1224" t="str">
        <f t="shared" si="111"/>
        <v/>
      </c>
      <c r="DD83" s="814">
        <f t="shared" si="176"/>
        <v>0</v>
      </c>
      <c r="DE83" s="812">
        <f t="shared" si="112"/>
        <v>0</v>
      </c>
      <c r="DF83" s="813" t="e">
        <f t="shared" si="113"/>
        <v>#REF!</v>
      </c>
      <c r="DG83" s="813" t="str">
        <f t="shared" si="114"/>
        <v/>
      </c>
      <c r="DH83" s="1224" t="str">
        <f t="shared" si="177"/>
        <v/>
      </c>
      <c r="DI83" s="1224" t="str">
        <f t="shared" si="115"/>
        <v/>
      </c>
      <c r="DJ83" s="1225">
        <f t="shared" si="178"/>
        <v>0</v>
      </c>
      <c r="DK83" s="1224" t="str">
        <f t="shared" si="197"/>
        <v/>
      </c>
      <c r="DL83" s="1224" t="str">
        <f t="shared" si="198"/>
        <v/>
      </c>
      <c r="DM83" s="1224" t="str">
        <f t="shared" si="118"/>
        <v/>
      </c>
      <c r="DN83" s="1224" t="str">
        <f t="shared" si="119"/>
        <v/>
      </c>
      <c r="DO83" s="828" t="e">
        <f t="shared" si="120"/>
        <v>#REF!</v>
      </c>
      <c r="DP83" s="828" t="e">
        <f t="shared" si="121"/>
        <v>#REF!</v>
      </c>
      <c r="DQ83" s="1224" t="str">
        <f t="shared" si="122"/>
        <v/>
      </c>
      <c r="DR83" s="1224" t="str">
        <f t="shared" si="122"/>
        <v/>
      </c>
      <c r="DS83" s="1224" t="str">
        <f t="shared" si="123"/>
        <v/>
      </c>
      <c r="DT83" s="1224" t="str">
        <f t="shared" si="124"/>
        <v/>
      </c>
      <c r="DU83" s="1224" t="str">
        <f t="shared" si="125"/>
        <v/>
      </c>
      <c r="DV83" s="828" t="e">
        <f t="shared" si="126"/>
        <v>#REF!</v>
      </c>
      <c r="DW83" s="828" t="e">
        <f t="shared" si="127"/>
        <v>#REF!</v>
      </c>
      <c r="DX83" s="812" t="str">
        <f t="shared" si="199"/>
        <v/>
      </c>
      <c r="DY83" s="812" t="str">
        <f t="shared" si="200"/>
        <v/>
      </c>
      <c r="DZ83" s="812" t="str">
        <f t="shared" si="130"/>
        <v/>
      </c>
      <c r="EA83" s="812" t="str">
        <f t="shared" si="131"/>
        <v/>
      </c>
      <c r="EB83" s="815" t="str">
        <f t="shared" si="132"/>
        <v/>
      </c>
      <c r="EC83" s="816" t="str">
        <f t="shared" si="201"/>
        <v/>
      </c>
      <c r="ED83" s="815" t="str">
        <f t="shared" si="134"/>
        <v/>
      </c>
      <c r="EE83" s="815" t="str">
        <f t="shared" si="135"/>
        <v/>
      </c>
      <c r="EF83" s="815" t="str">
        <f t="shared" si="136"/>
        <v/>
      </c>
      <c r="EG83" s="815" t="str">
        <f t="shared" si="137"/>
        <v/>
      </c>
      <c r="EH83" s="815" t="str">
        <f t="shared" si="138"/>
        <v/>
      </c>
      <c r="EI83" s="815" t="str">
        <f t="shared" si="139"/>
        <v/>
      </c>
      <c r="EJ83" s="815" t="str">
        <f t="shared" si="140"/>
        <v/>
      </c>
      <c r="EK83" s="813">
        <f t="shared" si="202"/>
        <v>0</v>
      </c>
      <c r="EL83" s="813">
        <f t="shared" si="203"/>
        <v>0</v>
      </c>
      <c r="EM83" s="813">
        <f t="shared" si="204"/>
        <v>0</v>
      </c>
      <c r="EN83" s="813" t="e">
        <f t="shared" si="144"/>
        <v>#REF!</v>
      </c>
      <c r="EO83" s="812" t="str">
        <f t="shared" si="205"/>
        <v/>
      </c>
      <c r="EP83" s="813">
        <f t="shared" si="206"/>
        <v>0</v>
      </c>
      <c r="EQ83" s="813">
        <f t="shared" si="207"/>
        <v>0</v>
      </c>
      <c r="ER83" s="813">
        <f t="shared" si="208"/>
        <v>0</v>
      </c>
      <c r="ES83" s="813" t="e">
        <f t="shared" si="149"/>
        <v>#REF!</v>
      </c>
      <c r="ET83" s="812" t="str">
        <f t="shared" si="209"/>
        <v/>
      </c>
      <c r="EU83" s="812" t="e">
        <f t="shared" si="151"/>
        <v>#REF!</v>
      </c>
      <c r="EV83" s="815" t="e">
        <f t="shared" si="152"/>
        <v>#VALUE!</v>
      </c>
      <c r="EW83" s="815" t="e">
        <f t="shared" si="153"/>
        <v>#VALUE!</v>
      </c>
      <c r="EX83" s="817" t="str">
        <f t="shared" si="154"/>
        <v/>
      </c>
      <c r="EY83" s="818" t="e">
        <f t="shared" si="210"/>
        <v>#DIV/0!</v>
      </c>
      <c r="EZ83" s="893" t="e">
        <f t="shared" si="156"/>
        <v>#DIV/0!</v>
      </c>
      <c r="FA83" s="894" t="e">
        <f t="shared" si="157"/>
        <v>#DIV/0!</v>
      </c>
      <c r="FB83" s="819" t="str">
        <f t="shared" si="158"/>
        <v/>
      </c>
      <c r="FC83" s="820" t="str">
        <f t="shared" si="159"/>
        <v/>
      </c>
      <c r="FD83" s="829">
        <f t="shared" si="160"/>
        <v>0</v>
      </c>
      <c r="FE83" s="774">
        <f t="shared" si="161"/>
        <v>0</v>
      </c>
      <c r="FF83" s="703" t="b">
        <f t="shared" si="162"/>
        <v>0</v>
      </c>
      <c r="FG83" s="703" t="b">
        <f t="shared" si="163"/>
        <v>0</v>
      </c>
      <c r="FH83" s="703" t="b">
        <f t="shared" si="164"/>
        <v>0</v>
      </c>
      <c r="FI83" s="703" t="b">
        <f t="shared" si="165"/>
        <v>0</v>
      </c>
      <c r="FJ83" s="849" t="str">
        <f t="shared" si="179"/>
        <v/>
      </c>
      <c r="FK83" s="848" t="str">
        <f t="shared" si="180"/>
        <v/>
      </c>
      <c r="FL83" s="242" t="e">
        <f t="shared" si="181"/>
        <v>#N/A</v>
      </c>
      <c r="FM83" s="234" t="str">
        <f t="shared" si="166"/>
        <v/>
      </c>
      <c r="FN83" s="191" t="str">
        <f t="shared" ca="1" si="182"/>
        <v/>
      </c>
      <c r="FO83" s="192" t="str">
        <f t="shared" ca="1" si="183"/>
        <v/>
      </c>
      <c r="FP83" s="193" t="str">
        <f t="shared" ca="1" si="184"/>
        <v/>
      </c>
      <c r="FQ83" s="193" t="str">
        <f t="shared" ca="1" si="185"/>
        <v/>
      </c>
      <c r="FR83" s="243">
        <f t="shared" ca="1" si="186"/>
        <v>0</v>
      </c>
      <c r="FS83" s="244">
        <f t="shared" ca="1" si="187"/>
        <v>0</v>
      </c>
      <c r="FT83" s="191" t="str">
        <f t="shared" ca="1" si="188"/>
        <v/>
      </c>
      <c r="FU83" s="194" t="str">
        <f t="shared" ca="1" si="189"/>
        <v/>
      </c>
      <c r="FV83" s="245" t="str">
        <f t="shared" ca="1" si="167"/>
        <v/>
      </c>
      <c r="FW83" s="195" t="str">
        <f t="shared" ca="1" si="190"/>
        <v/>
      </c>
      <c r="FX83" s="195" t="str">
        <f t="shared" ca="1" si="191"/>
        <v/>
      </c>
      <c r="FY83" s="195" t="str">
        <f t="shared" ca="1" si="192"/>
        <v/>
      </c>
      <c r="FZ83" s="195" t="str">
        <f t="shared" ca="1" si="193"/>
        <v/>
      </c>
      <c r="GA83" s="195" t="str">
        <f t="shared" ca="1" si="194"/>
        <v/>
      </c>
      <c r="GB83" s="196" t="str">
        <f ca="1">IF(FY83="","",2+SUM(FO83:OFFSET(FO83,(FU83-1)*-1,0)))</f>
        <v/>
      </c>
      <c r="GC83" s="238" t="e">
        <f t="shared" si="195"/>
        <v>#N/A</v>
      </c>
      <c r="GD83" s="246" t="str">
        <f t="shared" si="168"/>
        <v/>
      </c>
      <c r="GE83" s="247" t="str">
        <f t="shared" si="169"/>
        <v/>
      </c>
      <c r="GF83" s="197" t="str">
        <f t="shared" si="170"/>
        <v/>
      </c>
      <c r="GG83" s="198" t="str">
        <f t="shared" si="171"/>
        <v/>
      </c>
      <c r="GH83" s="198" t="str">
        <f t="shared" si="172"/>
        <v/>
      </c>
      <c r="GI83" s="199" t="str">
        <f t="shared" si="173"/>
        <v/>
      </c>
      <c r="GJ83" s="473">
        <f t="shared" ca="1" si="174"/>
        <v>0</v>
      </c>
      <c r="GK83" s="834" t="str">
        <f t="shared" ca="1" si="196"/>
        <v/>
      </c>
    </row>
    <row r="84" spans="1:193" ht="12.6" hidden="1" customHeight="1" x14ac:dyDescent="0.2">
      <c r="BZ84" s="214"/>
      <c r="CA84" s="214"/>
      <c r="CB84" s="289" t="str">
        <f t="shared" si="101"/>
        <v/>
      </c>
      <c r="CC84" s="290" t="str">
        <f>IF(CG44="","",VLOOKUP(CG44,#REF!,12,FALSE))</f>
        <v/>
      </c>
      <c r="CD84" s="1219" t="str">
        <f>IF(ISBLANK(CN44),IF(CG44="","",VLOOKUP(CG44,#REF!,13,FALSE)),CN44)</f>
        <v/>
      </c>
      <c r="CE84" s="1219" t="str">
        <f>IF(CG44="","",IF(VLOOKUP(CG44,#REF!,5,FALSE)="","R",UPPER(VLOOKUP(CG44,#REF!,5,FALSE))))</f>
        <v/>
      </c>
      <c r="CF84" s="1219" t="str">
        <f>IF(ISBLANK(CP44),IF(CG44="","",VLOOKUP(CG44,#REF!,6,FALSE)),CP44)</f>
        <v/>
      </c>
      <c r="CG84" s="1219" t="str">
        <f>IF(CG44="","",IF(VLOOKUP(CG44,#REF!,10,FALSE)="","",(VLOOKUP(CG44,#REF!,10,FALSE)*-1)))</f>
        <v/>
      </c>
      <c r="CH84" s="1219" t="str">
        <f>IF(CG44="","",IF(VLOOKUP(CG44,#REF!,7,FALSE)="","",(VLOOKUP(CG44,#REF!,7,FALSE)*-1)))</f>
        <v/>
      </c>
      <c r="CI84" s="1219" t="str">
        <f>IF(CG44="","",IF(VLOOKUP(CG44,#REF!,8,FALSE)="",$FC$4,(VLOOKUP(CG44,#REF!,8,FALSE))))</f>
        <v/>
      </c>
      <c r="CJ84" s="1219" t="str">
        <f>IF(CG44="","",VLOOKUP(CG44,#REF!,9,FALSE))</f>
        <v/>
      </c>
      <c r="CK84" s="1220">
        <f t="shared" si="102"/>
        <v>0</v>
      </c>
      <c r="CL84" s="1218" t="str">
        <f>IF(CQ44="","",VLOOKUP(CQ44,#REF!,12,FALSE))</f>
        <v/>
      </c>
      <c r="CM84" s="1219" t="str">
        <f>IF(ISBLANK(CX44),IF(CQ44="","",VLOOKUP(CQ44,#REF!,13,FALSE)),CX44)</f>
        <v/>
      </c>
      <c r="CN84" s="1219" t="str">
        <f>IF(CQ44="","",IF(VLOOKUP(CQ44,#REF!,5,FALSE)="","R",UPPER(VLOOKUP(CQ44,#REF!,5,FALSE))))</f>
        <v/>
      </c>
      <c r="CO84" s="1219" t="str">
        <f>IF(ISBLANK(CZ44),IF(CQ44="","",VLOOKUP(CQ44,#REF!,6,FALSE)),CZ44)</f>
        <v/>
      </c>
      <c r="CP84" s="1219" t="str">
        <f>IF(CQ44="","",IF(VLOOKUP(CQ44,#REF!,10,FALSE)="","",(VLOOKUP(CQ44,#REF!,10,FALSE)*-1)))</f>
        <v/>
      </c>
      <c r="CQ84" s="1219" t="str">
        <f>IF(CQ44="","",IF(VLOOKUP(CQ44,#REF!,7,FALSE)="","",(VLOOKUP(CQ44,#REF!,7,FALSE)*-1)))</f>
        <v/>
      </c>
      <c r="CR84" s="1219" t="str">
        <f>IF(CQ44="","",IF(VLOOKUP(CQ44,#REF!,8,FALSE)="",$FC$4,(VLOOKUP(CQ44,#REF!,8,FALSE))))</f>
        <v/>
      </c>
      <c r="CS84" s="1219" t="str">
        <f>IF(CQ44="","",VLOOKUP(CQ44,#REF!,9,FALSE))</f>
        <v/>
      </c>
      <c r="CT84" s="1220">
        <f t="shared" si="103"/>
        <v>0</v>
      </c>
      <c r="CU84" s="1230">
        <f t="shared" si="104"/>
        <v>0</v>
      </c>
      <c r="CV84" s="1224" t="str">
        <f t="shared" si="105"/>
        <v/>
      </c>
      <c r="CW84" s="1224" t="str">
        <f t="shared" si="106"/>
        <v/>
      </c>
      <c r="CX84" s="1224" t="str">
        <f t="shared" si="107"/>
        <v/>
      </c>
      <c r="CY84" s="1226">
        <f t="shared" si="108"/>
        <v>0</v>
      </c>
      <c r="CZ84" s="1226" t="e">
        <f t="shared" si="109"/>
        <v>#REF!</v>
      </c>
      <c r="DA84" s="1226" t="str">
        <f t="shared" si="110"/>
        <v/>
      </c>
      <c r="DB84" s="1224" t="str">
        <f t="shared" si="175"/>
        <v/>
      </c>
      <c r="DC84" s="1224" t="str">
        <f t="shared" si="111"/>
        <v/>
      </c>
      <c r="DD84" s="814">
        <f t="shared" si="176"/>
        <v>0</v>
      </c>
      <c r="DE84" s="812">
        <f t="shared" si="112"/>
        <v>0</v>
      </c>
      <c r="DF84" s="813" t="e">
        <f t="shared" si="113"/>
        <v>#REF!</v>
      </c>
      <c r="DG84" s="813" t="str">
        <f t="shared" si="114"/>
        <v/>
      </c>
      <c r="DH84" s="1224" t="str">
        <f t="shared" si="177"/>
        <v/>
      </c>
      <c r="DI84" s="1224" t="str">
        <f t="shared" si="115"/>
        <v/>
      </c>
      <c r="DJ84" s="1225">
        <f t="shared" si="178"/>
        <v>0</v>
      </c>
      <c r="DK84" s="1224" t="str">
        <f t="shared" si="197"/>
        <v/>
      </c>
      <c r="DL84" s="1224" t="str">
        <f t="shared" si="198"/>
        <v/>
      </c>
      <c r="DM84" s="1224" t="str">
        <f t="shared" si="118"/>
        <v/>
      </c>
      <c r="DN84" s="1224" t="str">
        <f t="shared" si="119"/>
        <v/>
      </c>
      <c r="DO84" s="828" t="e">
        <f t="shared" si="120"/>
        <v>#REF!</v>
      </c>
      <c r="DP84" s="828" t="e">
        <f t="shared" si="121"/>
        <v>#REF!</v>
      </c>
      <c r="DQ84" s="1224" t="str">
        <f t="shared" si="122"/>
        <v/>
      </c>
      <c r="DR84" s="1224" t="str">
        <f t="shared" si="122"/>
        <v/>
      </c>
      <c r="DS84" s="1224" t="str">
        <f t="shared" si="123"/>
        <v/>
      </c>
      <c r="DT84" s="1224" t="str">
        <f t="shared" si="124"/>
        <v/>
      </c>
      <c r="DU84" s="1224" t="str">
        <f t="shared" si="125"/>
        <v/>
      </c>
      <c r="DV84" s="828" t="e">
        <f t="shared" si="126"/>
        <v>#REF!</v>
      </c>
      <c r="DW84" s="828" t="e">
        <f t="shared" si="127"/>
        <v>#REF!</v>
      </c>
      <c r="DX84" s="812" t="str">
        <f t="shared" si="199"/>
        <v/>
      </c>
      <c r="DY84" s="812" t="str">
        <f t="shared" si="200"/>
        <v/>
      </c>
      <c r="DZ84" s="812" t="str">
        <f t="shared" si="130"/>
        <v/>
      </c>
      <c r="EA84" s="812" t="str">
        <f t="shared" si="131"/>
        <v/>
      </c>
      <c r="EB84" s="815" t="str">
        <f t="shared" si="132"/>
        <v/>
      </c>
      <c r="EC84" s="816" t="str">
        <f t="shared" si="201"/>
        <v/>
      </c>
      <c r="ED84" s="815" t="str">
        <f t="shared" si="134"/>
        <v/>
      </c>
      <c r="EE84" s="815" t="str">
        <f t="shared" si="135"/>
        <v/>
      </c>
      <c r="EF84" s="815" t="str">
        <f t="shared" si="136"/>
        <v/>
      </c>
      <c r="EG84" s="815" t="str">
        <f t="shared" si="137"/>
        <v/>
      </c>
      <c r="EH84" s="815" t="str">
        <f t="shared" si="138"/>
        <v/>
      </c>
      <c r="EI84" s="815" t="str">
        <f t="shared" si="139"/>
        <v/>
      </c>
      <c r="EJ84" s="815" t="str">
        <f t="shared" si="140"/>
        <v/>
      </c>
      <c r="EK84" s="813">
        <f t="shared" si="202"/>
        <v>0</v>
      </c>
      <c r="EL84" s="813">
        <f t="shared" si="203"/>
        <v>0</v>
      </c>
      <c r="EM84" s="813">
        <f t="shared" si="204"/>
        <v>0</v>
      </c>
      <c r="EN84" s="813" t="e">
        <f t="shared" si="144"/>
        <v>#REF!</v>
      </c>
      <c r="EO84" s="812" t="str">
        <f t="shared" si="205"/>
        <v/>
      </c>
      <c r="EP84" s="813">
        <f t="shared" si="206"/>
        <v>0</v>
      </c>
      <c r="EQ84" s="813">
        <f t="shared" si="207"/>
        <v>0</v>
      </c>
      <c r="ER84" s="813">
        <f t="shared" si="208"/>
        <v>0</v>
      </c>
      <c r="ES84" s="813" t="e">
        <f t="shared" si="149"/>
        <v>#REF!</v>
      </c>
      <c r="ET84" s="812" t="str">
        <f t="shared" si="209"/>
        <v/>
      </c>
      <c r="EU84" s="812" t="e">
        <f t="shared" si="151"/>
        <v>#REF!</v>
      </c>
      <c r="EV84" s="815" t="e">
        <f t="shared" si="152"/>
        <v>#VALUE!</v>
      </c>
      <c r="EW84" s="815" t="e">
        <f t="shared" si="153"/>
        <v>#VALUE!</v>
      </c>
      <c r="EX84" s="817" t="str">
        <f t="shared" si="154"/>
        <v/>
      </c>
      <c r="EY84" s="818" t="e">
        <f t="shared" si="210"/>
        <v>#DIV/0!</v>
      </c>
      <c r="EZ84" s="893" t="e">
        <f t="shared" si="156"/>
        <v>#DIV/0!</v>
      </c>
      <c r="FA84" s="894" t="e">
        <f t="shared" si="157"/>
        <v>#DIV/0!</v>
      </c>
      <c r="FB84" s="819" t="str">
        <f t="shared" si="158"/>
        <v/>
      </c>
      <c r="FC84" s="820" t="str">
        <f t="shared" si="159"/>
        <v/>
      </c>
      <c r="FD84" s="829">
        <f t="shared" si="160"/>
        <v>0</v>
      </c>
      <c r="FE84" s="774">
        <f t="shared" si="161"/>
        <v>0</v>
      </c>
      <c r="FF84" s="703" t="b">
        <f t="shared" si="162"/>
        <v>0</v>
      </c>
      <c r="FG84" s="703" t="b">
        <f t="shared" si="163"/>
        <v>0</v>
      </c>
      <c r="FH84" s="703" t="b">
        <f t="shared" si="164"/>
        <v>0</v>
      </c>
      <c r="FI84" s="703" t="b">
        <f t="shared" si="165"/>
        <v>0</v>
      </c>
      <c r="FJ84" s="849" t="str">
        <f t="shared" si="179"/>
        <v/>
      </c>
      <c r="FK84" s="848" t="str">
        <f t="shared" si="180"/>
        <v/>
      </c>
      <c r="FL84" s="242" t="e">
        <f t="shared" si="181"/>
        <v>#N/A</v>
      </c>
      <c r="FM84" s="234" t="str">
        <f t="shared" si="166"/>
        <v/>
      </c>
      <c r="FN84" s="191" t="str">
        <f t="shared" ca="1" si="182"/>
        <v/>
      </c>
      <c r="FO84" s="192" t="str">
        <f t="shared" ca="1" si="183"/>
        <v/>
      </c>
      <c r="FP84" s="193" t="str">
        <f t="shared" ca="1" si="184"/>
        <v/>
      </c>
      <c r="FQ84" s="193" t="str">
        <f t="shared" ca="1" si="185"/>
        <v/>
      </c>
      <c r="FR84" s="243">
        <f t="shared" ca="1" si="186"/>
        <v>0</v>
      </c>
      <c r="FS84" s="244">
        <f t="shared" ca="1" si="187"/>
        <v>0</v>
      </c>
      <c r="FT84" s="191" t="str">
        <f t="shared" ca="1" si="188"/>
        <v/>
      </c>
      <c r="FU84" s="194" t="str">
        <f t="shared" ca="1" si="189"/>
        <v/>
      </c>
      <c r="FV84" s="245" t="str">
        <f t="shared" ca="1" si="167"/>
        <v/>
      </c>
      <c r="FW84" s="195" t="str">
        <f t="shared" ca="1" si="190"/>
        <v/>
      </c>
      <c r="FX84" s="195" t="str">
        <f t="shared" ca="1" si="191"/>
        <v/>
      </c>
      <c r="FY84" s="195" t="str">
        <f t="shared" ca="1" si="192"/>
        <v/>
      </c>
      <c r="FZ84" s="195" t="str">
        <f t="shared" ca="1" si="193"/>
        <v/>
      </c>
      <c r="GA84" s="195" t="str">
        <f t="shared" ca="1" si="194"/>
        <v/>
      </c>
      <c r="GB84" s="196" t="str">
        <f ca="1">IF(FY84="","",2+SUM(FO84:OFFSET(FO84,(FU84-1)*-1,0)))</f>
        <v/>
      </c>
      <c r="GC84" s="238" t="e">
        <f t="shared" si="195"/>
        <v>#N/A</v>
      </c>
      <c r="GD84" s="246" t="str">
        <f t="shared" si="168"/>
        <v/>
      </c>
      <c r="GE84" s="247" t="str">
        <f t="shared" si="169"/>
        <v/>
      </c>
      <c r="GF84" s="197" t="str">
        <f t="shared" si="170"/>
        <v/>
      </c>
      <c r="GG84" s="198" t="str">
        <f t="shared" si="171"/>
        <v/>
      </c>
      <c r="GH84" s="198" t="str">
        <f t="shared" si="172"/>
        <v/>
      </c>
      <c r="GI84" s="199" t="str">
        <f t="shared" si="173"/>
        <v/>
      </c>
      <c r="GJ84" s="473">
        <f t="shared" ca="1" si="174"/>
        <v>0</v>
      </c>
      <c r="GK84" s="834" t="str">
        <f t="shared" ca="1" si="196"/>
        <v/>
      </c>
    </row>
    <row r="85" spans="1:193" ht="12.6" hidden="1" customHeight="1" thickBot="1" x14ac:dyDescent="0.25">
      <c r="BZ85" s="214"/>
      <c r="CA85" s="214"/>
      <c r="CB85" s="289" t="str">
        <f t="shared" si="101"/>
        <v/>
      </c>
      <c r="CC85" s="290" t="str">
        <f>IF(CG45="","",VLOOKUP(CG45,#REF!,12,FALSE))</f>
        <v/>
      </c>
      <c r="CD85" s="1219" t="str">
        <f>IF(ISBLANK(CN45),IF(CG45="","",VLOOKUP(CG45,#REF!,13,FALSE)),CN45)</f>
        <v/>
      </c>
      <c r="CE85" s="1219" t="str">
        <f>IF(CG45="","",IF(VLOOKUP(CG45,#REF!,5,FALSE)="","R",UPPER(VLOOKUP(CG45,#REF!,5,FALSE))))</f>
        <v/>
      </c>
      <c r="CF85" s="1219" t="str">
        <f>IF(ISBLANK(CP45),IF(CG45="","",VLOOKUP(CG45,#REF!,6,FALSE)),CP45)</f>
        <v/>
      </c>
      <c r="CG85" s="1219" t="str">
        <f>IF(CG45="","",IF(VLOOKUP(CG45,#REF!,10,FALSE)="","",(VLOOKUP(CG45,#REF!,10,FALSE)*-1)))</f>
        <v/>
      </c>
      <c r="CH85" s="1219" t="str">
        <f>IF(CG45="","",IF(VLOOKUP(CG45,#REF!,7,FALSE)="","",(VLOOKUP(CG45,#REF!,7,FALSE)*-1)))</f>
        <v/>
      </c>
      <c r="CI85" s="1219" t="str">
        <f>IF(CG45="","",IF(VLOOKUP(CG45,#REF!,8,FALSE)="",$FC$4,(VLOOKUP(CG45,#REF!,8,FALSE))))</f>
        <v/>
      </c>
      <c r="CJ85" s="1219" t="str">
        <f>IF(CG45="","",VLOOKUP(CG45,#REF!,9,FALSE))</f>
        <v/>
      </c>
      <c r="CK85" s="1220">
        <f t="shared" si="102"/>
        <v>0</v>
      </c>
      <c r="CL85" s="1218" t="str">
        <f>IF(CQ45="","",VLOOKUP(CQ45,#REF!,12,FALSE))</f>
        <v/>
      </c>
      <c r="CM85" s="1219" t="str">
        <f>IF(ISBLANK(CX45),IF(CQ45="","",VLOOKUP(CQ45,#REF!,13,FALSE)),CX45)</f>
        <v/>
      </c>
      <c r="CN85" s="1219" t="str">
        <f>IF(CQ45="","",IF(VLOOKUP(CQ45,#REF!,5,FALSE)="","R",UPPER(VLOOKUP(CQ45,#REF!,5,FALSE))))</f>
        <v/>
      </c>
      <c r="CO85" s="1219" t="str">
        <f>IF(ISBLANK(CZ45),IF(CQ45="","",VLOOKUP(CQ45,#REF!,6,FALSE)),CZ45)</f>
        <v/>
      </c>
      <c r="CP85" s="1219" t="str">
        <f>IF(CQ45="","",IF(VLOOKUP(CQ45,#REF!,10,FALSE)="","",(VLOOKUP(CQ45,#REF!,10,FALSE)*-1)))</f>
        <v/>
      </c>
      <c r="CQ85" s="1219" t="str">
        <f>IF(CQ45="","",IF(VLOOKUP(CQ45,#REF!,7,FALSE)="","",(VLOOKUP(CQ45,#REF!,7,FALSE)*-1)))</f>
        <v/>
      </c>
      <c r="CR85" s="1219" t="str">
        <f>IF(CQ45="","",IF(VLOOKUP(CQ45,#REF!,8,FALSE)="",$FC$4,(VLOOKUP(CQ45,#REF!,8,FALSE))))</f>
        <v/>
      </c>
      <c r="CS85" s="1219" t="str">
        <f>IF(CQ45="","",VLOOKUP(CQ45,#REF!,9,FALSE))</f>
        <v/>
      </c>
      <c r="CT85" s="1220">
        <f t="shared" si="103"/>
        <v>0</v>
      </c>
      <c r="CU85" s="1230">
        <f t="shared" si="104"/>
        <v>0</v>
      </c>
      <c r="CV85" s="1224" t="str">
        <f t="shared" si="105"/>
        <v/>
      </c>
      <c r="CW85" s="1224" t="str">
        <f t="shared" si="106"/>
        <v/>
      </c>
      <c r="CX85" s="1224" t="str">
        <f t="shared" si="107"/>
        <v/>
      </c>
      <c r="CY85" s="1226">
        <f t="shared" si="108"/>
        <v>0</v>
      </c>
      <c r="CZ85" s="1226" t="e">
        <f t="shared" si="109"/>
        <v>#REF!</v>
      </c>
      <c r="DA85" s="1226" t="str">
        <f t="shared" si="110"/>
        <v/>
      </c>
      <c r="DB85" s="1224" t="str">
        <f t="shared" si="175"/>
        <v/>
      </c>
      <c r="DC85" s="1224" t="str">
        <f t="shared" si="111"/>
        <v/>
      </c>
      <c r="DD85" s="814">
        <f t="shared" si="176"/>
        <v>0</v>
      </c>
      <c r="DE85" s="812">
        <f t="shared" si="112"/>
        <v>0</v>
      </c>
      <c r="DF85" s="813" t="e">
        <f t="shared" si="113"/>
        <v>#REF!</v>
      </c>
      <c r="DG85" s="813" t="str">
        <f t="shared" si="114"/>
        <v/>
      </c>
      <c r="DH85" s="1224" t="str">
        <f t="shared" si="177"/>
        <v/>
      </c>
      <c r="DI85" s="1224" t="str">
        <f t="shared" si="115"/>
        <v/>
      </c>
      <c r="DJ85" s="1225">
        <f t="shared" si="178"/>
        <v>0</v>
      </c>
      <c r="DK85" s="1224" t="str">
        <f t="shared" si="197"/>
        <v/>
      </c>
      <c r="DL85" s="1224" t="str">
        <f t="shared" si="198"/>
        <v/>
      </c>
      <c r="DM85" s="1224" t="str">
        <f t="shared" si="118"/>
        <v/>
      </c>
      <c r="DN85" s="1224" t="str">
        <f t="shared" si="119"/>
        <v/>
      </c>
      <c r="DO85" s="828" t="e">
        <f t="shared" si="120"/>
        <v>#REF!</v>
      </c>
      <c r="DP85" s="828" t="e">
        <f t="shared" si="121"/>
        <v>#REF!</v>
      </c>
      <c r="DQ85" s="1224" t="str">
        <f t="shared" si="122"/>
        <v/>
      </c>
      <c r="DR85" s="1224" t="str">
        <f t="shared" si="122"/>
        <v/>
      </c>
      <c r="DS85" s="1224" t="str">
        <f t="shared" si="123"/>
        <v/>
      </c>
      <c r="DT85" s="1224" t="str">
        <f t="shared" si="124"/>
        <v/>
      </c>
      <c r="DU85" s="1224" t="str">
        <f t="shared" si="125"/>
        <v/>
      </c>
      <c r="DV85" s="828" t="e">
        <f t="shared" si="126"/>
        <v>#REF!</v>
      </c>
      <c r="DW85" s="828" t="e">
        <f t="shared" si="127"/>
        <v>#REF!</v>
      </c>
      <c r="DX85" s="812" t="str">
        <f t="shared" si="199"/>
        <v/>
      </c>
      <c r="DY85" s="812" t="str">
        <f t="shared" si="200"/>
        <v/>
      </c>
      <c r="DZ85" s="812" t="str">
        <f>IF(CG85="","",IF((CD85-CG85)/COS(CU85)-FB85&lt;=-0.0625,CEILING((CD85-CG85)/COS(CU85)-FB85+0.0625,-0.125),IF((CD85-CG85)/COS(CU85)-FB85&gt;=0.0625,CEILING((CD85-CG85)/COS(CU85)-FB85-0.0625,0.125),0)))</f>
        <v/>
      </c>
      <c r="EA85" s="812" t="str">
        <f>IF(CP85="","",IF((CM85-CP85)/COS(CU85)-FC85&lt;=-0.0625,CEILING((CM85-CP85)/COS(CU85)-FC85+0.0625,-0.125),IF((CM85-CP85)/COS(CU85)-FC85&gt;=0.0625,CEILING((CM85-CP85)/COS(CU85)-FC85-0.0625,0.125),0)))</f>
        <v/>
      </c>
      <c r="EB85" s="815" t="str">
        <f t="shared" si="132"/>
        <v/>
      </c>
      <c r="EC85" s="816" t="str">
        <f t="shared" si="201"/>
        <v/>
      </c>
      <c r="ED85" s="815" t="str">
        <f t="shared" si="134"/>
        <v/>
      </c>
      <c r="EE85" s="815" t="str">
        <f t="shared" si="135"/>
        <v/>
      </c>
      <c r="EF85" s="815" t="str">
        <f t="shared" si="136"/>
        <v/>
      </c>
      <c r="EG85" s="815" t="str">
        <f t="shared" si="137"/>
        <v/>
      </c>
      <c r="EH85" s="815" t="str">
        <f t="shared" si="138"/>
        <v/>
      </c>
      <c r="EI85" s="815" t="str">
        <f t="shared" si="139"/>
        <v/>
      </c>
      <c r="EJ85" s="815" t="str">
        <f t="shared" si="140"/>
        <v/>
      </c>
      <c r="EK85" s="813">
        <f t="shared" si="202"/>
        <v>0</v>
      </c>
      <c r="EL85" s="813">
        <f t="shared" si="203"/>
        <v>0</v>
      </c>
      <c r="EM85" s="813">
        <f t="shared" si="204"/>
        <v>0</v>
      </c>
      <c r="EN85" s="813" t="e">
        <f t="shared" si="144"/>
        <v>#REF!</v>
      </c>
      <c r="EO85" s="812" t="str">
        <f t="shared" si="205"/>
        <v/>
      </c>
      <c r="EP85" s="813">
        <f t="shared" si="206"/>
        <v>0</v>
      </c>
      <c r="EQ85" s="813">
        <f t="shared" si="207"/>
        <v>0</v>
      </c>
      <c r="ER85" s="813">
        <f t="shared" si="208"/>
        <v>0</v>
      </c>
      <c r="ES85" s="813" t="e">
        <f t="shared" si="149"/>
        <v>#REF!</v>
      </c>
      <c r="ET85" s="812" t="str">
        <f t="shared" si="209"/>
        <v/>
      </c>
      <c r="EU85" s="812" t="e">
        <f t="shared" si="151"/>
        <v>#REF!</v>
      </c>
      <c r="EV85" s="815" t="e">
        <f t="shared" si="152"/>
        <v>#VALUE!</v>
      </c>
      <c r="EW85" s="815" t="e">
        <f t="shared" si="153"/>
        <v>#VALUE!</v>
      </c>
      <c r="EX85" s="817" t="str">
        <f t="shared" si="154"/>
        <v/>
      </c>
      <c r="EY85" s="818" t="e">
        <f t="shared" si="210"/>
        <v>#DIV/0!</v>
      </c>
      <c r="EZ85" s="893" t="e">
        <f t="shared" si="156"/>
        <v>#DIV/0!</v>
      </c>
      <c r="FA85" s="894" t="e">
        <f t="shared" si="157"/>
        <v>#DIV/0!</v>
      </c>
      <c r="FB85" s="819" t="str">
        <f t="shared" si="158"/>
        <v/>
      </c>
      <c r="FC85" s="820" t="str">
        <f t="shared" si="159"/>
        <v/>
      </c>
      <c r="FD85" s="829">
        <f t="shared" si="160"/>
        <v>0</v>
      </c>
      <c r="FE85" s="774">
        <f t="shared" si="161"/>
        <v>0</v>
      </c>
      <c r="FF85" s="703" t="b">
        <f t="shared" si="162"/>
        <v>0</v>
      </c>
      <c r="FG85" s="703" t="b">
        <f t="shared" si="163"/>
        <v>0</v>
      </c>
      <c r="FH85" s="703" t="b">
        <f t="shared" si="164"/>
        <v>0</v>
      </c>
      <c r="FI85" s="703" t="b">
        <f t="shared" si="165"/>
        <v>0</v>
      </c>
      <c r="FJ85" s="849" t="str">
        <f t="shared" si="179"/>
        <v/>
      </c>
      <c r="FK85" s="851" t="str">
        <f t="shared" si="180"/>
        <v/>
      </c>
      <c r="FL85" s="249" t="e">
        <f t="shared" si="181"/>
        <v>#N/A</v>
      </c>
      <c r="FM85" s="250" t="str">
        <f t="shared" si="166"/>
        <v/>
      </c>
      <c r="FN85" s="200" t="str">
        <f t="shared" ca="1" si="182"/>
        <v/>
      </c>
      <c r="FO85" s="201" t="str">
        <f t="shared" ca="1" si="183"/>
        <v/>
      </c>
      <c r="FP85" s="202" t="str">
        <f t="shared" ca="1" si="184"/>
        <v/>
      </c>
      <c r="FQ85" s="202" t="str">
        <f t="shared" ca="1" si="185"/>
        <v/>
      </c>
      <c r="FR85" s="251">
        <f t="shared" ca="1" si="186"/>
        <v>0</v>
      </c>
      <c r="FS85" s="252">
        <f t="shared" ca="1" si="187"/>
        <v>0</v>
      </c>
      <c r="FT85" s="200" t="str">
        <f t="shared" ca="1" si="188"/>
        <v/>
      </c>
      <c r="FU85" s="203" t="str">
        <f t="shared" ca="1" si="189"/>
        <v/>
      </c>
      <c r="FV85" s="253" t="str">
        <f t="shared" ca="1" si="167"/>
        <v/>
      </c>
      <c r="FW85" s="204" t="str">
        <f t="shared" ca="1" si="190"/>
        <v/>
      </c>
      <c r="FX85" s="204" t="str">
        <f t="shared" ca="1" si="191"/>
        <v/>
      </c>
      <c r="FY85" s="204" t="str">
        <f t="shared" ca="1" si="192"/>
        <v/>
      </c>
      <c r="FZ85" s="204" t="str">
        <f t="shared" ca="1" si="193"/>
        <v/>
      </c>
      <c r="GA85" s="204" t="str">
        <f t="shared" ca="1" si="194"/>
        <v/>
      </c>
      <c r="GB85" s="205" t="str">
        <f ca="1">IF(FY85="","",2+SUM(FO85:OFFSET(FO85,(FU85-1)*-1,0)))</f>
        <v/>
      </c>
      <c r="GC85" s="254" t="e">
        <f t="shared" si="195"/>
        <v>#N/A</v>
      </c>
      <c r="GD85" s="255" t="str">
        <f t="shared" si="168"/>
        <v/>
      </c>
      <c r="GE85" s="256" t="str">
        <f t="shared" si="169"/>
        <v/>
      </c>
      <c r="GF85" s="206" t="str">
        <f t="shared" si="170"/>
        <v/>
      </c>
      <c r="GG85" s="207" t="str">
        <f t="shared" si="171"/>
        <v/>
      </c>
      <c r="GH85" s="207" t="str">
        <f t="shared" si="172"/>
        <v/>
      </c>
      <c r="GI85" s="208" t="str">
        <f t="shared" si="173"/>
        <v/>
      </c>
      <c r="GJ85" s="474">
        <f ca="1">IF(FY85="",FM46,(FY85-(FQ85+VLOOKUP(FK85,$CB$54:$EU$85,12,FALSE)-VLOOKUP(FK85,$CB$54:$EU$85,34,FALSE))/COS(VLOOKUP(FK85,$CB$54:$EU$85,72,FALSE)))/2)</f>
        <v>0</v>
      </c>
      <c r="GK85" s="834" t="str">
        <f t="shared" ca="1" si="196"/>
        <v/>
      </c>
    </row>
    <row r="86" spans="1:193" ht="15" hidden="1" customHeight="1" x14ac:dyDescent="0.2">
      <c r="Z86" s="1063"/>
      <c r="AA86" s="879"/>
      <c r="AB86" s="880"/>
    </row>
    <row r="87" spans="1:193" ht="15" hidden="1" customHeight="1" x14ac:dyDescent="0.25">
      <c r="A87" s="1132" t="str">
        <f>IF(ISBLANK(CB87),"",CB87)</f>
        <v/>
      </c>
      <c r="B87" s="1561" t="str">
        <f t="shared" ref="B87" si="211">IF(ISBLANK(CC87),"",CC87)</f>
        <v/>
      </c>
      <c r="C87" s="1133" t="str">
        <f>IF(ISBLANK(CD87),"",CD87)</f>
        <v/>
      </c>
      <c r="D87" s="1134" t="e">
        <f>IF(#REF!="","",TRUNC(#REF!/12))</f>
        <v>#REF!</v>
      </c>
      <c r="E87" s="1135" t="e">
        <f>IF(#REF!="","",#REF!-(D87*12))</f>
        <v>#REF!</v>
      </c>
      <c r="F87" s="1136" t="str">
        <f>IF(ISBLANK(CY87),"",CY87)</f>
        <v/>
      </c>
      <c r="G87" s="1137" t="e">
        <f>IF(#REF!=0,"",TRUNC(#REF!/12))</f>
        <v>#REF!</v>
      </c>
      <c r="H87" s="1138" t="e">
        <f>IF(#REF!=0,"",#REF!-(G87*12))</f>
        <v>#REF!</v>
      </c>
      <c r="I87" s="1139" t="e">
        <f>IF(#REF!=0,"",#REF!)</f>
        <v>#REF!</v>
      </c>
      <c r="J87" s="1134" t="str">
        <f>IF(DJ127=0,"",TRUNC(DJ127/12))</f>
        <v/>
      </c>
      <c r="K87" s="1138" t="str">
        <f>IF(DJ127=0,"",DJ127-(J87*12))</f>
        <v/>
      </c>
      <c r="L87" s="1140" t="str">
        <f>IF(DJ127=0,"",#REF!)</f>
        <v/>
      </c>
      <c r="M87" s="1141" t="e">
        <f>IF(#REF!="","",#REF!)</f>
        <v>#REF!</v>
      </c>
      <c r="N87" s="1142" t="e">
        <f>IF(#REF!="","",#REF!)</f>
        <v>#REF!</v>
      </c>
      <c r="O87" s="1137" t="str">
        <f>IF(DZ127="","",IF(AND(DZ127&gt;-12,DZ127&lt;0),-0.000001,TRUNC(DZ127/12)))</f>
        <v/>
      </c>
      <c r="P87" s="1138" t="str">
        <f>IF(DZ127="","",IF(AND(DZ127&lt;0,DZ127-(O87*12)=0),-0.00001,DZ127-(O87*12)))</f>
        <v/>
      </c>
      <c r="Q87" s="1134" t="str">
        <f>IF(EA127="","",IF(AND(EA127&gt;-12,EA127&lt;0),-0.000001,TRUNC(EA127/12)))</f>
        <v/>
      </c>
      <c r="R87" s="1135" t="str">
        <f>IF(EA127="","",IF(AND(EA127&lt;0,EA127-(Q87*12)=0),-0.00001,EA127-(Q87*12)))</f>
        <v/>
      </c>
      <c r="S87" s="1143" t="str">
        <f>IF(DR127="","",IF(DR127="ERR",TRUNC(DQ127/12),TRUNC(DR127/12)))</f>
        <v/>
      </c>
      <c r="T87" s="1138" t="str">
        <f>IF(DR127="","",IF(DR127="ERR",DQ127-(S87*12),DR127-(S87*12)))</f>
        <v/>
      </c>
      <c r="U87" s="1134" t="str">
        <f>IF(DY127="","",IF(DY127="ERR",TRUNC(DX127/12),TRUNC(DY127/12)))</f>
        <v/>
      </c>
      <c r="V87" s="1138" t="str">
        <f>IF(DY127="","",IF(DY127="ERR",DX127-(U87*12),DY127-(U87*12)))</f>
        <v/>
      </c>
      <c r="W87" s="1142">
        <f>IF(EC127="",0,EC127)</f>
        <v>0</v>
      </c>
      <c r="X87" s="1144" t="str">
        <f>IF(EN127="","",EN127)</f>
        <v/>
      </c>
      <c r="Y87" s="1145" t="str">
        <f>IF(ES127="","",ES127)</f>
        <v/>
      </c>
      <c r="Z87" s="1151" t="str">
        <f>CONCATENATE(IF(CW87="","",CONCATENATE("[",SUBSTITUTE(CW87," ",""),"] ")),IF(CV87="","",CONCATENATE("(",SUBSTITUTE(CV87," ",""),")")))</f>
        <v/>
      </c>
      <c r="AA87" s="1152" t="str">
        <f>IF(ISBLANK(CX87),"",CX87)</f>
        <v/>
      </c>
      <c r="AB87" s="921" t="str">
        <f>IF(ISBLANK(DH87),"",DH87)</f>
        <v/>
      </c>
      <c r="AC87" s="917" t="str">
        <f>IF(ISBLANK(DI87),"",DI87)</f>
        <v/>
      </c>
      <c r="AD87" s="918" t="str">
        <f>IF(FV127="","",TRUNC(FV127/12))</f>
        <v/>
      </c>
      <c r="AE87" s="919" t="str">
        <f>IF(FV127="","",FV127-(AD87*12))</f>
        <v/>
      </c>
      <c r="AF87" s="917" t="str">
        <f>IF(FO127="","",FO127)</f>
        <v/>
      </c>
      <c r="AG87" s="918" t="str">
        <f>IF(FX127="","",TRUNC(FX127/12))</f>
        <v/>
      </c>
      <c r="AH87" s="919" t="str">
        <f>IF(FX127="","",FX127-(AG87*12))</f>
        <v/>
      </c>
      <c r="AI87" s="918" t="str">
        <f>IF(FZ127="","",TRUNC(FZ127/12))</f>
        <v/>
      </c>
      <c r="AJ87" s="919" t="str">
        <f>IF(FZ127="","",FZ127-(AI87*12))</f>
        <v/>
      </c>
      <c r="AK87" s="1146" t="str">
        <f>IF(ISBLANK(DO87),"",DO87)</f>
        <v/>
      </c>
      <c r="AL87" s="1147" t="str">
        <f>IF(ISBLANK(DP87),"",DP87)</f>
        <v/>
      </c>
      <c r="AM87" s="1148" t="str">
        <f>IF(ISBLANK(DQ87),"",DQ87)</f>
        <v/>
      </c>
      <c r="AN87" s="917" t="str">
        <f>IF(ISBLANK(DR87),"",DR87)</f>
        <v/>
      </c>
      <c r="AO87" s="955" t="str">
        <f>IF(ISBLANK(DS87),"",DS87)</f>
        <v/>
      </c>
      <c r="AP87" s="953" t="str">
        <f>IF(OR(GD127="",GD127=0),"",GD127)</f>
        <v/>
      </c>
      <c r="AQ87" s="1149" t="str">
        <f>IF(OR(GE127="",GE127=0),"",GE127)</f>
        <v/>
      </c>
      <c r="AR87" s="920" t="str">
        <f>IF(GF127="","",IF(ISTEXT(GF127),"P",TRUNC(GF127/12)))</f>
        <v/>
      </c>
      <c r="AS87" s="919" t="str">
        <f>IF(GF127="","",IF(AR87="P",GF127,GF127-(AR87*12)))</f>
        <v/>
      </c>
      <c r="AT87" s="1150" t="str">
        <f>IF(ISBLANK(DX87),"",DX87)</f>
        <v/>
      </c>
      <c r="AU87" s="1009" t="str">
        <f>IF(ISBLANK(DY87),"",DY87)</f>
        <v/>
      </c>
      <c r="AV87" s="954" t="str">
        <f>IF(GG127="","",IF(ISTEXT(GG127),"P",TRUNC(GG127/12)))</f>
        <v/>
      </c>
      <c r="AW87" s="919" t="str">
        <f>IF(GG127="","",IF(AV87="P",GG127,GG127-(AV87*12)))</f>
        <v/>
      </c>
      <c r="AX87" s="1150" t="str">
        <f>IF(ISBLANK(EB87),"",EB87)</f>
        <v/>
      </c>
      <c r="AY87" s="1009" t="str">
        <f>IF(ISBLANK(EC87),"",EC87)</f>
        <v/>
      </c>
      <c r="AZ87" s="954" t="str">
        <f>IF(GH127="","",IF(ISTEXT(GH127),"P",TRUNC(GH127/12)))</f>
        <v/>
      </c>
      <c r="BA87" s="919" t="str">
        <f>IF(GH127="","",IF(AZ87="P",GH127,GH127-(AZ87*12)))</f>
        <v/>
      </c>
      <c r="BB87" s="1150" t="str">
        <f>IF(ISBLANK(EF87),"",EF87)</f>
        <v/>
      </c>
      <c r="BC87" s="1009" t="str">
        <f>IF(ISBLANK(EG87),"",EG87)</f>
        <v/>
      </c>
      <c r="BD87" s="954" t="str">
        <f>IF(GI127="","",IF(ISTEXT(GI127),"P",TRUNC(GI127/12)))</f>
        <v/>
      </c>
      <c r="BE87" s="919" t="str">
        <f>IF(GI127="","",IF(BD87="P",GI127,GI127-(BD87*12)))</f>
        <v/>
      </c>
      <c r="BF87" s="1150" t="str">
        <f>IF(ISBLANK(EJ87),"",EJ87)</f>
        <v/>
      </c>
      <c r="BG87" s="1009" t="str">
        <f>IF(ISBLANK(EK87),"",EK87)</f>
        <v/>
      </c>
    </row>
    <row r="88" spans="1:193" ht="12.75" hidden="1" customHeight="1" x14ac:dyDescent="0.2">
      <c r="Z88" s="1064"/>
    </row>
    <row r="89" spans="1:193" ht="12.75" customHeight="1" x14ac:dyDescent="0.2">
      <c r="B89" s="476" t="s">
        <v>374</v>
      </c>
    </row>
    <row r="111" ht="14.25" customHeight="1" x14ac:dyDescent="0.2"/>
  </sheetData>
  <sheetProtection selectLockedCells="1"/>
  <mergeCells count="314">
    <mergeCell ref="DA4:DB4"/>
    <mergeCell ref="DD12:DD13"/>
    <mergeCell ref="DE12:DE13"/>
    <mergeCell ref="DA10:DE10"/>
    <mergeCell ref="CB7:DE9"/>
    <mergeCell ref="DP9:DU10"/>
    <mergeCell ref="DP11:DP13"/>
    <mergeCell ref="DR11:DR13"/>
    <mergeCell ref="CB10:CF11"/>
    <mergeCell ref="CG10:CP11"/>
    <mergeCell ref="CQ10:CZ11"/>
    <mergeCell ref="DB11:DC12"/>
    <mergeCell ref="DD11:DE11"/>
    <mergeCell ref="CB12:CB13"/>
    <mergeCell ref="CC12:CC13"/>
    <mergeCell ref="CD12:CD13"/>
    <mergeCell ref="CE12:CF13"/>
    <mergeCell ref="CG12:CG13"/>
    <mergeCell ref="CH12:CI13"/>
    <mergeCell ref="CJ12:CK13"/>
    <mergeCell ref="CL12:CL13"/>
    <mergeCell ref="CN12:CP12"/>
    <mergeCell ref="CV12:CV13"/>
    <mergeCell ref="CW12:CW13"/>
    <mergeCell ref="EJ50:EJ53"/>
    <mergeCell ref="EH50:EH53"/>
    <mergeCell ref="EK50:EK53"/>
    <mergeCell ref="EL50:EL53"/>
    <mergeCell ref="CZ52:DA52"/>
    <mergeCell ref="EG50:EG53"/>
    <mergeCell ref="DL52:DL53"/>
    <mergeCell ref="ER50:ER53"/>
    <mergeCell ref="DB52:DB53"/>
    <mergeCell ref="DT52:DU52"/>
    <mergeCell ref="DK52:DK53"/>
    <mergeCell ref="DF52:DG52"/>
    <mergeCell ref="DI52:DI53"/>
    <mergeCell ref="EN50:EN53"/>
    <mergeCell ref="DA12:DA13"/>
    <mergeCell ref="EI50:EI53"/>
    <mergeCell ref="EC12:EC13"/>
    <mergeCell ref="DD52:DD53"/>
    <mergeCell ref="DE52:DE53"/>
    <mergeCell ref="CQ12:CQ13"/>
    <mergeCell ref="CR12:CS13"/>
    <mergeCell ref="CL51:CT51"/>
    <mergeCell ref="EF50:EF53"/>
    <mergeCell ref="EE50:EE53"/>
    <mergeCell ref="DJ52:DJ53"/>
    <mergeCell ref="DS52:DS53"/>
    <mergeCell ref="DX52:DY52"/>
    <mergeCell ref="DV52:DW52"/>
    <mergeCell ref="EA52:EA53"/>
    <mergeCell ref="ED50:ED53"/>
    <mergeCell ref="EB52:EB53"/>
    <mergeCell ref="EC52:EC53"/>
    <mergeCell ref="HU12:HU13"/>
    <mergeCell ref="HV12:HV13"/>
    <mergeCell ref="HW12:HW13"/>
    <mergeCell ref="FG3:FI3"/>
    <mergeCell ref="FN50:FS51"/>
    <mergeCell ref="FL52:FL53"/>
    <mergeCell ref="GB52:GB53"/>
    <mergeCell ref="FP52:FP53"/>
    <mergeCell ref="GE12:GE13"/>
    <mergeCell ref="GF12:GF13"/>
    <mergeCell ref="FS52:FS53"/>
    <mergeCell ref="FN52:FN53"/>
    <mergeCell ref="GA12:GB12"/>
    <mergeCell ref="GC12:GD12"/>
    <mergeCell ref="FT50:FZ51"/>
    <mergeCell ref="FT52:FT53"/>
    <mergeCell ref="FR52:FR53"/>
    <mergeCell ref="FY52:FY53"/>
    <mergeCell ref="GA10:GJ11"/>
    <mergeCell ref="FO52:FO53"/>
    <mergeCell ref="FK52:FK53"/>
    <mergeCell ref="HL12:HL13"/>
    <mergeCell ref="HM12:HM13"/>
    <mergeCell ref="HN12:HN13"/>
    <mergeCell ref="HP12:HP13"/>
    <mergeCell ref="HQ12:HQ13"/>
    <mergeCell ref="HR12:HR13"/>
    <mergeCell ref="HS12:HS13"/>
    <mergeCell ref="HT12:HT13"/>
    <mergeCell ref="HK12:HK13"/>
    <mergeCell ref="HA12:HA13"/>
    <mergeCell ref="HB12:HB13"/>
    <mergeCell ref="HC12:HC13"/>
    <mergeCell ref="HD12:HE13"/>
    <mergeCell ref="HF12:HF13"/>
    <mergeCell ref="HG12:HG13"/>
    <mergeCell ref="HH12:HH13"/>
    <mergeCell ref="HI12:HI13"/>
    <mergeCell ref="HJ12:HJ13"/>
    <mergeCell ref="GG12:GH12"/>
    <mergeCell ref="GI12:GJ12"/>
    <mergeCell ref="FU52:FU53"/>
    <mergeCell ref="FV52:FV53"/>
    <mergeCell ref="GL12:GL13"/>
    <mergeCell ref="GJ52:GJ53"/>
    <mergeCell ref="EY51:EY53"/>
    <mergeCell ref="HO12:HO13"/>
    <mergeCell ref="GM12:GM13"/>
    <mergeCell ref="GK12:GK13"/>
    <mergeCell ref="FM52:FM53"/>
    <mergeCell ref="GA52:GA53"/>
    <mergeCell ref="FZ52:FZ53"/>
    <mergeCell ref="FW52:FW53"/>
    <mergeCell ref="ES50:ES53"/>
    <mergeCell ref="EW52:EW53"/>
    <mergeCell ref="EV52:EV53"/>
    <mergeCell ref="EO50:EO53"/>
    <mergeCell ref="EP50:EP53"/>
    <mergeCell ref="EZ52:EZ53"/>
    <mergeCell ref="GC52:GC53"/>
    <mergeCell ref="EU50:EU53"/>
    <mergeCell ref="FX52:FX53"/>
    <mergeCell ref="FB52:FB53"/>
    <mergeCell ref="FA52:FA53"/>
    <mergeCell ref="FC52:FC53"/>
    <mergeCell ref="FQ52:FQ53"/>
    <mergeCell ref="FD52:FE52"/>
    <mergeCell ref="FF51:FI51"/>
    <mergeCell ref="AV13:AW13"/>
    <mergeCell ref="DQ52:DR52"/>
    <mergeCell ref="DH52:DH53"/>
    <mergeCell ref="CF52:CF53"/>
    <mergeCell ref="CG52:CG53"/>
    <mergeCell ref="CH52:CH53"/>
    <mergeCell ref="CI52:CI53"/>
    <mergeCell ref="CY52:CY53"/>
    <mergeCell ref="CQ52:CQ53"/>
    <mergeCell ref="CP52:CP53"/>
    <mergeCell ref="CJ52:CJ53"/>
    <mergeCell ref="CK52:CK53"/>
    <mergeCell ref="CL52:CL53"/>
    <mergeCell ref="CM52:CM53"/>
    <mergeCell ref="CV52:CV53"/>
    <mergeCell ref="CR52:CR53"/>
    <mergeCell ref="CM12:CM13"/>
    <mergeCell ref="CS52:CS53"/>
    <mergeCell ref="CX52:CX53"/>
    <mergeCell ref="CN52:CN53"/>
    <mergeCell ref="CO52:CO53"/>
    <mergeCell ref="CT52:CT53"/>
    <mergeCell ref="CB52:CB53"/>
    <mergeCell ref="CX12:CZ12"/>
    <mergeCell ref="AR13:AS13"/>
    <mergeCell ref="AD12:AE13"/>
    <mergeCell ref="ET50:ET53"/>
    <mergeCell ref="EX51:EX53"/>
    <mergeCell ref="EQ12:EQ13"/>
    <mergeCell ref="EQ50:EQ53"/>
    <mergeCell ref="EH12:EI12"/>
    <mergeCell ref="EJ12:EJ13"/>
    <mergeCell ref="ER12:ES12"/>
    <mergeCell ref="DT12:DU12"/>
    <mergeCell ref="EN12:EP12"/>
    <mergeCell ref="DH9:DH13"/>
    <mergeCell ref="EB12:EB13"/>
    <mergeCell ref="ED12:EE12"/>
    <mergeCell ref="DZ12:EA12"/>
    <mergeCell ref="DI9:DN11"/>
    <mergeCell ref="DO9:DO13"/>
    <mergeCell ref="DZ52:DZ53"/>
    <mergeCell ref="DC52:DC53"/>
    <mergeCell ref="CT12:CU13"/>
    <mergeCell ref="DM52:DN52"/>
    <mergeCell ref="DO52:DP52"/>
    <mergeCell ref="EM50:EM53"/>
    <mergeCell ref="AR12:BG12"/>
    <mergeCell ref="DV9:EK11"/>
    <mergeCell ref="EK12:EK13"/>
    <mergeCell ref="EF12:EF13"/>
    <mergeCell ref="DH6:EK8"/>
    <mergeCell ref="EG12:EG13"/>
    <mergeCell ref="DY12:DY13"/>
    <mergeCell ref="DS12:DS13"/>
    <mergeCell ref="DV12:DW12"/>
    <mergeCell ref="DM12:DN13"/>
    <mergeCell ref="DX12:DX13"/>
    <mergeCell ref="DI12:DI13"/>
    <mergeCell ref="DJ12:DK13"/>
    <mergeCell ref="DL12:DL13"/>
    <mergeCell ref="DQ12:DQ13"/>
    <mergeCell ref="Q1:T1"/>
    <mergeCell ref="AU1:AX1"/>
    <mergeCell ref="Q2:T3"/>
    <mergeCell ref="Q4:T4"/>
    <mergeCell ref="AU2:AX3"/>
    <mergeCell ref="AU4:AX4"/>
    <mergeCell ref="W1:Y1"/>
    <mergeCell ref="W2:Y2"/>
    <mergeCell ref="W3:Y3"/>
    <mergeCell ref="W4:Y4"/>
    <mergeCell ref="BA1:BC1"/>
    <mergeCell ref="BA2:BC2"/>
    <mergeCell ref="AX10:BA10"/>
    <mergeCell ref="BB6:BD6"/>
    <mergeCell ref="BD1:BF1"/>
    <mergeCell ref="BD2:BF2"/>
    <mergeCell ref="AB8:BG8"/>
    <mergeCell ref="BA3:BC3"/>
    <mergeCell ref="BA4:BC4"/>
    <mergeCell ref="BD3:BF3"/>
    <mergeCell ref="BD4:BF4"/>
    <mergeCell ref="AU10:AW10"/>
    <mergeCell ref="AB5:AQ5"/>
    <mergeCell ref="AZ7:BA7"/>
    <mergeCell ref="AX9:BG9"/>
    <mergeCell ref="AU9:AW9"/>
    <mergeCell ref="AZ6:BA6"/>
    <mergeCell ref="BB10:BD10"/>
    <mergeCell ref="BE10:BG10"/>
    <mergeCell ref="AE9:AT9"/>
    <mergeCell ref="AE10:AT10"/>
    <mergeCell ref="A5:L5"/>
    <mergeCell ref="A8:AA8"/>
    <mergeCell ref="V6:W6"/>
    <mergeCell ref="X6:Y6"/>
    <mergeCell ref="V7:W7"/>
    <mergeCell ref="K7:L7"/>
    <mergeCell ref="A9:B9"/>
    <mergeCell ref="A10:B10"/>
    <mergeCell ref="AB10:AD10"/>
    <mergeCell ref="C9:P9"/>
    <mergeCell ref="T9:AA9"/>
    <mergeCell ref="C10:P10"/>
    <mergeCell ref="X10:Y10"/>
    <mergeCell ref="Q9:S9"/>
    <mergeCell ref="Z10:AA10"/>
    <mergeCell ref="T10:W10"/>
    <mergeCell ref="Q10:S10"/>
    <mergeCell ref="AB9:AD9"/>
    <mergeCell ref="M6:T6"/>
    <mergeCell ref="M7:S7"/>
    <mergeCell ref="A11:AA11"/>
    <mergeCell ref="A12:A13"/>
    <mergeCell ref="C12:C13"/>
    <mergeCell ref="B12:B13"/>
    <mergeCell ref="J13:K13"/>
    <mergeCell ref="G13:H13"/>
    <mergeCell ref="M12:N12"/>
    <mergeCell ref="S13:T13"/>
    <mergeCell ref="X12:Y12"/>
    <mergeCell ref="AA12:AA13"/>
    <mergeCell ref="CC52:CC53"/>
    <mergeCell ref="CD52:CD53"/>
    <mergeCell ref="CW52:CW53"/>
    <mergeCell ref="CU52:CU53"/>
    <mergeCell ref="D12:E13"/>
    <mergeCell ref="O12:P13"/>
    <mergeCell ref="S12:W12"/>
    <mergeCell ref="F12:F13"/>
    <mergeCell ref="U13:V13"/>
    <mergeCell ref="G12:I12"/>
    <mergeCell ref="J12:L12"/>
    <mergeCell ref="Q12:R13"/>
    <mergeCell ref="BW12:BZ12"/>
    <mergeCell ref="AC12:AC13"/>
    <mergeCell ref="AB12:AB13"/>
    <mergeCell ref="AI12:AJ13"/>
    <mergeCell ref="CC51:CK51"/>
    <mergeCell ref="CE52:CE53"/>
    <mergeCell ref="AF12:AH12"/>
    <mergeCell ref="AG13:AH13"/>
    <mergeCell ref="AZ13:BA13"/>
    <mergeCell ref="AL12:AQ12"/>
    <mergeCell ref="BD13:BE13"/>
    <mergeCell ref="AK12:AK13"/>
    <mergeCell ref="HX12:HX13"/>
    <mergeCell ref="HY12:HY13"/>
    <mergeCell ref="HZ12:HZ13"/>
    <mergeCell ref="IA12:IA13"/>
    <mergeCell ref="IB12:IB13"/>
    <mergeCell ref="IC12:IC13"/>
    <mergeCell ref="ID12:ID13"/>
    <mergeCell ref="IE12:IE13"/>
    <mergeCell ref="IF12:IF13"/>
    <mergeCell ref="IH12:IH13"/>
    <mergeCell ref="II12:II13"/>
    <mergeCell ref="IJ12:IJ13"/>
    <mergeCell ref="IK12:IK13"/>
    <mergeCell ref="IL12:IL13"/>
    <mergeCell ref="JE12:JE13"/>
    <mergeCell ref="JF12:JF13"/>
    <mergeCell ref="JG12:JG13"/>
    <mergeCell ref="JC12:JC13"/>
    <mergeCell ref="JD12:JD13"/>
    <mergeCell ref="EM12:EM13"/>
    <mergeCell ref="ET9:EU12"/>
    <mergeCell ref="JH12:JH13"/>
    <mergeCell ref="JI12:JI13"/>
    <mergeCell ref="JJ12:JJ13"/>
    <mergeCell ref="JK12:JK13"/>
    <mergeCell ref="JL12:JL13"/>
    <mergeCell ref="IM12:IM13"/>
    <mergeCell ref="IN12:IN13"/>
    <mergeCell ref="IO12:IO13"/>
    <mergeCell ref="IP12:IP13"/>
    <mergeCell ref="IQ12:IQ13"/>
    <mergeCell ref="IR12:IR13"/>
    <mergeCell ref="IS12:IS13"/>
    <mergeCell ref="IT12:IT13"/>
    <mergeCell ref="IU12:IU13"/>
    <mergeCell ref="IV12:IV13"/>
    <mergeCell ref="IW12:IW13"/>
    <mergeCell ref="IX12:IX13"/>
    <mergeCell ref="IY12:IY13"/>
    <mergeCell ref="IZ12:IZ13"/>
    <mergeCell ref="JA12:JA13"/>
    <mergeCell ref="JB12:JB13"/>
    <mergeCell ref="IG12:IG13"/>
  </mergeCells>
  <phoneticPr fontId="0" type="noConversion"/>
  <conditionalFormatting sqref="FQ54:FR85">
    <cfRule type="cellIs" dxfId="512" priority="610" stopIfTrue="1" operator="lessThan">
      <formula>0</formula>
    </cfRule>
  </conditionalFormatting>
  <conditionalFormatting sqref="DI14">
    <cfRule type="expression" dxfId="511" priority="179">
      <formula>UPPER(#REF!)="X"</formula>
    </cfRule>
  </conditionalFormatting>
  <conditionalFormatting sqref="DJ14">
    <cfRule type="expression" dxfId="510" priority="612">
      <formula>OR(UPPER(#REF!)="X",UPPER(#REF!="X"))</formula>
    </cfRule>
  </conditionalFormatting>
  <conditionalFormatting sqref="DK14">
    <cfRule type="expression" dxfId="509" priority="613">
      <formula>OR(UPPER(#REF!)="X",UPPER(#REF!="X"))</formula>
    </cfRule>
  </conditionalFormatting>
  <conditionalFormatting sqref="Q2:T4 AU2:AX4">
    <cfRule type="cellIs" dxfId="508" priority="615" stopIfTrue="1" operator="equal">
      <formula>""</formula>
    </cfRule>
  </conditionalFormatting>
  <conditionalFormatting sqref="DM54:DM85">
    <cfRule type="cellIs" dxfId="507" priority="538" stopIfTrue="1" operator="notEqual">
      <formula>DN54</formula>
    </cfRule>
  </conditionalFormatting>
  <conditionalFormatting sqref="DT54:DT85">
    <cfRule type="cellIs" dxfId="506" priority="537" stopIfTrue="1" operator="notEqual">
      <formula>DU54</formula>
    </cfRule>
  </conditionalFormatting>
  <conditionalFormatting sqref="DA4">
    <cfRule type="expression" dxfId="505" priority="357" stopIfTrue="1">
      <formula>NOT(ISBLANK($DA$4))</formula>
    </cfRule>
  </conditionalFormatting>
  <conditionalFormatting sqref="M7">
    <cfRule type="expression" dxfId="504" priority="353" stopIfTrue="1">
      <formula>OR(ISBLANK($M$7),$M$7="")</formula>
    </cfRule>
    <cfRule type="expression" dxfId="503" priority="354" stopIfTrue="1">
      <formula>AND(LOWER($M$7)&lt;&gt;"std gray primer: one shop coat",LOWER($M$7)&lt;&gt;"gray",$M$7&lt;&gt;"")</formula>
    </cfRule>
  </conditionalFormatting>
  <conditionalFormatting sqref="A14:B45 A87:B87">
    <cfRule type="expression" dxfId="502" priority="138" stopIfTrue="1">
      <formula>AND(NOT($BK$1),$B14=0,OR($BJ$1="",$BJ$1="M"))</formula>
    </cfRule>
  </conditionalFormatting>
  <conditionalFormatting sqref="C14:C45">
    <cfRule type="expression" dxfId="501" priority="165">
      <formula>AND(NOT($BK14),NOT(BR14))</formula>
    </cfRule>
  </conditionalFormatting>
  <conditionalFormatting sqref="U14:U45">
    <cfRule type="expression" dxfId="500" priority="232">
      <formula>AND(NOT($BK14),BV14="No")</formula>
    </cfRule>
  </conditionalFormatting>
  <conditionalFormatting sqref="V14:V45">
    <cfRule type="expression" dxfId="499" priority="233">
      <formula>AND(NOT($BK14),BV14="No")</formula>
    </cfRule>
  </conditionalFormatting>
  <conditionalFormatting sqref="S14:S45">
    <cfRule type="expression" dxfId="498" priority="230">
      <formula>AND(NOT($BK14),BT14="No")</formula>
    </cfRule>
  </conditionalFormatting>
  <conditionalFormatting sqref="T14:T45">
    <cfRule type="expression" dxfId="497" priority="231">
      <formula>AND(NOT($BK14),BT14="No")</formula>
    </cfRule>
  </conditionalFormatting>
  <conditionalFormatting sqref="W14:W45">
    <cfRule type="expression" dxfId="496" priority="93">
      <formula>$W14=0</formula>
    </cfRule>
  </conditionalFormatting>
  <conditionalFormatting sqref="DI15:DI45">
    <cfRule type="expression" dxfId="495" priority="614">
      <formula>FM54="X"</formula>
    </cfRule>
  </conditionalFormatting>
  <conditionalFormatting sqref="DJ15:DJ45">
    <cfRule type="expression" dxfId="494" priority="1013">
      <formula>FM54="X"</formula>
    </cfRule>
  </conditionalFormatting>
  <conditionalFormatting sqref="DK15:DK45">
    <cfRule type="expression" dxfId="493" priority="1014">
      <formula>FM54="X"</formula>
    </cfRule>
  </conditionalFormatting>
  <conditionalFormatting sqref="DT14:DU45">
    <cfRule type="expression" dxfId="492" priority="1015">
      <formula>GD54=0</formula>
    </cfRule>
  </conditionalFormatting>
  <conditionalFormatting sqref="DH14:DH45">
    <cfRule type="expression" dxfId="491" priority="32">
      <formula>NOT($FQ14)</formula>
    </cfRule>
    <cfRule type="expression" dxfId="490" priority="1016">
      <formula>FJ54="G"</formula>
    </cfRule>
  </conditionalFormatting>
  <conditionalFormatting sqref="DM14:DN45">
    <cfRule type="expression" dxfId="489" priority="1018">
      <formula>FIND("B",$GK54)</formula>
    </cfRule>
  </conditionalFormatting>
  <conditionalFormatting sqref="DJ14:DK45">
    <cfRule type="expression" dxfId="488" priority="1036">
      <formula>FIND("A",$GK54)</formula>
    </cfRule>
  </conditionalFormatting>
  <conditionalFormatting sqref="DL14:DL45">
    <cfRule type="expression" dxfId="487" priority="3">
      <formula>AND(NOT(ISBLANK($DH14)),ISBLANK($DL14))</formula>
    </cfRule>
    <cfRule type="expression" dxfId="486" priority="176">
      <formula>FIND("B",$GK54)</formula>
    </cfRule>
  </conditionalFormatting>
  <conditionalFormatting sqref="DI14:DI45">
    <cfRule type="expression" dxfId="485" priority="1038">
      <formula>NOT($EY14)</formula>
    </cfRule>
  </conditionalFormatting>
  <conditionalFormatting sqref="DQ14:DQ45">
    <cfRule type="expression" dxfId="484" priority="137">
      <formula>DQ14&lt;&gt;EZ14</formula>
    </cfRule>
  </conditionalFormatting>
  <conditionalFormatting sqref="AD87:AE87 AD14:AE45">
    <cfRule type="expression" dxfId="483" priority="162">
      <formula>AND(NOT($BZ14),FIND("A",$GK54))</formula>
    </cfRule>
  </conditionalFormatting>
  <conditionalFormatting sqref="AI87:AJ87 AI14:AJ45">
    <cfRule type="expression" dxfId="482" priority="163">
      <formula>AND(NOT($BZ14),FIND("B",$GK54))</formula>
    </cfRule>
  </conditionalFormatting>
  <conditionalFormatting sqref="AC14:AC45">
    <cfRule type="expression" dxfId="481" priority="164">
      <formula>AND(NOT($BZ14),NOT($EY14))</formula>
    </cfRule>
  </conditionalFormatting>
  <conditionalFormatting sqref="AM14:AM45">
    <cfRule type="expression" dxfId="480" priority="144">
      <formula>AND(NOT($BZ14),AM14&lt;&gt;EZ14)</formula>
    </cfRule>
  </conditionalFormatting>
  <conditionalFormatting sqref="FF14:FF45">
    <cfRule type="expression" dxfId="479" priority="145">
      <formula>$FC14=0</formula>
    </cfRule>
  </conditionalFormatting>
  <conditionalFormatting sqref="AD14:AJ45">
    <cfRule type="expression" dxfId="478" priority="136">
      <formula>AND(NOT($BZ14),NOT($FA14))</formula>
    </cfRule>
  </conditionalFormatting>
  <conditionalFormatting sqref="DB14:DC45">
    <cfRule type="expression" dxfId="477" priority="94">
      <formula>AND(NOT($BK14),LEN($Z14)&gt;27)</formula>
    </cfRule>
  </conditionalFormatting>
  <conditionalFormatting sqref="C87">
    <cfRule type="expression" dxfId="476" priority="86" stopIfTrue="1">
      <formula>AND(NOT($BK87),NOT(BR87))</formula>
    </cfRule>
  </conditionalFormatting>
  <conditionalFormatting sqref="U87">
    <cfRule type="expression" dxfId="475" priority="90" stopIfTrue="1">
      <formula>AND(NOT($BK87),BV87="No")</formula>
    </cfRule>
  </conditionalFormatting>
  <conditionalFormatting sqref="V87">
    <cfRule type="expression" dxfId="474" priority="91" stopIfTrue="1">
      <formula>AND(NOT($BK87),BV87="No")</formula>
    </cfRule>
  </conditionalFormatting>
  <conditionalFormatting sqref="S87">
    <cfRule type="expression" dxfId="473" priority="88" stopIfTrue="1">
      <formula>AND(NOT($BK87),BT87="No")</formula>
    </cfRule>
  </conditionalFormatting>
  <conditionalFormatting sqref="T87">
    <cfRule type="expression" dxfId="472" priority="89" stopIfTrue="1">
      <formula>AND(NOT($BK87),BT87="No")</formula>
    </cfRule>
  </conditionalFormatting>
  <conditionalFormatting sqref="W87">
    <cfRule type="expression" dxfId="471" priority="74">
      <formula>$W87=0</formula>
    </cfRule>
  </conditionalFormatting>
  <conditionalFormatting sqref="AR87:AS87 AR14:AS45">
    <cfRule type="expression" dxfId="470" priority="79">
      <formula>AND(NOT($BZ14),$FF54)</formula>
    </cfRule>
  </conditionalFormatting>
  <conditionalFormatting sqref="AV87:AW87 AV14:AW45">
    <cfRule type="expression" dxfId="469" priority="80">
      <formula>AND(NOT($BZ14),$FG54)</formula>
    </cfRule>
  </conditionalFormatting>
  <conditionalFormatting sqref="AZ87:BA87 AZ14:BA45">
    <cfRule type="expression" dxfId="468" priority="81">
      <formula>AND(NOT($BZ14),$FH54)</formula>
    </cfRule>
  </conditionalFormatting>
  <conditionalFormatting sqref="BD87:BE87 BD14:BE45">
    <cfRule type="expression" dxfId="467" priority="82">
      <formula>AND(NOT($BZ14),$FI54)</formula>
    </cfRule>
  </conditionalFormatting>
  <conditionalFormatting sqref="AC87">
    <cfRule type="expression" dxfId="466" priority="85">
      <formula>AND(NOT($BZ87),NOT($EY87))</formula>
    </cfRule>
  </conditionalFormatting>
  <conditionalFormatting sqref="AM87">
    <cfRule type="expression" dxfId="465" priority="78">
      <formula>AND(NOT($BZ87),AM87&lt;&gt;EZ87)</formula>
    </cfRule>
  </conditionalFormatting>
  <conditionalFormatting sqref="AD87:AJ87">
    <cfRule type="expression" dxfId="464" priority="76">
      <formula>AND(NOT($BZ87),NOT($FA87))</formula>
    </cfRule>
  </conditionalFormatting>
  <conditionalFormatting sqref="AA87 A87:Y87">
    <cfRule type="expression" dxfId="463" priority="87">
      <formula>$BI87</formula>
    </cfRule>
  </conditionalFormatting>
  <conditionalFormatting sqref="AB87:BG87">
    <cfRule type="expression" dxfId="462" priority="73">
      <formula>$CA87</formula>
    </cfRule>
  </conditionalFormatting>
  <conditionalFormatting sqref="CD14:CD45">
    <cfRule type="expression" dxfId="461" priority="35">
      <formula>AND(NOT($BK14),NOT($BR14))</formula>
    </cfRule>
  </conditionalFormatting>
  <conditionalFormatting sqref="DD14:DD45">
    <cfRule type="cellIs" dxfId="460" priority="48" operator="greaterThan">
      <formula>EY54</formula>
    </cfRule>
    <cfRule type="expression" dxfId="459" priority="49">
      <formula>AND(ISBLANK(DD14),EY54&gt;0)</formula>
    </cfRule>
  </conditionalFormatting>
  <conditionalFormatting sqref="DE14:DE45">
    <cfRule type="cellIs" dxfId="458" priority="50" operator="lessThan">
      <formula>EX54</formula>
    </cfRule>
    <cfRule type="expression" dxfId="457" priority="51">
      <formula>AND(ISBLANK(DE14),EX54&lt;&gt;"")</formula>
    </cfRule>
  </conditionalFormatting>
  <conditionalFormatting sqref="AB14:AO45 DH14:EK45 BF14:BG45">
    <cfRule type="expression" dxfId="456" priority="1243">
      <formula>$FP14</formula>
    </cfRule>
  </conditionalFormatting>
  <conditionalFormatting sqref="A14:Y45 AA14:AA45 DA14:DE45 CB14:CY45">
    <cfRule type="expression" dxfId="455" priority="1247">
      <formula>$FN14</formula>
    </cfRule>
  </conditionalFormatting>
  <conditionalFormatting sqref="AB14:AB45">
    <cfRule type="expression" dxfId="454" priority="31">
      <formula>NOT($FQ14)</formula>
    </cfRule>
  </conditionalFormatting>
  <conditionalFormatting sqref="CB14:CB45">
    <cfRule type="expression" dxfId="453" priority="4">
      <formula>NOT($FO14)</formula>
    </cfRule>
  </conditionalFormatting>
  <conditionalFormatting sqref="A14:A45">
    <cfRule type="expression" dxfId="452" priority="29">
      <formula>NOT($FO14)</formula>
    </cfRule>
  </conditionalFormatting>
  <conditionalFormatting sqref="CZ14:CZ45">
    <cfRule type="expression" dxfId="451" priority="25">
      <formula>$FN14</formula>
    </cfRule>
  </conditionalFormatting>
  <conditionalFormatting sqref="Z87">
    <cfRule type="expression" dxfId="450" priority="21">
      <formula>$FN87</formula>
    </cfRule>
  </conditionalFormatting>
  <conditionalFormatting sqref="Z87">
    <cfRule type="expression" dxfId="449" priority="22">
      <formula>AND(NOT($BK87),LEN($Z87)&gt;27)</formula>
    </cfRule>
  </conditionalFormatting>
  <conditionalFormatting sqref="Z14:Z45">
    <cfRule type="expression" dxfId="448" priority="17">
      <formula>$FN14</formula>
    </cfRule>
  </conditionalFormatting>
  <conditionalFormatting sqref="Z14:Z45">
    <cfRule type="expression" dxfId="447" priority="18">
      <formula>AND(NOT($BK14),LEN($Z14)&gt;27)</formula>
    </cfRule>
  </conditionalFormatting>
  <conditionalFormatting sqref="GA14:GB45">
    <cfRule type="expression" dxfId="446" priority="16" stopIfTrue="1">
      <formula>$GM16&gt;=0.125</formula>
    </cfRule>
  </conditionalFormatting>
  <conditionalFormatting sqref="AP14:AQ45">
    <cfRule type="expression" dxfId="445" priority="15">
      <formula>$FP14</formula>
    </cfRule>
  </conditionalFormatting>
  <conditionalFormatting sqref="AR14:BE45">
    <cfRule type="expression" dxfId="444" priority="9">
      <formula>$FP14</formula>
    </cfRule>
  </conditionalFormatting>
  <conditionalFormatting sqref="CB14:CC45">
    <cfRule type="expression" dxfId="443" priority="30">
      <formula>AND(NOT($BK$1),$B14=0,OR($BJ$1="",$BJ$1="M"))</formula>
    </cfRule>
  </conditionalFormatting>
  <conditionalFormatting sqref="CJ14:CJ45">
    <cfRule type="expression" dxfId="442" priority="1776">
      <formula>AND(NOT($BK14),OR($CC54="M",$CC54="C",$CC54="G"))</formula>
    </cfRule>
    <cfRule type="expression" dxfId="441" priority="1777">
      <formula>AND(NOT($BK14),AND(OR($CC54="B",$CC54="G"),CJ14="",CK14=""))</formula>
    </cfRule>
    <cfRule type="expression" dxfId="440" priority="1778">
      <formula>AND(NOT($BK14),EG54="ERR")</formula>
    </cfRule>
  </conditionalFormatting>
  <conditionalFormatting sqref="CK14:CK45">
    <cfRule type="expression" dxfId="439" priority="1779">
      <formula>AND(NOT($BK14),OR($CC54="M",$CC54="C",$CC54="G"))</formula>
    </cfRule>
    <cfRule type="expression" dxfId="438" priority="1780">
      <formula>AND(NOT($BK14),AND(OR($CC54="B",$CC54="G"),CJ14="",CK14=""))</formula>
    </cfRule>
    <cfRule type="expression" dxfId="437" priority="1781">
      <formula>AND(NOT($BK14),EG54="ERR")</formula>
    </cfRule>
  </conditionalFormatting>
  <conditionalFormatting sqref="CH14:CH45">
    <cfRule type="expression" dxfId="436" priority="1790">
      <formula>AND(NOT($BK14),OR($CC54="M",$CC54="C"))</formula>
    </cfRule>
    <cfRule type="expression" dxfId="435" priority="1791">
      <formula>AND(NOT($BK14),AND(CH14="",CI14="",OR($CC54="B",$CC54="G")))</formula>
    </cfRule>
    <cfRule type="expression" dxfId="434" priority="1792">
      <formula>AND(NOT($BK14),(CH14/2)/COS(RADIANS(CL14))+CD54-DC54&lt;$FB$4)</formula>
    </cfRule>
  </conditionalFormatting>
  <conditionalFormatting sqref="CI14:CI45">
    <cfRule type="expression" dxfId="433" priority="1793">
      <formula>AND(NOT($BK14),OR($CC54="M",$CC54="C"))</formula>
    </cfRule>
    <cfRule type="expression" dxfId="432" priority="1794">
      <formula>AND(NOT($BK14),AND(CH14="",CI14="",OR($CC54="B",$CC54="G")))</formula>
    </cfRule>
    <cfRule type="expression" dxfId="431" priority="1795">
      <formula>AND(NOT($BK14),(CI14/2)/COS(RADIANS(CL14))+CD54-DC54&lt;$FB$4)</formula>
    </cfRule>
  </conditionalFormatting>
  <conditionalFormatting sqref="CT14:CT45">
    <cfRule type="expression" dxfId="430" priority="1814">
      <formula>AND(NOT($BK14),OR($CL54="M",$CL54="C",$CL54="G"))</formula>
    </cfRule>
    <cfRule type="expression" dxfId="429" priority="1815">
      <formula>AND(NOT($BK14),AND(OR($CL54="B",$CL54="G"),CT14="",CU14=""))</formula>
    </cfRule>
    <cfRule type="expression" dxfId="428" priority="1816">
      <formula>AND(NOT($BK14),EJ54="ERR")</formula>
    </cfRule>
  </conditionalFormatting>
  <conditionalFormatting sqref="CU14:CU45">
    <cfRule type="expression" dxfId="427" priority="1817">
      <formula>AND(NOT($BK14),OR($CL54="M",$CL54="C",$CL54="G"))</formula>
    </cfRule>
    <cfRule type="expression" dxfId="426" priority="1818">
      <formula>AND(NOT($BK14),AND(OR($CL54="B",$CL54="G"),CT14="",CU14=""))</formula>
    </cfRule>
    <cfRule type="expression" dxfId="425" priority="1819">
      <formula>AND(NOT($BK14),EJ54="ERR")</formula>
    </cfRule>
  </conditionalFormatting>
  <conditionalFormatting sqref="CR14:CR45">
    <cfRule type="expression" dxfId="424" priority="1822">
      <formula>AND(NOT($BK14),OR($CL54="M",$CL54="C"))</formula>
    </cfRule>
    <cfRule type="expression" dxfId="423" priority="1823">
      <formula>AND(NOT($BK14),AND(CR14="",CS14="",OR($CL54="B",$CL54="G")))</formula>
    </cfRule>
    <cfRule type="expression" dxfId="422" priority="1824">
      <formula>AND(NOT($BK14),(CR14/2)/COS(RADIANS(CV14))+CM54-DI54&lt;$FB$4)</formula>
    </cfRule>
  </conditionalFormatting>
  <conditionalFormatting sqref="CS14:CS45">
    <cfRule type="expression" dxfId="421" priority="1825">
      <formula>AND(NOT($BK14),OR($CL54="M",$CL54="C"))</formula>
    </cfRule>
    <cfRule type="expression" dxfId="420" priority="1826">
      <formula>AND(NOT($BK14),AND(CR14="",CS14="",OR($CL54="B",$CL54="G")))</formula>
    </cfRule>
    <cfRule type="expression" dxfId="419" priority="1827">
      <formula>AND(NOT($BK14),(CS14/2)/COS(RADIANS(CV14))+CM54-DI54&lt;$FB$4)</formula>
    </cfRule>
  </conditionalFormatting>
  <conditionalFormatting sqref="CW14:CW45 CM14:CM45">
    <cfRule type="expression" dxfId="418" priority="1849">
      <formula>AND(NOT($BK14),AND(ISBLANK(CM14),AND(NOT(ISBLANK(CL14)),$DA14&lt;&gt;0)))</formula>
    </cfRule>
  </conditionalFormatting>
  <conditionalFormatting sqref="GA48:GB48">
    <cfRule type="expression" dxfId="417" priority="2" stopIfTrue="1">
      <formula>$GM50&gt;=0.125</formula>
    </cfRule>
  </conditionalFormatting>
  <conditionalFormatting sqref="CO14:CO45">
    <cfRule type="expression" dxfId="416" priority="1914">
      <formula>ET14&lt;&gt;""</formula>
    </cfRule>
  </conditionalFormatting>
  <conditionalFormatting sqref="CY14:CY45">
    <cfRule type="expression" dxfId="415" priority="1915">
      <formula>EU14&lt;&gt;""</formula>
    </cfRule>
  </conditionalFormatting>
  <conditionalFormatting sqref="CG14:CG45">
    <cfRule type="expression" dxfId="414" priority="1916">
      <formula>AND(NOT($BK14),ISERROR(CC54))</formula>
    </cfRule>
    <cfRule type="expression" dxfId="413" priority="1917">
      <formula>AND(NOT($BK14),OR(ISERROR(CC54),CC54="", ET14&lt;&gt;""))</formula>
    </cfRule>
  </conditionalFormatting>
  <conditionalFormatting sqref="CQ14:CQ45">
    <cfRule type="expression" dxfId="412" priority="1918">
      <formula>AND(NOT($BK14),ISERROR(CL54))</formula>
    </cfRule>
    <cfRule type="expression" dxfId="411" priority="1919">
      <formula>AND(NOT($BK14),OR(CL54="", EU14&lt;&gt;""))</formula>
    </cfRule>
  </conditionalFormatting>
  <conditionalFormatting sqref="DC14:DC45">
    <cfRule type="expression" dxfId="410" priority="1999">
      <formula>OR(EN14&lt;&gt;"",EO14&lt;&gt;"",EP14&lt;&gt;"",EQ14&lt;&gt;"",ER14&lt;&gt;"",ES14&lt;&gt;"",ET14&lt;&gt;"",EU14&lt;&gt;"")</formula>
    </cfRule>
  </conditionalFormatting>
  <conditionalFormatting sqref="B87">
    <cfRule type="expression" dxfId="409" priority="1">
      <formula>$FN87</formula>
    </cfRule>
  </conditionalFormatting>
  <dataValidations count="20">
    <dataValidation type="list" allowBlank="1" showInputMessage="1" sqref="M7:S7 DA4" xr:uid="{00000000-0002-0000-0B00-000000000000}">
      <formula1>"Std Gray Primer: One Shop Coat,NO Shop Primer,NO Shop Primer - GALV,Std Gray Primer: xx Shop Coats"</formula1>
    </dataValidation>
    <dataValidation type="whole" operator="greaterThanOrEqual" allowBlank="1" showErrorMessage="1" errorTitle="Dimensional Error" error="&quot;Feet&quot; can only be whole numbers." sqref="D14:D45 G14:G45 J14:J45 S14:S45 U14:U45 AG87 AI87 CE14:CE45 AD87 DJ14:DJ45 DM14:DM45 D87 G87 J87 S87 U87 AD14:AD45 AG14:AG45 AI14:AI45" xr:uid="{00000000-0002-0000-0B00-000001000000}">
      <formula1>0</formula1>
    </dataValidation>
    <dataValidation type="whole" operator="greaterThanOrEqual" allowBlank="1" showErrorMessage="1" errorTitle="Error" error="&quot;Number of Panels&quot; can only be whole numbers." sqref="DL14:DL45 AF87 AF14:AF45" xr:uid="{00000000-0002-0000-0B00-000002000000}">
      <formula1>0</formula1>
    </dataValidation>
    <dataValidation type="custom" allowBlank="1" showErrorMessage="1" errorTitle="Error" error="Value must  be either a whole number OR the string &quot;P&quot;." sqref="DV14:DV45 DZ14:DZ45 ED14:ED45 EH14:EH45 BD87 AR87 AV87 AZ87 AV14:AV45 AR14:AR45 BD14:BD45 AZ14:AZ45" xr:uid="{00000000-0002-0000-0B00-000003000000}">
      <formula1>IF(ISERROR(INT(AR14)),AR14="P",INT(AR14)=AR14)</formula1>
    </dataValidation>
    <dataValidation type="decimal" allowBlank="1" showInputMessage="1" showErrorMessage="1" errorTitle="Dimensional Error" error="&quot;Inches&quot; must be a number from 0 to 11.875." sqref="AJ87 E14:E45 H14:H45 K14:K45 T14:T45 V14:V45 AE87 AH87 CF14:CF45 E87 H87 K87 T87 V87 AE14:AE45 AH14:AH45 AJ14:AJ45 DK14:DK45 DN14:DN45 DT14:DU45" xr:uid="{00000000-0002-0000-0B00-000004000000}">
      <formula1>0</formula1>
      <formula2>11.875</formula2>
    </dataValidation>
    <dataValidation type="decimal" operator="greaterThanOrEqual" allowBlank="1" showInputMessage="1" showErrorMessage="1" errorTitle="Dimensional Error" error="&quot;Inches&quot; must be a number." sqref="CH14:CK45 CR14:CU45" xr:uid="{00000000-0002-0000-0B00-000005000000}">
      <formula1>0</formula1>
    </dataValidation>
    <dataValidation type="decimal" operator="notEqual" allowBlank="1" showInputMessage="1" showErrorMessage="1" errorTitle="Input Error" error="Enter + or - Numbers Only._x000a_Do NOT use &quot;&lt;&quot; or &quot;&gt;&quot;." sqref="X14:Y45 X87:Y87" xr:uid="{00000000-0002-0000-0B00-000006000000}">
      <formula1>0</formula1>
    </dataValidation>
    <dataValidation type="decimal" operator="greaterThan" allowBlank="1" showInputMessage="1" showErrorMessage="1" errorTitle="Dimensional Error" error="Only positive numeric values permitted here." sqref="M14:N45 M87:N87" xr:uid="{00000000-0002-0000-0B00-000007000000}">
      <formula1>0</formula1>
    </dataValidation>
    <dataValidation type="decimal" operator="lessThanOrEqual" allowBlank="1" showInputMessage="1" showErrorMessage="1" errorTitle="BL Over-Ride Error!" error="Base Length can't be past Girder Overall Length!  See section for Maximum Over-Ride Dimension." sqref="CY14:CY45" xr:uid="{00000000-0002-0000-0B00-000009000000}">
      <formula1>$CM54</formula1>
    </dataValidation>
    <dataValidation type="decimal" operator="lessThanOrEqual" allowBlank="1" showInputMessage="1" showErrorMessage="1" errorTitle="BL Over-Ride Error!" error="Base Length can't be past Girder Overall Length!  See section for Maximum Over-Ride Dimension." sqref="CO14:CO45" xr:uid="{00000000-0002-0000-0B00-00000A000000}">
      <formula1>$CD54</formula1>
    </dataValidation>
    <dataValidation type="decimal" operator="greaterThanOrEqual" allowBlank="1" showInputMessage="1" showErrorMessage="1" errorTitle="Input Error" error="Enter a numeric value greater than 1/2&quot;." sqref="AP14:AQ45" xr:uid="{00000000-0002-0000-0B00-00000B000000}">
      <formula1>0.75</formula1>
    </dataValidation>
    <dataValidation type="whole" allowBlank="1" showInputMessage="1" showErrorMessage="1" errorTitle="Input Error:" error="Enter Number of &quot;Sixteenths&quot; of an Inch for the Hole Diameter._x000a_Ex: &quot;9&quot; = 9/16&quot; Hole._x000a_    &quot;13&quot; = 13/16&quot; Hole." sqref="AN14:AN45" xr:uid="{00000000-0002-0000-0B00-00000C000000}">
      <formula1>9</formula1>
      <formula2>17</formula2>
    </dataValidation>
    <dataValidation type="list" allowBlank="1" showInputMessage="1" showErrorMessage="1" errorTitle="Input Error" error="The Only Valid Entries For This Column is &quot;N&quot;, &quot;F&quot; or &quot;B&quot;." sqref="AL14:AL45 AC14:AC45 AY14:AY45 BC14:BC45 AU14:AU45" xr:uid="{00000000-0002-0000-0B00-00000D000000}">
      <formula1>"N,F,B"</formula1>
    </dataValidation>
    <dataValidation type="decimal" allowBlank="1" showInputMessage="1" showErrorMessage="1" errorTitle="Input Error" error="Numeric Values Only!" sqref="GC14:GD45 GC48:GD48 CN14:CN45 CX14:CX45" xr:uid="{4384003A-6602-4394-8BCD-EBDD69AC7C4F}">
      <formula1>-1200</formula1>
      <formula2>1200</formula2>
    </dataValidation>
    <dataValidation type="whole" operator="greaterThanOrEqual" allowBlank="1" showInputMessage="1" showErrorMessage="1" errorTitle="Input Error" error="Positive Integers Only!" sqref="GA14:GA45 GA48" xr:uid="{CD38BD5B-00B6-4E3D-AFE5-EE5947423BA2}">
      <formula1>0</formula1>
    </dataValidation>
    <dataValidation type="decimal" allowBlank="1" showInputMessage="1" showErrorMessage="1" errorTitle="Input Error" error="Positive numbers from 0&quot; to 11 7/8&quot; only!" sqref="GB14 GB16:GB45 GB48" xr:uid="{73AF5F77-C925-4CD0-857D-4AE222E157E1}">
      <formula1>0</formula1>
      <formula2>11.875</formula2>
    </dataValidation>
    <dataValidation type="decimal" allowBlank="1" showInputMessage="1" showErrorMessage="1" errorTitle="Input Error" error="Numbers from 0&quot; to 11 7/8&quot; only!" sqref="GB15" xr:uid="{CF437BFD-E657-400D-A00B-E2D910B75CD1}">
      <formula1>0</formula1>
      <formula2>11.875</formula2>
    </dataValidation>
    <dataValidation type="decimal" operator="greaterThan" allowBlank="1" showInputMessage="1" showErrorMessage="1" errorTitle="Input Error" error="Positive Numeric Values Only!" sqref="CP14:CP45 CZ14:CZ45" xr:uid="{63964BC8-4F02-49D3-B85E-D17E55B94520}">
      <formula1>0</formula1>
    </dataValidation>
    <dataValidation type="whole" operator="notBetween" allowBlank="1" showInputMessage="1" showErrorMessage="1" sqref="B87" xr:uid="{9C24426A-1122-4229-BC39-68AF5B72D9B0}">
      <formula1>-10001</formula1>
      <formula2>-10000</formula2>
    </dataValidation>
    <dataValidation type="whole" operator="greaterThan" allowBlank="1" showInputMessage="1" showErrorMessage="1" errorTitle="Quantity Error" error="Value must be an integer greater than -1000." sqref="B14:B45 CC14:CC45" xr:uid="{54CB8AF6-42C5-431F-A041-BD3AE92789C2}">
      <formula1>-1001</formula1>
    </dataValidation>
  </dataValidations>
  <printOptions horizontalCentered="1"/>
  <pageMargins left="0.3" right="0.3" top="0.5" bottom="0.5" header="0" footer="0.25"/>
  <pageSetup pageOrder="overThenDown" orientation="landscape" r:id="rId1"/>
  <headerFooter alignWithMargins="0">
    <oddFooter>&amp;R&amp;7Printed: &amp;D &amp;T&amp;L&amp;7Version: 21.0428
File: &amp;F</oddFooter>
  </headerFooter>
  <colBreaks count="1" manualBreakCount="1">
    <brk id="27" max="44" man="1"/>
  </colBreak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9">
    <tabColor indexed="43"/>
  </sheetPr>
  <dimension ref="A1:IJ76"/>
  <sheetViews>
    <sheetView showGridLines="0" topLeftCell="BB1" zoomScaleNormal="100" zoomScaleSheetLayoutView="75" workbookViewId="0">
      <selection activeCell="BB23" sqref="BB23"/>
    </sheetView>
  </sheetViews>
  <sheetFormatPr defaultColWidth="5.7109375" defaultRowHeight="11.25" x14ac:dyDescent="0.2"/>
  <cols>
    <col min="1" max="1" width="5.7109375" style="154" customWidth="1"/>
    <col min="2" max="2" width="4.28515625" style="154" customWidth="1"/>
    <col min="3" max="3" width="15.7109375" style="154" customWidth="1"/>
    <col min="4" max="4" width="3.7109375" style="154" customWidth="1"/>
    <col min="5" max="5" width="4.42578125" style="154" customWidth="1"/>
    <col min="6" max="6" width="3" style="154" customWidth="1"/>
    <col min="7" max="7" width="4.42578125" style="154" customWidth="1"/>
    <col min="8" max="9" width="3" style="154" customWidth="1"/>
    <col min="10" max="10" width="4.42578125" style="154" customWidth="1"/>
    <col min="11" max="11" width="3" style="154" customWidth="1"/>
    <col min="12" max="13" width="4.42578125" style="154" customWidth="1"/>
    <col min="14" max="14" width="3.28515625" style="154" customWidth="1"/>
    <col min="15" max="15" width="5" style="154" customWidth="1"/>
    <col min="16" max="16" width="2.7109375" style="154" customWidth="1"/>
    <col min="17" max="17" width="3.28515625" style="154" customWidth="1"/>
    <col min="18" max="18" width="5" style="154" customWidth="1"/>
    <col min="19" max="19" width="2.7109375" style="154" customWidth="1"/>
    <col min="20" max="20" width="2.85546875" style="154" customWidth="1"/>
    <col min="21" max="21" width="4.42578125" style="154" customWidth="1"/>
    <col min="22" max="22" width="2.85546875" style="154" customWidth="1"/>
    <col min="23" max="23" width="4.42578125" style="154" customWidth="1"/>
    <col min="24" max="24" width="4.28515625" style="154" customWidth="1"/>
    <col min="25" max="26" width="4.7109375" style="154" customWidth="1"/>
    <col min="27" max="27" width="21" style="154" customWidth="1"/>
    <col min="28" max="28" width="5.7109375" style="154" customWidth="1"/>
    <col min="29" max="29" width="5.7109375" style="154" hidden="1" customWidth="1"/>
    <col min="30" max="34" width="4.7109375" style="154" hidden="1" customWidth="1"/>
    <col min="35" max="35" width="7.85546875" style="324" hidden="1" customWidth="1"/>
    <col min="36" max="41" width="4.7109375" style="154" hidden="1" customWidth="1"/>
    <col min="42" max="43" width="8.7109375" style="154" hidden="1" customWidth="1"/>
    <col min="44" max="44" width="6.7109375" style="154" hidden="1" customWidth="1"/>
    <col min="45" max="45" width="4.7109375" style="154" hidden="1" customWidth="1"/>
    <col min="46" max="46" width="6.7109375" style="154" hidden="1" customWidth="1"/>
    <col min="47" max="49" width="4.7109375" style="154" hidden="1" customWidth="1"/>
    <col min="50" max="52" width="5.7109375" style="154" hidden="1" customWidth="1"/>
    <col min="53" max="53" width="3.7109375" style="154" customWidth="1"/>
    <col min="54" max="54" width="6.7109375" style="154" customWidth="1"/>
    <col min="55" max="55" width="4.7109375" style="154" customWidth="1"/>
    <col min="56" max="56" width="13.7109375" style="154" customWidth="1"/>
    <col min="57" max="57" width="4.7109375" style="154" customWidth="1"/>
    <col min="58" max="58" width="5.7109375" style="154" customWidth="1"/>
    <col min="59" max="59" width="3.7109375" style="154" customWidth="1"/>
    <col min="60" max="61" width="5.28515625" style="154" customWidth="1"/>
    <col min="62" max="62" width="3.42578125" style="154" customWidth="1"/>
    <col min="63" max="64" width="5.28515625" style="154" customWidth="1"/>
    <col min="65" max="65" width="4.7109375" style="154" customWidth="1"/>
    <col min="66" max="66" width="5.7109375" style="154" customWidth="1"/>
    <col min="67" max="67" width="3.42578125" style="154" customWidth="1"/>
    <col min="68" max="69" width="6" style="154" customWidth="1"/>
    <col min="70" max="70" width="4.7109375" style="154" customWidth="1"/>
    <col min="71" max="71" width="3.7109375" style="154" customWidth="1"/>
    <col min="72" max="73" width="5.28515625" style="154" customWidth="1"/>
    <col min="74" max="74" width="3.42578125" style="154" customWidth="1"/>
    <col min="75" max="76" width="5.28515625" style="154" customWidth="1"/>
    <col min="77" max="77" width="4.7109375" style="154" customWidth="1"/>
    <col min="78" max="78" width="5.7109375" style="154" customWidth="1"/>
    <col min="79" max="79" width="3.42578125" style="154" customWidth="1"/>
    <col min="80" max="81" width="6" style="154" customWidth="1"/>
    <col min="82" max="82" width="4.7109375" style="154" customWidth="1"/>
    <col min="83" max="83" width="5.7109375" style="154" customWidth="1"/>
    <col min="84" max="85" width="17.85546875" style="154" customWidth="1"/>
    <col min="86" max="88" width="10.7109375" style="154" customWidth="1"/>
    <col min="89" max="89" width="8.7109375" style="154" customWidth="1"/>
    <col min="90" max="93" width="8.28515625" style="154" customWidth="1"/>
    <col min="94" max="95" width="4.7109375" style="154" customWidth="1"/>
    <col min="96" max="97" width="6.42578125" style="154" customWidth="1"/>
    <col min="98" max="98" width="4.7109375" style="154" customWidth="1"/>
    <col min="99" max="117" width="6.7109375" style="154" hidden="1" customWidth="1"/>
    <col min="118" max="118" width="8.7109375" style="154" hidden="1" customWidth="1"/>
    <col min="119" max="127" width="6.7109375" style="154" hidden="1" customWidth="1"/>
    <col min="128" max="128" width="8.7109375" style="154" hidden="1" customWidth="1"/>
    <col min="129" max="133" width="6.7109375" style="154" hidden="1" customWidth="1"/>
    <col min="134" max="135" width="8.7109375" style="154" hidden="1" customWidth="1"/>
    <col min="136" max="141" width="6.7109375" style="154" hidden="1" customWidth="1"/>
    <col min="142" max="142" width="8.7109375" style="154" hidden="1" customWidth="1"/>
    <col min="143" max="178" width="6.7109375" style="154" hidden="1" customWidth="1"/>
    <col min="179" max="179" width="5.7109375" style="154" customWidth="1"/>
    <col min="180" max="181" width="5.7109375" style="154" hidden="1" customWidth="1"/>
    <col min="182" max="182" width="5.7109375" style="154" customWidth="1"/>
    <col min="183" max="183" width="5.28515625" style="154" customWidth="1"/>
    <col min="184" max="184" width="6.28515625" style="154" customWidth="1"/>
    <col min="185" max="187" width="8.7109375" style="154" customWidth="1"/>
    <col min="188" max="188" width="5.7109375" style="154" customWidth="1"/>
    <col min="189" max="189" width="5.28515625" style="154" customWidth="1"/>
    <col min="190" max="190" width="6.28515625" style="154" customWidth="1"/>
    <col min="191" max="191" width="5.28515625" style="154" hidden="1" customWidth="1"/>
    <col min="192" max="192" width="6.28515625" style="154" hidden="1" customWidth="1"/>
    <col min="193" max="195" width="8.7109375" style="154" hidden="1" customWidth="1"/>
    <col min="196" max="196" width="5.7109375" style="154" customWidth="1"/>
    <col min="197" max="206" width="8.7109375" style="154" hidden="1" customWidth="1"/>
    <col min="207" max="207" width="8.7109375" style="154" customWidth="1"/>
    <col min="208" max="208" width="8.7109375" style="154" hidden="1" customWidth="1"/>
    <col min="209" max="210" width="6.7109375" style="154" hidden="1" customWidth="1"/>
    <col min="211" max="211" width="12.7109375" style="154" hidden="1" customWidth="1"/>
    <col min="212" max="212" width="6.7109375" style="156" hidden="1" customWidth="1"/>
    <col min="213" max="213" width="6.7109375" style="307" hidden="1" customWidth="1"/>
    <col min="214" max="240" width="6.7109375" style="154" hidden="1" customWidth="1"/>
    <col min="241" max="243" width="8.7109375" style="154" customWidth="1"/>
    <col min="244" max="16384" width="5.7109375" style="154"/>
  </cols>
  <sheetData>
    <row r="1" spans="1:241" s="303" customFormat="1" ht="14.45" customHeight="1" thickBot="1" x14ac:dyDescent="0.25">
      <c r="A1" s="297"/>
      <c r="B1" s="297"/>
      <c r="C1" s="297"/>
      <c r="D1" s="297"/>
      <c r="E1" s="297"/>
      <c r="F1" s="297"/>
      <c r="G1" s="297"/>
      <c r="H1" s="297"/>
      <c r="I1" s="298"/>
      <c r="J1" s="298"/>
      <c r="K1" s="298"/>
      <c r="L1" s="298"/>
      <c r="M1" s="298"/>
      <c r="N1" s="297"/>
      <c r="O1" s="298"/>
      <c r="P1" s="1705" t="e">
        <f>IF(AD1="","",VLOOKUP(AD1,#REF!,4,FALSE))</f>
        <v>#REF!</v>
      </c>
      <c r="Q1" s="1705"/>
      <c r="R1" s="1705"/>
      <c r="S1" s="1705"/>
      <c r="T1" s="298"/>
      <c r="U1" s="298"/>
      <c r="V1" s="299"/>
      <c r="W1" s="299"/>
      <c r="X1" s="1020" t="s">
        <v>77</v>
      </c>
      <c r="Y1" s="299"/>
      <c r="Z1" s="299"/>
      <c r="AA1" s="1013" t="e">
        <f>#REF!</f>
        <v>#REF!</v>
      </c>
      <c r="AB1" s="488" t="s">
        <v>375</v>
      </c>
      <c r="AD1" s="302" t="e">
        <f>#REF!</f>
        <v>#REF!</v>
      </c>
      <c r="AE1" s="303" t="e">
        <f>#REF!</f>
        <v>#REF!</v>
      </c>
      <c r="AF1" s="708" t="s">
        <v>559</v>
      </c>
      <c r="AI1" s="302"/>
      <c r="AW1" s="160"/>
      <c r="AX1" s="160"/>
      <c r="BA1" s="433" t="s">
        <v>376</v>
      </c>
      <c r="BB1" s="152"/>
      <c r="BC1" s="152"/>
      <c r="BD1" s="152"/>
      <c r="BE1" s="152"/>
      <c r="BF1" s="152"/>
      <c r="BG1" s="152"/>
      <c r="BH1" s="152"/>
      <c r="BI1" s="152"/>
      <c r="BJ1" s="152"/>
      <c r="BK1" s="152"/>
      <c r="BL1" s="152"/>
      <c r="BM1" s="152"/>
      <c r="BN1" s="152"/>
      <c r="BO1" s="152"/>
      <c r="BP1" s="152"/>
      <c r="BQ1" s="152"/>
      <c r="BR1" s="152"/>
      <c r="BS1" s="152"/>
      <c r="BT1" s="152"/>
      <c r="BU1" s="152"/>
      <c r="BV1" s="152"/>
      <c r="BW1" s="152"/>
      <c r="BX1" s="152"/>
      <c r="BY1" s="152"/>
      <c r="BZ1" s="152"/>
      <c r="CA1" s="152"/>
      <c r="CB1" s="152"/>
      <c r="CC1" s="110"/>
      <c r="CD1" s="152"/>
      <c r="CE1" s="152"/>
      <c r="CF1" s="298"/>
      <c r="CG1" s="151"/>
      <c r="CH1" s="151"/>
      <c r="CI1" s="151"/>
      <c r="CJ1" s="151"/>
      <c r="CK1" s="151"/>
      <c r="CL1" s="151"/>
      <c r="CM1" s="151"/>
      <c r="CN1" s="151"/>
      <c r="CO1" s="151"/>
      <c r="CP1" s="151"/>
      <c r="CQ1" s="298"/>
      <c r="CR1" s="298"/>
      <c r="CS1" s="298"/>
      <c r="CT1" s="432" t="s">
        <v>372</v>
      </c>
      <c r="CW1" s="301" t="s">
        <v>164</v>
      </c>
      <c r="CX1" s="305" t="e">
        <f>#REF!</f>
        <v>#REF!</v>
      </c>
      <c r="CY1" s="306" t="e">
        <f>IF(CX1=1,"Joist BL @ CL of Steel Support (if possible), minimize BL",IF(CX1=2,"Minimize Joist Base Length",IF(CX1=3,"Minimize TCX (Maximize Joist BL)",IF(CX1=4,"Joist BL @ CL of Steel Support (if possible), minimize TCX"))))</f>
        <v>#REF!</v>
      </c>
      <c r="CZ1" s="306"/>
      <c r="DA1" s="155"/>
      <c r="DB1" s="155"/>
      <c r="DC1" s="155" t="s">
        <v>549</v>
      </c>
      <c r="DD1" s="303" t="e">
        <f>#REF!</f>
        <v>#REF!</v>
      </c>
      <c r="DE1" s="155"/>
      <c r="DF1" s="155"/>
      <c r="DG1" s="899" t="s">
        <v>690</v>
      </c>
      <c r="DH1" s="312" t="s">
        <v>139</v>
      </c>
      <c r="DI1" s="313" t="s">
        <v>159</v>
      </c>
      <c r="DJ1" s="314" t="s">
        <v>256</v>
      </c>
      <c r="DK1" s="313" t="s">
        <v>161</v>
      </c>
      <c r="DL1" s="313" t="s">
        <v>162</v>
      </c>
      <c r="DM1" s="313" t="s">
        <v>163</v>
      </c>
      <c r="DN1" s="315" t="s">
        <v>350</v>
      </c>
      <c r="DO1" s="155"/>
      <c r="DP1" s="301" t="s">
        <v>696</v>
      </c>
      <c r="DQ1" s="900" t="e">
        <f>#REF!</f>
        <v>#REF!</v>
      </c>
      <c r="DR1" s="155"/>
      <c r="DS1" s="155"/>
      <c r="DT1" s="155"/>
      <c r="DX1" s="155"/>
      <c r="DY1" s="155"/>
      <c r="DZ1" s="155"/>
      <c r="EA1" s="155"/>
      <c r="EB1" s="155"/>
      <c r="EC1" s="155"/>
      <c r="ED1" s="155"/>
      <c r="EE1" s="155"/>
      <c r="EF1" s="155"/>
      <c r="EG1" s="155"/>
      <c r="EH1" s="155"/>
      <c r="EI1" s="155"/>
      <c r="EJ1" s="155"/>
      <c r="EK1" s="155"/>
      <c r="EL1" s="155"/>
      <c r="EM1" s="155"/>
      <c r="EN1" s="155"/>
      <c r="EO1" s="155"/>
      <c r="EP1" s="155"/>
      <c r="EQ1" s="155"/>
      <c r="ER1" s="155"/>
      <c r="ES1" s="155"/>
      <c r="ET1" s="155"/>
      <c r="EU1" s="155"/>
      <c r="EV1" s="155"/>
      <c r="EW1" s="155"/>
      <c r="EX1" s="162"/>
      <c r="EY1" s="162"/>
      <c r="EZ1" s="162"/>
      <c r="FA1" s="162"/>
      <c r="FB1" s="155"/>
      <c r="FC1" s="155"/>
      <c r="FD1" s="155"/>
      <c r="FE1" s="155"/>
      <c r="FF1" s="155"/>
      <c r="FG1" s="155"/>
      <c r="FH1" s="155"/>
      <c r="FI1" s="155"/>
      <c r="FJ1" s="154"/>
      <c r="FK1" s="154"/>
      <c r="FL1" s="154"/>
      <c r="FM1" s="154"/>
      <c r="FN1" s="154"/>
      <c r="FO1" s="154"/>
      <c r="FP1" s="154"/>
      <c r="FQ1" s="154"/>
      <c r="FT1" s="154"/>
      <c r="FW1" s="435" t="s">
        <v>368</v>
      </c>
      <c r="FX1" s="154"/>
      <c r="GA1" s="322"/>
      <c r="GB1" s="322"/>
      <c r="GC1" s="322"/>
      <c r="GD1" s="322"/>
      <c r="GE1" s="322"/>
      <c r="GF1" s="322"/>
      <c r="GG1" s="322"/>
      <c r="GH1" s="322"/>
      <c r="GI1" s="322"/>
      <c r="GJ1" s="322"/>
      <c r="GL1" s="154"/>
      <c r="GM1" s="154"/>
      <c r="GN1" s="154"/>
      <c r="GO1" s="154"/>
      <c r="GP1" s="154"/>
      <c r="GQ1" s="154"/>
      <c r="GR1" s="154"/>
      <c r="GS1" s="154"/>
      <c r="GT1" s="154"/>
      <c r="GU1" s="154"/>
      <c r="GV1" s="154"/>
      <c r="GW1" s="154"/>
      <c r="GX1" s="154"/>
      <c r="GY1" s="436" t="s">
        <v>371</v>
      </c>
      <c r="GZ1" s="716" t="s">
        <v>731</v>
      </c>
      <c r="HA1" s="154" t="e">
        <f>#REF!</f>
        <v>#REF!</v>
      </c>
      <c r="HB1" s="154"/>
      <c r="HC1" s="154"/>
      <c r="HD1" s="156"/>
      <c r="HE1" s="307"/>
      <c r="HF1" s="154"/>
      <c r="HG1" s="154"/>
      <c r="HH1" s="154"/>
      <c r="HI1" s="154"/>
      <c r="HJ1" s="154"/>
      <c r="HK1" s="154"/>
      <c r="HL1" s="154"/>
      <c r="HM1" s="154"/>
      <c r="HN1" s="154"/>
      <c r="HO1" s="154"/>
      <c r="HP1" s="154"/>
      <c r="HQ1" s="154"/>
      <c r="HR1" s="154"/>
      <c r="HS1" s="154"/>
      <c r="HT1" s="154"/>
      <c r="HU1" s="154"/>
      <c r="HV1" s="154"/>
      <c r="HW1" s="154"/>
      <c r="HX1" s="154"/>
      <c r="IG1" s="424" t="s">
        <v>716</v>
      </c>
    </row>
    <row r="2" spans="1:241" s="303" customFormat="1" ht="12.95" customHeight="1" thickTop="1" thickBot="1" x14ac:dyDescent="0.3">
      <c r="A2" s="308"/>
      <c r="B2" s="308"/>
      <c r="C2" s="308"/>
      <c r="D2" s="308"/>
      <c r="E2" s="308"/>
      <c r="F2" s="308"/>
      <c r="G2" s="308"/>
      <c r="H2" s="308"/>
      <c r="I2" s="298"/>
      <c r="J2" s="298"/>
      <c r="K2" s="298"/>
      <c r="L2" s="298"/>
      <c r="M2" s="298"/>
      <c r="N2" s="308"/>
      <c r="O2" s="298"/>
      <c r="P2" s="1711" t="e">
        <f>IF(AD1="","",IF(VLOOKUP(AD1,#REF!,2,FALSE),"Released for Fabrication",""))</f>
        <v>#REF!</v>
      </c>
      <c r="Q2" s="1750"/>
      <c r="R2" s="1750"/>
      <c r="S2" s="1751"/>
      <c r="T2" s="298"/>
      <c r="U2" s="298"/>
      <c r="V2" s="299"/>
      <c r="W2" s="299"/>
      <c r="X2" s="1020" t="s">
        <v>78</v>
      </c>
      <c r="Y2" s="299"/>
      <c r="Z2" s="299"/>
      <c r="AA2" s="1013" t="e">
        <f>#REF!</f>
        <v>#REF!</v>
      </c>
      <c r="AB2" s="309"/>
      <c r="AI2" s="302"/>
      <c r="BA2" s="210" t="s">
        <v>383</v>
      </c>
      <c r="BB2" s="152"/>
      <c r="BC2" s="152"/>
      <c r="BD2" s="152"/>
      <c r="BE2" s="152"/>
      <c r="BF2" s="152"/>
      <c r="BG2" s="152"/>
      <c r="BH2" s="152"/>
      <c r="BI2" s="152"/>
      <c r="BJ2" s="152"/>
      <c r="BK2" s="152"/>
      <c r="BL2" s="152"/>
      <c r="BM2" s="152"/>
      <c r="BN2" s="152"/>
      <c r="BO2" s="152"/>
      <c r="BP2" s="152"/>
      <c r="BQ2" s="152"/>
      <c r="BR2" s="152"/>
      <c r="BS2" s="152"/>
      <c r="BT2" s="152"/>
      <c r="BU2" s="152"/>
      <c r="BV2" s="152"/>
      <c r="BW2" s="152"/>
      <c r="BX2" s="152"/>
      <c r="BY2" s="152"/>
      <c r="BZ2" s="152"/>
      <c r="CA2" s="152"/>
      <c r="CB2" s="152"/>
      <c r="CC2" s="110"/>
      <c r="CD2" s="152"/>
      <c r="CE2" s="152"/>
      <c r="CF2" s="151"/>
      <c r="CG2" s="151"/>
      <c r="CH2" s="151"/>
      <c r="CI2" s="298"/>
      <c r="CJ2" s="298"/>
      <c r="CK2" s="298"/>
      <c r="CL2" s="298"/>
      <c r="CM2" s="298"/>
      <c r="CN2" s="298"/>
      <c r="CO2" s="298"/>
      <c r="CP2" s="151"/>
      <c r="CQ2" s="151"/>
      <c r="CR2" s="298"/>
      <c r="CS2" s="298"/>
      <c r="CT2" s="434" t="s">
        <v>384</v>
      </c>
      <c r="CU2" s="155"/>
      <c r="CW2" s="301" t="s">
        <v>165</v>
      </c>
      <c r="CX2" s="310" t="e">
        <f>#REF!</f>
        <v>#REF!</v>
      </c>
      <c r="CY2" s="301" t="s">
        <v>322</v>
      </c>
      <c r="CZ2" s="310" t="e">
        <f>#REF!</f>
        <v>#REF!</v>
      </c>
      <c r="DA2" s="301" t="s">
        <v>323</v>
      </c>
      <c r="DB2" s="310" t="e">
        <f>#REF!</f>
        <v>#REF!</v>
      </c>
      <c r="DC2" s="155" t="s">
        <v>220</v>
      </c>
      <c r="DD2" s="311" t="e">
        <f>#REF!</f>
        <v>#REF!</v>
      </c>
      <c r="DE2" s="155"/>
      <c r="DF2" s="318" t="s">
        <v>64</v>
      </c>
      <c r="DG2" s="1531" t="e">
        <f>#REF!/2</f>
        <v>#REF!</v>
      </c>
      <c r="DH2" s="1532" t="e">
        <f>#REF!</f>
        <v>#REF!</v>
      </c>
      <c r="DI2" s="1533" t="e">
        <f>#REF!</f>
        <v>#REF!</v>
      </c>
      <c r="DJ2" s="1533" t="e">
        <f>#REF!</f>
        <v>#REF!</v>
      </c>
      <c r="DK2" s="1533" t="e">
        <f>#REF!</f>
        <v>#REF!</v>
      </c>
      <c r="DL2" s="1534" t="e">
        <f>#REF!</f>
        <v>#REF!</v>
      </c>
      <c r="DM2" s="1535" t="e">
        <f>#REF!</f>
        <v>#REF!</v>
      </c>
      <c r="DN2" s="1536" t="e">
        <f>#REF!</f>
        <v>#REF!</v>
      </c>
      <c r="DO2" s="155"/>
      <c r="DP2" s="301" t="s">
        <v>751</v>
      </c>
      <c r="DQ2" s="900">
        <v>0.25</v>
      </c>
      <c r="DR2" s="155"/>
      <c r="DS2" s="155"/>
      <c r="DT2" s="155"/>
      <c r="DX2" s="155"/>
      <c r="DY2" s="155"/>
      <c r="DZ2" s="155"/>
      <c r="EA2" s="155"/>
      <c r="EB2" s="155"/>
      <c r="EC2" s="155"/>
      <c r="ED2" s="155"/>
      <c r="EE2" s="155"/>
      <c r="EF2" s="155"/>
      <c r="EG2" s="155"/>
      <c r="EH2" s="155"/>
      <c r="EI2" s="155"/>
      <c r="EJ2" s="155"/>
      <c r="EK2" s="155"/>
      <c r="EL2" s="155"/>
      <c r="EM2" s="155"/>
      <c r="EN2" s="155"/>
      <c r="EO2" s="155"/>
      <c r="EP2" s="155"/>
      <c r="EQ2" s="155"/>
      <c r="ER2" s="155"/>
      <c r="ES2" s="155"/>
      <c r="ET2" s="155"/>
      <c r="EU2" s="155"/>
      <c r="EV2" s="155"/>
      <c r="EW2" s="155"/>
      <c r="EX2" s="162"/>
      <c r="EY2" s="162"/>
      <c r="EZ2" s="162"/>
      <c r="FA2" s="162"/>
      <c r="FB2" s="155"/>
      <c r="FC2" s="155"/>
      <c r="FD2" s="155"/>
      <c r="FE2" s="155"/>
      <c r="FF2" s="155"/>
      <c r="FG2" s="155"/>
      <c r="FH2" s="155"/>
      <c r="FI2" s="155"/>
      <c r="FJ2" s="154"/>
      <c r="FK2" s="154"/>
      <c r="FL2" s="154"/>
      <c r="FM2" s="154"/>
      <c r="FN2" s="154"/>
      <c r="FO2" s="154"/>
      <c r="FP2" s="154"/>
      <c r="FQ2" s="154"/>
      <c r="FR2" s="154"/>
      <c r="FS2" s="154"/>
      <c r="FT2" s="154"/>
      <c r="FU2" s="154"/>
      <c r="FV2" s="154"/>
      <c r="FX2" s="154"/>
      <c r="FY2" s="154"/>
      <c r="FZ2" s="436" t="s">
        <v>369</v>
      </c>
      <c r="GA2" s="322"/>
      <c r="GB2" s="322"/>
      <c r="GC2" s="322"/>
      <c r="GD2" s="322"/>
      <c r="GE2" s="322"/>
      <c r="GF2" s="322"/>
      <c r="GG2" s="322"/>
      <c r="GH2" s="322"/>
      <c r="GI2" s="322"/>
      <c r="GJ2" s="322"/>
      <c r="GM2" s="154"/>
      <c r="GN2" s="437" t="s">
        <v>370</v>
      </c>
      <c r="GO2" s="154"/>
      <c r="GP2" s="154"/>
      <c r="GQ2" s="154"/>
      <c r="GR2" s="154"/>
      <c r="GS2" s="154"/>
      <c r="GT2" s="154"/>
      <c r="GU2" s="154"/>
      <c r="GV2" s="154"/>
      <c r="GW2" s="154"/>
      <c r="GX2" s="154"/>
      <c r="GY2" s="154"/>
      <c r="HA2" s="154"/>
      <c r="HB2" s="154"/>
      <c r="HC2" s="154"/>
      <c r="HD2" s="156"/>
      <c r="HE2" s="307"/>
      <c r="HF2" s="154"/>
      <c r="HG2" s="154"/>
      <c r="HH2" s="154"/>
      <c r="HI2" s="154"/>
      <c r="HJ2" s="154"/>
      <c r="HK2" s="154"/>
      <c r="HL2" s="154"/>
      <c r="HM2" s="154"/>
      <c r="HN2" s="154"/>
      <c r="HO2" s="154"/>
      <c r="HP2" s="154"/>
      <c r="HQ2" s="154"/>
      <c r="HR2" s="154"/>
      <c r="HS2" s="154"/>
      <c r="HT2" s="154"/>
      <c r="HU2" s="154"/>
      <c r="HV2" s="154"/>
      <c r="HW2" s="154"/>
      <c r="HX2" s="154"/>
    </row>
    <row r="3" spans="1:241" s="303" customFormat="1" ht="12.95" customHeight="1" thickBot="1" x14ac:dyDescent="0.3">
      <c r="A3" s="298"/>
      <c r="B3" s="298"/>
      <c r="C3" s="298"/>
      <c r="D3" s="298"/>
      <c r="E3" s="298"/>
      <c r="F3" s="298"/>
      <c r="G3" s="298"/>
      <c r="H3" s="298"/>
      <c r="I3" s="298"/>
      <c r="J3" s="298"/>
      <c r="K3" s="298"/>
      <c r="L3" s="298"/>
      <c r="M3" s="298"/>
      <c r="N3" s="298"/>
      <c r="O3" s="298"/>
      <c r="P3" s="1752"/>
      <c r="Q3" s="1753"/>
      <c r="R3" s="1753"/>
      <c r="S3" s="1754"/>
      <c r="T3" s="298"/>
      <c r="U3" s="298"/>
      <c r="V3" s="299"/>
      <c r="W3" s="299"/>
      <c r="X3" s="1020" t="s">
        <v>80</v>
      </c>
      <c r="Y3" s="299"/>
      <c r="Z3" s="299"/>
      <c r="AA3" s="1013" t="e">
        <f>#REF!</f>
        <v>#REF!</v>
      </c>
      <c r="AB3" s="309"/>
      <c r="AI3" s="302"/>
      <c r="BA3" s="166"/>
      <c r="BB3" s="152"/>
      <c r="BC3" s="152"/>
      <c r="BD3" s="152"/>
      <c r="BE3" s="152"/>
      <c r="BF3" s="152"/>
      <c r="BG3" s="152"/>
      <c r="BH3" s="152"/>
      <c r="BI3" s="152"/>
      <c r="BJ3" s="152"/>
      <c r="BK3" s="152"/>
      <c r="BL3" s="152"/>
      <c r="BM3" s="152"/>
      <c r="BN3" s="152"/>
      <c r="BO3" s="152"/>
      <c r="BP3" s="152"/>
      <c r="BQ3" s="152"/>
      <c r="BR3" s="152"/>
      <c r="BS3" s="152"/>
      <c r="BT3" s="152"/>
      <c r="BU3" s="152"/>
      <c r="BV3" s="152"/>
      <c r="BW3" s="152"/>
      <c r="BX3" s="152"/>
      <c r="BY3" s="152"/>
      <c r="BZ3" s="152"/>
      <c r="CA3" s="152"/>
      <c r="CB3" s="152"/>
      <c r="CC3" s="110"/>
      <c r="CD3" s="152"/>
      <c r="CE3" s="152"/>
      <c r="CF3" s="151"/>
      <c r="CG3" s="151"/>
      <c r="CH3" s="151"/>
      <c r="CI3" s="298"/>
      <c r="CJ3" s="298"/>
      <c r="CK3" s="298"/>
      <c r="CL3" s="298"/>
      <c r="CM3" s="298"/>
      <c r="CN3" s="298"/>
      <c r="CO3" s="298"/>
      <c r="CP3" s="151"/>
      <c r="CQ3" s="151"/>
      <c r="CR3" s="298"/>
      <c r="CS3" s="298"/>
      <c r="CU3" s="514"/>
      <c r="CV3" s="515"/>
      <c r="CW3" s="516"/>
      <c r="CX3" s="517"/>
      <c r="CY3" s="518"/>
      <c r="CZ3" s="517"/>
      <c r="DA3" s="517"/>
      <c r="DB3" s="517"/>
      <c r="DC3" s="519"/>
      <c r="DE3" s="155"/>
      <c r="DF3" s="448" t="s">
        <v>147</v>
      </c>
      <c r="DG3" s="1537" t="e">
        <f>#REF!/2</f>
        <v>#REF!</v>
      </c>
      <c r="DH3" s="1538" t="e">
        <f>#REF!</f>
        <v>#REF!</v>
      </c>
      <c r="DI3" s="1539" t="e">
        <f>#REF!</f>
        <v>#REF!</v>
      </c>
      <c r="DJ3" s="1539" t="e">
        <f>#REF!</f>
        <v>#REF!</v>
      </c>
      <c r="DK3" s="1539" t="e">
        <f>#REF!</f>
        <v>#REF!</v>
      </c>
      <c r="DL3" s="1540" t="e">
        <f>#REF!</f>
        <v>#REF!</v>
      </c>
      <c r="DM3" s="1541" t="e">
        <f>#REF!</f>
        <v>#REF!</v>
      </c>
      <c r="DN3" s="1542" t="e">
        <f>#REF!</f>
        <v>#REF!</v>
      </c>
      <c r="DO3" s="155"/>
      <c r="DP3" s="155"/>
      <c r="DQ3" s="155"/>
      <c r="DR3" s="155"/>
      <c r="DS3" s="155"/>
      <c r="DT3" s="155"/>
      <c r="DU3" s="155"/>
      <c r="DV3" s="155"/>
      <c r="DW3" s="155"/>
      <c r="DX3" s="155"/>
      <c r="DY3" s="155"/>
      <c r="DZ3" s="155"/>
      <c r="EA3" s="155"/>
      <c r="EB3" s="155"/>
      <c r="EC3" s="155"/>
      <c r="ED3" s="155"/>
      <c r="EE3" s="155"/>
      <c r="EF3" s="155"/>
      <c r="EG3" s="155"/>
      <c r="EH3" s="155"/>
      <c r="EI3" s="155"/>
      <c r="EJ3" s="155"/>
      <c r="EK3" s="155"/>
      <c r="EL3" s="155"/>
      <c r="EM3" s="155"/>
      <c r="EN3" s="155"/>
      <c r="EO3" s="155"/>
      <c r="EP3" s="155"/>
      <c r="EQ3" s="155"/>
      <c r="ER3" s="155"/>
      <c r="ES3" s="155"/>
      <c r="ET3" s="155"/>
      <c r="EU3" s="155"/>
      <c r="EV3" s="155"/>
      <c r="EW3" s="155"/>
      <c r="EX3" s="162"/>
      <c r="EY3" s="162"/>
      <c r="EZ3" s="162"/>
      <c r="FA3" s="162"/>
      <c r="FB3" s="155"/>
      <c r="FC3" s="155"/>
      <c r="FD3" s="155"/>
      <c r="FE3" s="155"/>
      <c r="FF3" s="155"/>
      <c r="FG3" s="155"/>
      <c r="FH3" s="155"/>
      <c r="FI3" s="155"/>
      <c r="FJ3" s="154"/>
      <c r="FK3" s="154"/>
      <c r="FL3" s="154"/>
      <c r="FM3" s="154"/>
      <c r="FN3" s="154"/>
      <c r="FO3" s="154"/>
      <c r="FP3" s="154"/>
      <c r="FQ3" s="154"/>
      <c r="FR3" s="154"/>
      <c r="FS3" s="154"/>
      <c r="FT3" s="154"/>
      <c r="FU3" s="154"/>
      <c r="FV3" s="154"/>
      <c r="FW3" s="154"/>
      <c r="FX3" s="154"/>
      <c r="FY3" s="154"/>
      <c r="FZ3" s="154"/>
      <c r="GA3" s="322"/>
      <c r="GB3" s="322"/>
      <c r="GC3" s="322"/>
      <c r="GD3" s="322"/>
      <c r="GE3" s="322"/>
      <c r="GF3" s="322"/>
      <c r="GG3" s="322"/>
      <c r="GH3" s="322"/>
      <c r="GI3" s="322"/>
      <c r="GJ3" s="322"/>
      <c r="GK3" s="154"/>
      <c r="GL3" s="154"/>
      <c r="GM3" s="154"/>
      <c r="GN3" s="154"/>
      <c r="GO3" s="154"/>
      <c r="GP3" s="154"/>
      <c r="GQ3" s="154"/>
      <c r="GR3" s="154"/>
      <c r="GS3" s="154"/>
      <c r="GT3" s="154"/>
      <c r="GU3" s="154"/>
      <c r="GV3" s="154"/>
      <c r="GW3" s="154"/>
      <c r="GX3" s="154"/>
      <c r="GY3" s="154"/>
      <c r="GZ3" s="154"/>
      <c r="HA3" s="154"/>
      <c r="HB3" s="154"/>
      <c r="HC3" s="154"/>
      <c r="HD3" s="156"/>
      <c r="HE3" s="307"/>
      <c r="HF3" s="154"/>
      <c r="HG3" s="154"/>
      <c r="HH3" s="154"/>
      <c r="HI3" s="154"/>
      <c r="HJ3" s="154"/>
      <c r="HK3" s="154"/>
      <c r="HL3" s="154"/>
      <c r="HM3" s="154"/>
      <c r="HN3" s="154"/>
      <c r="HO3" s="154"/>
      <c r="HP3" s="154"/>
      <c r="HQ3" s="154"/>
      <c r="HR3" s="154"/>
      <c r="HS3" s="154"/>
      <c r="HT3" s="154"/>
      <c r="HU3" s="154"/>
      <c r="HV3" s="154"/>
      <c r="HW3" s="154"/>
      <c r="HX3" s="154"/>
    </row>
    <row r="4" spans="1:241" s="303" customFormat="1" ht="12.95" customHeight="1" thickTop="1" thickBot="1" x14ac:dyDescent="0.3">
      <c r="A4" s="298"/>
      <c r="B4" s="298"/>
      <c r="C4" s="298"/>
      <c r="D4" s="298"/>
      <c r="E4" s="298"/>
      <c r="F4" s="298"/>
      <c r="G4" s="298"/>
      <c r="H4" s="298"/>
      <c r="I4" s="298"/>
      <c r="J4" s="298"/>
      <c r="K4" s="298"/>
      <c r="L4" s="298"/>
      <c r="M4" s="298"/>
      <c r="N4" s="298"/>
      <c r="O4" s="298"/>
      <c r="P4" s="1717" t="e">
        <f>IF(AD1="","",IF(VLOOKUP(AD1,#REF!,2,FALSE),VLOOKUP(AD1,#REF!,3,FALSE),""))</f>
        <v>#REF!</v>
      </c>
      <c r="Q4" s="1755"/>
      <c r="R4" s="1755"/>
      <c r="S4" s="1756"/>
      <c r="T4" s="298"/>
      <c r="U4" s="298"/>
      <c r="V4" s="299"/>
      <c r="W4" s="299"/>
      <c r="X4" s="1020" t="s">
        <v>79</v>
      </c>
      <c r="Y4" s="299"/>
      <c r="Z4" s="299"/>
      <c r="AA4" s="1013" t="e">
        <f>#REF!</f>
        <v>#REF!</v>
      </c>
      <c r="AB4" s="309"/>
      <c r="AI4" s="302"/>
      <c r="BA4" s="166"/>
      <c r="BB4" s="152"/>
      <c r="BC4" s="152"/>
      <c r="BD4" s="152"/>
      <c r="BE4" s="152"/>
      <c r="BF4" s="152"/>
      <c r="BG4" s="152"/>
      <c r="BH4" s="152"/>
      <c r="BI4" s="152"/>
      <c r="BJ4" s="152"/>
      <c r="BK4" s="152"/>
      <c r="BL4" s="152"/>
      <c r="BM4" s="164"/>
      <c r="BN4" s="152"/>
      <c r="BO4" s="152"/>
      <c r="BP4" s="152"/>
      <c r="BQ4" s="152"/>
      <c r="BR4" s="152"/>
      <c r="BS4" s="152"/>
      <c r="BT4" s="152"/>
      <c r="BU4" s="152"/>
      <c r="BV4" s="152"/>
      <c r="BW4" s="152"/>
      <c r="BX4" s="152"/>
      <c r="BY4" s="152"/>
      <c r="BZ4" s="152"/>
      <c r="CA4" s="152"/>
      <c r="CB4" s="152"/>
      <c r="CC4" s="110"/>
      <c r="CD4" s="316"/>
      <c r="CE4" s="317"/>
      <c r="CF4" s="151"/>
      <c r="CG4" s="151"/>
      <c r="CH4" s="151"/>
      <c r="CI4" s="298"/>
      <c r="CJ4" s="298"/>
      <c r="CK4" s="298"/>
      <c r="CL4" s="298"/>
      <c r="CM4" s="298"/>
      <c r="CN4" s="298"/>
      <c r="CO4" s="298"/>
      <c r="CP4" s="151"/>
      <c r="CQ4" s="151"/>
      <c r="CR4" s="298"/>
      <c r="CS4" s="298"/>
      <c r="CU4" s="520"/>
      <c r="CV4" s="1543"/>
      <c r="CW4" s="1544"/>
      <c r="CX4" s="1545"/>
      <c r="CY4" s="1545"/>
      <c r="CZ4" s="1545"/>
      <c r="DA4" s="1546"/>
      <c r="DB4" s="1545"/>
      <c r="DC4" s="1547"/>
      <c r="DE4" s="155"/>
      <c r="DF4" s="448" t="s">
        <v>66</v>
      </c>
      <c r="DG4" s="1537" t="e">
        <f>#REF!/2</f>
        <v>#REF!</v>
      </c>
      <c r="DH4" s="1538" t="e">
        <f>#REF!</f>
        <v>#REF!</v>
      </c>
      <c r="DI4" s="1539" t="e">
        <f>#REF!</f>
        <v>#REF!</v>
      </c>
      <c r="DJ4" s="1539" t="e">
        <f>#REF!</f>
        <v>#REF!</v>
      </c>
      <c r="DK4" s="1539" t="e">
        <f>#REF!</f>
        <v>#REF!</v>
      </c>
      <c r="DL4" s="1540" t="e">
        <f>#REF!</f>
        <v>#REF!</v>
      </c>
      <c r="DM4" s="1541" t="e">
        <f>#REF!</f>
        <v>#REF!</v>
      </c>
      <c r="DN4" s="1542" t="e">
        <f>#REF!</f>
        <v>#REF!</v>
      </c>
      <c r="DO4" s="155"/>
      <c r="DP4" s="155"/>
      <c r="DQ4" s="155"/>
      <c r="DR4" s="155"/>
      <c r="DS4" s="155"/>
      <c r="DT4" s="155"/>
      <c r="DU4" s="155"/>
      <c r="DV4" s="155"/>
      <c r="DW4" s="155"/>
      <c r="DX4" s="155"/>
      <c r="DY4" s="155"/>
      <c r="DZ4" s="155"/>
      <c r="EA4" s="155"/>
      <c r="EB4" s="155"/>
      <c r="EC4" s="155"/>
      <c r="ED4" s="155"/>
      <c r="EE4" s="155"/>
      <c r="EF4" s="155"/>
      <c r="EG4" s="155"/>
      <c r="EH4" s="155"/>
      <c r="EI4" s="155"/>
      <c r="EJ4" s="155"/>
      <c r="EK4" s="155"/>
      <c r="EL4" s="155"/>
      <c r="EM4" s="155"/>
      <c r="EN4" s="155"/>
      <c r="EO4" s="155"/>
      <c r="EP4" s="155"/>
      <c r="EQ4" s="155"/>
      <c r="ER4" s="155"/>
      <c r="ES4" s="155"/>
      <c r="ET4" s="155"/>
      <c r="EU4" s="155"/>
      <c r="EV4" s="155"/>
      <c r="EW4" s="155"/>
      <c r="EX4" s="162"/>
      <c r="EY4" s="162"/>
      <c r="EZ4" s="162"/>
      <c r="FA4" s="162"/>
      <c r="FB4" s="155"/>
      <c r="FC4" s="155"/>
      <c r="FD4" s="155"/>
      <c r="FE4" s="155"/>
      <c r="FF4" s="155"/>
      <c r="FG4" s="155"/>
      <c r="FH4" s="155"/>
      <c r="FI4" s="155"/>
      <c r="FJ4" s="154"/>
      <c r="FK4" s="154"/>
      <c r="FL4" s="154"/>
      <c r="FM4" s="154"/>
      <c r="FN4" s="154"/>
      <c r="FO4" s="154"/>
      <c r="FP4" s="154"/>
      <c r="FQ4" s="154"/>
      <c r="FR4" s="154"/>
      <c r="FS4" s="154"/>
      <c r="FT4" s="154"/>
      <c r="FU4" s="154"/>
      <c r="FV4" s="154"/>
      <c r="FW4" s="154"/>
      <c r="FX4" s="154"/>
      <c r="FY4" s="154"/>
      <c r="FZ4" s="154"/>
      <c r="GA4" s="322"/>
      <c r="GB4" s="322"/>
      <c r="GC4" s="322"/>
      <c r="GD4" s="322"/>
      <c r="GE4" s="322"/>
      <c r="GF4" s="322"/>
      <c r="GG4" s="322"/>
      <c r="GH4" s="322"/>
      <c r="GI4" s="322"/>
      <c r="GJ4" s="322"/>
      <c r="GK4" s="154"/>
      <c r="GL4" s="154"/>
      <c r="GM4" s="154"/>
      <c r="GN4" s="154"/>
      <c r="GO4" s="154"/>
      <c r="GP4" s="154"/>
      <c r="GQ4" s="154"/>
      <c r="GR4" s="154"/>
      <c r="GS4" s="154"/>
      <c r="GT4" s="154"/>
      <c r="GU4" s="154"/>
      <c r="GV4" s="154"/>
      <c r="GW4" s="154"/>
      <c r="GX4" s="154"/>
      <c r="GY4" s="154"/>
      <c r="GZ4" s="154"/>
      <c r="HA4" s="154"/>
      <c r="HB4" s="154"/>
      <c r="HC4" s="154"/>
      <c r="HD4" s="156"/>
      <c r="HE4" s="307"/>
      <c r="HF4" s="154"/>
      <c r="HG4" s="154"/>
      <c r="HH4" s="154"/>
      <c r="HI4" s="154"/>
      <c r="HJ4" s="154"/>
      <c r="HK4" s="154"/>
      <c r="HL4" s="154"/>
      <c r="HM4" s="154"/>
      <c r="HN4" s="154"/>
      <c r="HO4" s="154"/>
      <c r="HP4" s="154"/>
      <c r="HQ4" s="154"/>
      <c r="HR4" s="154"/>
      <c r="HS4" s="154"/>
      <c r="HT4" s="154"/>
      <c r="HU4" s="154"/>
      <c r="HV4" s="154"/>
      <c r="HW4" s="154"/>
      <c r="HX4" s="154"/>
    </row>
    <row r="5" spans="1:241" s="303" customFormat="1" ht="12.95" customHeight="1" thickTop="1" x14ac:dyDescent="0.25">
      <c r="A5" s="2033" t="e">
        <f>#REF!</f>
        <v>#REF!</v>
      </c>
      <c r="B5" s="2280"/>
      <c r="C5" s="2280"/>
      <c r="D5" s="2280"/>
      <c r="E5" s="2280"/>
      <c r="F5" s="2280"/>
      <c r="G5" s="2280"/>
      <c r="H5" s="2280"/>
      <c r="I5" s="2280"/>
      <c r="J5" s="2280"/>
      <c r="K5" s="2280"/>
      <c r="L5" s="2280"/>
      <c r="M5" s="2280"/>
      <c r="N5" s="298"/>
      <c r="O5" s="298"/>
      <c r="P5" s="298"/>
      <c r="Q5" s="298"/>
      <c r="R5" s="298"/>
      <c r="S5" s="298"/>
      <c r="T5" s="298"/>
      <c r="U5" s="298"/>
      <c r="V5" s="298"/>
      <c r="W5" s="298"/>
      <c r="X5" s="298"/>
      <c r="Y5" s="298"/>
      <c r="Z5" s="298"/>
      <c r="AA5" s="298"/>
      <c r="AB5" s="714"/>
      <c r="AI5" s="302"/>
      <c r="BA5" s="166"/>
      <c r="BB5" s="152"/>
      <c r="BC5" s="152"/>
      <c r="BD5" s="152"/>
      <c r="BE5" s="152"/>
      <c r="BF5" s="152"/>
      <c r="BG5" s="152"/>
      <c r="BH5" s="152"/>
      <c r="BI5" s="152"/>
      <c r="BJ5" s="152"/>
      <c r="BK5" s="152"/>
      <c r="BL5" s="152"/>
      <c r="BM5" s="165"/>
      <c r="BN5" s="152"/>
      <c r="BO5" s="152"/>
      <c r="BP5" s="152"/>
      <c r="BQ5" s="152"/>
      <c r="BR5" s="152"/>
      <c r="BS5" s="152"/>
      <c r="BT5" s="152"/>
      <c r="BU5" s="152"/>
      <c r="BV5" s="152"/>
      <c r="BW5" s="152"/>
      <c r="BX5" s="152"/>
      <c r="BY5" s="152"/>
      <c r="BZ5" s="152"/>
      <c r="CA5" s="152"/>
      <c r="CB5" s="152"/>
      <c r="CC5" s="110"/>
      <c r="CD5" s="152"/>
      <c r="CE5" s="152"/>
      <c r="CF5" s="151"/>
      <c r="CG5" s="151"/>
      <c r="CH5" s="151"/>
      <c r="CI5" s="151"/>
      <c r="CJ5" s="153"/>
      <c r="CK5" s="153"/>
      <c r="CL5" s="153"/>
      <c r="CM5" s="153"/>
      <c r="CN5" s="153"/>
      <c r="CO5" s="153"/>
      <c r="CP5" s="151"/>
      <c r="CQ5" s="151"/>
      <c r="CR5" s="298"/>
      <c r="CS5" s="298"/>
      <c r="CU5" s="521"/>
      <c r="CV5" s="1548"/>
      <c r="CW5" s="1549"/>
      <c r="CX5" s="1549"/>
      <c r="CY5" s="1549"/>
      <c r="CZ5" s="1549"/>
      <c r="DA5" s="1550"/>
      <c r="DB5" s="1549"/>
      <c r="DC5" s="1551"/>
      <c r="DE5" s="155"/>
      <c r="DF5" s="448" t="s">
        <v>697</v>
      </c>
      <c r="DG5" s="1537" t="e">
        <f>#REF!/2</f>
        <v>#REF!</v>
      </c>
      <c r="DH5" s="1539" t="e">
        <f>#REF!</f>
        <v>#REF!</v>
      </c>
      <c r="DI5" s="1539" t="e">
        <f>#REF!</f>
        <v>#REF!</v>
      </c>
      <c r="DJ5" s="1539" t="e">
        <f>#REF!</f>
        <v>#REF!</v>
      </c>
      <c r="DK5" s="1539" t="e">
        <f>#REF!</f>
        <v>#REF!</v>
      </c>
      <c r="DL5" s="1540" t="e">
        <f>#REF!</f>
        <v>#REF!</v>
      </c>
      <c r="DM5" s="1541" t="e">
        <f>#REF!</f>
        <v>#REF!</v>
      </c>
      <c r="DN5" s="1542" t="e">
        <f>#REF!</f>
        <v>#REF!</v>
      </c>
      <c r="DO5" s="155"/>
      <c r="DP5" s="155"/>
      <c r="DQ5" s="155"/>
      <c r="DR5" s="155"/>
      <c r="DS5" s="155"/>
      <c r="DT5" s="155"/>
      <c r="DU5" s="155"/>
      <c r="DV5" s="155"/>
      <c r="DW5" s="155"/>
      <c r="DX5" s="155"/>
      <c r="DY5" s="155"/>
      <c r="DZ5" s="155"/>
      <c r="EA5" s="155"/>
      <c r="EB5" s="155"/>
      <c r="EC5" s="155"/>
      <c r="ED5" s="155"/>
      <c r="EE5" s="155"/>
      <c r="EF5" s="155"/>
      <c r="EG5" s="155"/>
      <c r="EH5" s="155"/>
      <c r="EI5" s="155"/>
      <c r="EJ5" s="155"/>
      <c r="EK5" s="155"/>
      <c r="EL5" s="155"/>
      <c r="EM5" s="155"/>
      <c r="EN5" s="155"/>
      <c r="EO5" s="155"/>
      <c r="EP5" s="155"/>
      <c r="EQ5" s="155"/>
      <c r="ER5" s="155"/>
      <c r="ES5" s="155"/>
      <c r="ET5" s="155"/>
      <c r="EU5" s="155"/>
      <c r="EV5" s="155"/>
      <c r="EW5" s="155"/>
      <c r="EX5" s="162"/>
      <c r="EY5" s="162"/>
      <c r="EZ5" s="162"/>
      <c r="FA5" s="162"/>
      <c r="FB5" s="155"/>
      <c r="FC5" s="155"/>
      <c r="FD5" s="155"/>
      <c r="FE5" s="155"/>
      <c r="FF5" s="155"/>
      <c r="FG5" s="155"/>
      <c r="FH5" s="155"/>
      <c r="FI5" s="155"/>
      <c r="FJ5" s="154"/>
      <c r="FK5" s="154"/>
      <c r="FL5" s="154"/>
      <c r="FM5" s="154"/>
      <c r="FN5" s="154"/>
      <c r="FO5" s="154"/>
      <c r="FP5" s="154"/>
      <c r="FQ5" s="154"/>
      <c r="FR5" s="154"/>
      <c r="FS5" s="154"/>
      <c r="FT5" s="154"/>
      <c r="FU5" s="154"/>
      <c r="FV5" s="154"/>
      <c r="FW5" s="154"/>
      <c r="FX5" s="154"/>
      <c r="FY5" s="154"/>
      <c r="FZ5" s="154"/>
      <c r="GA5" s="322"/>
      <c r="GB5" s="322"/>
      <c r="GC5" s="322"/>
      <c r="GD5" s="322"/>
      <c r="GE5" s="322"/>
      <c r="GF5" s="322"/>
      <c r="GG5" s="322"/>
      <c r="GH5" s="322"/>
      <c r="GI5" s="322"/>
      <c r="GJ5" s="322"/>
      <c r="GK5" s="154"/>
      <c r="GL5" s="154"/>
      <c r="GM5" s="154"/>
      <c r="GN5" s="154"/>
      <c r="GO5" s="154"/>
      <c r="GP5" s="154"/>
      <c r="GQ5" s="154"/>
      <c r="GR5" s="154"/>
      <c r="GS5" s="154"/>
      <c r="GT5" s="154"/>
      <c r="GU5" s="154"/>
      <c r="GV5" s="154"/>
      <c r="GW5" s="154"/>
      <c r="GX5" s="154"/>
      <c r="GY5" s="154"/>
      <c r="GZ5" s="154"/>
      <c r="HA5" s="154"/>
      <c r="HB5" s="154"/>
      <c r="HC5" s="154"/>
      <c r="HD5" s="156"/>
      <c r="HE5" s="307"/>
      <c r="HF5" s="154"/>
      <c r="HG5" s="154"/>
      <c r="HH5" s="154"/>
      <c r="HI5" s="154"/>
      <c r="HJ5" s="154"/>
      <c r="HK5" s="154"/>
      <c r="HL5" s="154"/>
      <c r="HM5" s="154"/>
      <c r="HN5" s="154"/>
      <c r="HO5" s="154"/>
      <c r="HP5" s="154"/>
      <c r="HQ5" s="154"/>
      <c r="HR5" s="154"/>
      <c r="HS5" s="154"/>
      <c r="HT5" s="154"/>
      <c r="HU5" s="154"/>
      <c r="HV5" s="154"/>
      <c r="HW5" s="154"/>
      <c r="HX5" s="154"/>
    </row>
    <row r="6" spans="1:241" s="303" customFormat="1" ht="12.95" customHeight="1" thickBot="1" x14ac:dyDescent="0.3">
      <c r="A6" s="298"/>
      <c r="B6" s="298"/>
      <c r="C6" s="298"/>
      <c r="D6" s="298"/>
      <c r="E6" s="298"/>
      <c r="F6" s="298"/>
      <c r="G6" s="298"/>
      <c r="H6" s="298"/>
      <c r="I6" s="298"/>
      <c r="J6" s="298"/>
      <c r="K6" s="298"/>
      <c r="L6" s="298"/>
      <c r="M6" s="2044" t="str">
        <f>IF(NOT(ISERROR(FIND("galv",LOWER($M$7)))),"**USE STEEL TAGS**  **NO A490 BOLTS**","")</f>
        <v/>
      </c>
      <c r="N6" s="1885"/>
      <c r="O6" s="1885"/>
      <c r="P6" s="1885"/>
      <c r="Q6" s="1885"/>
      <c r="R6" s="1885"/>
      <c r="S6" s="1885"/>
      <c r="T6" s="1885"/>
      <c r="U6" s="1005"/>
      <c r="V6" s="298"/>
      <c r="W6" s="298"/>
      <c r="X6" s="1016" t="s">
        <v>20</v>
      </c>
      <c r="Y6" s="1702" t="e">
        <f>IF(ISBLANK(#REF!),"",#REF!)</f>
        <v>#REF!</v>
      </c>
      <c r="Z6" s="1702"/>
      <c r="AA6" s="320"/>
      <c r="AB6" s="715"/>
      <c r="AC6" s="995" t="s">
        <v>705</v>
      </c>
      <c r="AI6" s="302"/>
      <c r="AZ6" s="304"/>
      <c r="BA6" s="166"/>
      <c r="BB6" s="152"/>
      <c r="BC6" s="152"/>
      <c r="BD6" s="152"/>
      <c r="BE6" s="152"/>
      <c r="BF6" s="152"/>
      <c r="BG6" s="152"/>
      <c r="BH6" s="152"/>
      <c r="BI6" s="152"/>
      <c r="BJ6" s="152"/>
      <c r="BK6" s="152"/>
      <c r="BL6" s="152"/>
      <c r="BM6" s="152"/>
      <c r="BN6" s="152"/>
      <c r="BO6" s="152"/>
      <c r="BP6" s="152"/>
      <c r="BQ6" s="152"/>
      <c r="BR6" s="152"/>
      <c r="BS6" s="152"/>
      <c r="BT6" s="152"/>
      <c r="BU6" s="152"/>
      <c r="BV6" s="152"/>
      <c r="BW6" s="152"/>
      <c r="BX6" s="152"/>
      <c r="BY6" s="152"/>
      <c r="BZ6" s="152"/>
      <c r="CA6" s="152"/>
      <c r="CB6" s="152"/>
      <c r="CC6" s="110"/>
      <c r="CD6" s="316"/>
      <c r="CE6" s="152"/>
      <c r="CF6" s="151"/>
      <c r="CG6" s="151"/>
      <c r="CH6" s="151"/>
      <c r="CI6" s="151"/>
      <c r="CJ6" s="490"/>
      <c r="CK6" s="490"/>
      <c r="CL6" s="490"/>
      <c r="CM6" s="490"/>
      <c r="CN6" s="490"/>
      <c r="CO6" s="490"/>
      <c r="CP6" s="151"/>
      <c r="CQ6" s="151"/>
      <c r="CR6" s="298"/>
      <c r="CS6" s="151"/>
      <c r="CU6" s="522"/>
      <c r="CV6" s="1552"/>
      <c r="CW6" s="1553"/>
      <c r="CX6" s="1553"/>
      <c r="CY6" s="1553"/>
      <c r="CZ6" s="1553"/>
      <c r="DA6" s="1554"/>
      <c r="DB6" s="1553"/>
      <c r="DC6" s="1555"/>
      <c r="DD6" s="155"/>
      <c r="DE6" s="155"/>
      <c r="DF6" s="448" t="s">
        <v>65</v>
      </c>
      <c r="DG6" s="1537" t="e">
        <f>#REF!/2</f>
        <v>#REF!</v>
      </c>
      <c r="DH6" s="1539" t="e">
        <f>#REF!</f>
        <v>#REF!</v>
      </c>
      <c r="DI6" s="1539" t="e">
        <f>#REF!</f>
        <v>#REF!</v>
      </c>
      <c r="DJ6" s="1539" t="e">
        <f>#REF!</f>
        <v>#REF!</v>
      </c>
      <c r="DK6" s="1539" t="e">
        <f>#REF!</f>
        <v>#REF!</v>
      </c>
      <c r="DL6" s="1540" t="e">
        <f>#REF!</f>
        <v>#REF!</v>
      </c>
      <c r="DM6" s="1541" t="e">
        <f>#REF!</f>
        <v>#REF!</v>
      </c>
      <c r="DN6" s="1542" t="e">
        <f>#REF!</f>
        <v>#REF!</v>
      </c>
      <c r="DO6" s="155"/>
      <c r="DP6" s="155"/>
      <c r="DQ6" s="155"/>
      <c r="DR6" s="155"/>
      <c r="DS6" s="155"/>
      <c r="DT6" s="155"/>
      <c r="DU6" s="155"/>
      <c r="DV6" s="155"/>
      <c r="DW6" s="155"/>
      <c r="DX6" s="155"/>
      <c r="DY6" s="155"/>
      <c r="DZ6" s="155"/>
      <c r="EA6" s="155"/>
      <c r="EB6" s="155"/>
      <c r="EC6" s="155"/>
      <c r="ED6" s="155"/>
      <c r="EE6" s="155"/>
      <c r="EF6" s="155"/>
      <c r="EG6" s="155"/>
      <c r="EH6" s="155"/>
      <c r="EI6" s="155"/>
      <c r="EJ6" s="155"/>
      <c r="EK6" s="155"/>
      <c r="EL6" s="155"/>
      <c r="EM6" s="155"/>
      <c r="EN6" s="155"/>
      <c r="EO6" s="155"/>
      <c r="EP6" s="155"/>
      <c r="EQ6" s="155"/>
      <c r="ER6" s="155"/>
      <c r="ES6" s="155"/>
      <c r="ET6" s="155"/>
      <c r="EU6" s="155"/>
      <c r="EV6" s="155"/>
      <c r="EW6" s="155"/>
      <c r="EX6" s="162"/>
      <c r="EY6" s="162"/>
      <c r="EZ6" s="162"/>
      <c r="FA6" s="162"/>
      <c r="FB6" s="155"/>
      <c r="FC6" s="155"/>
      <c r="FD6" s="155"/>
      <c r="FE6" s="155"/>
      <c r="FF6" s="155"/>
      <c r="FG6" s="155"/>
      <c r="FH6" s="155"/>
      <c r="FI6" s="155"/>
      <c r="FJ6" s="154"/>
      <c r="FK6" s="154"/>
      <c r="FL6" s="154"/>
      <c r="FM6" s="154"/>
      <c r="FN6" s="154"/>
      <c r="FO6" s="154"/>
      <c r="FP6" s="154"/>
      <c r="FQ6" s="154"/>
      <c r="FR6" s="154"/>
      <c r="FS6" s="154"/>
      <c r="FT6" s="154"/>
      <c r="FU6" s="154"/>
      <c r="FV6" s="154"/>
      <c r="FW6" s="154"/>
      <c r="FX6" s="154"/>
      <c r="FY6" s="154"/>
      <c r="FZ6" s="154"/>
      <c r="GA6" s="322"/>
      <c r="GB6" s="322"/>
      <c r="GC6" s="322"/>
      <c r="GD6" s="322"/>
      <c r="GE6" s="322"/>
      <c r="GF6" s="322"/>
      <c r="GG6" s="322"/>
      <c r="GH6" s="322"/>
      <c r="GI6" s="322"/>
      <c r="GJ6" s="322"/>
      <c r="GK6" s="154"/>
      <c r="GL6" s="154"/>
      <c r="GM6" s="154"/>
      <c r="GN6" s="154"/>
      <c r="GO6" s="154"/>
      <c r="GP6" s="154"/>
      <c r="GQ6" s="154"/>
      <c r="GR6" s="154"/>
      <c r="GS6" s="154"/>
      <c r="GT6" s="154"/>
      <c r="GU6" s="154"/>
      <c r="GV6" s="154"/>
      <c r="GW6" s="154"/>
      <c r="GX6" s="154"/>
      <c r="GY6" s="154"/>
      <c r="GZ6" s="154"/>
    </row>
    <row r="7" spans="1:241" ht="12.95" customHeight="1" x14ac:dyDescent="0.25">
      <c r="A7" s="321" t="s">
        <v>0</v>
      </c>
      <c r="B7" s="322"/>
      <c r="C7" s="322"/>
      <c r="D7" s="322"/>
      <c r="E7" s="322"/>
      <c r="F7" s="322"/>
      <c r="G7" s="322"/>
      <c r="H7" s="322"/>
      <c r="I7" s="322"/>
      <c r="J7" s="322"/>
      <c r="K7" s="298"/>
      <c r="L7" s="1016" t="s">
        <v>26</v>
      </c>
      <c r="M7" s="2263" t="str">
        <f>IF(ISBLANK(CC15),"",CC15)</f>
        <v/>
      </c>
      <c r="N7" s="1885"/>
      <c r="O7" s="1885"/>
      <c r="P7" s="1885"/>
      <c r="Q7" s="1885"/>
      <c r="R7" s="1885"/>
      <c r="S7" s="1885"/>
      <c r="T7" s="1019"/>
      <c r="U7" s="1005"/>
      <c r="V7" s="298"/>
      <c r="W7" s="298"/>
      <c r="X7" s="1017" t="s">
        <v>21</v>
      </c>
      <c r="Y7" s="1107" t="e">
        <f>CONCATENATE(AC7, " of ",IF(ISBLANK(#REF!),"",#REF!))</f>
        <v>#REF!</v>
      </c>
      <c r="Z7" s="601"/>
      <c r="AA7" s="298"/>
      <c r="AB7" s="716"/>
      <c r="AC7" s="996"/>
      <c r="AL7" s="303"/>
      <c r="AM7" s="303"/>
      <c r="AN7" s="303"/>
      <c r="AO7" s="303"/>
      <c r="AP7" s="303"/>
      <c r="AQ7" s="303"/>
      <c r="AR7" s="303"/>
      <c r="BA7" s="166"/>
      <c r="BB7" s="152"/>
      <c r="BC7" s="152"/>
      <c r="BD7" s="152"/>
      <c r="BE7" s="152"/>
      <c r="BF7" s="152"/>
      <c r="BG7" s="152"/>
      <c r="BH7" s="152"/>
      <c r="BI7" s="152"/>
      <c r="BJ7" s="152"/>
      <c r="BK7" s="152"/>
      <c r="BL7" s="152"/>
      <c r="BM7" s="152"/>
      <c r="BN7" s="152"/>
      <c r="BO7" s="152"/>
      <c r="BP7" s="152"/>
      <c r="BQ7" s="152"/>
      <c r="BR7" s="152"/>
      <c r="BS7" s="152"/>
      <c r="BT7" s="152"/>
      <c r="BU7" s="152"/>
      <c r="BV7" s="152"/>
      <c r="BW7" s="152"/>
      <c r="BX7" s="152"/>
      <c r="BY7" s="152"/>
      <c r="BZ7" s="152"/>
      <c r="CA7" s="152"/>
      <c r="CB7" s="152"/>
      <c r="CC7" s="110"/>
      <c r="CD7" s="316"/>
      <c r="CE7" s="152"/>
      <c r="CF7" s="151"/>
      <c r="CG7" s="151"/>
      <c r="CH7" s="151"/>
      <c r="CI7" s="151"/>
      <c r="CJ7" s="151"/>
      <c r="CK7" s="151"/>
      <c r="CL7" s="151"/>
      <c r="CM7" s="151"/>
      <c r="CN7" s="151"/>
      <c r="CO7" s="151"/>
      <c r="CP7" s="151"/>
      <c r="CQ7" s="151"/>
      <c r="CR7" s="151"/>
      <c r="CS7" s="151"/>
      <c r="CT7" s="155"/>
      <c r="CU7" s="155"/>
      <c r="CV7" s="155"/>
      <c r="CW7" s="155"/>
      <c r="CX7" s="155"/>
      <c r="CY7" s="155"/>
      <c r="CZ7" s="155"/>
      <c r="DA7" s="155"/>
      <c r="DB7" s="155"/>
      <c r="DC7" s="155"/>
      <c r="DD7" s="155"/>
      <c r="DE7" s="155"/>
      <c r="DF7" s="448" t="s">
        <v>148</v>
      </c>
      <c r="DG7" s="1537" t="e">
        <f>#REF!/2</f>
        <v>#REF!</v>
      </c>
      <c r="DH7" s="1539" t="e">
        <f>#REF!</f>
        <v>#REF!</v>
      </c>
      <c r="DI7" s="1539" t="e">
        <f>#REF!</f>
        <v>#REF!</v>
      </c>
      <c r="DJ7" s="1539" t="e">
        <f>#REF!</f>
        <v>#REF!</v>
      </c>
      <c r="DK7" s="1539" t="e">
        <f>#REF!</f>
        <v>#REF!</v>
      </c>
      <c r="DL7" s="1540" t="e">
        <f>#REF!</f>
        <v>#REF!</v>
      </c>
      <c r="DM7" s="1541" t="e">
        <f>#REF!</f>
        <v>#REF!</v>
      </c>
      <c r="DN7" s="1542" t="e">
        <f>#REF!</f>
        <v>#REF!</v>
      </c>
      <c r="DO7" s="155"/>
      <c r="DP7" s="155"/>
      <c r="DQ7" s="155"/>
      <c r="DR7" s="155"/>
      <c r="DS7" s="155"/>
      <c r="DT7" s="155"/>
      <c r="DU7" s="155"/>
      <c r="DV7" s="155"/>
      <c r="DW7" s="155"/>
      <c r="DX7" s="155"/>
      <c r="DY7" s="155"/>
      <c r="DZ7" s="155"/>
      <c r="EA7" s="155"/>
      <c r="EB7" s="155"/>
      <c r="EC7" s="155"/>
      <c r="ED7" s="155"/>
      <c r="EE7" s="155"/>
      <c r="EF7" s="155"/>
      <c r="EG7" s="155"/>
      <c r="EH7" s="155"/>
      <c r="EI7" s="155"/>
      <c r="EJ7" s="155"/>
      <c r="EK7" s="155"/>
      <c r="EL7" s="155"/>
      <c r="EM7" s="155"/>
      <c r="EN7" s="155"/>
      <c r="EO7" s="155"/>
      <c r="EP7" s="155"/>
      <c r="EQ7" s="155"/>
      <c r="ER7" s="155"/>
      <c r="ES7" s="155"/>
      <c r="ET7" s="155"/>
      <c r="EU7" s="155"/>
      <c r="EV7" s="155"/>
      <c r="EW7" s="155"/>
      <c r="EX7" s="162"/>
      <c r="EY7" s="162"/>
      <c r="EZ7" s="162"/>
      <c r="FA7" s="162"/>
      <c r="FB7" s="155"/>
      <c r="FC7" s="155"/>
      <c r="FD7" s="155"/>
      <c r="FE7" s="155"/>
      <c r="FF7" s="155"/>
      <c r="FG7" s="155"/>
      <c r="FH7" s="155"/>
      <c r="FI7" s="155"/>
      <c r="GA7" s="322"/>
      <c r="GB7" s="322"/>
      <c r="GC7" s="322"/>
      <c r="GD7" s="322"/>
      <c r="GE7" s="322"/>
      <c r="GF7" s="322"/>
      <c r="GG7" s="322"/>
      <c r="GH7" s="322"/>
      <c r="GI7" s="322"/>
      <c r="GJ7" s="322"/>
    </row>
    <row r="8" spans="1:241" ht="7.35" customHeight="1" x14ac:dyDescent="0.25">
      <c r="A8" s="322"/>
      <c r="B8" s="322"/>
      <c r="C8" s="322"/>
      <c r="D8" s="322"/>
      <c r="E8" s="322"/>
      <c r="F8" s="322"/>
      <c r="G8" s="322"/>
      <c r="H8" s="322"/>
      <c r="I8" s="322"/>
      <c r="J8" s="322"/>
      <c r="K8" s="322"/>
      <c r="L8" s="322"/>
      <c r="M8" s="322"/>
      <c r="N8" s="322"/>
      <c r="O8" s="298"/>
      <c r="P8" s="298"/>
      <c r="Q8" s="322"/>
      <c r="R8" s="298"/>
      <c r="S8" s="298"/>
      <c r="T8" s="322"/>
      <c r="U8" s="298"/>
      <c r="V8" s="298"/>
      <c r="W8" s="298"/>
      <c r="X8" s="298"/>
      <c r="Y8" s="298"/>
      <c r="Z8" s="298"/>
      <c r="AA8" s="298"/>
      <c r="AB8" s="716"/>
      <c r="AL8" s="303"/>
      <c r="AM8" s="303"/>
      <c r="AN8" s="303"/>
      <c r="AO8" s="303"/>
      <c r="AP8" s="303"/>
      <c r="AQ8" s="303"/>
      <c r="AR8" s="303"/>
      <c r="BA8" s="166"/>
      <c r="BB8" s="152"/>
      <c r="BC8" s="152"/>
      <c r="BD8" s="152"/>
      <c r="BE8" s="152"/>
      <c r="BF8" s="152"/>
      <c r="BG8" s="152"/>
      <c r="BH8" s="152"/>
      <c r="BI8" s="152"/>
      <c r="BJ8" s="152"/>
      <c r="BK8" s="152"/>
      <c r="BL8" s="152"/>
      <c r="BM8" s="152"/>
      <c r="BN8" s="152"/>
      <c r="BO8" s="152"/>
      <c r="BP8" s="152"/>
      <c r="BQ8" s="152"/>
      <c r="BR8" s="152"/>
      <c r="BS8" s="152"/>
      <c r="BT8" s="152"/>
      <c r="BU8" s="152"/>
      <c r="BV8" s="152"/>
      <c r="BW8" s="152"/>
      <c r="BX8" s="152"/>
      <c r="BY8" s="152"/>
      <c r="BZ8" s="152"/>
      <c r="CA8" s="152"/>
      <c r="CB8" s="152"/>
      <c r="CC8" s="152"/>
      <c r="CD8" s="152"/>
      <c r="CE8" s="152"/>
      <c r="CF8" s="151"/>
      <c r="CG8" s="151"/>
      <c r="CH8" s="151"/>
      <c r="CI8" s="151"/>
      <c r="CJ8" s="151"/>
      <c r="CK8" s="151"/>
      <c r="CL8" s="151"/>
      <c r="CM8" s="151"/>
      <c r="CN8" s="151"/>
      <c r="CO8" s="151"/>
      <c r="CP8" s="151"/>
      <c r="CQ8" s="151"/>
      <c r="CR8" s="151"/>
      <c r="CS8" s="151"/>
      <c r="CT8" s="155"/>
      <c r="CU8" s="155"/>
      <c r="CV8" s="155"/>
      <c r="CW8" s="155"/>
      <c r="CX8" s="155"/>
      <c r="CY8" s="155"/>
      <c r="CZ8" s="155"/>
      <c r="DA8" s="155"/>
      <c r="DB8" s="155"/>
      <c r="DC8" s="155"/>
      <c r="DD8" s="155"/>
      <c r="DE8" s="155"/>
      <c r="DF8" s="448" t="s">
        <v>149</v>
      </c>
      <c r="DG8" s="1537" t="e">
        <f>#REF!/2</f>
        <v>#REF!</v>
      </c>
      <c r="DH8" s="1539" t="e">
        <f>#REF!</f>
        <v>#REF!</v>
      </c>
      <c r="DI8" s="1539" t="e">
        <f>#REF!</f>
        <v>#REF!</v>
      </c>
      <c r="DJ8" s="1539" t="e">
        <f>#REF!</f>
        <v>#REF!</v>
      </c>
      <c r="DK8" s="1539" t="e">
        <f>#REF!</f>
        <v>#REF!</v>
      </c>
      <c r="DL8" s="1540" t="e">
        <f>#REF!</f>
        <v>#REF!</v>
      </c>
      <c r="DM8" s="1541" t="e">
        <f>#REF!</f>
        <v>#REF!</v>
      </c>
      <c r="DN8" s="1542" t="e">
        <f>#REF!</f>
        <v>#REF!</v>
      </c>
      <c r="DO8" s="155"/>
      <c r="DP8" s="155"/>
      <c r="DQ8" s="155"/>
      <c r="DR8" s="155"/>
      <c r="DS8" s="155"/>
      <c r="DT8" s="155"/>
      <c r="DU8" s="155"/>
      <c r="DV8" s="155"/>
      <c r="DW8" s="155"/>
      <c r="DX8" s="155"/>
      <c r="DY8" s="155"/>
      <c r="DZ8" s="155"/>
      <c r="EA8" s="155"/>
      <c r="EB8" s="155"/>
      <c r="EC8" s="155"/>
      <c r="ED8" s="155"/>
      <c r="EE8" s="155"/>
      <c r="EF8" s="155"/>
      <c r="EG8" s="155"/>
      <c r="EH8" s="155"/>
      <c r="EI8" s="155"/>
      <c r="EJ8" s="155"/>
      <c r="EK8" s="155"/>
      <c r="EL8" s="155"/>
      <c r="EM8" s="155"/>
      <c r="EN8" s="155"/>
      <c r="EO8" s="155"/>
      <c r="EP8" s="155"/>
      <c r="EQ8" s="155"/>
      <c r="ER8" s="155"/>
      <c r="ES8" s="155"/>
      <c r="ET8" s="155"/>
      <c r="EU8" s="155"/>
      <c r="EV8" s="155"/>
      <c r="EW8" s="155"/>
      <c r="EX8" s="162"/>
      <c r="EY8" s="162"/>
      <c r="EZ8" s="162"/>
      <c r="FA8" s="162"/>
      <c r="FB8" s="155"/>
      <c r="FC8" s="155"/>
      <c r="FD8" s="155"/>
      <c r="FE8" s="155"/>
      <c r="FF8" s="155"/>
      <c r="FG8" s="155"/>
      <c r="FH8" s="155"/>
      <c r="FI8" s="155"/>
      <c r="GA8" s="322"/>
      <c r="GB8" s="322"/>
      <c r="GC8" s="322"/>
      <c r="GD8" s="322"/>
      <c r="GE8" s="322"/>
      <c r="GF8" s="322"/>
      <c r="GG8" s="322"/>
      <c r="GH8" s="322"/>
      <c r="GI8" s="322"/>
      <c r="GJ8" s="322"/>
    </row>
    <row r="9" spans="1:241" ht="12.2" customHeight="1" thickBot="1" x14ac:dyDescent="0.3">
      <c r="A9" s="325"/>
      <c r="B9" s="1012" t="s">
        <v>1</v>
      </c>
      <c r="C9" s="1699" t="e">
        <f>IF(ISBLANK(#REF!),"",#REF!)</f>
        <v>#REF!</v>
      </c>
      <c r="D9" s="1699"/>
      <c r="E9" s="1699"/>
      <c r="F9" s="1699"/>
      <c r="G9" s="1699"/>
      <c r="H9" s="1699"/>
      <c r="I9" s="1699"/>
      <c r="J9" s="1699"/>
      <c r="K9" s="1699"/>
      <c r="L9" s="1699"/>
      <c r="M9" s="1699"/>
      <c r="N9" s="1699"/>
      <c r="O9" s="1700"/>
      <c r="P9" s="326"/>
      <c r="Q9" s="327"/>
      <c r="R9" s="1012" t="s">
        <v>2</v>
      </c>
      <c r="S9" s="1700" t="e">
        <f>IF(ISBLANK(#REF!),"",#REF!)</f>
        <v>#REF!</v>
      </c>
      <c r="T9" s="2034"/>
      <c r="U9" s="2034"/>
      <c r="V9" s="2034"/>
      <c r="W9" s="2034"/>
      <c r="X9" s="2034"/>
      <c r="Y9" s="2034"/>
      <c r="Z9" s="2034"/>
      <c r="AA9" s="2034"/>
      <c r="AB9" s="1290"/>
      <c r="AL9" s="303"/>
      <c r="AM9" s="303"/>
      <c r="AN9" s="303"/>
      <c r="AO9" s="303"/>
      <c r="AP9" s="303"/>
      <c r="AQ9" s="303"/>
      <c r="AR9" s="303"/>
      <c r="BA9" s="166"/>
      <c r="BB9" s="329"/>
      <c r="BC9" s="152"/>
      <c r="BD9" s="152"/>
      <c r="BE9" s="152"/>
      <c r="BF9" s="152"/>
      <c r="BG9" s="152"/>
      <c r="BH9" s="152"/>
      <c r="BI9" s="152"/>
      <c r="BJ9" s="152"/>
      <c r="BK9" s="152"/>
      <c r="BL9" s="152"/>
      <c r="BM9" s="152"/>
      <c r="BN9" s="152"/>
      <c r="BO9" s="152"/>
      <c r="BP9" s="152"/>
      <c r="BQ9" s="152"/>
      <c r="BR9" s="152"/>
      <c r="BS9" s="152"/>
      <c r="BT9" s="152"/>
      <c r="BU9" s="152"/>
      <c r="BV9" s="152"/>
      <c r="BW9" s="152"/>
      <c r="BX9" s="152"/>
      <c r="BY9" s="152"/>
      <c r="BZ9" s="152"/>
      <c r="CA9" s="152"/>
      <c r="CB9" s="152"/>
      <c r="CC9" s="152"/>
      <c r="CD9" s="152"/>
      <c r="CE9" s="152"/>
      <c r="CF9" s="151"/>
      <c r="CG9" s="151"/>
      <c r="CH9" s="151"/>
      <c r="CI9" s="151"/>
      <c r="CJ9" s="151"/>
      <c r="CK9" s="151"/>
      <c r="CL9" s="151"/>
      <c r="CM9" s="151"/>
      <c r="CN9" s="151"/>
      <c r="CO9" s="151"/>
      <c r="CP9" s="151"/>
      <c r="CQ9" s="151"/>
      <c r="CR9" s="151"/>
      <c r="CS9" s="151"/>
      <c r="CT9" s="155"/>
      <c r="CU9" s="155"/>
      <c r="CV9" s="155"/>
      <c r="CW9" s="155"/>
      <c r="CX9" s="155"/>
      <c r="CY9" s="155"/>
      <c r="CZ9" s="155"/>
      <c r="DA9" s="155"/>
      <c r="DB9" s="155"/>
      <c r="DC9" s="155"/>
      <c r="DD9" s="155"/>
      <c r="DE9" s="155"/>
      <c r="DF9" s="449" t="s">
        <v>88</v>
      </c>
      <c r="DG9" s="1556" t="e">
        <f>#REF!/2</f>
        <v>#REF!</v>
      </c>
      <c r="DH9" s="1557" t="e">
        <f>#REF!</f>
        <v>#REF!</v>
      </c>
      <c r="DI9" s="1557" t="e">
        <f>#REF!</f>
        <v>#REF!</v>
      </c>
      <c r="DJ9" s="1557" t="e">
        <f>#REF!</f>
        <v>#REF!</v>
      </c>
      <c r="DK9" s="1557" t="e">
        <f>#REF!</f>
        <v>#REF!</v>
      </c>
      <c r="DL9" s="1558" t="e">
        <f>#REF!</f>
        <v>#REF!</v>
      </c>
      <c r="DM9" s="1559" t="e">
        <f>#REF!</f>
        <v>#REF!</v>
      </c>
      <c r="DN9" s="1560" t="e">
        <f>#REF!</f>
        <v>#REF!</v>
      </c>
      <c r="DO9" s="155"/>
      <c r="DP9" s="155"/>
      <c r="DQ9" s="155"/>
      <c r="DR9" s="155"/>
      <c r="DS9" s="155"/>
      <c r="DT9" s="155"/>
      <c r="DU9" s="155"/>
      <c r="DV9" s="155"/>
      <c r="DW9" s="155"/>
      <c r="DX9" s="155"/>
      <c r="DY9" s="155"/>
      <c r="DZ9" s="155"/>
      <c r="EA9" s="155"/>
      <c r="EB9" s="155"/>
      <c r="EC9" s="155"/>
      <c r="ED9" s="155"/>
      <c r="EE9" s="155"/>
      <c r="EF9" s="155"/>
      <c r="EG9" s="155"/>
      <c r="EH9" s="155"/>
      <c r="EI9" s="155"/>
      <c r="EJ9" s="155"/>
      <c r="EK9" s="155"/>
      <c r="EL9" s="155"/>
      <c r="EM9" s="155"/>
      <c r="EN9" s="155"/>
      <c r="EO9" s="155"/>
      <c r="EP9" s="155"/>
      <c r="EQ9" s="155"/>
      <c r="ER9" s="155"/>
      <c r="ES9" s="155"/>
      <c r="ET9" s="155"/>
      <c r="EU9" s="155"/>
      <c r="EV9" s="155"/>
      <c r="EW9" s="155"/>
      <c r="EX9" s="162"/>
      <c r="EY9" s="162"/>
      <c r="EZ9" s="162"/>
      <c r="FA9" s="162"/>
      <c r="FB9" s="155"/>
      <c r="FC9" s="155"/>
      <c r="FD9" s="155"/>
      <c r="FE9" s="155"/>
      <c r="FF9" s="155"/>
      <c r="FG9" s="155"/>
      <c r="FH9" s="155"/>
      <c r="FI9" s="155"/>
      <c r="GA9" s="322"/>
      <c r="GB9" s="322"/>
      <c r="GC9" s="322"/>
      <c r="GD9" s="322"/>
      <c r="GE9" s="322"/>
      <c r="GF9" s="322"/>
      <c r="GG9" s="322"/>
      <c r="GH9" s="322"/>
      <c r="GI9" s="322"/>
      <c r="GJ9" s="322"/>
    </row>
    <row r="10" spans="1:241" ht="12.2" customHeight="1" x14ac:dyDescent="0.2">
      <c r="A10" s="330"/>
      <c r="B10" s="392" t="s">
        <v>3</v>
      </c>
      <c r="C10" s="1699" t="e">
        <f>IF(ISBLANK(#REF!),"",#REF!)</f>
        <v>#REF!</v>
      </c>
      <c r="D10" s="1699"/>
      <c r="E10" s="1699"/>
      <c r="F10" s="1699"/>
      <c r="G10" s="1699"/>
      <c r="H10" s="1699"/>
      <c r="I10" s="1699"/>
      <c r="J10" s="1699"/>
      <c r="K10" s="1699"/>
      <c r="L10" s="1699"/>
      <c r="M10" s="1699"/>
      <c r="N10" s="1699"/>
      <c r="O10" s="1700"/>
      <c r="P10" s="331"/>
      <c r="Q10" s="332"/>
      <c r="R10" s="392" t="s">
        <v>22</v>
      </c>
      <c r="S10" s="1699" t="e">
        <f>IF(ISBLANK(#REF!),"",#REF!)</f>
        <v>#REF!</v>
      </c>
      <c r="T10" s="1699"/>
      <c r="U10" s="1699"/>
      <c r="V10" s="1699"/>
      <c r="W10" s="1700"/>
      <c r="X10" s="332"/>
      <c r="Y10" s="392" t="s">
        <v>23</v>
      </c>
      <c r="Z10" s="1700" t="e">
        <f>IF(ISBLANK(#REF!),"",#REF!)</f>
        <v>#REF!</v>
      </c>
      <c r="AA10" s="2034"/>
      <c r="AB10" s="1290"/>
      <c r="AL10" s="303"/>
      <c r="AM10" s="303"/>
      <c r="AN10" s="303"/>
      <c r="AO10" s="303"/>
      <c r="AP10" s="303"/>
      <c r="AQ10" s="303"/>
      <c r="AR10" s="303"/>
      <c r="BA10" s="166"/>
      <c r="BB10" s="152"/>
      <c r="BC10" s="152"/>
      <c r="BD10" s="152"/>
      <c r="BE10" s="152"/>
      <c r="BF10" s="152"/>
      <c r="BG10" s="152"/>
      <c r="BH10" s="152"/>
      <c r="BI10" s="152"/>
      <c r="BJ10" s="152"/>
      <c r="BK10" s="152"/>
      <c r="BL10" s="152"/>
      <c r="BM10" s="152"/>
      <c r="BN10" s="152"/>
      <c r="BO10" s="152"/>
      <c r="BP10" s="152"/>
      <c r="BQ10" s="152"/>
      <c r="BR10" s="152"/>
      <c r="BS10" s="152"/>
      <c r="BT10" s="152"/>
      <c r="BU10" s="152"/>
      <c r="BV10" s="152"/>
      <c r="BW10" s="152"/>
      <c r="BX10" s="152"/>
      <c r="BY10" s="152"/>
      <c r="BZ10" s="152"/>
      <c r="CA10" s="152"/>
      <c r="CB10" s="152"/>
      <c r="CC10" s="152"/>
      <c r="CD10" s="152"/>
      <c r="CE10" s="152"/>
      <c r="CF10" s="151"/>
      <c r="CG10" s="151"/>
      <c r="CH10" s="151"/>
      <c r="CI10" s="151"/>
      <c r="CJ10" s="151"/>
      <c r="CK10" s="151"/>
      <c r="CL10" s="151"/>
      <c r="CM10" s="151"/>
      <c r="CN10" s="151"/>
      <c r="CO10" s="151"/>
      <c r="CP10" s="151"/>
      <c r="CQ10" s="151"/>
      <c r="CR10" s="151"/>
      <c r="CS10" s="151"/>
      <c r="CT10" s="155"/>
      <c r="CU10" s="155"/>
      <c r="CV10" s="155"/>
      <c r="CW10" s="155"/>
      <c r="CX10" s="155"/>
      <c r="CY10" s="155"/>
      <c r="CZ10" s="155"/>
      <c r="DU10" s="333"/>
      <c r="DV10" s="333"/>
      <c r="DW10" s="333"/>
      <c r="DX10" s="333"/>
      <c r="DY10" s="333"/>
      <c r="DZ10" s="333"/>
      <c r="EA10" s="333"/>
      <c r="EB10" s="333"/>
      <c r="EC10" s="333"/>
      <c r="ED10" s="333"/>
      <c r="EE10" s="334"/>
      <c r="EF10" s="334"/>
      <c r="EG10" s="334"/>
      <c r="EH10" s="334"/>
      <c r="EI10" s="334"/>
      <c r="EJ10" s="334"/>
      <c r="EK10" s="334"/>
      <c r="EL10" s="334"/>
      <c r="EM10" s="334"/>
      <c r="EN10" s="334"/>
      <c r="EO10" s="334"/>
      <c r="EP10" s="334"/>
      <c r="EQ10" s="166"/>
      <c r="ER10" s="155"/>
      <c r="ES10" s="155"/>
      <c r="ET10" s="155"/>
      <c r="EU10" s="155"/>
      <c r="EV10" s="155"/>
      <c r="EW10" s="155"/>
      <c r="EX10" s="162"/>
      <c r="EY10" s="162"/>
      <c r="EZ10" s="162"/>
      <c r="FA10" s="162"/>
      <c r="FB10" s="155"/>
      <c r="FC10" s="155"/>
      <c r="FD10" s="155"/>
      <c r="FE10" s="155"/>
      <c r="FF10" s="155"/>
      <c r="FG10" s="155"/>
      <c r="FH10" s="155"/>
      <c r="FI10" s="155"/>
      <c r="GA10" s="322"/>
      <c r="GB10" s="322"/>
      <c r="GC10" s="322"/>
      <c r="GD10" s="322"/>
      <c r="GE10" s="322"/>
      <c r="GF10" s="322"/>
      <c r="GG10" s="322"/>
      <c r="GH10" s="322"/>
      <c r="GI10" s="322"/>
      <c r="GJ10" s="322"/>
    </row>
    <row r="11" spans="1:241" ht="7.35" customHeight="1" x14ac:dyDescent="0.2">
      <c r="A11" s="322"/>
      <c r="B11" s="322"/>
      <c r="C11" s="322"/>
      <c r="D11" s="322"/>
      <c r="E11" s="322"/>
      <c r="F11" s="322"/>
      <c r="G11" s="322"/>
      <c r="H11" s="322"/>
      <c r="I11" s="322"/>
      <c r="J11" s="322"/>
      <c r="K11" s="322"/>
      <c r="L11" s="322"/>
      <c r="M11" s="322"/>
      <c r="N11" s="322"/>
      <c r="O11" s="322"/>
      <c r="P11" s="322"/>
      <c r="Q11" s="322"/>
      <c r="R11" s="322"/>
      <c r="S11" s="322"/>
      <c r="T11" s="322"/>
      <c r="U11" s="322"/>
      <c r="V11" s="322"/>
      <c r="W11" s="322"/>
      <c r="X11" s="322"/>
      <c r="Y11" s="322"/>
      <c r="Z11" s="322"/>
      <c r="AA11" s="322"/>
      <c r="BA11" s="166"/>
      <c r="BB11" s="152"/>
      <c r="BC11" s="152"/>
      <c r="BD11" s="152"/>
      <c r="BE11" s="152"/>
      <c r="BF11" s="152"/>
      <c r="BG11" s="152"/>
      <c r="BH11" s="152"/>
      <c r="BI11" s="152"/>
      <c r="BJ11" s="152"/>
      <c r="BK11" s="152"/>
      <c r="BL11" s="152"/>
      <c r="BM11" s="152"/>
      <c r="BN11" s="152"/>
      <c r="BO11" s="152"/>
      <c r="BP11" s="152"/>
      <c r="BQ11" s="152"/>
      <c r="BR11" s="152"/>
      <c r="BS11" s="152"/>
      <c r="BT11" s="152"/>
      <c r="BU11" s="152"/>
      <c r="BV11" s="152"/>
      <c r="BW11" s="152"/>
      <c r="BX11" s="152"/>
      <c r="BY11" s="152"/>
      <c r="BZ11" s="152"/>
      <c r="CA11" s="152"/>
      <c r="CB11" s="152"/>
      <c r="CC11" s="152"/>
      <c r="CD11" s="152"/>
      <c r="CE11" s="152"/>
      <c r="CF11" s="151"/>
      <c r="CG11" s="151"/>
      <c r="CH11" s="151"/>
      <c r="CI11" s="151"/>
      <c r="CJ11" s="151"/>
      <c r="CK11" s="151"/>
      <c r="CL11" s="151"/>
      <c r="CM11" s="151"/>
      <c r="CN11" s="151"/>
      <c r="CO11" s="151"/>
      <c r="CP11" s="151"/>
      <c r="CQ11" s="151"/>
      <c r="CR11" s="151"/>
      <c r="CS11" s="151"/>
      <c r="CT11" s="155"/>
      <c r="CU11" s="155"/>
      <c r="CV11" s="155"/>
      <c r="CW11" s="155"/>
      <c r="CX11" s="155"/>
      <c r="CY11" s="155"/>
      <c r="CZ11" s="155"/>
      <c r="DU11" s="333"/>
      <c r="DV11" s="333"/>
      <c r="DW11" s="333"/>
      <c r="DX11" s="333"/>
      <c r="DY11" s="333"/>
      <c r="DZ11" s="333"/>
      <c r="EA11" s="333"/>
      <c r="EB11" s="333"/>
      <c r="EC11" s="333"/>
      <c r="ED11" s="333"/>
      <c r="EE11" s="334"/>
      <c r="EF11" s="334"/>
      <c r="EG11" s="334"/>
      <c r="EH11" s="334"/>
      <c r="EI11" s="334"/>
      <c r="EJ11" s="334"/>
      <c r="EK11" s="334"/>
      <c r="EL11" s="334"/>
      <c r="EM11" s="334"/>
      <c r="EN11" s="334"/>
      <c r="EO11" s="334"/>
      <c r="EP11" s="334"/>
      <c r="EQ11" s="166"/>
      <c r="ER11" s="155"/>
      <c r="ES11" s="155"/>
      <c r="ET11" s="155"/>
      <c r="EU11" s="155"/>
      <c r="EV11" s="155"/>
      <c r="EW11" s="155"/>
      <c r="EX11" s="162"/>
      <c r="EY11" s="162"/>
      <c r="EZ11" s="162"/>
      <c r="FA11" s="162"/>
      <c r="FB11" s="155"/>
      <c r="FC11" s="155"/>
      <c r="FD11" s="155"/>
      <c r="FE11" s="155"/>
      <c r="FF11" s="155"/>
      <c r="FG11" s="155"/>
      <c r="FH11" s="155"/>
      <c r="FI11" s="155"/>
      <c r="GA11" s="322"/>
      <c r="GB11" s="322"/>
      <c r="GC11" s="322"/>
      <c r="GD11" s="322"/>
      <c r="GE11" s="322"/>
      <c r="GF11" s="322"/>
      <c r="GG11" s="322"/>
      <c r="GH11" s="322"/>
      <c r="GI11" s="322"/>
      <c r="GJ11" s="322"/>
    </row>
    <row r="12" spans="1:241" ht="12.6" customHeight="1" x14ac:dyDescent="0.2">
      <c r="A12" s="322"/>
      <c r="B12" s="322"/>
      <c r="C12" s="322"/>
      <c r="D12" s="322"/>
      <c r="E12" s="322"/>
      <c r="F12" s="322"/>
      <c r="G12" s="322"/>
      <c r="H12" s="322"/>
      <c r="I12" s="322"/>
      <c r="J12" s="322"/>
      <c r="K12" s="322"/>
      <c r="L12" s="322"/>
      <c r="M12" s="322"/>
      <c r="N12" s="322"/>
      <c r="O12" s="322"/>
      <c r="P12" s="322"/>
      <c r="Q12" s="322"/>
      <c r="R12" s="322"/>
      <c r="S12" s="322"/>
      <c r="T12" s="322"/>
      <c r="U12" s="322"/>
      <c r="V12" s="322"/>
      <c r="W12" s="322"/>
      <c r="X12" s="322"/>
      <c r="Y12" s="322"/>
      <c r="Z12" s="319" t="s">
        <v>4</v>
      </c>
      <c r="AA12" s="1656" t="str">
        <f>IF(ISBLANK(CC16),"",CC16)</f>
        <v/>
      </c>
      <c r="AB12" s="713" t="str">
        <f>AA12</f>
        <v/>
      </c>
      <c r="AP12" s="935"/>
      <c r="BA12" s="166"/>
      <c r="BB12" s="336"/>
      <c r="BC12" s="152"/>
      <c r="BD12" s="152"/>
      <c r="BE12" s="152"/>
      <c r="BF12" s="152"/>
      <c r="BG12" s="152"/>
      <c r="BH12" s="152"/>
      <c r="BI12" s="152"/>
      <c r="BJ12" s="152"/>
      <c r="BK12" s="152"/>
      <c r="BL12" s="152"/>
      <c r="BM12" s="152"/>
      <c r="BN12" s="110"/>
      <c r="BO12" s="337"/>
      <c r="BP12" s="337"/>
      <c r="BQ12" s="337"/>
      <c r="BR12" s="337"/>
      <c r="BS12" s="337"/>
      <c r="BT12" s="337"/>
      <c r="BU12" s="337"/>
      <c r="BV12" s="337"/>
      <c r="BW12" s="337"/>
      <c r="BX12" s="337"/>
      <c r="BY12" s="337"/>
      <c r="BZ12" s="337"/>
      <c r="CA12" s="337"/>
      <c r="CB12" s="337"/>
      <c r="CC12" s="337"/>
      <c r="CD12" s="337"/>
      <c r="CE12" s="337"/>
      <c r="CF12" s="151"/>
      <c r="CG12" s="151"/>
      <c r="CH12" s="151"/>
      <c r="CI12" s="151"/>
      <c r="CJ12" s="151"/>
      <c r="CK12" s="151"/>
      <c r="CL12" s="151"/>
      <c r="CM12" s="151"/>
      <c r="CN12" s="151"/>
      <c r="CO12" s="151"/>
      <c r="CP12" s="151"/>
      <c r="CQ12" s="151"/>
      <c r="CR12" s="151"/>
      <c r="CS12" s="151"/>
      <c r="CT12" s="155"/>
      <c r="CU12" s="155"/>
      <c r="CV12" s="155"/>
      <c r="CW12" s="155"/>
      <c r="CX12" s="155"/>
      <c r="CY12" s="155"/>
      <c r="CZ12" s="155"/>
      <c r="DA12" s="338"/>
      <c r="DB12" s="339"/>
      <c r="DC12" s="339"/>
      <c r="DD12" s="339"/>
      <c r="DE12" s="339"/>
      <c r="DR12" s="161"/>
      <c r="DS12" s="161"/>
      <c r="DT12" s="161"/>
      <c r="DU12" s="161"/>
      <c r="DV12" s="161"/>
      <c r="DW12" s="161"/>
      <c r="DX12" s="161"/>
      <c r="DY12" s="161"/>
      <c r="DZ12" s="161"/>
      <c r="EA12" s="161"/>
      <c r="EB12" s="161"/>
      <c r="EC12" s="161"/>
      <c r="ED12" s="161"/>
      <c r="EE12" s="334"/>
      <c r="EF12" s="334"/>
      <c r="EG12" s="334"/>
      <c r="EH12" s="334"/>
      <c r="EI12" s="334"/>
      <c r="EJ12" s="334"/>
      <c r="EK12" s="334"/>
      <c r="EL12" s="334"/>
      <c r="EM12" s="334"/>
      <c r="EN12" s="334"/>
      <c r="EO12" s="334"/>
      <c r="EP12" s="334"/>
      <c r="EQ12" s="166"/>
      <c r="ER12" s="166"/>
      <c r="ES12" s="166"/>
      <c r="ET12" s="166"/>
      <c r="EU12" s="166"/>
      <c r="EV12" s="166"/>
      <c r="EW12" s="166"/>
      <c r="EX12" s="339"/>
      <c r="EY12" s="162"/>
      <c r="EZ12" s="162"/>
      <c r="FA12" s="162"/>
      <c r="FB12" s="155"/>
      <c r="FC12" s="155"/>
      <c r="FD12" s="155"/>
      <c r="FE12" s="155"/>
      <c r="FF12" s="155"/>
      <c r="FG12" s="155"/>
      <c r="FH12" s="155"/>
      <c r="FI12" s="155"/>
      <c r="GA12" s="322"/>
      <c r="GB12" s="322"/>
      <c r="GC12" s="322"/>
      <c r="GD12" s="322"/>
      <c r="GE12" s="322"/>
      <c r="GF12" s="322"/>
      <c r="GG12" s="322"/>
      <c r="GH12" s="322"/>
      <c r="GI12" s="322"/>
      <c r="GJ12" s="322"/>
    </row>
    <row r="13" spans="1:241" ht="11.1" customHeight="1" x14ac:dyDescent="0.2">
      <c r="A13" s="322"/>
      <c r="B13" s="322"/>
      <c r="C13" s="322"/>
      <c r="D13" s="322"/>
      <c r="E13" s="322"/>
      <c r="F13" s="322"/>
      <c r="G13" s="322"/>
      <c r="H13" s="322"/>
      <c r="I13" s="322"/>
      <c r="J13" s="322"/>
      <c r="K13" s="322"/>
      <c r="L13" s="322"/>
      <c r="M13" s="322"/>
      <c r="N13" s="322"/>
      <c r="O13" s="322"/>
      <c r="P13" s="322"/>
      <c r="Q13" s="322"/>
      <c r="R13" s="322"/>
      <c r="S13" s="322"/>
      <c r="T13" s="322"/>
      <c r="U13" s="322"/>
      <c r="V13" s="322"/>
      <c r="W13" s="322"/>
      <c r="X13" s="322"/>
      <c r="Y13" s="322"/>
      <c r="Z13" s="322"/>
      <c r="AA13" s="340" t="s">
        <v>582</v>
      </c>
      <c r="AB13" s="341"/>
      <c r="BA13" s="166"/>
      <c r="BB13" s="152"/>
      <c r="BC13" s="152"/>
      <c r="BD13" s="152"/>
      <c r="BE13" s="152"/>
      <c r="BF13" s="152"/>
      <c r="BG13" s="152"/>
      <c r="BH13" s="152"/>
      <c r="BI13" s="152"/>
      <c r="BJ13" s="152"/>
      <c r="BK13" s="152"/>
      <c r="BL13" s="152"/>
      <c r="BM13" s="152"/>
      <c r="BN13" s="152"/>
      <c r="BO13" s="152"/>
      <c r="BP13" s="152"/>
      <c r="BQ13" s="152"/>
      <c r="BR13" s="152"/>
      <c r="BS13" s="152"/>
      <c r="BT13" s="152"/>
      <c r="BU13" s="152"/>
      <c r="BV13" s="152"/>
      <c r="BW13" s="152"/>
      <c r="BX13" s="152"/>
      <c r="BY13" s="152"/>
      <c r="BZ13" s="152"/>
      <c r="CA13" s="152"/>
      <c r="CB13" s="152"/>
      <c r="CC13" s="152"/>
      <c r="CD13" s="152"/>
      <c r="CE13" s="152"/>
      <c r="CF13" s="151"/>
      <c r="CG13" s="151"/>
      <c r="CH13" s="151"/>
      <c r="CI13" s="151"/>
      <c r="CJ13" s="151"/>
      <c r="CK13" s="151"/>
      <c r="CL13" s="151"/>
      <c r="CM13" s="151"/>
      <c r="CN13" s="151"/>
      <c r="CO13" s="151"/>
      <c r="CP13" s="151"/>
      <c r="CQ13" s="151"/>
      <c r="CR13" s="151"/>
      <c r="CS13" s="151"/>
      <c r="CT13" s="155"/>
      <c r="CU13" s="155"/>
      <c r="CV13" s="155"/>
      <c r="CW13" s="155"/>
      <c r="CX13" s="155"/>
      <c r="CY13" s="155"/>
      <c r="CZ13" s="155"/>
      <c r="EE13" s="334"/>
      <c r="EF13" s="334"/>
      <c r="EG13" s="334"/>
      <c r="EH13" s="334"/>
      <c r="EI13" s="334"/>
      <c r="EJ13" s="342"/>
      <c r="EK13" s="342"/>
      <c r="EL13" s="342"/>
      <c r="EM13" s="342"/>
      <c r="EN13" s="342"/>
      <c r="EO13" s="342"/>
      <c r="EP13" s="342"/>
      <c r="EQ13" s="2329"/>
      <c r="ES13" s="155"/>
      <c r="ET13" s="155"/>
      <c r="EU13" s="2329"/>
      <c r="EV13" s="2329"/>
      <c r="EW13" s="2329"/>
      <c r="EZ13" s="162"/>
      <c r="FA13" s="162"/>
      <c r="FB13" s="155"/>
      <c r="FC13" s="155"/>
      <c r="FD13" s="155"/>
      <c r="FE13" s="155"/>
      <c r="FF13" s="155"/>
      <c r="FG13" s="155"/>
      <c r="FH13" s="155"/>
      <c r="FI13" s="155"/>
      <c r="GA13" s="322"/>
      <c r="GB13" s="322"/>
      <c r="GC13" s="322"/>
      <c r="GD13" s="322"/>
      <c r="GE13" s="322"/>
      <c r="GF13" s="322"/>
      <c r="GG13" s="322"/>
      <c r="GH13" s="322"/>
      <c r="GI13" s="322"/>
      <c r="GJ13" s="322"/>
    </row>
    <row r="14" spans="1:241" ht="76.349999999999994" customHeight="1" x14ac:dyDescent="0.2">
      <c r="A14" s="322"/>
      <c r="B14" s="322"/>
      <c r="C14" s="322"/>
      <c r="D14" s="322"/>
      <c r="E14" s="322"/>
      <c r="F14" s="322"/>
      <c r="G14" s="322"/>
      <c r="H14" s="322"/>
      <c r="I14" s="322"/>
      <c r="J14" s="322"/>
      <c r="K14" s="322"/>
      <c r="L14" s="322"/>
      <c r="M14" s="322"/>
      <c r="N14" s="322"/>
      <c r="O14" s="322"/>
      <c r="P14" s="322"/>
      <c r="Q14" s="322"/>
      <c r="R14" s="322"/>
      <c r="S14" s="322"/>
      <c r="T14" s="322"/>
      <c r="U14" s="322"/>
      <c r="V14" s="322"/>
      <c r="W14" s="322"/>
      <c r="X14" s="322"/>
      <c r="Y14" s="322"/>
      <c r="Z14" s="322"/>
      <c r="AA14" s="343" t="s">
        <v>28</v>
      </c>
      <c r="AB14" s="344"/>
      <c r="BA14" s="166"/>
      <c r="BB14" s="152"/>
      <c r="BC14" s="152"/>
      <c r="BD14" s="152"/>
      <c r="BE14" s="152"/>
      <c r="BF14" s="152"/>
      <c r="BG14" s="152"/>
      <c r="BH14" s="152"/>
      <c r="BI14" s="152"/>
      <c r="BJ14" s="152"/>
      <c r="BK14" s="152"/>
      <c r="BL14" s="152"/>
      <c r="BM14" s="152"/>
      <c r="BN14" s="152"/>
      <c r="BO14" s="152"/>
      <c r="BP14" s="152"/>
      <c r="BQ14" s="152"/>
      <c r="BR14" s="152"/>
      <c r="BS14" s="152"/>
      <c r="BT14" s="152"/>
      <c r="BU14" s="152"/>
      <c r="BV14" s="152"/>
      <c r="BW14" s="152"/>
      <c r="BX14" s="152"/>
      <c r="BY14" s="152"/>
      <c r="BZ14" s="152"/>
      <c r="CA14" s="152"/>
      <c r="CB14" s="152"/>
      <c r="CC14" s="152"/>
      <c r="CD14" s="152"/>
      <c r="CE14" s="152"/>
      <c r="CF14" s="151"/>
      <c r="CG14" s="322"/>
      <c r="CH14" s="322"/>
      <c r="CI14" s="322"/>
      <c r="CJ14" s="322"/>
      <c r="CK14" s="322"/>
      <c r="CL14" s="322"/>
      <c r="CM14" s="322"/>
      <c r="CN14" s="322"/>
      <c r="CO14" s="322"/>
      <c r="CP14" s="151"/>
      <c r="CQ14" s="151"/>
      <c r="CR14" s="151"/>
      <c r="CS14" s="151"/>
      <c r="CT14" s="155"/>
      <c r="CU14" s="155"/>
      <c r="CV14" s="155"/>
      <c r="CW14" s="155"/>
      <c r="CX14" s="155"/>
      <c r="CY14" s="155"/>
      <c r="CZ14" s="155"/>
      <c r="EE14" s="334"/>
      <c r="EF14" s="334"/>
      <c r="EG14" s="334"/>
      <c r="EH14" s="334"/>
      <c r="EI14" s="334"/>
      <c r="EJ14" s="334"/>
      <c r="EK14" s="334"/>
      <c r="EL14" s="334"/>
      <c r="EM14" s="334"/>
      <c r="EN14" s="334"/>
      <c r="EO14" s="334"/>
      <c r="EP14" s="334"/>
      <c r="EQ14" s="2330"/>
      <c r="ES14" s="155"/>
      <c r="ET14" s="155"/>
      <c r="EU14" s="2330"/>
      <c r="EV14" s="2330"/>
      <c r="EW14" s="2330"/>
      <c r="EZ14" s="162"/>
      <c r="FA14" s="162"/>
      <c r="FB14" s="155"/>
      <c r="FC14" s="155"/>
      <c r="FD14" s="155"/>
      <c r="FE14" s="155"/>
      <c r="FF14" s="155"/>
      <c r="FG14" s="155"/>
      <c r="FH14" s="155"/>
      <c r="FI14" s="155"/>
      <c r="GA14" s="322"/>
      <c r="GB14" s="322"/>
      <c r="GC14" s="322"/>
      <c r="GD14" s="322"/>
      <c r="GE14" s="322"/>
      <c r="GF14" s="322"/>
      <c r="GG14" s="322"/>
      <c r="GH14" s="322"/>
      <c r="GI14" s="322"/>
      <c r="GJ14" s="322"/>
    </row>
    <row r="15" spans="1:241" ht="12.6" customHeight="1" x14ac:dyDescent="0.2">
      <c r="A15" s="322"/>
      <c r="B15" s="322"/>
      <c r="C15" s="322"/>
      <c r="D15" s="322"/>
      <c r="E15" s="322"/>
      <c r="F15" s="322"/>
      <c r="G15" s="322"/>
      <c r="H15" s="322"/>
      <c r="I15" s="322"/>
      <c r="J15" s="322"/>
      <c r="K15" s="322"/>
      <c r="L15" s="322"/>
      <c r="M15" s="322"/>
      <c r="N15" s="322"/>
      <c r="O15" s="322"/>
      <c r="P15" s="322"/>
      <c r="Q15" s="322"/>
      <c r="R15" s="322"/>
      <c r="S15" s="322"/>
      <c r="T15" s="322"/>
      <c r="U15" s="322"/>
      <c r="V15" s="322"/>
      <c r="W15" s="322"/>
      <c r="X15" s="322"/>
      <c r="Y15" s="322"/>
      <c r="Z15" s="396" t="s">
        <v>5</v>
      </c>
      <c r="AA15" s="606">
        <f>AD15+AD41</f>
        <v>0</v>
      </c>
      <c r="AB15" s="345"/>
      <c r="AD15" s="346">
        <v>0</v>
      </c>
      <c r="AE15" s="154" t="s">
        <v>64</v>
      </c>
      <c r="BA15" s="166"/>
      <c r="BB15" s="152"/>
      <c r="BC15" s="152"/>
      <c r="BD15" s="152"/>
      <c r="BE15" s="152"/>
      <c r="BF15" s="152"/>
      <c r="BG15" s="152"/>
      <c r="BH15" s="152"/>
      <c r="BI15" s="152"/>
      <c r="BJ15" s="152"/>
      <c r="BK15" s="152"/>
      <c r="BL15" s="152"/>
      <c r="BM15" s="152"/>
      <c r="BN15" s="152"/>
      <c r="BO15" s="152"/>
      <c r="BP15" s="152"/>
      <c r="BQ15" s="152"/>
      <c r="BR15" s="152"/>
      <c r="BS15" s="152"/>
      <c r="BT15" s="152"/>
      <c r="BU15" s="152"/>
      <c r="BV15" s="152"/>
      <c r="BW15" s="152"/>
      <c r="BX15" s="152"/>
      <c r="BY15" s="152"/>
      <c r="BZ15" s="152"/>
      <c r="CA15" s="152"/>
      <c r="CB15" s="319" t="s">
        <v>348</v>
      </c>
      <c r="CC15" s="2310"/>
      <c r="CD15" s="2132"/>
      <c r="CE15" s="2132"/>
      <c r="CF15" s="2132"/>
      <c r="CG15" s="322"/>
      <c r="CH15" s="322"/>
      <c r="CI15" s="322"/>
      <c r="CJ15" s="322"/>
      <c r="CK15" s="322"/>
      <c r="CL15" s="322"/>
      <c r="CM15" s="322"/>
      <c r="CN15" s="322"/>
      <c r="CO15" s="151"/>
      <c r="CP15" s="151"/>
      <c r="CQ15" s="151"/>
      <c r="CR15" s="151"/>
      <c r="CS15" s="884"/>
      <c r="CT15" s="347"/>
      <c r="CU15" s="155"/>
      <c r="CV15" s="155"/>
      <c r="CW15" s="155"/>
      <c r="CX15" s="155"/>
      <c r="CY15" s="155"/>
      <c r="CZ15" s="155"/>
      <c r="DA15" s="155"/>
      <c r="DB15" s="155"/>
      <c r="DC15" s="155"/>
      <c r="DD15" s="155"/>
      <c r="DE15" s="155"/>
      <c r="DF15" s="155"/>
      <c r="DG15" s="155"/>
      <c r="DH15" s="155"/>
      <c r="DI15" s="348"/>
      <c r="DJ15" s="348"/>
      <c r="DK15" s="162"/>
      <c r="DL15" s="349"/>
      <c r="DM15" s="349"/>
      <c r="DN15" s="349"/>
      <c r="DO15" s="155"/>
      <c r="DP15" s="155"/>
      <c r="DQ15" s="155"/>
      <c r="DR15" s="155"/>
      <c r="DS15" s="155"/>
      <c r="DT15" s="348"/>
      <c r="DU15" s="348"/>
      <c r="DV15" s="348"/>
      <c r="DW15" s="348"/>
      <c r="DX15" s="155"/>
      <c r="DY15" s="162"/>
      <c r="DZ15" s="155"/>
      <c r="EA15" s="155"/>
      <c r="EB15" s="155"/>
      <c r="EC15" s="334"/>
      <c r="ED15" s="334"/>
      <c r="EE15" s="334"/>
      <c r="EF15" s="334"/>
      <c r="EG15" s="334"/>
      <c r="EH15" s="334"/>
      <c r="EI15" s="1212"/>
      <c r="EJ15" s="334"/>
      <c r="EK15" s="348"/>
      <c r="EL15" s="348"/>
      <c r="EM15" s="348"/>
      <c r="EN15" s="348"/>
      <c r="EO15" s="348"/>
      <c r="EP15" s="334"/>
      <c r="EQ15" s="166"/>
      <c r="ES15" s="155"/>
      <c r="ET15" s="155"/>
      <c r="EU15" s="166"/>
      <c r="EV15" s="166"/>
      <c r="EW15" s="166"/>
      <c r="EZ15" s="162"/>
      <c r="FA15" s="162"/>
      <c r="FB15" s="155"/>
      <c r="FC15" s="155"/>
      <c r="FD15" s="155"/>
      <c r="FE15" s="155"/>
      <c r="FF15" s="155"/>
      <c r="FG15" s="155"/>
      <c r="FH15" s="155"/>
      <c r="FI15" s="155"/>
      <c r="FR15" s="454"/>
      <c r="GA15" s="322"/>
      <c r="GB15" s="322"/>
      <c r="GC15" s="322"/>
      <c r="GD15" s="322"/>
      <c r="GE15" s="322"/>
      <c r="GF15" s="322"/>
      <c r="GG15" s="322"/>
      <c r="GH15" s="322"/>
      <c r="GI15" s="322"/>
      <c r="GJ15" s="322"/>
    </row>
    <row r="16" spans="1:241" ht="12.6" customHeight="1" x14ac:dyDescent="0.2">
      <c r="A16" s="322"/>
      <c r="B16" s="322"/>
      <c r="C16" s="322"/>
      <c r="D16" s="322"/>
      <c r="E16" s="322"/>
      <c r="F16" s="322"/>
      <c r="G16" s="322"/>
      <c r="H16" s="322"/>
      <c r="I16" s="322"/>
      <c r="J16" s="322"/>
      <c r="K16" s="322"/>
      <c r="L16" s="322"/>
      <c r="M16" s="322"/>
      <c r="N16" s="322"/>
      <c r="O16" s="322"/>
      <c r="P16" s="322"/>
      <c r="Q16" s="322"/>
      <c r="R16" s="322"/>
      <c r="S16" s="322"/>
      <c r="T16" s="322"/>
      <c r="U16" s="322"/>
      <c r="V16" s="322"/>
      <c r="W16" s="322"/>
      <c r="X16" s="322"/>
      <c r="Y16" s="322"/>
      <c r="Z16" s="396" t="s">
        <v>6</v>
      </c>
      <c r="AA16" s="606">
        <f>AD16+AE41</f>
        <v>0</v>
      </c>
      <c r="AB16" s="345"/>
      <c r="AD16" s="346">
        <v>0</v>
      </c>
      <c r="AE16" s="154" t="s">
        <v>65</v>
      </c>
      <c r="BA16" s="166"/>
      <c r="BB16" s="152"/>
      <c r="BC16" s="152"/>
      <c r="BD16" s="152"/>
      <c r="BE16" s="881">
        <v>4.5</v>
      </c>
      <c r="BF16" s="881">
        <v>5.5</v>
      </c>
      <c r="BG16" s="882">
        <v>5</v>
      </c>
      <c r="BH16" s="882">
        <v>5</v>
      </c>
      <c r="BI16" s="882">
        <v>5</v>
      </c>
      <c r="BJ16" s="882">
        <v>3</v>
      </c>
      <c r="BK16" s="882">
        <v>5</v>
      </c>
      <c r="BL16" s="882">
        <v>5</v>
      </c>
      <c r="BM16" s="882">
        <v>5</v>
      </c>
      <c r="BN16" s="882">
        <v>6</v>
      </c>
      <c r="BO16" s="882">
        <v>5</v>
      </c>
      <c r="BP16" s="882">
        <v>5</v>
      </c>
      <c r="BQ16" s="882">
        <v>5</v>
      </c>
      <c r="BR16" s="882">
        <v>3</v>
      </c>
      <c r="BS16" s="882">
        <v>5</v>
      </c>
      <c r="BT16" s="882">
        <v>5</v>
      </c>
      <c r="BU16" s="882">
        <v>5</v>
      </c>
      <c r="BV16" s="882">
        <v>6</v>
      </c>
      <c r="BW16" s="883"/>
      <c r="BX16" s="881">
        <v>24</v>
      </c>
      <c r="BY16" s="881">
        <v>24</v>
      </c>
      <c r="BZ16" s="152"/>
      <c r="CA16" s="152"/>
      <c r="CB16" s="323" t="s">
        <v>327</v>
      </c>
      <c r="CC16" s="993"/>
      <c r="CD16" s="152"/>
      <c r="CE16" s="152"/>
      <c r="CF16" s="151"/>
      <c r="CG16" s="322"/>
      <c r="CH16" s="322"/>
      <c r="CI16" s="322"/>
      <c r="CJ16" s="322"/>
      <c r="CK16" s="322"/>
      <c r="CL16" s="322"/>
      <c r="CM16" s="322"/>
      <c r="CN16" s="322"/>
      <c r="CO16" s="151"/>
      <c r="CP16" s="151"/>
      <c r="CQ16" s="151"/>
      <c r="CR16" s="885"/>
      <c r="CS16" s="151"/>
      <c r="CT16" s="347"/>
      <c r="CU16" s="155"/>
      <c r="CV16" s="155"/>
      <c r="CW16" s="155"/>
      <c r="CX16" s="155"/>
      <c r="CY16" s="155"/>
      <c r="CZ16" s="155"/>
      <c r="DA16" s="155"/>
      <c r="DB16" s="155"/>
      <c r="DC16" s="155"/>
      <c r="DD16" s="155"/>
      <c r="DE16" s="155"/>
      <c r="DF16" s="155"/>
      <c r="DG16" s="155"/>
      <c r="DH16" s="155"/>
      <c r="DI16" s="155"/>
      <c r="DJ16" s="155"/>
      <c r="DK16" s="162"/>
      <c r="DL16" s="350"/>
      <c r="DM16" s="350"/>
      <c r="DN16" s="350"/>
      <c r="DO16" s="155"/>
      <c r="DP16" s="351"/>
      <c r="DQ16" s="351"/>
      <c r="DR16" s="351"/>
      <c r="DS16" s="351"/>
      <c r="DT16" s="155"/>
      <c r="DU16" s="155"/>
      <c r="DV16" s="155"/>
      <c r="DW16" s="155"/>
      <c r="DX16" s="155"/>
      <c r="DY16" s="155"/>
      <c r="DZ16" s="155"/>
      <c r="EA16" s="352"/>
      <c r="EB16" s="155"/>
      <c r="EC16" s="334"/>
      <c r="ED16" s="334"/>
      <c r="EE16" s="334"/>
      <c r="EF16" s="334"/>
      <c r="EG16" s="334"/>
      <c r="EH16" s="334"/>
      <c r="EI16" s="334"/>
      <c r="EJ16" s="334"/>
      <c r="EK16" s="348"/>
      <c r="EL16" s="348"/>
      <c r="EM16" s="348"/>
      <c r="EN16" s="348"/>
      <c r="EO16" s="348"/>
      <c r="EP16" s="334"/>
      <c r="EQ16" s="166"/>
      <c r="ES16" s="155"/>
      <c r="ET16" s="155"/>
      <c r="EU16" s="166"/>
      <c r="EV16" s="166"/>
      <c r="EW16" s="166"/>
      <c r="EZ16" s="162"/>
      <c r="FA16" s="162"/>
      <c r="FB16" s="155"/>
      <c r="FC16" s="155"/>
      <c r="FD16" s="155"/>
      <c r="FE16" s="155"/>
      <c r="FF16" s="155"/>
      <c r="FG16" s="155"/>
      <c r="FH16" s="155"/>
      <c r="FI16" s="155"/>
      <c r="FR16" s="453"/>
      <c r="GA16" s="322"/>
      <c r="GB16" s="322"/>
      <c r="GC16" s="322"/>
      <c r="GD16" s="322"/>
      <c r="GE16" s="322"/>
      <c r="GF16" s="322"/>
      <c r="GG16" s="322"/>
      <c r="GH16" s="322"/>
      <c r="GI16" s="322"/>
      <c r="GJ16" s="322"/>
    </row>
    <row r="17" spans="1:244" ht="12.6" customHeight="1" thickBot="1" x14ac:dyDescent="0.25">
      <c r="A17" s="322"/>
      <c r="B17" s="322"/>
      <c r="C17" s="322"/>
      <c r="D17" s="322"/>
      <c r="E17" s="322"/>
      <c r="F17" s="322"/>
      <c r="G17" s="322"/>
      <c r="H17" s="322"/>
      <c r="I17" s="322"/>
      <c r="J17" s="322"/>
      <c r="K17" s="322"/>
      <c r="L17" s="322"/>
      <c r="M17" s="322"/>
      <c r="N17" s="322"/>
      <c r="O17" s="322"/>
      <c r="P17" s="322"/>
      <c r="Q17" s="322"/>
      <c r="R17" s="322"/>
      <c r="S17" s="322"/>
      <c r="T17" s="322"/>
      <c r="U17" s="322"/>
      <c r="V17" s="322"/>
      <c r="W17" s="322"/>
      <c r="X17" s="322"/>
      <c r="Y17" s="322"/>
      <c r="Z17" s="396" t="s">
        <v>7</v>
      </c>
      <c r="AA17" s="606">
        <f>AD17+AF41</f>
        <v>0</v>
      </c>
      <c r="AB17" s="345"/>
      <c r="AD17" s="346">
        <v>0</v>
      </c>
      <c r="AE17" s="154" t="s">
        <v>66</v>
      </c>
      <c r="AP17" s="935"/>
      <c r="BA17" s="166"/>
      <c r="BB17" s="1502">
        <v>6</v>
      </c>
      <c r="BC17" s="1502">
        <v>4</v>
      </c>
      <c r="BD17" s="1502">
        <v>13</v>
      </c>
      <c r="BE17" s="1502">
        <v>4</v>
      </c>
      <c r="BF17" s="1502">
        <v>5</v>
      </c>
      <c r="BG17" s="1503">
        <v>3</v>
      </c>
      <c r="BH17" s="1503">
        <v>4.57</v>
      </c>
      <c r="BI17" s="1503">
        <v>4.57</v>
      </c>
      <c r="BJ17" s="1503">
        <v>2.71</v>
      </c>
      <c r="BK17" s="1503">
        <v>4.57</v>
      </c>
      <c r="BL17" s="1503">
        <v>4.57</v>
      </c>
      <c r="BM17" s="1503">
        <v>4</v>
      </c>
      <c r="BN17" s="1503">
        <v>5</v>
      </c>
      <c r="BO17" s="1503">
        <v>2.71</v>
      </c>
      <c r="BP17" s="1503">
        <v>5.29</v>
      </c>
      <c r="BQ17" s="1503">
        <v>5.29</v>
      </c>
      <c r="BR17" s="1503">
        <v>4</v>
      </c>
      <c r="BS17" s="1503">
        <v>3</v>
      </c>
      <c r="BT17" s="1503">
        <v>4.57</v>
      </c>
      <c r="BU17" s="1503">
        <v>4.57</v>
      </c>
      <c r="BV17" s="1503">
        <v>2.71</v>
      </c>
      <c r="BW17" s="1502">
        <v>4.57</v>
      </c>
      <c r="BX17" s="1502">
        <v>4.57</v>
      </c>
      <c r="BY17" s="1502">
        <v>4</v>
      </c>
      <c r="BZ17" s="1502">
        <v>5</v>
      </c>
      <c r="CA17" s="1502">
        <v>2.71</v>
      </c>
      <c r="CB17" s="1506">
        <v>5.29</v>
      </c>
      <c r="CC17" s="1502">
        <v>5.29</v>
      </c>
      <c r="CD17" s="1502">
        <v>4</v>
      </c>
      <c r="CE17" s="1502">
        <v>5</v>
      </c>
      <c r="CF17" s="1504">
        <v>17.14</v>
      </c>
      <c r="CG17" s="1503">
        <v>17.14</v>
      </c>
      <c r="CH17" s="322"/>
      <c r="CI17" s="322"/>
      <c r="CJ17" s="322"/>
      <c r="CK17" s="322"/>
      <c r="CL17" s="322"/>
      <c r="CM17" s="322"/>
      <c r="CN17" s="322"/>
      <c r="CO17" s="151"/>
      <c r="CP17" s="151"/>
      <c r="CQ17" s="151"/>
      <c r="CR17" s="151"/>
      <c r="CS17" s="151"/>
      <c r="CT17" s="155"/>
      <c r="CU17" s="155"/>
      <c r="CV17" s="155"/>
      <c r="CW17" s="155"/>
      <c r="CX17" s="155"/>
      <c r="CY17" s="155"/>
      <c r="CZ17" s="155"/>
      <c r="DA17" s="155"/>
      <c r="DB17" s="155"/>
      <c r="DC17" s="155"/>
      <c r="DD17" s="155"/>
      <c r="DE17" s="155"/>
      <c r="DF17" s="155"/>
      <c r="DG17" s="155"/>
      <c r="DH17" s="155"/>
      <c r="DI17" s="155"/>
      <c r="DJ17" s="155"/>
      <c r="DK17" s="162"/>
      <c r="DN17" s="350"/>
      <c r="DO17" s="155"/>
      <c r="DP17" s="155"/>
      <c r="DQ17" s="155"/>
      <c r="DR17" s="155"/>
      <c r="DS17" s="155"/>
      <c r="DT17" s="348"/>
      <c r="DU17" s="348"/>
      <c r="DV17" s="348"/>
      <c r="DW17" s="348"/>
      <c r="DX17" s="155"/>
      <c r="DY17" s="162"/>
      <c r="DZ17" s="155"/>
      <c r="EA17" s="155"/>
      <c r="EB17" s="155"/>
      <c r="EC17" s="334"/>
      <c r="ED17" s="334"/>
      <c r="EE17" s="348"/>
      <c r="EF17" s="348"/>
      <c r="EG17" s="348"/>
      <c r="EH17" s="348"/>
      <c r="EI17" s="348"/>
      <c r="EJ17" s="348"/>
      <c r="EK17" s="348"/>
      <c r="EL17" s="348"/>
      <c r="EM17" s="348"/>
      <c r="EN17" s="348"/>
      <c r="EO17" s="348"/>
      <c r="EP17" s="348"/>
      <c r="EQ17" s="155"/>
      <c r="ER17" s="166"/>
      <c r="ES17" s="166"/>
      <c r="ET17" s="166"/>
      <c r="EU17" s="166"/>
      <c r="EV17" s="166"/>
      <c r="EW17" s="155"/>
      <c r="EX17" s="162"/>
      <c r="EY17" s="162"/>
      <c r="EZ17" s="162"/>
      <c r="FA17" s="162"/>
      <c r="FB17" s="155"/>
      <c r="FC17" s="155"/>
      <c r="FD17" s="155"/>
      <c r="FE17" s="155"/>
      <c r="FF17" s="155"/>
      <c r="FG17" s="155"/>
      <c r="FH17" s="155"/>
      <c r="FI17" s="155"/>
      <c r="GA17" s="322"/>
      <c r="GB17" s="322"/>
      <c r="GC17" s="322"/>
      <c r="GD17" s="322"/>
      <c r="GE17" s="322"/>
      <c r="GF17" s="322"/>
      <c r="GG17" s="322"/>
      <c r="GH17" s="322"/>
      <c r="GI17" s="322"/>
      <c r="GJ17" s="322"/>
      <c r="GZ17" s="2367"/>
    </row>
    <row r="18" spans="1:244" ht="12.6" customHeight="1" thickTop="1" thickBot="1" x14ac:dyDescent="0.25">
      <c r="A18" s="322"/>
      <c r="B18" s="322"/>
      <c r="C18" s="322"/>
      <c r="D18" s="322"/>
      <c r="E18" s="322"/>
      <c r="F18" s="322"/>
      <c r="G18" s="322"/>
      <c r="H18" s="322"/>
      <c r="I18" s="322"/>
      <c r="J18" s="322"/>
      <c r="K18" s="322"/>
      <c r="L18" s="322"/>
      <c r="M18" s="322"/>
      <c r="N18" s="322"/>
      <c r="O18" s="322"/>
      <c r="P18" s="322"/>
      <c r="Q18" s="322"/>
      <c r="R18" s="322"/>
      <c r="S18" s="322"/>
      <c r="T18" s="322"/>
      <c r="U18" s="322"/>
      <c r="V18" s="322"/>
      <c r="W18" s="322"/>
      <c r="X18" s="322"/>
      <c r="Y18" s="322"/>
      <c r="Z18" s="397" t="s">
        <v>8</v>
      </c>
      <c r="AA18" s="606">
        <f>AD18+AG41</f>
        <v>0</v>
      </c>
      <c r="AD18" s="346">
        <v>0</v>
      </c>
      <c r="AE18" s="154" t="s">
        <v>67</v>
      </c>
      <c r="BA18" s="494" t="s">
        <v>90</v>
      </c>
      <c r="BB18" s="2311" t="s">
        <v>270</v>
      </c>
      <c r="BC18" s="2312"/>
      <c r="BD18" s="2312"/>
      <c r="BE18" s="2312"/>
      <c r="BF18" s="2312"/>
      <c r="BG18" s="2312"/>
      <c r="BH18" s="2312"/>
      <c r="BI18" s="2312"/>
      <c r="BJ18" s="2312"/>
      <c r="BK18" s="2312"/>
      <c r="BL18" s="2312"/>
      <c r="BM18" s="2312"/>
      <c r="BN18" s="2312"/>
      <c r="BO18" s="2312"/>
      <c r="BP18" s="2312"/>
      <c r="BQ18" s="2312"/>
      <c r="BR18" s="2312"/>
      <c r="BS18" s="2312"/>
      <c r="BT18" s="2312"/>
      <c r="BU18" s="2312"/>
      <c r="BV18" s="2312"/>
      <c r="BW18" s="2312"/>
      <c r="BX18" s="2312"/>
      <c r="BY18" s="2312"/>
      <c r="BZ18" s="2312"/>
      <c r="CA18" s="2312"/>
      <c r="CB18" s="2312"/>
      <c r="CC18" s="1436"/>
      <c r="CD18" s="2315"/>
      <c r="CE18" s="2315"/>
      <c r="CF18" s="2315"/>
      <c r="CG18" s="2316"/>
      <c r="CH18" s="151"/>
      <c r="CI18" s="151"/>
      <c r="CJ18" s="151"/>
      <c r="CK18" s="151"/>
      <c r="CL18" s="151"/>
      <c r="CM18" s="837"/>
      <c r="CN18" s="151"/>
      <c r="CO18" s="151"/>
      <c r="CP18" s="151"/>
      <c r="CQ18" s="151"/>
      <c r="CR18" s="151"/>
      <c r="CS18" s="151"/>
      <c r="CT18" s="155"/>
      <c r="CU18" s="155"/>
      <c r="CV18" s="155"/>
      <c r="CW18" s="155"/>
      <c r="CX18" s="155"/>
      <c r="CY18" s="155"/>
      <c r="CZ18" s="155"/>
      <c r="DA18" s="155"/>
      <c r="DB18" s="155"/>
      <c r="DC18" s="155"/>
      <c r="DD18" s="155"/>
      <c r="DE18" s="155"/>
      <c r="DF18" s="155"/>
      <c r="DG18" s="155"/>
      <c r="DH18" s="155"/>
      <c r="DI18" s="155"/>
      <c r="DJ18" s="155"/>
      <c r="DK18" s="162"/>
      <c r="DL18" s="155"/>
      <c r="DM18" s="155"/>
      <c r="DN18" s="155"/>
      <c r="DO18" s="155"/>
      <c r="DP18" s="351"/>
      <c r="DQ18" s="351"/>
      <c r="DR18" s="351"/>
      <c r="DS18" s="351"/>
      <c r="DT18" s="459"/>
      <c r="DU18" s="155"/>
      <c r="DV18" s="155"/>
      <c r="DW18" s="155"/>
      <c r="DX18" s="155"/>
      <c r="DY18" s="155"/>
      <c r="DZ18" s="155"/>
      <c r="EA18" s="352"/>
      <c r="EB18" s="353"/>
      <c r="EC18" s="353"/>
      <c r="ED18" s="353"/>
      <c r="EE18" s="353"/>
      <c r="EF18" s="348"/>
      <c r="EG18" s="155"/>
      <c r="EH18" s="155" t="s">
        <v>762</v>
      </c>
      <c r="EI18" s="155"/>
      <c r="EJ18" s="155"/>
      <c r="EK18" s="155"/>
      <c r="EL18" s="155"/>
      <c r="EM18" s="155"/>
      <c r="EN18" s="155"/>
      <c r="EO18" s="155" t="s">
        <v>763</v>
      </c>
      <c r="EP18" s="155"/>
      <c r="EQ18" s="155"/>
      <c r="ER18" s="155"/>
      <c r="ES18" s="155"/>
      <c r="ET18" s="155"/>
      <c r="EU18" s="162"/>
      <c r="EV18" s="162"/>
      <c r="EW18" s="162"/>
      <c r="EX18" s="162"/>
      <c r="EY18" s="155"/>
      <c r="EZ18" s="155"/>
      <c r="FA18" s="155"/>
      <c r="FB18" s="155"/>
      <c r="FC18" s="155"/>
      <c r="FD18" s="155"/>
      <c r="FE18" s="155"/>
      <c r="FF18" s="155"/>
      <c r="FG18" s="155"/>
      <c r="FQ18" s="707" t="s">
        <v>761</v>
      </c>
      <c r="FR18" s="353"/>
      <c r="FS18" s="353"/>
      <c r="FW18" s="353"/>
      <c r="FX18" s="353"/>
      <c r="GA18" s="322"/>
      <c r="GB18" s="322"/>
      <c r="GC18" s="322"/>
      <c r="GD18" s="322"/>
      <c r="GE18" s="322"/>
      <c r="GF18" s="322"/>
      <c r="GG18" s="322"/>
      <c r="GH18" s="322"/>
      <c r="GI18" s="322"/>
      <c r="GJ18" s="322"/>
      <c r="GZ18" s="2368"/>
      <c r="HA18" s="174">
        <v>1</v>
      </c>
      <c r="HB18" s="174">
        <f>HA18+1</f>
        <v>2</v>
      </c>
      <c r="HC18" s="174">
        <f t="shared" ref="HC18:IB18" si="0">HB18+1</f>
        <v>3</v>
      </c>
      <c r="HD18" s="174">
        <f t="shared" si="0"/>
        <v>4</v>
      </c>
      <c r="HE18" s="174">
        <f t="shared" si="0"/>
        <v>5</v>
      </c>
      <c r="HF18" s="174">
        <f t="shared" si="0"/>
        <v>6</v>
      </c>
      <c r="HG18" s="174">
        <f t="shared" si="0"/>
        <v>7</v>
      </c>
      <c r="HH18" s="174">
        <f t="shared" si="0"/>
        <v>8</v>
      </c>
      <c r="HI18" s="174">
        <f t="shared" si="0"/>
        <v>9</v>
      </c>
      <c r="HJ18" s="174">
        <f t="shared" si="0"/>
        <v>10</v>
      </c>
      <c r="HK18" s="174">
        <f t="shared" si="0"/>
        <v>11</v>
      </c>
      <c r="HL18" s="174">
        <f t="shared" si="0"/>
        <v>12</v>
      </c>
      <c r="HM18" s="174">
        <f t="shared" si="0"/>
        <v>13</v>
      </c>
      <c r="HN18" s="174">
        <f t="shared" si="0"/>
        <v>14</v>
      </c>
      <c r="HO18" s="174">
        <f t="shared" si="0"/>
        <v>15</v>
      </c>
      <c r="HP18" s="174">
        <f t="shared" si="0"/>
        <v>16</v>
      </c>
      <c r="HQ18" s="174">
        <f t="shared" si="0"/>
        <v>17</v>
      </c>
      <c r="HR18" s="174">
        <f t="shared" si="0"/>
        <v>18</v>
      </c>
      <c r="HS18" s="174">
        <f t="shared" si="0"/>
        <v>19</v>
      </c>
      <c r="HT18" s="174">
        <f t="shared" si="0"/>
        <v>20</v>
      </c>
      <c r="HU18" s="174">
        <f t="shared" si="0"/>
        <v>21</v>
      </c>
      <c r="HV18" s="174">
        <f t="shared" si="0"/>
        <v>22</v>
      </c>
      <c r="HW18" s="174">
        <f t="shared" si="0"/>
        <v>23</v>
      </c>
      <c r="HX18" s="174">
        <f t="shared" si="0"/>
        <v>24</v>
      </c>
      <c r="HY18" s="174">
        <f t="shared" si="0"/>
        <v>25</v>
      </c>
      <c r="HZ18" s="174">
        <f t="shared" si="0"/>
        <v>26</v>
      </c>
      <c r="IA18" s="174">
        <f t="shared" si="0"/>
        <v>27</v>
      </c>
      <c r="IB18" s="174">
        <f t="shared" si="0"/>
        <v>28</v>
      </c>
      <c r="IC18" s="174">
        <f>IB18+1</f>
        <v>29</v>
      </c>
      <c r="ID18" s="174">
        <f>IC18+1</f>
        <v>30</v>
      </c>
      <c r="IE18" s="174">
        <f>ID18+1</f>
        <v>31</v>
      </c>
      <c r="IF18" s="174">
        <f>IE18+1</f>
        <v>32</v>
      </c>
    </row>
    <row r="19" spans="1:244" ht="12.6" customHeight="1" thickBot="1" x14ac:dyDescent="0.25">
      <c r="A19" s="322"/>
      <c r="B19" s="322"/>
      <c r="C19" s="322"/>
      <c r="D19" s="322"/>
      <c r="E19" s="322"/>
      <c r="F19" s="322"/>
      <c r="G19" s="322"/>
      <c r="H19" s="322"/>
      <c r="I19" s="322"/>
      <c r="J19" s="322"/>
      <c r="K19" s="322"/>
      <c r="L19" s="322"/>
      <c r="M19" s="322"/>
      <c r="N19" s="322"/>
      <c r="O19" s="322"/>
      <c r="P19" s="322"/>
      <c r="Q19" s="322"/>
      <c r="R19" s="322"/>
      <c r="S19" s="322"/>
      <c r="T19" s="322"/>
      <c r="U19" s="322"/>
      <c r="V19" s="322"/>
      <c r="W19" s="322"/>
      <c r="X19" s="322"/>
      <c r="Y19" s="322"/>
      <c r="Z19" s="397" t="s">
        <v>89</v>
      </c>
      <c r="AA19" s="606">
        <f>AD19+AH41</f>
        <v>0</v>
      </c>
      <c r="AD19" s="346">
        <v>0</v>
      </c>
      <c r="AE19" s="154" t="s">
        <v>88</v>
      </c>
      <c r="BA19" s="495"/>
      <c r="BB19" s="2313"/>
      <c r="BC19" s="2314"/>
      <c r="BD19" s="2314"/>
      <c r="BE19" s="2314"/>
      <c r="BF19" s="2314"/>
      <c r="BG19" s="2314"/>
      <c r="BH19" s="2314"/>
      <c r="BI19" s="2314"/>
      <c r="BJ19" s="2314"/>
      <c r="BK19" s="2314"/>
      <c r="BL19" s="2314"/>
      <c r="BM19" s="2314"/>
      <c r="BN19" s="2314"/>
      <c r="BO19" s="2314"/>
      <c r="BP19" s="2314"/>
      <c r="BQ19" s="2314"/>
      <c r="BR19" s="2314"/>
      <c r="BS19" s="2314"/>
      <c r="BT19" s="2314"/>
      <c r="BU19" s="2314"/>
      <c r="BV19" s="2314"/>
      <c r="BW19" s="2314"/>
      <c r="BX19" s="2314"/>
      <c r="BY19" s="2314"/>
      <c r="BZ19" s="2314"/>
      <c r="CA19" s="2314"/>
      <c r="CB19" s="2314"/>
      <c r="CC19" s="1435"/>
      <c r="CD19" s="2317"/>
      <c r="CE19" s="2318"/>
      <c r="CF19" s="2318"/>
      <c r="CG19" s="2319"/>
      <c r="CH19" s="322"/>
      <c r="CI19" s="322"/>
      <c r="CJ19" s="322"/>
      <c r="CK19" s="322"/>
      <c r="CL19" s="298"/>
      <c r="CM19" s="867"/>
      <c r="CN19" s="2275" t="s">
        <v>349</v>
      </c>
      <c r="CO19" s="2276"/>
      <c r="CP19" s="2013" t="s">
        <v>291</v>
      </c>
      <c r="CQ19" s="2270"/>
      <c r="CR19" s="2301" t="s">
        <v>179</v>
      </c>
      <c r="CS19" s="2287" t="s">
        <v>180</v>
      </c>
      <c r="CU19" s="155"/>
      <c r="CV19" s="155"/>
      <c r="CW19" s="155"/>
      <c r="CX19" s="155"/>
      <c r="CY19" s="155"/>
      <c r="CZ19" s="155"/>
      <c r="DA19" s="155"/>
      <c r="DB19" s="155"/>
      <c r="DC19" s="155"/>
      <c r="DD19" s="155"/>
      <c r="DE19" s="155"/>
      <c r="DF19" s="155"/>
      <c r="DG19" s="155"/>
      <c r="DH19" s="155"/>
      <c r="DI19" s="155"/>
      <c r="DJ19" s="155"/>
      <c r="DK19" s="155"/>
      <c r="DL19" s="155"/>
      <c r="DM19" s="155"/>
      <c r="DN19" s="155"/>
      <c r="DO19" s="162"/>
      <c r="DQ19" s="350"/>
      <c r="DR19" s="155"/>
      <c r="DS19" s="155"/>
      <c r="DT19" s="155"/>
      <c r="DU19" s="155"/>
      <c r="DV19" s="155"/>
      <c r="DW19" s="348"/>
      <c r="DX19" s="348"/>
      <c r="DY19" s="348"/>
      <c r="DZ19" s="348"/>
      <c r="EA19" s="155"/>
      <c r="EB19" s="162"/>
      <c r="EC19" s="155"/>
      <c r="ED19" s="155"/>
      <c r="EE19" s="155"/>
      <c r="EF19" s="155"/>
      <c r="EG19" s="155"/>
      <c r="EH19" s="155"/>
      <c r="EI19" s="155"/>
      <c r="EJ19" s="155"/>
      <c r="EK19" s="155"/>
      <c r="EL19" s="155"/>
      <c r="EM19" s="155"/>
      <c r="EN19" s="155"/>
      <c r="EO19" s="155"/>
      <c r="EP19" s="155"/>
      <c r="EQ19" s="155"/>
      <c r="ER19" s="155"/>
      <c r="ES19" s="155"/>
      <c r="ET19" s="155"/>
      <c r="EU19" s="166"/>
      <c r="EV19" s="2333" t="s">
        <v>259</v>
      </c>
      <c r="EW19" s="2346" t="s">
        <v>169</v>
      </c>
      <c r="EX19" s="2211" t="s">
        <v>222</v>
      </c>
      <c r="EY19" s="2211" t="s">
        <v>223</v>
      </c>
      <c r="EZ19" s="2211" t="s">
        <v>224</v>
      </c>
      <c r="FA19" s="2211" t="s">
        <v>225</v>
      </c>
      <c r="FB19" s="2211" t="s">
        <v>226</v>
      </c>
      <c r="FC19" s="2211" t="s">
        <v>227</v>
      </c>
      <c r="FD19" s="2211" t="s">
        <v>228</v>
      </c>
      <c r="FE19" s="2211" t="s">
        <v>170</v>
      </c>
      <c r="FF19" s="2211" t="s">
        <v>229</v>
      </c>
      <c r="FG19" s="2211" t="s">
        <v>261</v>
      </c>
      <c r="FH19" s="2211" t="s">
        <v>171</v>
      </c>
      <c r="FI19" s="2211" t="s">
        <v>230</v>
      </c>
      <c r="FJ19" s="2211" t="s">
        <v>172</v>
      </c>
      <c r="FK19" s="2211" t="s">
        <v>231</v>
      </c>
      <c r="FL19" s="2211" t="s">
        <v>262</v>
      </c>
      <c r="FM19" s="2211" t="s">
        <v>173</v>
      </c>
      <c r="FN19" s="2211" t="s">
        <v>174</v>
      </c>
      <c r="FQ19" s="2295" t="s">
        <v>326</v>
      </c>
      <c r="FR19" s="2296"/>
      <c r="GA19" s="322"/>
      <c r="GB19" s="322"/>
      <c r="GC19" s="322"/>
      <c r="GD19" s="322"/>
      <c r="GE19" s="322"/>
      <c r="GF19" s="322"/>
      <c r="GG19" s="322"/>
      <c r="GH19" s="322"/>
      <c r="GI19" s="322"/>
      <c r="GJ19" s="322"/>
      <c r="HA19" s="2216" t="s">
        <v>297</v>
      </c>
      <c r="HB19" s="2217"/>
      <c r="HC19" s="2217"/>
      <c r="HD19" s="2217"/>
      <c r="HE19" s="2217"/>
      <c r="HF19" s="2217"/>
      <c r="HG19" s="2217"/>
      <c r="HH19" s="2217"/>
      <c r="HI19" s="2217"/>
      <c r="HJ19" s="2217"/>
      <c r="HK19" s="2217"/>
      <c r="HL19" s="2217"/>
      <c r="HM19" s="2217"/>
      <c r="HN19" s="2217"/>
      <c r="HO19" s="2217"/>
      <c r="HP19" s="2217"/>
      <c r="HQ19" s="2217"/>
      <c r="HR19" s="2217"/>
      <c r="HS19" s="2217"/>
      <c r="HT19" s="2217"/>
      <c r="HU19" s="2217"/>
      <c r="HV19" s="2218"/>
      <c r="HW19" s="2218"/>
      <c r="HX19" s="2218"/>
      <c r="HY19" s="2219"/>
      <c r="HZ19" s="2219"/>
      <c r="IA19" s="2219"/>
      <c r="IB19" s="2219"/>
      <c r="IC19" s="2219"/>
      <c r="ID19" s="2219"/>
      <c r="IE19" s="2219"/>
      <c r="IF19" s="2220"/>
    </row>
    <row r="20" spans="1:244" ht="12.6" customHeight="1" thickTop="1" thickBot="1" x14ac:dyDescent="0.25">
      <c r="A20" s="354"/>
      <c r="B20" s="354"/>
      <c r="C20" s="354"/>
      <c r="D20" s="355"/>
      <c r="E20" s="355"/>
      <c r="F20" s="355"/>
      <c r="G20" s="355"/>
      <c r="H20" s="355"/>
      <c r="I20" s="355"/>
      <c r="J20" s="355"/>
      <c r="K20" s="355"/>
      <c r="L20" s="355"/>
      <c r="M20" s="355"/>
      <c r="N20" s="355"/>
      <c r="O20" s="355"/>
      <c r="P20" s="355"/>
      <c r="Q20" s="355"/>
      <c r="R20" s="355"/>
      <c r="S20" s="355"/>
      <c r="T20" s="355"/>
      <c r="U20" s="355"/>
      <c r="V20" s="355"/>
      <c r="W20" s="322"/>
      <c r="X20" s="322"/>
      <c r="Y20" s="322"/>
      <c r="Z20" s="322"/>
      <c r="AA20" s="322"/>
      <c r="AU20" s="1787" t="s">
        <v>155</v>
      </c>
      <c r="AV20" s="2295" t="s">
        <v>156</v>
      </c>
      <c r="AW20" s="2296"/>
      <c r="AX20" s="400"/>
      <c r="BA20" s="356"/>
      <c r="BB20" s="2324"/>
      <c r="BC20" s="2325"/>
      <c r="BD20" s="2325"/>
      <c r="BE20" s="2325"/>
      <c r="BF20" s="2326"/>
      <c r="BG20" s="2256" t="s">
        <v>166</v>
      </c>
      <c r="BH20" s="2257"/>
      <c r="BI20" s="2257"/>
      <c r="BJ20" s="2257"/>
      <c r="BK20" s="2257"/>
      <c r="BL20" s="2258"/>
      <c r="BM20" s="2259"/>
      <c r="BN20" s="2259"/>
      <c r="BO20" s="2260"/>
      <c r="BP20" s="2260"/>
      <c r="BQ20" s="2260"/>
      <c r="BR20" s="2261"/>
      <c r="BS20" s="2256" t="s">
        <v>167</v>
      </c>
      <c r="BT20" s="2258"/>
      <c r="BU20" s="2258"/>
      <c r="BV20" s="2258"/>
      <c r="BW20" s="2258"/>
      <c r="BX20" s="2258"/>
      <c r="BY20" s="2259"/>
      <c r="BZ20" s="2259"/>
      <c r="CA20" s="2260"/>
      <c r="CB20" s="2260"/>
      <c r="CC20" s="2260"/>
      <c r="CD20" s="2261"/>
      <c r="CE20" s="2240" t="s">
        <v>414</v>
      </c>
      <c r="CF20" s="2243"/>
      <c r="CG20" s="2244"/>
      <c r="CH20" s="322"/>
      <c r="CI20" s="322"/>
      <c r="CJ20" s="322"/>
      <c r="CK20" s="322"/>
      <c r="CL20" s="868"/>
      <c r="CM20" s="869"/>
      <c r="CN20" s="2277"/>
      <c r="CO20" s="2278"/>
      <c r="CP20" s="2271"/>
      <c r="CQ20" s="2272"/>
      <c r="CR20" s="2302"/>
      <c r="CS20" s="2288"/>
      <c r="CU20" s="2251" t="s">
        <v>168</v>
      </c>
      <c r="CV20" s="2252"/>
      <c r="CW20" s="2252"/>
      <c r="CX20" s="2252"/>
      <c r="CY20" s="2252"/>
      <c r="CZ20" s="2252"/>
      <c r="DA20" s="2252"/>
      <c r="DB20" s="2252"/>
      <c r="DC20" s="2252"/>
      <c r="DD20" s="2253"/>
      <c r="DE20" s="2251" t="s">
        <v>167</v>
      </c>
      <c r="DF20" s="2252"/>
      <c r="DG20" s="2252"/>
      <c r="DH20" s="2252"/>
      <c r="DI20" s="2252"/>
      <c r="DJ20" s="2252"/>
      <c r="DK20" s="2252"/>
      <c r="DL20" s="2252"/>
      <c r="DM20" s="2252"/>
      <c r="DN20" s="2253"/>
      <c r="DQ20" s="357"/>
      <c r="DR20" s="155"/>
      <c r="DS20" s="351"/>
      <c r="DT20" s="351"/>
      <c r="DU20" s="351"/>
      <c r="DV20" s="351"/>
      <c r="DW20" s="155"/>
      <c r="DX20" s="155"/>
      <c r="DY20" s="155"/>
      <c r="DZ20" s="155"/>
      <c r="EA20" s="155"/>
      <c r="EB20" s="155"/>
      <c r="EC20" s="155"/>
      <c r="ED20" s="352"/>
      <c r="EE20" s="357"/>
      <c r="EF20" s="357"/>
      <c r="EG20" s="357"/>
      <c r="EH20" s="357"/>
      <c r="EI20" s="357"/>
      <c r="EJ20" s="357"/>
      <c r="EK20" s="357"/>
      <c r="EL20" s="357"/>
      <c r="EM20" s="357"/>
      <c r="EN20" s="357"/>
      <c r="EO20" s="357"/>
      <c r="EP20" s="357"/>
      <c r="EQ20" s="357"/>
      <c r="ER20" s="357"/>
      <c r="ES20" s="357"/>
      <c r="ET20" s="357"/>
      <c r="EU20" s="358"/>
      <c r="EV20" s="2334"/>
      <c r="EW20" s="2347"/>
      <c r="EX20" s="2212"/>
      <c r="EY20" s="2212"/>
      <c r="EZ20" s="2264"/>
      <c r="FA20" s="2212"/>
      <c r="FB20" s="2212"/>
      <c r="FC20" s="2212"/>
      <c r="FD20" s="2213"/>
      <c r="FE20" s="2213"/>
      <c r="FF20" s="2213"/>
      <c r="FG20" s="2213"/>
      <c r="FH20" s="2213"/>
      <c r="FI20" s="2213"/>
      <c r="FJ20" s="2213"/>
      <c r="FK20" s="2213"/>
      <c r="FL20" s="2213"/>
      <c r="FM20" s="2213"/>
      <c r="FN20" s="2213"/>
      <c r="FQ20" s="2297"/>
      <c r="FR20" s="2298"/>
      <c r="GA20" s="2372" t="s">
        <v>713</v>
      </c>
      <c r="GB20" s="2372"/>
      <c r="GC20" s="2372"/>
      <c r="GD20" s="2372"/>
      <c r="GE20" s="2372"/>
      <c r="GF20" s="2372"/>
      <c r="GG20" s="2201"/>
      <c r="GH20" s="2201"/>
      <c r="GI20" s="2201"/>
      <c r="GJ20" s="2201"/>
      <c r="GZ20" s="2367"/>
      <c r="HA20" s="2221"/>
      <c r="HB20" s="2222"/>
      <c r="HC20" s="2222"/>
      <c r="HD20" s="2222"/>
      <c r="HE20" s="2222"/>
      <c r="HF20" s="2222"/>
      <c r="HG20" s="2222"/>
      <c r="HH20" s="2222"/>
      <c r="HI20" s="2222"/>
      <c r="HJ20" s="2222"/>
      <c r="HK20" s="2222"/>
      <c r="HL20" s="2222"/>
      <c r="HM20" s="2222"/>
      <c r="HN20" s="2222"/>
      <c r="HO20" s="2222"/>
      <c r="HP20" s="2222"/>
      <c r="HQ20" s="2222"/>
      <c r="HR20" s="2222"/>
      <c r="HS20" s="2222"/>
      <c r="HT20" s="2222"/>
      <c r="HU20" s="2222"/>
      <c r="HV20" s="2223"/>
      <c r="HW20" s="2223"/>
      <c r="HX20" s="2223"/>
      <c r="HY20" s="2224"/>
      <c r="HZ20" s="2224"/>
      <c r="IA20" s="2224"/>
      <c r="IB20" s="2224"/>
      <c r="IC20" s="2224"/>
      <c r="ID20" s="2224"/>
      <c r="IE20" s="2224"/>
      <c r="IF20" s="2225"/>
    </row>
    <row r="21" spans="1:244" s="359" customFormat="1" ht="12.6" customHeight="1" thickTop="1" thickBot="1" x14ac:dyDescent="0.25">
      <c r="A21" s="2285" t="s">
        <v>40</v>
      </c>
      <c r="B21" s="2281" t="s">
        <v>28</v>
      </c>
      <c r="C21" s="2281" t="s">
        <v>24</v>
      </c>
      <c r="D21" s="2281" t="s">
        <v>25</v>
      </c>
      <c r="E21" s="2282"/>
      <c r="F21" s="1824" t="s">
        <v>9</v>
      </c>
      <c r="G21" s="1822"/>
      <c r="H21" s="1822"/>
      <c r="I21" s="1822" t="s">
        <v>10</v>
      </c>
      <c r="J21" s="1822"/>
      <c r="K21" s="1825"/>
      <c r="L21" s="1821" t="s">
        <v>11</v>
      </c>
      <c r="M21" s="1823"/>
      <c r="N21" s="1824" t="s">
        <v>12</v>
      </c>
      <c r="O21" s="1822"/>
      <c r="P21" s="1822"/>
      <c r="Q21" s="1822" t="s">
        <v>13</v>
      </c>
      <c r="R21" s="1822"/>
      <c r="S21" s="1823"/>
      <c r="T21" s="1824" t="s">
        <v>14</v>
      </c>
      <c r="U21" s="1822"/>
      <c r="V21" s="1822"/>
      <c r="W21" s="1822"/>
      <c r="X21" s="1825"/>
      <c r="Y21" s="1852" t="s">
        <v>85</v>
      </c>
      <c r="Z21" s="1853"/>
      <c r="AA21" s="970" t="s">
        <v>15</v>
      </c>
      <c r="AB21" s="1289"/>
      <c r="AU21" s="1788"/>
      <c r="AV21" s="2297"/>
      <c r="AW21" s="2298"/>
      <c r="AX21" s="445"/>
      <c r="AZ21" s="2254" t="s">
        <v>654</v>
      </c>
      <c r="BA21" s="339"/>
      <c r="BB21" s="2262" t="s">
        <v>236</v>
      </c>
      <c r="BC21" s="2304" t="s">
        <v>102</v>
      </c>
      <c r="BD21" s="2305" t="s">
        <v>237</v>
      </c>
      <c r="BE21" s="2306" t="s">
        <v>816</v>
      </c>
      <c r="BF21" s="2307"/>
      <c r="BG21" s="1863" t="s">
        <v>808</v>
      </c>
      <c r="BH21" s="2229" t="s">
        <v>413</v>
      </c>
      <c r="BI21" s="2230"/>
      <c r="BJ21" s="2233" t="s">
        <v>238</v>
      </c>
      <c r="BK21" s="2229" t="s">
        <v>660</v>
      </c>
      <c r="BL21" s="2230"/>
      <c r="BM21" s="2233" t="s">
        <v>185</v>
      </c>
      <c r="BN21" s="2320" t="s">
        <v>405</v>
      </c>
      <c r="BO21" s="2322" t="s">
        <v>801</v>
      </c>
      <c r="BP21" s="2142" t="s">
        <v>802</v>
      </c>
      <c r="BQ21" s="2143"/>
      <c r="BR21" s="2144"/>
      <c r="BS21" s="1863" t="s">
        <v>808</v>
      </c>
      <c r="BT21" s="2229" t="s">
        <v>413</v>
      </c>
      <c r="BU21" s="2230"/>
      <c r="BV21" s="2233" t="s">
        <v>238</v>
      </c>
      <c r="BW21" s="2229" t="s">
        <v>660</v>
      </c>
      <c r="BX21" s="2230"/>
      <c r="BY21" s="2233" t="s">
        <v>185</v>
      </c>
      <c r="BZ21" s="2327" t="s">
        <v>405</v>
      </c>
      <c r="CA21" s="2322" t="s">
        <v>801</v>
      </c>
      <c r="CB21" s="2142" t="s">
        <v>802</v>
      </c>
      <c r="CC21" s="2143"/>
      <c r="CD21" s="2144"/>
      <c r="CE21" s="2241"/>
      <c r="CF21" s="2245"/>
      <c r="CG21" s="2244"/>
      <c r="CH21" s="2292" t="s">
        <v>266</v>
      </c>
      <c r="CI21" s="2293"/>
      <c r="CJ21" s="2293"/>
      <c r="CK21" s="2292" t="s">
        <v>267</v>
      </c>
      <c r="CL21" s="2279" t="s">
        <v>400</v>
      </c>
      <c r="CM21" s="2279"/>
      <c r="CN21" s="2277"/>
      <c r="CO21" s="2278"/>
      <c r="CP21" s="2273"/>
      <c r="CQ21" s="2274"/>
      <c r="CR21" s="2302"/>
      <c r="CS21" s="2288"/>
      <c r="CU21" s="2290" t="s">
        <v>195</v>
      </c>
      <c r="CV21" s="2249" t="s">
        <v>196</v>
      </c>
      <c r="CW21" s="2249" t="s">
        <v>197</v>
      </c>
      <c r="CX21" s="2249" t="s">
        <v>198</v>
      </c>
      <c r="CY21" s="2249" t="s">
        <v>254</v>
      </c>
      <c r="CZ21" s="2249" t="s">
        <v>257</v>
      </c>
      <c r="DA21" s="2249" t="s">
        <v>199</v>
      </c>
      <c r="DB21" s="2249" t="s">
        <v>258</v>
      </c>
      <c r="DC21" s="2249" t="s">
        <v>200</v>
      </c>
      <c r="DD21" s="2249" t="s">
        <v>201</v>
      </c>
      <c r="DE21" s="2290" t="s">
        <v>195</v>
      </c>
      <c r="DF21" s="2249" t="s">
        <v>196</v>
      </c>
      <c r="DG21" s="2249" t="s">
        <v>202</v>
      </c>
      <c r="DH21" s="2249" t="s">
        <v>198</v>
      </c>
      <c r="DI21" s="2249" t="s">
        <v>254</v>
      </c>
      <c r="DJ21" s="2249" t="s">
        <v>257</v>
      </c>
      <c r="DK21" s="2249" t="s">
        <v>199</v>
      </c>
      <c r="DL21" s="2249" t="s">
        <v>258</v>
      </c>
      <c r="DM21" s="2249" t="s">
        <v>200</v>
      </c>
      <c r="DN21" s="2360" t="s">
        <v>201</v>
      </c>
      <c r="DO21" s="2358" t="s">
        <v>188</v>
      </c>
      <c r="DP21" s="2226" t="s">
        <v>203</v>
      </c>
      <c r="DQ21" s="2214" t="s">
        <v>204</v>
      </c>
      <c r="DR21" s="2344" t="s">
        <v>205</v>
      </c>
      <c r="DS21" s="2336" t="s">
        <v>240</v>
      </c>
      <c r="DT21" s="2338" t="s">
        <v>206</v>
      </c>
      <c r="DU21" s="2339"/>
      <c r="DV21" s="2365" t="s">
        <v>691</v>
      </c>
      <c r="DW21" s="2331" t="s">
        <v>692</v>
      </c>
      <c r="DX21" s="2356" t="s">
        <v>211</v>
      </c>
      <c r="DY21" s="2336" t="s">
        <v>241</v>
      </c>
      <c r="DZ21" s="2338" t="s">
        <v>208</v>
      </c>
      <c r="EA21" s="2339"/>
      <c r="EB21" s="2331" t="s">
        <v>693</v>
      </c>
      <c r="EC21" s="2331" t="s">
        <v>694</v>
      </c>
      <c r="ED21" s="2356" t="s">
        <v>213</v>
      </c>
      <c r="EE21" s="2214" t="s">
        <v>242</v>
      </c>
      <c r="EF21" s="2340" t="s">
        <v>243</v>
      </c>
      <c r="EG21" s="2341"/>
      <c r="EH21" s="2340" t="s">
        <v>244</v>
      </c>
      <c r="EI21" s="2342"/>
      <c r="EJ21" s="2344" t="s">
        <v>245</v>
      </c>
      <c r="EK21" s="2345"/>
      <c r="EL21" s="2214" t="s">
        <v>255</v>
      </c>
      <c r="EM21" s="2340" t="s">
        <v>246</v>
      </c>
      <c r="EN21" s="2341"/>
      <c r="EO21" s="2340" t="s">
        <v>247</v>
      </c>
      <c r="EP21" s="2342"/>
      <c r="EQ21" s="2344" t="s">
        <v>248</v>
      </c>
      <c r="ER21" s="2345"/>
      <c r="ES21" s="2214" t="s">
        <v>12</v>
      </c>
      <c r="ET21" s="2214" t="s">
        <v>13</v>
      </c>
      <c r="EU21" s="2344" t="s">
        <v>260</v>
      </c>
      <c r="EV21" s="2334"/>
      <c r="EW21" s="2347"/>
      <c r="EX21" s="2212"/>
      <c r="EY21" s="2212"/>
      <c r="EZ21" s="2264"/>
      <c r="FA21" s="2212"/>
      <c r="FB21" s="2212"/>
      <c r="FC21" s="2212"/>
      <c r="FD21" s="2213"/>
      <c r="FE21" s="2213"/>
      <c r="FF21" s="2213"/>
      <c r="FG21" s="2213"/>
      <c r="FH21" s="2213"/>
      <c r="FI21" s="2213"/>
      <c r="FJ21" s="2213"/>
      <c r="FK21" s="2213"/>
      <c r="FL21" s="2213"/>
      <c r="FM21" s="2213"/>
      <c r="FN21" s="2213"/>
      <c r="FO21" s="2214" t="s">
        <v>268</v>
      </c>
      <c r="FP21" s="2214" t="s">
        <v>269</v>
      </c>
      <c r="FQ21" s="2228" t="s">
        <v>324</v>
      </c>
      <c r="FR21" s="2237" t="s">
        <v>325</v>
      </c>
      <c r="FS21" s="2226" t="s">
        <v>351</v>
      </c>
      <c r="FT21" s="2247" t="s">
        <v>352</v>
      </c>
      <c r="FU21" s="1977" t="s">
        <v>401</v>
      </c>
      <c r="FV21" s="1978"/>
      <c r="GA21" s="1943" t="s">
        <v>361</v>
      </c>
      <c r="GB21" s="1944"/>
      <c r="GC21" s="1943" t="s">
        <v>253</v>
      </c>
      <c r="GD21" s="1944"/>
      <c r="GE21" s="1987" t="s">
        <v>364</v>
      </c>
      <c r="GF21" s="1989" t="s">
        <v>40</v>
      </c>
      <c r="GG21" s="2370" t="s">
        <v>715</v>
      </c>
      <c r="GH21" s="2371"/>
      <c r="GI21" s="2370" t="s">
        <v>714</v>
      </c>
      <c r="GJ21" s="2371"/>
      <c r="GK21" s="2268" t="s">
        <v>365</v>
      </c>
      <c r="GL21" s="2239" t="s">
        <v>366</v>
      </c>
      <c r="GM21" s="2239" t="s">
        <v>367</v>
      </c>
      <c r="GN21" s="1051"/>
      <c r="GO21" s="1051"/>
      <c r="GP21" s="1051"/>
      <c r="GQ21" s="1051"/>
      <c r="GR21" s="1051"/>
      <c r="GS21" s="1051"/>
      <c r="GT21" s="1051"/>
      <c r="GU21" s="1051"/>
      <c r="GV21" s="1051"/>
      <c r="GW21" s="1051"/>
      <c r="GX21" s="1051"/>
      <c r="GY21" s="1051"/>
      <c r="GZ21" s="2368"/>
      <c r="HA21" s="2235" t="s">
        <v>236</v>
      </c>
      <c r="HB21" s="2369" t="s">
        <v>102</v>
      </c>
      <c r="HC21" s="2369" t="s">
        <v>237</v>
      </c>
      <c r="HD21" s="2265" t="e">
        <f>IF($HA$1,"Joist ""BayLength""","Overall Length")</f>
        <v>#REF!</v>
      </c>
      <c r="HE21" s="2266"/>
      <c r="HF21" s="2207" t="e">
        <f>IF($HA$1,"Left Sect. #","TCXL Feet")</f>
        <v>#REF!</v>
      </c>
      <c r="HG21" s="2207" t="e">
        <f>IF($HA$1,"L Min Sup Width","TCXL Inch")</f>
        <v>#REF!</v>
      </c>
      <c r="HH21" s="2207" t="e">
        <f>IF($HA$1,"L Max Sup Width","TCXL Type")</f>
        <v>#REF!</v>
      </c>
      <c r="HI21" s="2207" t="e">
        <f>IF($HA$1,"Left Bolt ""X""","TCXR Feet")</f>
        <v>#REF!</v>
      </c>
      <c r="HJ21" s="2207" t="e">
        <f>IF($HA$1,"L Min Flg Ga","TCXR Inch")</f>
        <v>#REF!</v>
      </c>
      <c r="HK21" s="2207" t="e">
        <f>IF($HA$1,"L Max Flg Ga","TCXR Type")</f>
        <v>#REF!</v>
      </c>
      <c r="HL21" s="2207" t="e">
        <f>IF($HA$1,"Left Skew","BDL")</f>
        <v>#REF!</v>
      </c>
      <c r="HM21" s="2207" t="e">
        <f>IF($HA$1,"Left Brg Slp","BDR")</f>
        <v>#REF!</v>
      </c>
      <c r="HN21" s="2207" t="e">
        <f>IF($HA$1,"Right Sect. #","BCXL Feet")</f>
        <v>#REF!</v>
      </c>
      <c r="HO21" s="2207" t="e">
        <f>IF($HA$1,"R Min Sup Width","BCXL Inch")</f>
        <v>#REF!</v>
      </c>
      <c r="HP21" s="2207" t="e">
        <f>IF($HA$1,"R Max Sup Width","BCXL Type")</f>
        <v>#REF!</v>
      </c>
      <c r="HQ21" s="2207" t="e">
        <f>IF($HA$1,"Right Bolt ""X""","BCXR Feet")</f>
        <v>#REF!</v>
      </c>
      <c r="HR21" s="2207" t="e">
        <f>IF($HA$1,"R Min Flg Ga","BCXR Inch")</f>
        <v>#REF!</v>
      </c>
      <c r="HS21" s="2207" t="e">
        <f>IF($HA$1,"R Max Flg Ga","BCXR Type")</f>
        <v>#REF!</v>
      </c>
      <c r="HT21" s="2207" t="e">
        <f>IF($HA$1,"Right Skew","HL Feet")</f>
        <v>#REF!</v>
      </c>
      <c r="HU21" s="2207" t="e">
        <f>IF($HA$1,"Right Brg Slp","HL Inch")</f>
        <v>#REF!</v>
      </c>
      <c r="HV21" s="2207" t="e">
        <f>IF($HA$1,"TC Slope","HR Feet")</f>
        <v>#REF!</v>
      </c>
      <c r="HW21" s="2207" t="e">
        <f>IF($HA$1,"Load Notes","HR Inch")</f>
        <v>#REF!</v>
      </c>
      <c r="HX21" s="2207" t="e">
        <f>IF($HA$1,"Spcl Notes","Slot Ga")</f>
        <v>#REF!</v>
      </c>
      <c r="HY21" s="2207" t="e">
        <f>IF($HA$1,"TC L Override","L Seat Slp")</f>
        <v>#REF!</v>
      </c>
      <c r="HZ21" s="2207" t="e">
        <f>IF($HA$1,"TCR Override","R Seat Slp")</f>
        <v>#REF!</v>
      </c>
      <c r="IA21" s="2207" t="e">
        <f>IF($HA$1,"L-BL Override","Sp Notes")</f>
        <v>#REF!</v>
      </c>
      <c r="IB21" s="2207" t="e">
        <f>IF($HA$1,"R-BL Override","Ld Notes")</f>
        <v>#REF!</v>
      </c>
      <c r="IC21" s="2207" t="e">
        <f>IF($HA$1,"BCXL ""X""","-")</f>
        <v>#REF!</v>
      </c>
      <c r="ID21" s="2207" t="e">
        <f>IF($HA$1,"BCXR ""X""","-")</f>
        <v>#REF!</v>
      </c>
      <c r="IE21" s="2207" t="e">
        <f>IF($HA$1,"BDL Override","-")</f>
        <v>#REF!</v>
      </c>
      <c r="IF21" s="2209" t="e">
        <f>IF($HA$1,"BDR Override","-")</f>
        <v>#REF!</v>
      </c>
      <c r="IG21" s="1518"/>
      <c r="IH21" s="1518"/>
      <c r="II21" s="1518"/>
      <c r="IJ21" s="1518"/>
    </row>
    <row r="22" spans="1:244" s="359" customFormat="1" ht="12.6" customHeight="1" thickTop="1" thickBot="1" x14ac:dyDescent="0.25">
      <c r="A22" s="2286"/>
      <c r="B22" s="2283"/>
      <c r="C22" s="2283"/>
      <c r="D22" s="2283"/>
      <c r="E22" s="2284"/>
      <c r="F22" s="1828" t="s">
        <v>16</v>
      </c>
      <c r="G22" s="1829"/>
      <c r="H22" s="1022" t="s">
        <v>385</v>
      </c>
      <c r="I22" s="1829" t="s">
        <v>16</v>
      </c>
      <c r="J22" s="1829"/>
      <c r="K22" s="976" t="s">
        <v>385</v>
      </c>
      <c r="L22" s="1026" t="s">
        <v>18</v>
      </c>
      <c r="M22" s="395" t="s">
        <v>19</v>
      </c>
      <c r="N22" s="1828" t="s">
        <v>16</v>
      </c>
      <c r="O22" s="1829"/>
      <c r="P22" s="1022" t="s">
        <v>385</v>
      </c>
      <c r="Q22" s="1829" t="s">
        <v>16</v>
      </c>
      <c r="R22" s="1829"/>
      <c r="S22" s="395" t="s">
        <v>385</v>
      </c>
      <c r="T22" s="1828" t="s">
        <v>71</v>
      </c>
      <c r="U22" s="1829"/>
      <c r="V22" s="1829" t="s">
        <v>72</v>
      </c>
      <c r="W22" s="1829"/>
      <c r="X22" s="976" t="s">
        <v>27</v>
      </c>
      <c r="Y22" s="1026" t="s">
        <v>86</v>
      </c>
      <c r="Z22" s="395" t="s">
        <v>87</v>
      </c>
      <c r="AA22" s="971" t="s">
        <v>57</v>
      </c>
      <c r="AB22" s="1288"/>
      <c r="AC22" s="897" t="s">
        <v>689</v>
      </c>
      <c r="AD22" s="360" t="s">
        <v>64</v>
      </c>
      <c r="AE22" s="361" t="s">
        <v>65</v>
      </c>
      <c r="AF22" s="361" t="s">
        <v>66</v>
      </c>
      <c r="AG22" s="361" t="s">
        <v>67</v>
      </c>
      <c r="AH22" s="362" t="s">
        <v>88</v>
      </c>
      <c r="AI22" s="363" t="s">
        <v>138</v>
      </c>
      <c r="AJ22" s="296" t="s">
        <v>139</v>
      </c>
      <c r="AK22" s="296" t="s">
        <v>140</v>
      </c>
      <c r="AL22" s="296" t="s">
        <v>141</v>
      </c>
      <c r="AM22" s="296" t="s">
        <v>117</v>
      </c>
      <c r="AN22" s="296" t="s">
        <v>398</v>
      </c>
      <c r="AO22" s="296" t="s">
        <v>399</v>
      </c>
      <c r="AP22" s="296" t="s">
        <v>146</v>
      </c>
      <c r="AQ22" s="296" t="s">
        <v>143</v>
      </c>
      <c r="AR22" s="296" t="s">
        <v>142</v>
      </c>
      <c r="AS22" s="296" t="s">
        <v>144</v>
      </c>
      <c r="AT22" s="296" t="s">
        <v>145</v>
      </c>
      <c r="AU22" s="1789"/>
      <c r="AV22" s="2299"/>
      <c r="AW22" s="2300"/>
      <c r="AX22" s="446" t="s">
        <v>308</v>
      </c>
      <c r="AY22" s="446" t="s">
        <v>103</v>
      </c>
      <c r="AZ22" s="2255"/>
      <c r="BA22" s="339"/>
      <c r="BB22" s="1995"/>
      <c r="BC22" s="2068"/>
      <c r="BD22" s="1867"/>
      <c r="BE22" s="2308"/>
      <c r="BF22" s="2309"/>
      <c r="BG22" s="1864"/>
      <c r="BH22" s="2231"/>
      <c r="BI22" s="2232"/>
      <c r="BJ22" s="2234"/>
      <c r="BK22" s="2231"/>
      <c r="BL22" s="2232"/>
      <c r="BM22" s="2246"/>
      <c r="BN22" s="2321"/>
      <c r="BO22" s="2323"/>
      <c r="BP22" s="1425" t="s">
        <v>803</v>
      </c>
      <c r="BQ22" s="1426" t="s">
        <v>804</v>
      </c>
      <c r="BR22" s="1427" t="s">
        <v>198</v>
      </c>
      <c r="BS22" s="1864"/>
      <c r="BT22" s="2231"/>
      <c r="BU22" s="2232"/>
      <c r="BV22" s="2234"/>
      <c r="BW22" s="2231"/>
      <c r="BX22" s="2232"/>
      <c r="BY22" s="2246"/>
      <c r="BZ22" s="2328"/>
      <c r="CA22" s="2323"/>
      <c r="CB22" s="1425" t="s">
        <v>803</v>
      </c>
      <c r="CC22" s="1426" t="s">
        <v>804</v>
      </c>
      <c r="CD22" s="1427" t="s">
        <v>198</v>
      </c>
      <c r="CE22" s="2242"/>
      <c r="CF22" s="1433" t="s">
        <v>151</v>
      </c>
      <c r="CG22" s="1428" t="s">
        <v>250</v>
      </c>
      <c r="CH22" s="441" t="s">
        <v>263</v>
      </c>
      <c r="CI22" s="366" t="s">
        <v>264</v>
      </c>
      <c r="CJ22" s="367" t="s">
        <v>265</v>
      </c>
      <c r="CK22" s="2294"/>
      <c r="CL22" s="442" t="s">
        <v>282</v>
      </c>
      <c r="CM22" s="443" t="s">
        <v>283</v>
      </c>
      <c r="CN22" s="438" t="s">
        <v>282</v>
      </c>
      <c r="CO22" s="368" t="s">
        <v>283</v>
      </c>
      <c r="CP22" s="369" t="s">
        <v>217</v>
      </c>
      <c r="CQ22" s="370" t="s">
        <v>137</v>
      </c>
      <c r="CR22" s="2303"/>
      <c r="CS22" s="2289"/>
      <c r="CU22" s="2291"/>
      <c r="CV22" s="2351"/>
      <c r="CW22" s="2351"/>
      <c r="CX22" s="2250"/>
      <c r="CY22" s="2250"/>
      <c r="CZ22" s="2250"/>
      <c r="DA22" s="2250"/>
      <c r="DB22" s="2250"/>
      <c r="DC22" s="2250"/>
      <c r="DD22" s="2250"/>
      <c r="DE22" s="2291"/>
      <c r="DF22" s="2351"/>
      <c r="DG22" s="2351"/>
      <c r="DH22" s="2250"/>
      <c r="DI22" s="2250"/>
      <c r="DJ22" s="2250"/>
      <c r="DK22" s="2250"/>
      <c r="DL22" s="2250"/>
      <c r="DM22" s="2250"/>
      <c r="DN22" s="2361"/>
      <c r="DO22" s="2359"/>
      <c r="DP22" s="2248"/>
      <c r="DQ22" s="2355"/>
      <c r="DR22" s="2364"/>
      <c r="DS22" s="2337"/>
      <c r="DT22" s="371" t="s">
        <v>251</v>
      </c>
      <c r="DU22" s="371" t="s">
        <v>252</v>
      </c>
      <c r="DV22" s="2366"/>
      <c r="DW22" s="2332"/>
      <c r="DX22" s="2357"/>
      <c r="DY22" s="2337"/>
      <c r="DZ22" s="371" t="s">
        <v>251</v>
      </c>
      <c r="EA22" s="371" t="s">
        <v>252</v>
      </c>
      <c r="EB22" s="2332"/>
      <c r="EC22" s="2332"/>
      <c r="ED22" s="2357"/>
      <c r="EE22" s="2343"/>
      <c r="EF22" s="372" t="s">
        <v>218</v>
      </c>
      <c r="EG22" s="373" t="s">
        <v>219</v>
      </c>
      <c r="EH22" s="372" t="s">
        <v>218</v>
      </c>
      <c r="EI22" s="373" t="s">
        <v>219</v>
      </c>
      <c r="EJ22" s="372" t="s">
        <v>218</v>
      </c>
      <c r="EK22" s="373" t="s">
        <v>219</v>
      </c>
      <c r="EL22" s="2343"/>
      <c r="EM22" s="372" t="s">
        <v>218</v>
      </c>
      <c r="EN22" s="373" t="s">
        <v>219</v>
      </c>
      <c r="EO22" s="372" t="s">
        <v>218</v>
      </c>
      <c r="EP22" s="373" t="s">
        <v>219</v>
      </c>
      <c r="EQ22" s="372" t="s">
        <v>218</v>
      </c>
      <c r="ER22" s="373" t="s">
        <v>219</v>
      </c>
      <c r="ES22" s="2215"/>
      <c r="ET22" s="2215"/>
      <c r="EU22" s="2348"/>
      <c r="EV22" s="2335"/>
      <c r="EW22" s="2347"/>
      <c r="EX22" s="2212"/>
      <c r="EY22" s="2212"/>
      <c r="EZ22" s="2264"/>
      <c r="FA22" s="2212"/>
      <c r="FB22" s="2212"/>
      <c r="FC22" s="2212"/>
      <c r="FD22" s="2213"/>
      <c r="FE22" s="2213"/>
      <c r="FF22" s="2213"/>
      <c r="FG22" s="2213"/>
      <c r="FH22" s="2213"/>
      <c r="FI22" s="2213"/>
      <c r="FJ22" s="2213"/>
      <c r="FK22" s="2213"/>
      <c r="FL22" s="2213"/>
      <c r="FM22" s="2213"/>
      <c r="FN22" s="2213"/>
      <c r="FO22" s="2215"/>
      <c r="FP22" s="2215"/>
      <c r="FQ22" s="2215"/>
      <c r="FR22" s="2238"/>
      <c r="FS22" s="2227"/>
      <c r="FT22" s="2238"/>
      <c r="FU22" s="451" t="s">
        <v>282</v>
      </c>
      <c r="FV22" s="452" t="s">
        <v>283</v>
      </c>
      <c r="GA22" s="936" t="s">
        <v>698</v>
      </c>
      <c r="GB22" s="937" t="s">
        <v>363</v>
      </c>
      <c r="GC22" s="938" t="s">
        <v>282</v>
      </c>
      <c r="GD22" s="939" t="s">
        <v>283</v>
      </c>
      <c r="GE22" s="1988"/>
      <c r="GF22" s="1988"/>
      <c r="GG22" s="940" t="s">
        <v>698</v>
      </c>
      <c r="GH22" s="941" t="s">
        <v>363</v>
      </c>
      <c r="GI22" s="940" t="s">
        <v>698</v>
      </c>
      <c r="GJ22" s="941" t="s">
        <v>363</v>
      </c>
      <c r="GK22" s="2269"/>
      <c r="GL22" s="1948"/>
      <c r="GM22" s="1948"/>
      <c r="GN22" s="1051"/>
      <c r="GO22" s="1051"/>
      <c r="GP22" s="1051"/>
      <c r="GQ22" s="1051"/>
      <c r="GR22" s="1051"/>
      <c r="GS22" s="1051"/>
      <c r="GT22" s="1051"/>
      <c r="GU22" s="1051"/>
      <c r="GV22" s="1051"/>
      <c r="GW22" s="1051"/>
      <c r="GX22" s="1051"/>
      <c r="GY22" s="1051"/>
      <c r="GZ22" s="2368"/>
      <c r="HA22" s="2236"/>
      <c r="HB22" s="2267"/>
      <c r="HC22" s="2267"/>
      <c r="HD22" s="2267"/>
      <c r="HE22" s="2267"/>
      <c r="HF22" s="2208"/>
      <c r="HG22" s="2208"/>
      <c r="HH22" s="2208"/>
      <c r="HI22" s="2208"/>
      <c r="HJ22" s="2208"/>
      <c r="HK22" s="2208"/>
      <c r="HL22" s="2208"/>
      <c r="HM22" s="2208"/>
      <c r="HN22" s="2208"/>
      <c r="HO22" s="2208"/>
      <c r="HP22" s="2208"/>
      <c r="HQ22" s="2208"/>
      <c r="HR22" s="2208"/>
      <c r="HS22" s="2208"/>
      <c r="HT22" s="2208"/>
      <c r="HU22" s="2208"/>
      <c r="HV22" s="2208"/>
      <c r="HW22" s="2208"/>
      <c r="HX22" s="2208"/>
      <c r="HY22" s="2208"/>
      <c r="HZ22" s="2208"/>
      <c r="IA22" s="2208"/>
      <c r="IB22" s="2208"/>
      <c r="IC22" s="2208"/>
      <c r="ID22" s="2208"/>
      <c r="IE22" s="2208"/>
      <c r="IF22" s="2210"/>
      <c r="IG22" s="1518"/>
      <c r="IH22" s="1518"/>
      <c r="II22" s="1518"/>
      <c r="IJ22" s="1518"/>
    </row>
    <row r="23" spans="1:244" ht="12.6" customHeight="1" thickTop="1" x14ac:dyDescent="0.25">
      <c r="A23" s="1132" t="str">
        <f t="shared" ref="A23:A40" si="1">IF(BB23="","",UPPER(BB23))</f>
        <v/>
      </c>
      <c r="B23" s="1586" t="str">
        <f t="shared" ref="B23:B40" si="2">IF(BC23="","",BC23)</f>
        <v/>
      </c>
      <c r="C23" s="1133" t="str">
        <f t="shared" ref="C23:C40" si="3">IF(BD23="","",UPPER(BD23))</f>
        <v/>
      </c>
      <c r="D23" s="1134" t="str">
        <f>IF(DP23="","",TRUNC(DP23/12))</f>
        <v/>
      </c>
      <c r="E23" s="1644" t="str">
        <f>IF(DP23="","",DP23-(D23*12))</f>
        <v/>
      </c>
      <c r="F23" s="1137" t="str">
        <f>IF(DX23=0,"",TRUNC(DX23/12))</f>
        <v/>
      </c>
      <c r="G23" s="1138" t="str">
        <f>IF(DX23=0,"",DX23-(F23*12))</f>
        <v/>
      </c>
      <c r="H23" s="1645" t="str">
        <f>IF(DX23=0,"",CW23)</f>
        <v/>
      </c>
      <c r="I23" s="1134" t="str">
        <f>IF(ED23=0,"",TRUNC(ED23/12))</f>
        <v/>
      </c>
      <c r="J23" s="1138" t="str">
        <f>IF(ED23=0,"",ED23-(I23*12))</f>
        <v/>
      </c>
      <c r="K23" s="1646" t="str">
        <f>IF(ED23=0,"",DG23)</f>
        <v/>
      </c>
      <c r="L23" s="1141" t="str">
        <f t="shared" ref="L23:M25" si="4">DQ23</f>
        <v/>
      </c>
      <c r="M23" s="1142" t="str">
        <f t="shared" si="4"/>
        <v/>
      </c>
      <c r="N23" s="1137" t="str">
        <f>IF(ES23="","",IF(AND(ES23&lt;0,ES23&gt;-12),TRUNC(ES23/12)-0.0000001,TRUNC(ES23/12)))</f>
        <v/>
      </c>
      <c r="O23" s="1138" t="str">
        <f>IF(ES23="","",IF(AND(ES23-(N23*12)=0,ES23&lt;0),-0.000001,ES23-(N23*12)))</f>
        <v/>
      </c>
      <c r="P23" s="1139" t="str">
        <f>IF(ES23="","",IF(OR(CW23="Q",CW23="C"),3,CZ23))</f>
        <v/>
      </c>
      <c r="Q23" s="1134" t="str">
        <f>IF(ET23="","",IF(AND(ET23&lt;0,ET23&gt;-12),TRUNC(ET23/12)-0.0000001,TRUNC(ET23/12)))</f>
        <v/>
      </c>
      <c r="R23" s="1138" t="str">
        <f>IF(ET23="","",IF(AND(ET23-(Q23*12)=0,ET23&lt;0),-0.000001,ET23-(Q23*12)))</f>
        <v/>
      </c>
      <c r="S23" s="1625" t="str">
        <f>IF(ET23="","",IF(OR(DG23="Q",DG23="C"),3,DJ23))</f>
        <v/>
      </c>
      <c r="T23" s="1137" t="str">
        <f>IF(CH23="ERR","",IF(EK23="","",IF(EK23="ERR",TRUNC(EJ23/12),TRUNC(EK23/12))))</f>
        <v/>
      </c>
      <c r="U23" s="1138" t="str">
        <f>IF(CH23="ERR","",IF(EK23="","",IF(EK23="ERR",EJ23-(T23*12),EK23-(T23*12))))</f>
        <v/>
      </c>
      <c r="V23" s="1134" t="str">
        <f>IF(CI23="ERR","",IF(ER23="","",IF(ER23="ERR",TRUNC(EQ23/12),TRUNC(ER23/12))))</f>
        <v/>
      </c>
      <c r="W23" s="1138" t="str">
        <f>IF(CI23="ERR","",IF(ER23="","",IF(ER23="ERR",EQ23-(V23*12),ER23-(V23*12))))</f>
        <v/>
      </c>
      <c r="X23" s="1622">
        <f>IF(EV23="",0,EV23)</f>
        <v>0</v>
      </c>
      <c r="Y23" s="1647" t="str">
        <f>FG23</f>
        <v/>
      </c>
      <c r="Z23" s="1648" t="str">
        <f>FL23</f>
        <v/>
      </c>
      <c r="AA23" s="1649" t="str">
        <f t="shared" ref="AA23:AA40" si="5">CONCATENATE(IF(CG23="","",CONCATENATE("[",SUBSTITUTE(CG23," ",""),"]")),IF(CF23="","",CONCATENATE("(",SUBSTITUTE(CF23," ",""),") ")))</f>
        <v/>
      </c>
      <c r="AB23" s="1288"/>
      <c r="AC23" s="898" t="b">
        <v>0</v>
      </c>
      <c r="AD23" s="374">
        <f t="shared" ref="AD23:AD40" si="6">IF($C23="",0,IF(SUM(AE23:AG23)&gt;0,0,IF(ISERROR(SEARCH("K",$C23,1))=TRUE,0,$B23)))</f>
        <v>0</v>
      </c>
      <c r="AE23" s="375">
        <f t="shared" ref="AE23:AE40" si="7">IF(ISERROR(SEARCH("LH",$C23,1))=TRUE,0,$B23)</f>
        <v>0</v>
      </c>
      <c r="AF23" s="375">
        <f t="shared" ref="AF23:AF40" si="8">IF(ISERROR(SEARCH("JS",$C23))=TRUE,IF(ISERROR(SEARCH("2.5K",$C23))=TRUE,0,$B23),$B23)</f>
        <v>0</v>
      </c>
      <c r="AG23" s="375">
        <f t="shared" ref="AG23:AG40" si="9">IF(ISERROR(SEARCH("HDR",$C23,1))=TRUE,0,$B23)</f>
        <v>0</v>
      </c>
      <c r="AH23" s="376">
        <f t="shared" ref="AH23:AH40" si="10">IF(ISERROR(SEARCH("CJ",$C23,1))=TRUE,0,$B23)</f>
        <v>0</v>
      </c>
      <c r="AI23" s="377" t="b">
        <v>0</v>
      </c>
      <c r="AJ23" s="143">
        <f>IF(OR(ISERROR(VALUE(LEFT(C23,SEARCH(AK23,C23)-1))),AK23=""),0,VALUE(LEFT(C23,SEARCH(AK23,C23)-1)))</f>
        <v>0</v>
      </c>
      <c r="AK23" s="143" t="str">
        <f t="shared" ref="AK23:AK40" si="11">IF(AV23="",AW23,AV23)</f>
        <v/>
      </c>
      <c r="AL23" s="1207" t="str">
        <f t="shared" ref="AL23:AL40" si="12">IF(AK23="","",IF(ISERROR(SEARCH("/",C23)),IF(VALUE(MID(C23,SEARCH(AK23,C23)+LEN(AK23),LEN(C23)))&gt;25,"",VALUE(MID(C23,SEARCH(AK23,C23)+LEN(AK23),LEN(C23)))),""))</f>
        <v/>
      </c>
      <c r="AM23" s="143" t="str">
        <f t="shared" ref="AM23:AM40" si="13">IF(AK23="","",IF(ISERROR(SEARCH("/",C23)),IF(VALUE(MID(C23,SEARCH(AK23,C23)+LEN(AK23),LEN(C23)))&lt;26,"",VALUE(MID(C23,SEARCH(AK23,C23)+LEN(AK23),LEN(C23)))),VALUE(MID(C23,SEARCH(AK23,C23)+LEN(AK23),SEARCH("/",C23)-SEARCH(AK23,C23)-LEN(AK23)))))</f>
        <v/>
      </c>
      <c r="AN23" s="143" t="str">
        <f t="shared" ref="AN23:AN40" si="14">IF(AK23="","",IF(AK23="CJ",MID(MID(C23,SEARCH("/",C23)+1,LEN(C23)),1,SEARCH("/",MID(C23,SEARCH("/",C23)+1,LEN(C23)))-1),IF(ISERROR(SEARCH("/",C23)),"",VALUE(MID(C23,SEARCH("/",C23)+1,LEN(C23))))))</f>
        <v/>
      </c>
      <c r="AO23" s="143" t="str">
        <f t="shared" ref="AO23:AO40" si="15">IF(AK23="CJ",VALUE(MID(MID(C23,SEARCH("/",C23)+1,LEN(C23)),SEARCH("/",MID(C23,SEARCH("/",C23)+1,LEN(C23)))+1,LEN(MID(C23,SEARCH("/",C23)+1,LEN(C23))))),"")</f>
        <v/>
      </c>
      <c r="AP23" s="771" t="b">
        <f>IF(ISERROR(AJ23),FALSE,IF(OR(AJ23=0,ISERROR(AL23),ISERROR(AM23),ISERROR(AN23),ISERROR(AO23)),FALSE,IF(AL23&lt;&gt;"",IF(ISERROR(VLOOKUP(SUBSTITUTE(SUBSTITUTE(C23,"R",""),"A",""),#REF!,1,FALSE)),FALSE,TRUE),TRUE)))</f>
        <v>0</v>
      </c>
      <c r="AQ23" s="945" t="e">
        <f t="shared" ref="AQ23:AQ40" si="16">VLOOKUP(AK23,$DF$2:$DN$9,4,FALSE)+IF(LEFT(H23,1)="R",IF(ISNUMBER(F23),F23*12,0)+IF(ISNUMBER(G23),G23,0),0)</f>
        <v>#N/A</v>
      </c>
      <c r="AR23" s="877" t="b">
        <f>IF(IF(ISNUMBER(T23),T23*12,0)+IF(ISNUMBER(U23),U23,0)&gt;0,IF(AND(IF(ISNUMBER(T23),T23*12,0)+IF(ISNUMBER(U23),U23,0)&gt;=VLOOKUP(AU23,$DF$2:$DN$9,8,FALSE)/2+$DQ$2,IF(ISNUMBER(T23),T23*12,0)+IF(ISNUMBER(U23),U23,0)&lt;=(AQ23-(VLOOKUP(AU23,$DF$2:$DN$9,8,FALSE)/2+$DQ$2))+IF(H23="X",2,0)),TRUE,FALSE),FALSE)</f>
        <v>0</v>
      </c>
      <c r="AS23" s="945" t="e">
        <f t="shared" ref="AS23:AS40" si="17">VLOOKUP(AK23,$DF$2:$DN$9,4,FALSE)+IF(LEFT(K23,1)="R",(IF(ISNUMBER(I23),I23*12,0)+IF(ISNUMBER(J23),J23,0)),0)</f>
        <v>#N/A</v>
      </c>
      <c r="AT23" s="877" t="b">
        <f>IF(IF(ISNUMBER(V23),V23*12,0)+IF(ISNUMBER(W23),W23,0)&gt;0,IF(AND((IF(ISNUMBER(V23),V23*12,0)+IF(ISNUMBER(W23),W23,0))&gt;=VLOOKUP(AU23,$DF$2:$DN$9,8,FALSE)/2+$DQ$2,(IF(ISNUMBER(V23),V23*12,0)+IF(ISNUMBER(W23),W23,0))&lt;=(AS23-(VLOOKUP(AU23,$DF$2:$DN$9,8,FALSE)/2+$DQ$2))+IF(K23="X",2,0)),TRUE,FALSE),FALSE)</f>
        <v>0</v>
      </c>
      <c r="AU23" s="1208" t="str">
        <f t="shared" ref="AU23:AU40" si="18">IF(ISERROR(AJ23),IF(AK23&lt;&gt;"HDR","",AK23),IF(AND(AJ23=2.5,AK23="K"),"JS",IF(OR(AK23="KCSR",AK23="KCSA",AK23="KCS"),"KCS",IF(OR(AK23="KR",AK23="KA",AK23="K"),"K",IF(AK23="LH",IF(ISERROR(AL23),IF(NOT(ISERROR(VALUE(LEFT(MID(C23,SEARCH(AK23,C23)+LEN(AK23),LEN(C23)),2)))),IF(VALUE(LEFT(MID(C23,SEARCH(AK23,C23)+LEN(AK23),LEN(C23)),2))&lt;7,"LH&lt;7",AK23),AK23),IF(VALUE(LEFT(MID(C23,SEARCH(AK23,C23)+LEN(AK23),LEN(C23)),2))&lt;7,"LH&lt;7",AK23)),AK23)))))</f>
        <v/>
      </c>
      <c r="AV23" s="771" t="str">
        <f t="shared" ref="AV23:AV40" si="19">IF(NOT(ISERROR(SEARCH("KCSR",C23))),"KCSR",IF(NOT(ISERROR(SEARCH("KCSA",C23))),"KCSA",IF(NOT(ISERROR(SEARCH("KCS",C23))),"KCS",IF(NOT(ISERROR(SEARCH("KR",C23))),"KR",IF(NOT(ISERROR(SEARCH("KA",C23))),"KA",IF(NOT(ISERROR(SEARCH("K",C23))),"K",IF(NOT(ISERROR(SEARCH("CJ",C23))),"CJ","")))))))</f>
        <v/>
      </c>
      <c r="AW23" s="771" t="str">
        <f>IF(NOT(ISERROR(SEARCH("HDR",C23))),"HDR",IF(NOT(ISERROR(SEARCH("JS",C23))),"JS",IF(NOT(ISERROR(SEARCH("SLH",C23))),"SLH",IF(NOT(ISERROR(SEARCH("DLH",C23))),"DLH",IF(NOT(ISERROR(SEARCH("LH",C23))),"LH","")))))</f>
        <v/>
      </c>
      <c r="AX23" s="771" t="str">
        <f>IF(OR(ISBLANK(A23),A23=""),"",A23)</f>
        <v/>
      </c>
      <c r="AY23" s="399" t="e">
        <f t="shared" ref="AY23:AY40" si="20">IF($AE$1,IF(AX23=AX22,AY22,IF(AND(AX23&lt;&gt;"",OR(B23=0,B23="")),TRUE,FALSE)),FALSE)</f>
        <v>#REF!</v>
      </c>
      <c r="AZ23" s="795" t="str">
        <f>IF(AND(NOT(ISERROR(AJ23)),AJ23&gt;0),((IF(D23="",0,D23)*12+IF(E23="",0,E23))-(IF(F23="",0,F23)*12+IF(G23="",0,G23))-(IF(I23="",0,I23)*12+IF(J23="",0,J23)))&gt;AJ23*24,"")</f>
        <v/>
      </c>
      <c r="BA23" s="496"/>
      <c r="BB23" s="607"/>
      <c r="BC23" s="1566"/>
      <c r="BD23" s="1419"/>
      <c r="BE23" s="1420"/>
      <c r="BF23" s="1421"/>
      <c r="BG23" s="655"/>
      <c r="BH23" s="1422"/>
      <c r="BI23" s="1423"/>
      <c r="BJ23" s="1507"/>
      <c r="BK23" s="1422"/>
      <c r="BL23" s="1423"/>
      <c r="BM23" s="1446"/>
      <c r="BN23" s="1447"/>
      <c r="BO23" s="1496" t="str">
        <f>IF(ISERROR(CU23),"",IF(CU23="","",IF(VLOOKUP(BG23,#REF!,10,FALSE)="","","X")))</f>
        <v/>
      </c>
      <c r="BP23" s="1437"/>
      <c r="BQ23" s="1438" t="str">
        <f t="shared" ref="BQ23:BQ40" si="21">IF(ISERROR(CU23),"",IF(CW23="","",IF(CW23="C",CV23,IF(CW23="Q",2,""))))</f>
        <v/>
      </c>
      <c r="BR23" s="1439"/>
      <c r="BS23" s="655"/>
      <c r="BT23" s="1422"/>
      <c r="BU23" s="1423"/>
      <c r="BV23" s="1507"/>
      <c r="BW23" s="1422"/>
      <c r="BX23" s="1423"/>
      <c r="BY23" s="1446"/>
      <c r="BZ23" s="1447"/>
      <c r="CA23" s="1496" t="str">
        <f>IF(ISERROR(DE23),"",IF(DE23="","",IF(VLOOKUP(BS23,#REF!,10,FALSE)="","","X")))</f>
        <v/>
      </c>
      <c r="CB23" s="1437"/>
      <c r="CC23" s="1438" t="str">
        <f t="shared" ref="CC23:CC40" si="22">IF(ISERROR(DE23),"",IF(DG23="","",IF(DG23="C",DF23,IF(DG23="Q",2,""))))</f>
        <v/>
      </c>
      <c r="CD23" s="1439"/>
      <c r="CE23" s="1452"/>
      <c r="CF23" s="1424"/>
      <c r="CG23" s="903"/>
      <c r="CH23" s="583" t="str">
        <f t="shared" ref="CH23:CH40" si="23">IF(EJ23=EK23,IF(EK23="ERR","ERR",""),CONCATENATE(IF(BM23&lt;0,"NS ","FS "),IF(EK23="ERR","Slot Only",CONCATENATE("Slot @ ",EJ23))))</f>
        <v/>
      </c>
      <c r="CI23" s="584" t="str">
        <f t="shared" ref="CI23:CI40" si="24">IF(EQ23=ER23,IF(ER23="ERR","ERR",""),CONCATENATE(IF(BY23&lt;0,"FS ","NS "),IF(ER23="ERR","Slot Only",CONCATENATE("Slot @ ",EQ23))))</f>
        <v/>
      </c>
      <c r="CJ23" s="585" t="str">
        <f t="shared" ref="CJ23:CJ40" si="25">IF(EV23="","",IF(AND(DB23&lt;&gt;EV23,OR(NOT(ISBLANK(BJ23)),CU23="C")),CONCATENATE("LE slots @ ",DB23," Ga."),IF(AND(DL23&lt;&gt;EV23,OR(NOT(ISBLANK(BV23)),DE23="C")),CONCATENATE("RE slots @ ",DL23," Ga."),"")))</f>
        <v/>
      </c>
      <c r="CK23" s="792" t="str">
        <f t="shared" ref="CK23:CK40" si="26">IF(AND(CP23&lt;&gt;"",BM23&lt;&gt;"",CQ23&lt;&gt;"",BY23&lt;&gt;""),"BE",IF(AND(CP23&lt;&gt;"",BM23&lt;&gt;""),"LE",IF(AND(CQ23&lt;&gt;"",BY23&lt;&gt;""),"RE","")))</f>
        <v/>
      </c>
      <c r="CL23" s="786" t="str">
        <f t="shared" ref="CL23:CL40" si="27">IF(BQ23="","",IF(CEILING(DV23,0.125)&lt;=DW23+VLOOKUP(AU23,$DF$2:$DI$9,4,FALSE),"",CEILING(DV23,0.125)))</f>
        <v/>
      </c>
      <c r="CM23" s="787" t="str">
        <f t="shared" ref="CM23:CM40" si="28">IF(CC23="","",IF(CEILING(EB23,0.125)&lt;=EC23+VLOOKUP(AU23,$DF$2:$DI$9,4,FALSE),"",CEILING(EB23,0.125)))</f>
        <v/>
      </c>
      <c r="CN23" s="552" t="str">
        <f t="shared" ref="CN23:CN40" si="29">IF(AND(CE23&lt;&gt;0,BM23&lt;&gt;0),CE23*COS(RADIANS(90-BM23))/(1/COS(RADIANS(90-BM23)))*-1,"")</f>
        <v/>
      </c>
      <c r="CO23" s="553" t="str">
        <f t="shared" ref="CO23:CO40" si="30">IF(AND(CE23&lt;&gt;0,BY23&lt;&gt;0),CE23*COS(RADIANS(90-BY23))/(1/COS(RADIANS(90-BY23))),"")</f>
        <v/>
      </c>
      <c r="CP23" s="556" t="str">
        <f t="shared" ref="CP23:CP40" si="31">IF(BG23="","",IF(AU23="JS","",IF(VLOOKUP(AU23,$DF$2:$DN$9,5,FALSE)&gt;FO23,IF(FO23&gt;=0.0625,CEILING(FO23-0.0625,0.125),FO23),"")))</f>
        <v/>
      </c>
      <c r="CQ23" s="557" t="str">
        <f t="shared" ref="CQ23:CQ40" si="32">IF(BS23="","",IF(AU23="JS","",IF(VLOOKUP(AU23,$DF$2:$DN$9,5,FALSE)&gt;FP23,IF(FP23&gt;=0.0625,CEILING(FP23-0.0625,0.125),FP23),"")))</f>
        <v/>
      </c>
      <c r="CR23" s="697" t="str">
        <f t="shared" ref="CR23:CR40" si="33">IF(AU23="","",IF(ABS(FF23)&lt;ABS($CX$2),VLOOKUP(AU23,$DF$2:$DN$9,3,FALSE),CEILING(VLOOKUP(AU23,$DF$2:$DN$9,3,FALSE)/COS(FE23)+0.375+IF(CU23="M",IF(FE23&gt;0,(DV23-DW23)/12,0),IF(FE23&gt;0,0,(DV23-CV23)/12))*ABS(FF23),0.125)))</f>
        <v/>
      </c>
      <c r="CS23" s="698" t="str">
        <f t="shared" ref="CS23:CS40" si="34">IF(AU23="","",IF(ABS(FK23)&lt;ABS($CX$2),VLOOKUP(AU23,$DF$2:$DN$9,3,FALSE),CEILING(VLOOKUP(AU23,$DF$2:$DN$9,3,FALSE)/COS(FJ23)+0.375+IF(DE23="M",IF(FJ23&lt;0,(EB23-EC23)/12,0),IF(FJ23&lt;0,0,(EB23-DF23)/12))*ABS(FK23),0.125)))</f>
        <v/>
      </c>
      <c r="CU23" s="37" t="str">
        <f>IF(BG23="","",VLOOKUP(BG23,#REF!,12,FALSE))</f>
        <v/>
      </c>
      <c r="CV23" s="38" t="str">
        <f>IF(BG23="","",IF(ISBLANK(BP23),VLOOKUP(BG23,#REF!,13,FALSE),BP23))</f>
        <v/>
      </c>
      <c r="CW23" s="38" t="str">
        <f>IF(BG23="","",IF(VLOOKUP(BG23,#REF!,5,FALSE)="","R",UPPER(VLOOKUP(BG23,#REF!,5,FALSE))))</f>
        <v/>
      </c>
      <c r="CX23" s="756" t="str">
        <f>IF(BG23="","",IF(ISBLANK(BR23),VLOOKUP(BG23,#REF!,6,FALSE),BR23))</f>
        <v/>
      </c>
      <c r="CY23" s="1203" t="str">
        <f>IF(BG23="","",IF(VLOOKUP(BG23,#REF!,10,FALSE)="","",(IF(BO23="X",VLOOKUP(BG23,#REF!,10,FALSE),VALUE(BO23))*-1)))</f>
        <v/>
      </c>
      <c r="CZ23" s="1042" t="str">
        <f>IF(BG23="","",IF(VLOOKUP(BG23,#REF!,11,FALSE)="","2",(VLOOKUP(BG23,#REF!,11,FALSE))))</f>
        <v/>
      </c>
      <c r="DA23" s="38" t="str">
        <f>IF(BG23="","",IF(VLOOKUP(BG23,#REF!,7,FALSE)="","",(VLOOKUP(BG23,#REF!,7,FALSE)*-1)))</f>
        <v/>
      </c>
      <c r="DB23" s="756" t="str">
        <f>IF(BG23="","",IF(VLOOKUP(BG23,#REF!,8,FALSE)="",VLOOKUP(AU23,$DF$2:$DN$9,6,FALSE),(VLOOKUP(BG23,#REF!,8,FALSE))))</f>
        <v/>
      </c>
      <c r="DC23" s="756" t="str">
        <f>IF(BG23="","",VLOOKUP(BG23,#REF!,9,FALSE))</f>
        <v/>
      </c>
      <c r="DD23" s="757">
        <f t="shared" ref="DD23:DD40" si="35">BN23*-1</f>
        <v>0</v>
      </c>
      <c r="DE23" s="758" t="str">
        <f>IF(BS23="","",VLOOKUP(BS23,#REF!,12,FALSE))</f>
        <v/>
      </c>
      <c r="DF23" s="756" t="str">
        <f>IF(BS23="","",IF(ISBLANK(CB23),VLOOKUP(BS23,#REF!,13,FALSE),CB23))</f>
        <v/>
      </c>
      <c r="DG23" s="756" t="str">
        <f>IF(BS23="","",IF(VLOOKUP(BS23,#REF!,5,FALSE)="","R",UPPER(VLOOKUP(BS23,#REF!,5,FALSE))))</f>
        <v/>
      </c>
      <c r="DH23" s="756" t="str">
        <f>IF(BS23="","",IF(ISBLANK(CD23),VLOOKUP(BS23,#REF!,6,FALSE),CD23))</f>
        <v/>
      </c>
      <c r="DI23" s="1203" t="str">
        <f>IF(BS23="","",IF(VLOOKUP(BS23,#REF!,10,FALSE)="","",(IF(CA23="X",VLOOKUP(BS23,#REF!,10,FALSE),VALUE(CA23))*-1)))</f>
        <v/>
      </c>
      <c r="DJ23" s="1042" t="str">
        <f>IF(BS23="","",IF(VLOOKUP(BS23,#REF!,11,FALSE)="","2",(VLOOKUP(BS23,#REF!,11,FALSE))))</f>
        <v/>
      </c>
      <c r="DK23" s="756" t="str">
        <f>IF(BS23="","",IF(VLOOKUP(BS23,#REF!,7,FALSE)="","",(VLOOKUP(BS23,#REF!,7,FALSE)*-1)))</f>
        <v/>
      </c>
      <c r="DL23" s="756" t="str">
        <f>IF(BS23="","",IF(VLOOKUP(BS23,#REF!,8,FALSE)="",VLOOKUP(AU23,$DF$2:$DN$9,6,FALSE),(VLOOKUP(BS23,#REF!,8,FALSE))))</f>
        <v/>
      </c>
      <c r="DM23" s="756" t="str">
        <f>IF(BS23="","",VLOOKUP(BS23,#REF!,9,FALSE))</f>
        <v/>
      </c>
      <c r="DN23" s="757">
        <f t="shared" ref="DN23:DN40" si="36">BZ23*-1</f>
        <v>0</v>
      </c>
      <c r="DO23" s="759">
        <f t="shared" ref="DO23:DO40" si="37">IF(CE23="",0,ATAN(CE23/12))</f>
        <v>0</v>
      </c>
      <c r="DP23" s="760" t="str">
        <f t="shared" ref="DP23:DP40" si="38">IF(OR(CV23="",BE23="",DF23=""),"",CEILING(IF(AND(BE23="",BF23=""),"",((BE23*12+BF23)+CV23+DF23)/COS(FN23))-0.0625,0.125))</f>
        <v/>
      </c>
      <c r="DQ23" s="760" t="str">
        <f t="shared" ref="DQ23:DQ40" si="39">IF(AU23="","",IF(ABS(FF23)&lt;ABS($CX$2),CX23,IF(FF23=0,CX23,CEILING((CX23+((DW23-CV23)/12)*FF23)-0.0625,0.125))))</f>
        <v/>
      </c>
      <c r="DR23" s="760" t="str">
        <f t="shared" ref="DR23:DR40" si="40">IF(AU23="","",IF(ABS(FK23)&lt;ABS($CX$2),DH23,IF(FK23=0,DH23,CEILING((DH23+((EC23-DF23)/12)*FK23)-0.0625,0.125))))</f>
        <v/>
      </c>
      <c r="DS23" s="761">
        <f t="shared" ref="DS23:DS40" si="41">IF(BM23="",0,RADIANS(ABS(BM23)))</f>
        <v>0</v>
      </c>
      <c r="DT23" s="762" t="e">
        <f t="shared" ref="DT23:DT40" si="42">MIN(IF(BH23&gt;0,BH23/2,MAX(BI23/2,DC23)),IF(BI23&gt;0,BI23/2,MAX(BH23/2,DC23)),IF(DC23&gt;0,DC23,MAX(BI23/2,BH23/2)))/IF(OR(CU23="C",AND(CU23="M",$DD$1="N")),1,COS(DS23))</f>
        <v>#REF!</v>
      </c>
      <c r="DU23" s="762" t="str">
        <f t="shared" ref="DU23:DU40" si="43">IF(CV23="","",IF(DC23&gt;=0,MAX(BH23/2,BI23/2,DC23),DC23)/IF(OR(CU23="C",AND(CU23="M",$DD$1="N")),1,COS(DS23)))</f>
        <v/>
      </c>
      <c r="DV23" s="760" t="str">
        <f t="shared" ref="DV23:DV40" si="44">IF(CV23="","",(CV23+DU23+(VLOOKUP(IF(AU23="HDR","K",AU23),$DF$2:$DN$9,2,FALSE))*TAN(DS23))/COS(FD23)-FH23)</f>
        <v/>
      </c>
      <c r="DW23" s="1048" t="str">
        <f t="shared" ref="DW23:DW40" si="45">IF(CV23="","",MAX(0,IF(NOT(BQ23=""),CV23-BQ23,DV23-VLOOKUP(IF(AU23="HDR","K",AU23),$DF$2:$DN$9,4,FALSE))))</f>
        <v/>
      </c>
      <c r="DX23" s="925">
        <f>IF(CV23="",0,IF(DW23/COS(FN23-FD23)&lt;0.0625,0,CEILING(DW23/COS(FN23-FD23)-0.03125,0.125)))</f>
        <v>0</v>
      </c>
      <c r="DY23" s="760">
        <f t="shared" ref="DY23:DY40" si="46">RADIANS(ABS(BY23))</f>
        <v>0</v>
      </c>
      <c r="DZ23" s="762" t="e">
        <f t="shared" ref="DZ23:DZ40" si="47">MIN(IF(BT23&gt;0,BT23/2,MAX(BU23/2,DM23)),IF(BU23&gt;0,BU23/2,MAX(BT23/2,DM23)),IF(DM23&gt;0,DM23,MAX(BU23/2,BT23/2)))/IF(OR(DE23="C",AND(DE23="M",$DD$1="N")),1,COS(DY23))</f>
        <v>#REF!</v>
      </c>
      <c r="EA23" s="762" t="str">
        <f t="shared" ref="EA23:EA40" si="48">IF(DF23="","",IF(DM23&gt;=0,MAX(BT23/2,BU23/2,DM23),DM23)/IF(OR(DE23="C",AND(DE23="M",$DD$1="N")),1,COS(DY23)))</f>
        <v/>
      </c>
      <c r="EB23" s="760" t="str">
        <f>IF(DF23="","",(DF23+EA23+(VLOOKUP(IF(AU23="HDR","K",AU23),$DF$2:$DN$9,2,FALSE))*TAN(DY23))/COS(FI23)-FM23)</f>
        <v/>
      </c>
      <c r="EC23" s="1048" t="str">
        <f t="shared" ref="EC23:EC40" si="49">IF(DF23="","",MAX(0,IF(NOT(CC23=""),DF23-CC23,EB23-VLOOKUP(IF(AU23="HDR","K",AU23),$DF$2:$DN$9,4,FALSE))))</f>
        <v/>
      </c>
      <c r="ED23" s="925">
        <f>IF(DF23="",0,IF(EC23/COS(FN23+FI23)&lt;0.0625,0,CEILING(EC23/COS(FN23+FI23)-0.03125,0.125)))</f>
        <v>0</v>
      </c>
      <c r="EE23" s="1209" t="str">
        <f t="shared" ref="EE23:EE40" si="50">IF(AND(EZ23="",DA23=""),"",IF(EZ23="ERR","ERR",IF(CU23="C",DA23,IF(BJ23="","",IF(DA23="",(EZ23/2)*-1,DA23)))))</f>
        <v/>
      </c>
      <c r="EF23" s="760" t="str">
        <f>IF(EE23="ERR","ERR",IF(EE23="","",IF(DB23*TAN(DS23)&lt;=(VLOOKUP(AU23,$DF$2:$DN$9,8,FALSE)-(VLOOKUP(AU23,$DF$2:$DN$9,7,FALSE)-0.0625)),CV23-(EE23-FH23)/IF(OR(CU23="C",AND(CU23="M",$DD$1="N")),1,COS(DS23))-IF(MID(CW23,1,1)="R",0,DW23),(ABS(EE23-FH23)/IF(OR(CU23="C",AND(CU23="M",$DD$1="N")),1,COS(DS23))+CV23)-((DB23/2)*TAN(DS23))-IF(MID(CW23,1,1)="R",0,DW23))))</f>
        <v/>
      </c>
      <c r="EG23" s="760" t="str">
        <f>IF(EE23="ERR","ERR",IF(EE23="","",IF(DB23*TAN(DS23)&lt;=(VLOOKUP(AU23,$DF$2:$DN$9,8,FALSE)-(VLOOKUP(AU23,$DF$2:$DN$9,7,FALSE)-0.0625)),CV23-(EE23-FH23)/IF(OR(CU23="C",AND(CU23="M",$DD$1="N")),1,COS(DS23))-IF(MID(CW23,1,1)="R",0,DW23),(ABS(EE23-FH23)/IF(OR(CU23="C",AND(CU23="M",$DD$1="N")),1,COS(DS23))+CV23)+((DB23/2)*TAN(DS23))-IF(MID(CW23,1,1)="R",0,DW23))))</f>
        <v/>
      </c>
      <c r="EH23" s="795" t="e">
        <f t="shared" ref="EH23:EH40" si="51">IF(BQ23="",IF(EF23&lt;$DQ$2+(VLOOKUP(AU23,$DF$2:$DN$9,7,FALSE)-0.0625)/2,"ERR",IF(EF23&lt;$DQ$2+VLOOKUP(AU23,$DF$2:$DN$9,8,FALSE)/2,VLOOKUP(AU23,$DF$2:$DN$9,8,FALSE)/2+$DQ$2,IF(EF23&lt;VLOOKUP(AU23,$DF$2:$DN$9,4,FALSE)+IF(OR(MID(CW23,1,1)="R",CW23="Q"),DW23+IF(BQ23="",0,BQ23),0)-VLOOKUP(AU23,$DF$2:$DN$9,8,FALSE)/2-$DQ$2,EF23,IF(EF23&lt;=VLOOKUP(AU23,$DF$2:$DN$9,4,FALSE)+IF(OR(MID(CW23,1,1)="R",CW23="Q"),DW23+IF(BQ23="",0,BQ23),0)-(VLOOKUP(AU23,$DF$2:$DN$9,7,FALSE)-0.0625)/2-$DQ$2,VLOOKUP(AU23,$DF$2:$DN$9,4,FALSE)+IF(OR(MID(CW23,1,1)="R",CW23="Q"),DW23+IF(BQ23="",0,BQ23),0)-(VLOOKUP(AU23,$DF$2:$DN$9,8,FALSE)/2+$DQ$2),"ERR")))),EF23)</f>
        <v>#N/A</v>
      </c>
      <c r="EI23" s="795" t="e">
        <f t="shared" ref="EI23:EI40" si="52">IF(BQ23="",IF(EG23&lt;$DQ$2+(VLOOKUP(AU23,$DF$2:$DN$9,7,FALSE)-0.0625)/2,"ERR",IF(EG23&lt;$DQ$2+VLOOKUP(AU23,$DF$2:$DN$9,8,FALSE)/2,VLOOKUP(AU23,$DF$2:$DN$9,8,FALSE)/2+$DQ$2,IF(EG23&lt;VLOOKUP(AU23,$DF$2:$DN$9,4,FALSE)+IF(OR(MID(CW23,1,1)="R",CW23="Q"),DW23+IF(BQ23="",0,BQ23),0)-VLOOKUP(AU23,$DF$2:$DN$9,8,FALSE)/2-$DQ$2,EG23,IF(EG23&lt;=VLOOKUP(AU23,$DF$2:$DN$9,4,FALSE)+IF(OR(MID(CW23,1,1)="R",CW23="Q"),DW23+IF(BQ23="",0,BQ23),0)-(VLOOKUP(AU23,$DF$2:$DN$9,7,FALSE)-0.0625)/2-$DQ$2,VLOOKUP(AU23,$DF$2:$DN$9,4,FALSE)+IF(OR(MID(CW23,1,1)="R",CW23="Q"),DW23+IF(BQ23="",0,BQ23),0)-(VLOOKUP(AU23,$DF$2:$DN$9,8,FALSE)/2+$DQ$2),"ERR")))),EG23)</f>
        <v>#N/A</v>
      </c>
      <c r="EJ23" s="760" t="str">
        <f t="shared" ref="EJ23:EK25" si="53">IF(ISERROR(EF23),"ERR",IF(EF23="","",IF(EH23="ERR","ERR",CEILING(EH23-0.0625,0.125))))</f>
        <v/>
      </c>
      <c r="EK23" s="760" t="str">
        <f t="shared" si="53"/>
        <v/>
      </c>
      <c r="EL23" s="1209" t="str">
        <f t="shared" ref="EL23:EL40" si="54">IF(AND(FC23="",DK23=""),"",IF(FC23="ERR","ERR",IF(DE23="C",DK23,IF(BV23="","",IF(DK23="",(FC23/2)*-1,DK23)))))</f>
        <v/>
      </c>
      <c r="EM23" s="760" t="str">
        <f>IF(EL23="ERR","ERR",IF(EL23="","",IF(DL23*TAN(DY23)&lt;=(VLOOKUP(AU23,$DF$2:$DN$9,8,FALSE)-(VLOOKUP(AU23,$DF$2:$DN$9,7,FALSE)-0.0625)),DF23-(EL23-FM23)/IF(OR(DE23="C",AND(DE23="M",$DD$1="N")),1,COS(DY23))-IF(MID(DG23,1,1)="R",0,EC23),(ABS(EL23-FM23)/IF(OR(DE23="C",AND(DE23="M",$DD$1="N")),1,COS(DY23))+DF23)-((DL23/2)*TAN(DY23))-IF(MID(DG23,1,1)="R",0,EC23))))</f>
        <v/>
      </c>
      <c r="EN23" s="760" t="str">
        <f>IF(EL23="ERR","ERR",IF(EL23="","",IF(DL23*TAN(DY23)&lt;=(VLOOKUP(AU23,$DF$2:$DN$9,8,FALSE)-(VLOOKUP(AU23,$DF$2:$DN$9,7,FALSE)-0.0625)),DF23-(EL23-FM23)/IF(OR(DE23="C",AND(DE23="M",$DD$1="N")),1,COS(DY23))-IF(MID(DG23,1,1)="R",0,EC23),(ABS(EL23-FM23)/IF(OR(DE23="C",AND(DE23="M",$DD$1="N")),1,COS(DY23))+DF23)+((DL23/2)*TAN(DY23))-IF(MID(DG23,1,1)="R",0,EC23))))</f>
        <v/>
      </c>
      <c r="EO23" s="795" t="e">
        <f t="shared" ref="EO23:EO40" si="55">IF(CC23="",IF(EM23&lt;$DQ$2+(VLOOKUP(AU23,$DF$2:$DN$9,7,FALSE)-0.0625)/2,"ERR",IF(EM23&lt;$DQ$2+VLOOKUP(AU23,$DF$2:$DN$9,8,FALSE)/2,VLOOKUP(AU23,$DF$2:$DN$9,8,FALSE)/2+$DQ$2,IF(EM23&lt;VLOOKUP(AU23,$DF$2:$DN$9,4,FALSE)+IF(OR(MID(DG23,1,1)="R",DG23="Q"),EC23+IF(CC23="",0,CC23),0)-VLOOKUP(AU23,$DF$2:$DN$9,8,FALSE)/2-$DQ$2,EM23,IF(EM23&lt;=VLOOKUP(AU23,$DF$2:$DN$9,4,FALSE)+IF(OR(MID(DG23,1,1)="R",DG23="Q"),EC23+IF(CC23="",0,CC23),0)-(VLOOKUP(AU23,$DF$2:$DN$9,7,FALSE)-0.0625)/2-$DQ$2,VLOOKUP(AU23,$DF$2:$DN$9,4,FALSE)+IF(OR(MID(DG23,1,1)="R",DG23="Q"),EC23+IF(CC23="",0,CC23),0)-(VLOOKUP(AU23,$DF$2:$DN$9,8,FALSE)/2+$DQ$2),"ERR")))),EM23)</f>
        <v>#N/A</v>
      </c>
      <c r="EP23" s="795" t="e">
        <f t="shared" ref="EP23:EP40" si="56">IF(CC23="",IF(EN23&lt;$DQ$2+(VLOOKUP(AU23,$DF$2:$DN$9,7,FALSE)-0.0625)/2,"ERR",IF(EN23&lt;$DQ$2+VLOOKUP(AU23,$DF$2:$DN$9,8,FALSE)/2,VLOOKUP(AU23,$DF$2:$DN$9,8,FALSE)/2+$DQ$2,IF(EN23&lt;VLOOKUP(AU23,$DF$2:$DN$9,4,FALSE)+IF(OR(MID(DG23,1,1)="R",DG23="Q"),EC23+IF(CC23="",0,CC23),0)-VLOOKUP(AU23,$DF$2:$DN$9,8,FALSE)/2-$DQ$2,EN23,IF(EN23&lt;=VLOOKUP(AU23,$DF$2:$DN$9,4,FALSE)+IF(OR(MID(DG23,1,1)="R",DG23="Q"),EC23+IF(CC23="",0,CC23),0)-(VLOOKUP(AU23,$DF$2:$DN$9,7,FALSE)-0.0625)/2-$DQ$2,VLOOKUP(AU23,$DF$2:$DN$9,4,FALSE)+IF(OR(MID(DG23,1,1)="R",DG23="Q"),EC23+IF(CC23="",0,CC23),0)-(VLOOKUP(AU23,$DF$2:$DN$9,8,FALSE)/2+$DQ$2),"ERR")))),EN23)</f>
        <v>#N/A</v>
      </c>
      <c r="EQ23" s="760" t="str">
        <f t="shared" ref="EQ23:ER40" si="57">IF(ISERROR(EM23),"ERR",IF(EM23="","",IF(EO23="ERR","ERR",CEILING(EO23-0.0625,0.125))))</f>
        <v/>
      </c>
      <c r="ER23" s="760" t="str">
        <f t="shared" si="57"/>
        <v/>
      </c>
      <c r="ES23" s="763" t="str">
        <f t="shared" ref="ES23:ES40" si="58">IF(OR(CY23="",AU23="JS",AU23="HDR",BO23=""),"",IF((CV23-CY23)/COS(DO23)-FS23&lt;=-0.0625,CEILING((CV23-CY23)/COS(DO23)-FS23+0.0625,-0.125),IF((CV23-CY23)/COS(DO23)-FS23&gt;=0.0625,CEILING((CV23-CY23)/COS(DO23)-FS23-0.0625,0.125),0)))</f>
        <v/>
      </c>
      <c r="ET23" s="763" t="str">
        <f t="shared" ref="ET23:ET40" si="59">IF(OR(DI23="",AU23="JS",AU23="HDR",CA23=""),"",IF((DF23-DI23)/COS(DO23)-FT23&lt;=-0.0625,CEILING((DF23-DI23)/COS(DO23)-FT23+0.0625,-0.125),IF((DF23-DI23)/COS(DO23)-FT23&gt;=0.0625,CEILING((DF23-DI23)/COS(DO23)-FT23-0.0625,0.125),0)))</f>
        <v/>
      </c>
      <c r="EU23" s="764" t="str">
        <f t="shared" ref="EU23:EU40" si="60">IF(AU23="","",VLOOKUP(AU23,$DF$2:$DN$9,6,FALSE))</f>
        <v/>
      </c>
      <c r="EV23" s="765" t="str">
        <f>IF(AND(EK23="",ER23=""),"",IF(EK23="",DL23,IF(EQ23="",DB23,IF(DB23&lt;&gt;DL23,EU23,DB23))))</f>
        <v/>
      </c>
      <c r="EW23" s="764"/>
      <c r="EX23" s="764" t="str">
        <f>IF(AND(CU23="G", ISBLANK(BK23), ISBLANK(BL23)),VLOOKUP(MIN(BH23:BI23),#REF!,2),IF(OR(CU23="B",CU23="G"),MIN(BK23:BL23),""))</f>
        <v/>
      </c>
      <c r="EY23" s="764" t="str">
        <f>IF(AND(CU23="G", ISBLANK(BK23), ISBLANK(BL23)),VLOOKUP(MAX(BH23:BI23),#REF!,2),IF(OR(CU23="B",CU23="G"),MAX(BK23:BL23),""))</f>
        <v/>
      </c>
      <c r="EZ23" s="764" t="str">
        <f t="shared" ref="EZ23:EZ40" si="61">IF(BJ23="X",IF(OR(CU23="M",CU23="C"),"",IF((EY23-EX23)/2&lt;=(VLOOKUP(AU23,$DF$2:$DN$9,8,FALSE)-(VLOOKUP(AU23,$DF$2:$DN$9,7,FALSE)-0.0625)),(EX23+EY23)/2,"ERR")),"")</f>
        <v/>
      </c>
      <c r="FA23" s="764" t="str">
        <f>IF(AND(DE23="G", ISBLANK(BW23), ISBLANK(BX23)),VLOOKUP(MIN(BT23:BU23),#REF!,2),IF(OR(DE23="B", DE23="G"),MIN(BW23:BX23),""))</f>
        <v/>
      </c>
      <c r="FB23" s="764" t="str">
        <f>IF(AND(DE23="G", ISBLANK(BW23), ISBLANK(BX23)),VLOOKUP(MAX(BT23:BU23),#REF!,2),IF(OR(DE23="B", DE23="G"),MAX(BW23:BX23),""))</f>
        <v/>
      </c>
      <c r="FC23" s="764" t="str">
        <f t="shared" ref="FC23:FC40" si="62">IF(BV23="X",IF(OR(DE23="M",DE23="C"),"",IF((FB23-FA23)/2&lt;=(VLOOKUP(AU23,$DF$2:$DN$9,8,FALSE)-(VLOOKUP(AU23,$DF$2:$DN$9,7,FALSE)-0.0625)),(FA23+FB23)/2,"ERR")),"")</f>
        <v/>
      </c>
      <c r="FD23" s="760">
        <f t="shared" ref="FD23:FD40" si="63">IF(DD23="",0,ATAN(DD23/12))</f>
        <v>0</v>
      </c>
      <c r="FE23" s="760">
        <f t="shared" ref="FE23:FE40" si="64">DO23-FD23</f>
        <v>0</v>
      </c>
      <c r="FF23" s="761">
        <f t="shared" ref="FF23:FF40" si="65">TAN(FE23)*12</f>
        <v>0</v>
      </c>
      <c r="FG23" s="761" t="str">
        <f t="shared" ref="FG23:FG40" si="66">IF(FF23=0,"",IF(ABS(FF23)&lt;$CX$2,IF(AND(ABS(MIN(DV23,FQ23)/12*FF23)&gt;$DD$2,FF23&gt;0),IF(FF23&gt;0,CEILING(FF23-0.0625,0.125),CEILING(FF23+0.0625,-0.125)),""),IF(FF23&gt;0,CEILING(FF23-0.0625,0.125),CEILING(FF23+0.0625,-0.125))))</f>
        <v/>
      </c>
      <c r="FH23" s="760" t="str">
        <f t="shared" ref="FH23:FH40" si="67">IF(CX23="","",CX23*TAN(FD23))</f>
        <v/>
      </c>
      <c r="FI23" s="760">
        <f t="shared" ref="FI23:FI40" si="68">IF(DN23="",0,ATAN(DN23/12))</f>
        <v>0</v>
      </c>
      <c r="FJ23" s="760">
        <f t="shared" ref="FJ23:FJ40" si="69">DO23+FI23</f>
        <v>0</v>
      </c>
      <c r="FK23" s="761">
        <f t="shared" ref="FK23:FK40" si="70">TAN(FJ23)*-12</f>
        <v>0</v>
      </c>
      <c r="FL23" s="761" t="str">
        <f t="shared" ref="FL23:FL40" si="71">IF(FK23=0,"",IF(ABS(FK23)&lt;$CX$2,IF(AND(ABS(MIN(EB23,FR23)/12*FK23)&gt;$DD$2,FK23&gt;0),IF(FK23&gt;0,CEILING(FK23-0.0625,0.125),CEILING(FK23+0.0625,-0.125)),""),IF(FK23&gt;0,CEILING(FK23-0.0625,0.125),CEILING(FK23+0.0625,-0.125))))</f>
        <v/>
      </c>
      <c r="FM23" s="760" t="str">
        <f t="shared" ref="FM23:FM40" si="72">IF(DH23="","",DH23*TAN(FI23))</f>
        <v/>
      </c>
      <c r="FN23" s="760" t="e">
        <f t="shared" ref="FN23:FN40" si="73">IF(((BE23*12+BF23)+CV23+DF23)/COS(DO23)-((BE23*12+BF23)+CV23+DF23)&lt;$DB$2,0,DO23)</f>
        <v>#VALUE!</v>
      </c>
      <c r="FO23" s="1260" t="e">
        <f t="shared" ref="FO23:FO40" si="74">MIN(IF(BH23&gt;0,BH23/2,MAX(BI23/2,DC23)),IF(BI23&gt;0,BI23/2,MAX(BH23/2,DC23)),IF(DC23&gt;0,DC23,MAX(BI23/2,BH23/2)))/COS(DS23)+CV23-DW23-FH23</f>
        <v>#VALUE!</v>
      </c>
      <c r="FP23" s="1260" t="e">
        <f t="shared" ref="FP23:FP40" si="75">MIN(IF(BT23&gt;0,BT23/2,MAX(BU23/2,DM23)),IF(BU23&gt;0,BU23/2,MAX(BT23/2,DM23)),IF(DM23&gt;0,DM23,MAX(BU23/2,BT23/2)))/COS(DY23)+DF23-EC23-FM23</f>
        <v>#VALUE!</v>
      </c>
      <c r="FQ23" s="766" t="e">
        <f t="shared" ref="FQ23:FQ40" si="76">IF(OR(CU23="B",CU23="G"),MAX(BH23,BI23),IF(CU23="M",12,DC23+CV23))</f>
        <v>#VALUE!</v>
      </c>
      <c r="FR23" s="767" t="e">
        <f t="shared" ref="FR23:FR40" si="77">IF(OR(DE23="B",DE23="G"),MAX(BT23,BU23),IF(DE23="M",12,DM23+DF23))</f>
        <v>#VALUE!</v>
      </c>
      <c r="FS23" s="768" t="str">
        <f t="shared" ref="FS23:FS40" si="78">IF(CY23="","",IF(ABS(CE23*((AJ23-IF(CE23&gt;0,VLOOKUP(AU23,$DF$2:$DN$9,9,FALSE),0))/12))&gt;$CZ$2,CE23*((AJ23-IF(CE23&gt;0,VLOOKUP(AU23,$DF$2:$DN$9,9,FALSE),0))/12),0))</f>
        <v/>
      </c>
      <c r="FT23" s="769" t="str">
        <f t="shared" ref="FT23:FT40" si="79">IF(DI23="","",IF(ABS(CE23*((AJ23-IF(CE23&lt;0,VLOOKUP(AU23,$DF$2:$DN$9,9,FALSE),0))/12))&gt;$CZ$2,CE23*((AJ23-IF(CE23&lt;0,VLOOKUP(AU23,$DF$2:$DN$9,9,FALSE),0))/12)*-1,0))</f>
        <v/>
      </c>
      <c r="FU23" s="929">
        <f t="shared" ref="FU23:FU40" si="80">IF(CX23="",0,MAX(0,MIN(DV23-VLOOKUP(AU23,DF$2:DN$9,4,FALSE),(MAX(0,CX23-VLOOKUP(AU23,DF$2:DN$9,3,FALSE))+VLOOKUP(AU23,DF$2:DN$9,4,FALSE))*COS(DO23)+((MAX(0,CX23-VLOOKUP(AU23,DF$2:DN$9,3,FALSE))+VLOOKUP(AU23,DF$2:DN$9,4,FALSE))*COS(PI()/2-DO23))/TAN(PI()/2-(DO23+PI()/4))-VLOOKUP(AU23,DF$2:DN$9,4,FALSE))))</f>
        <v>0</v>
      </c>
      <c r="FV23" s="930">
        <f t="shared" ref="FV23:FV40" si="81">IF(DH23="",0,MAX(0,MIN(EB23-VLOOKUP(AU23,DF$2:DN$9,4,FALSE),(MAX(0,DH23-VLOOKUP(AU23,DF$2:DN$9,3,FALSE))+VLOOKUP(AU23,DF$2:DN$9,4,FALSE))*COS(DO23)+((MAX(0,DH23-VLOOKUP(AU23,DF$2:DN$9,3,FALSE))+VLOOKUP(AU23,DF$2:DN$9,4,FALSE))*COS(PI()/2-DO23))/TAN(PI()/2-(DO23+PI()/4))-VLOOKUP(AU23,DF$2:DN$9,4,FALSE))))</f>
        <v>0</v>
      </c>
      <c r="GA23" s="542" t="str">
        <f t="shared" ref="GA23:GA40" si="82">IF(GF23="","",BE23)</f>
        <v/>
      </c>
      <c r="GB23" s="562" t="str">
        <f t="shared" ref="GB23:GB40" si="83">IF(GF23="","",BF23)</f>
        <v/>
      </c>
      <c r="GC23" s="564" t="str">
        <f t="shared" ref="GC23:GC40" si="84">IF(GF23="","",IF(CV23="",0,CV23))</f>
        <v/>
      </c>
      <c r="GD23" s="565" t="str">
        <f t="shared" ref="GD23:GD40" si="85">IF(GF23="","",IF(DF23="",0,DF23))</f>
        <v/>
      </c>
      <c r="GE23" s="563" t="str">
        <f t="shared" ref="GE23:GE40" si="86">IF(GF23="","",IF(ISBLANK(CE23),IF(Y23=Z23,0,MAX(ABS(Y23),ABS(Z23))*IF(Y23&lt;0,-1,1)),CE23))</f>
        <v/>
      </c>
      <c r="GF23" s="543" t="str">
        <f t="shared" ref="GF23:GF40" si="87">IF(A23=0,"",A23)</f>
        <v/>
      </c>
      <c r="GG23" s="1052"/>
      <c r="GH23" s="1053"/>
      <c r="GI23" s="1052"/>
      <c r="GJ23" s="1053"/>
      <c r="GK23" s="1519">
        <f t="shared" ref="GK23:GK40" si="88">IF(D23="",0,D23*12+E23)</f>
        <v>0</v>
      </c>
      <c r="GL23" s="1519" t="e">
        <f t="shared" ref="GL23:GL40" si="89">(GA23*12+GB23+GC23+GD23)/COS(ATAN(ABS(GE23/12)))</f>
        <v>#VALUE!</v>
      </c>
      <c r="GM23" s="1520" t="e">
        <f>IF(ABS(GK23-GL23)&gt;=#REF!,ABS(GK23-GL23),0)</f>
        <v>#VALUE!</v>
      </c>
      <c r="GZ23" s="346"/>
      <c r="HA23" s="1187"/>
      <c r="HB23" s="1188"/>
      <c r="HC23" s="1188"/>
      <c r="HD23" s="1189"/>
      <c r="HE23" s="1190"/>
      <c r="HF23" s="1188"/>
      <c r="HG23" s="1188"/>
      <c r="HH23" s="1188"/>
      <c r="HI23" s="1191"/>
      <c r="HJ23" s="1188"/>
      <c r="HK23" s="1188"/>
      <c r="HL23" s="1188"/>
      <c r="HM23" s="1188"/>
      <c r="HN23" s="1188"/>
      <c r="HO23" s="1188"/>
      <c r="HP23" s="1188"/>
      <c r="HQ23" s="1191"/>
      <c r="HR23" s="1188"/>
      <c r="HS23" s="1188"/>
      <c r="HT23" s="1188"/>
      <c r="HU23" s="1188"/>
      <c r="HV23" s="1188"/>
      <c r="HW23" s="1190"/>
      <c r="HX23" s="1190"/>
      <c r="HY23" s="1190"/>
      <c r="HZ23" s="1190"/>
      <c r="IA23" s="1190"/>
      <c r="IB23" s="1190"/>
      <c r="IC23" s="1190"/>
      <c r="ID23" s="1190"/>
      <c r="IE23" s="1190"/>
      <c r="IF23" s="1192"/>
    </row>
    <row r="24" spans="1:244" ht="12.6" customHeight="1" x14ac:dyDescent="0.25">
      <c r="A24" s="1132" t="str">
        <f t="shared" si="1"/>
        <v/>
      </c>
      <c r="B24" s="1586" t="str">
        <f t="shared" si="2"/>
        <v/>
      </c>
      <c r="C24" s="1133" t="str">
        <f t="shared" si="3"/>
        <v/>
      </c>
      <c r="D24" s="1134" t="str">
        <f>IF(DP24="","",TRUNC(DP24/12))</f>
        <v/>
      </c>
      <c r="E24" s="1644" t="str">
        <f>IF(DP24="","",DP24-(D24*12))</f>
        <v/>
      </c>
      <c r="F24" s="1137" t="str">
        <f>IF(DX24=0,"",TRUNC(DX24/12))</f>
        <v/>
      </c>
      <c r="G24" s="1138" t="str">
        <f>IF(DX24=0,"",DX24-(F24*12))</f>
        <v/>
      </c>
      <c r="H24" s="1645" t="str">
        <f>IF(DX24=0,"",CW24)</f>
        <v/>
      </c>
      <c r="I24" s="1134" t="str">
        <f>IF(ED24=0,"",TRUNC(ED24/12))</f>
        <v/>
      </c>
      <c r="J24" s="1138" t="str">
        <f>IF(ED24=0,"",ED24-(I24*12))</f>
        <v/>
      </c>
      <c r="K24" s="1646" t="str">
        <f>IF(ED24=0,"",DG24)</f>
        <v/>
      </c>
      <c r="L24" s="1141" t="str">
        <f t="shared" si="4"/>
        <v/>
      </c>
      <c r="M24" s="1142" t="str">
        <f t="shared" si="4"/>
        <v/>
      </c>
      <c r="N24" s="1137" t="str">
        <f>IF(ES24="","",IF(AND(ES24&lt;0,ES24&gt;-12),TRUNC(ES24/12)-0.0000001,TRUNC(ES24/12)))</f>
        <v/>
      </c>
      <c r="O24" s="1138" t="str">
        <f>IF(ES24="","",IF(AND(ES24-(N24*12)=0,ES24&lt;0),-0.000001,ES24-(N24*12)))</f>
        <v/>
      </c>
      <c r="P24" s="1139" t="str">
        <f>IF(ES24="","",IF(OR(CW24="Q",CW24="C"),3,CZ24))</f>
        <v/>
      </c>
      <c r="Q24" s="1134" t="str">
        <f>IF(ET24="","",IF(AND(ET24&lt;0,ET24&gt;-12),TRUNC(ET24/12)-0.0000001,TRUNC(ET24/12)))</f>
        <v/>
      </c>
      <c r="R24" s="1138" t="str">
        <f>IF(ET24="","",IF(AND(ET24-(Q24*12)=0,ET24&lt;0),-0.000001,ET24-(Q24*12)))</f>
        <v/>
      </c>
      <c r="S24" s="1625" t="str">
        <f>IF(ET24="","",IF(OR(DG24="Q",DG24="C"),3,DJ24))</f>
        <v/>
      </c>
      <c r="T24" s="1137" t="str">
        <f>IF(CH24="ERR","",IF(EK24="","",IF(EK24="ERR",TRUNC(EJ24/12),TRUNC(EK24/12))))</f>
        <v/>
      </c>
      <c r="U24" s="1138" t="str">
        <f>IF(CH24="ERR","",IF(EK24="","",IF(EK24="ERR",EJ24-(T24*12),EK24-(T24*12))))</f>
        <v/>
      </c>
      <c r="V24" s="1134" t="str">
        <f>IF(CI24="ERR","",IF(ER24="","",IF(ER24="ERR",TRUNC(EQ24/12),TRUNC(ER24/12))))</f>
        <v/>
      </c>
      <c r="W24" s="1138" t="str">
        <f>IF(CI24="ERR","",IF(ER24="","",IF(ER24="ERR",EQ24-(V24*12),ER24-(V24*12))))</f>
        <v/>
      </c>
      <c r="X24" s="1622">
        <f>IF(EV24="",0,EV24)</f>
        <v>0</v>
      </c>
      <c r="Y24" s="1647" t="str">
        <f>FG24</f>
        <v/>
      </c>
      <c r="Z24" s="1648" t="str">
        <f>FL24</f>
        <v/>
      </c>
      <c r="AA24" s="1649" t="str">
        <f t="shared" si="5"/>
        <v/>
      </c>
      <c r="AB24" s="1288"/>
      <c r="AC24" s="898" t="b">
        <v>0</v>
      </c>
      <c r="AD24" s="374">
        <f t="shared" si="6"/>
        <v>0</v>
      </c>
      <c r="AE24" s="375">
        <f t="shared" si="7"/>
        <v>0</v>
      </c>
      <c r="AF24" s="375">
        <f t="shared" si="8"/>
        <v>0</v>
      </c>
      <c r="AG24" s="375">
        <f t="shared" si="9"/>
        <v>0</v>
      </c>
      <c r="AH24" s="376">
        <f t="shared" si="10"/>
        <v>0</v>
      </c>
      <c r="AI24" s="377" t="b">
        <v>0</v>
      </c>
      <c r="AJ24" s="143">
        <f>IF(OR(ISERROR(VALUE(LEFT(C24,SEARCH(AK24,C24)-1))),AK24=""),0,VALUE(LEFT(C24,SEARCH(AK24,C24)-1)))</f>
        <v>0</v>
      </c>
      <c r="AK24" s="143" t="str">
        <f t="shared" si="11"/>
        <v/>
      </c>
      <c r="AL24" s="1207" t="str">
        <f t="shared" si="12"/>
        <v/>
      </c>
      <c r="AM24" s="143" t="str">
        <f t="shared" si="13"/>
        <v/>
      </c>
      <c r="AN24" s="143" t="str">
        <f t="shared" si="14"/>
        <v/>
      </c>
      <c r="AO24" s="143" t="str">
        <f t="shared" si="15"/>
        <v/>
      </c>
      <c r="AP24" s="771" t="b">
        <f>IF(ISERROR(AJ24),FALSE,IF(OR(AJ24=0,ISERROR(AL24),ISERROR(AM24),ISERROR(AN24),ISERROR(AO24)),FALSE,IF(AL24&lt;&gt;"",IF(ISERROR(VLOOKUP(SUBSTITUTE(SUBSTITUTE(C24,"R",""),"A",""),#REF!,1,FALSE)),FALSE,TRUE),TRUE)))</f>
        <v>0</v>
      </c>
      <c r="AQ24" s="945" t="e">
        <f t="shared" si="16"/>
        <v>#N/A</v>
      </c>
      <c r="AR24" s="877" t="b">
        <f>IF(IF(ISNUMBER(T24),T24*12,0)+IF(ISNUMBER(U24),U24,0)&gt;0,IF(AND(IF(ISNUMBER(T24),T24*12,0)+IF(ISNUMBER(U24),U24,0)&gt;=VLOOKUP(AU24,$DF$2:$DN$9,8,FALSE)/2+$DQ$2,IF(ISNUMBER(T24),T24*12,0)+IF(ISNUMBER(U24),U24,0)&lt;=(AQ24-(VLOOKUP(AU24,$DF$2:$DN$9,8,FALSE)/2+$DQ$2))+IF(H24="X",2,0)),TRUE,FALSE),FALSE)</f>
        <v>0</v>
      </c>
      <c r="AS24" s="945" t="e">
        <f t="shared" si="17"/>
        <v>#N/A</v>
      </c>
      <c r="AT24" s="877" t="b">
        <f>IF(IF(ISNUMBER(V24),V24*12,0)+IF(ISNUMBER(W24),W24,0)&gt;0,IF(AND((IF(ISNUMBER(V24),V24*12,0)+IF(ISNUMBER(W24),W24,0))&gt;=VLOOKUP(AU24,$DF$2:$DN$9,8,FALSE)/2+$DQ$2,(IF(ISNUMBER(V24),V24*12,0)+IF(ISNUMBER(W24),W24,0))&lt;=(AS24-(VLOOKUP(AU24,$DF$2:$DN$9,8,FALSE)/2+$DQ$2))+IF(K24="X",2,0)),TRUE,FALSE),FALSE)</f>
        <v>0</v>
      </c>
      <c r="AU24" s="1208" t="str">
        <f t="shared" si="18"/>
        <v/>
      </c>
      <c r="AV24" s="771" t="str">
        <f t="shared" si="19"/>
        <v/>
      </c>
      <c r="AW24" s="771" t="str">
        <f t="shared" ref="AW24:AW40" si="90">IF(NOT(ISERROR(SEARCH("HDR",C24))),"HDR",IF(NOT(ISERROR(SEARCH("JS",C24))),"JS",IF(NOT(ISERROR(SEARCH("SLH",C24))),"SLH",IF(NOT(ISERROR(SEARCH("DLH",C24))),"DLH",IF(NOT(ISERROR(SEARCH("LH",C24))),"LH","")))))</f>
        <v/>
      </c>
      <c r="AX24" s="771" t="str">
        <f>IF(AND(OR(ISBLANK(A24),A24=""),AA24&lt;&gt;""),AX23,IF(OR(ISBLANK(A24),A24=""),"",A24))</f>
        <v/>
      </c>
      <c r="AY24" s="399" t="e">
        <f t="shared" si="20"/>
        <v>#REF!</v>
      </c>
      <c r="AZ24" s="795" t="str">
        <f t="shared" ref="AZ24:AZ40" si="91">IF(AND(NOT(ISERROR(AJ24)),AJ24&gt;0),((IF(D24="",0,D24)*12+IF(E24="",0,E24))-(IF(F24="",0,F24)*12+IF(G24="",0,G24))-(IF(I24="",0,I24)*12+IF(J24="",0,J24)))&gt;AJ24*24,"")</f>
        <v/>
      </c>
      <c r="BA24" s="496"/>
      <c r="BB24" s="616"/>
      <c r="BC24" s="1567"/>
      <c r="BD24" s="682"/>
      <c r="BE24" s="683"/>
      <c r="BF24" s="684"/>
      <c r="BG24" s="660"/>
      <c r="BH24" s="901"/>
      <c r="BI24" s="902"/>
      <c r="BJ24" s="1508"/>
      <c r="BK24" s="901"/>
      <c r="BL24" s="902"/>
      <c r="BM24" s="1448"/>
      <c r="BN24" s="1449"/>
      <c r="BO24" s="1497" t="str">
        <f>IF(ISERROR(CU24),"",IF(CU24="","",IF(VLOOKUP(BG24,#REF!,10,FALSE)="","","X")))</f>
        <v/>
      </c>
      <c r="BP24" s="1440"/>
      <c r="BQ24" s="1441" t="str">
        <f t="shared" si="21"/>
        <v/>
      </c>
      <c r="BR24" s="1442"/>
      <c r="BS24" s="660"/>
      <c r="BT24" s="901"/>
      <c r="BU24" s="902"/>
      <c r="BV24" s="1508"/>
      <c r="BW24" s="901"/>
      <c r="BX24" s="902"/>
      <c r="BY24" s="1448"/>
      <c r="BZ24" s="1449"/>
      <c r="CA24" s="1497" t="str">
        <f>IF(ISERROR(DE24),"",IF(DE24="","",IF(VLOOKUP(BS24,#REF!,10,FALSE)="","","X")))</f>
        <v/>
      </c>
      <c r="CB24" s="1440"/>
      <c r="CC24" s="1441" t="str">
        <f t="shared" si="22"/>
        <v/>
      </c>
      <c r="CD24" s="1442"/>
      <c r="CE24" s="1453"/>
      <c r="CF24" s="685"/>
      <c r="CG24" s="686"/>
      <c r="CH24" s="586" t="str">
        <f t="shared" si="23"/>
        <v/>
      </c>
      <c r="CI24" s="587" t="str">
        <f t="shared" si="24"/>
        <v/>
      </c>
      <c r="CJ24" s="588" t="str">
        <f t="shared" si="25"/>
        <v/>
      </c>
      <c r="CK24" s="793" t="str">
        <f t="shared" si="26"/>
        <v/>
      </c>
      <c r="CL24" s="788" t="str">
        <f t="shared" si="27"/>
        <v/>
      </c>
      <c r="CM24" s="789" t="str">
        <f t="shared" si="28"/>
        <v/>
      </c>
      <c r="CN24" s="554" t="str">
        <f t="shared" si="29"/>
        <v/>
      </c>
      <c r="CO24" s="555" t="str">
        <f t="shared" si="30"/>
        <v/>
      </c>
      <c r="CP24" s="558" t="str">
        <f t="shared" si="31"/>
        <v/>
      </c>
      <c r="CQ24" s="559" t="str">
        <f t="shared" si="32"/>
        <v/>
      </c>
      <c r="CR24" s="699" t="str">
        <f t="shared" si="33"/>
        <v/>
      </c>
      <c r="CS24" s="700" t="str">
        <f t="shared" si="34"/>
        <v/>
      </c>
      <c r="CU24" s="37" t="str">
        <f>IF(BG24="","",VLOOKUP(BG24,#REF!,12,FALSE))</f>
        <v/>
      </c>
      <c r="CV24" s="38" t="str">
        <f>IF(BG24="","",IF(ISBLANK(BP24),VLOOKUP(BG24,#REF!,13,FALSE),BP24))</f>
        <v/>
      </c>
      <c r="CW24" s="38" t="str">
        <f>IF(BG24="","",IF(VLOOKUP(BG24,#REF!,5,FALSE)="","R",UPPER(VLOOKUP(BG24,#REF!,5,FALSE))))</f>
        <v/>
      </c>
      <c r="CX24" s="756" t="str">
        <f>IF(BG24="","",IF(ISBLANK(BR24),VLOOKUP(BG24,#REF!,6,FALSE),BR24))</f>
        <v/>
      </c>
      <c r="CY24" s="1203" t="str">
        <f>IF(BG24="","",IF(VLOOKUP(BG24,#REF!,10,FALSE)="","",(IF(BO24="X",VLOOKUP(BG24,#REF!,10,FALSE),VALUE(BO24))*-1)))</f>
        <v/>
      </c>
      <c r="CZ24" s="1042" t="str">
        <f>IF(BG24="","",IF(VLOOKUP(BG24,#REF!,11,FALSE)="","2",(VLOOKUP(BG24,#REF!,11,FALSE))))</f>
        <v/>
      </c>
      <c r="DA24" s="38" t="str">
        <f>IF(BG24="","",IF(VLOOKUP(BG24,#REF!,7,FALSE)="","",(VLOOKUP(BG24,#REF!,7,FALSE)*-1)))</f>
        <v/>
      </c>
      <c r="DB24" s="756" t="str">
        <f>IF(BG24="","",IF(VLOOKUP(BG24,#REF!,8,FALSE)="",VLOOKUP(AU24,$DF$2:$DN$9,6,FALSE),(VLOOKUP(BG24,#REF!,8,FALSE))))</f>
        <v/>
      </c>
      <c r="DC24" s="756" t="str">
        <f>IF(BG24="","",VLOOKUP(BG24,#REF!,9,FALSE))</f>
        <v/>
      </c>
      <c r="DD24" s="757">
        <f t="shared" si="35"/>
        <v>0</v>
      </c>
      <c r="DE24" s="758" t="str">
        <f>IF(BS24="","",VLOOKUP(BS24,#REF!,12,FALSE))</f>
        <v/>
      </c>
      <c r="DF24" s="756" t="str">
        <f>IF(BS24="","",IF(ISBLANK(CB24),VLOOKUP(BS24,#REF!,13,FALSE),CB24))</f>
        <v/>
      </c>
      <c r="DG24" s="756" t="str">
        <f>IF(BS24="","",IF(VLOOKUP(BS24,#REF!,5,FALSE)="","R",UPPER(VLOOKUP(BS24,#REF!,5,FALSE))))</f>
        <v/>
      </c>
      <c r="DH24" s="756" t="str">
        <f>IF(BS24="","",IF(ISBLANK(CD24),VLOOKUP(BS24,#REF!,6,FALSE),CD24))</f>
        <v/>
      </c>
      <c r="DI24" s="1203" t="str">
        <f>IF(BS24="","",IF(VLOOKUP(BS24,#REF!,10,FALSE)="","",(IF(CA24="X",VLOOKUP(BS24,#REF!,10,FALSE),VALUE(CA24))*-1)))</f>
        <v/>
      </c>
      <c r="DJ24" s="1042" t="str">
        <f>IF(BS24="","",IF(VLOOKUP(BS24,#REF!,11,FALSE)="","2",(VLOOKUP(BS24,#REF!,11,FALSE))))</f>
        <v/>
      </c>
      <c r="DK24" s="756" t="str">
        <f>IF(BS24="","",IF(VLOOKUP(BS24,#REF!,7,FALSE)="","",(VLOOKUP(BS24,#REF!,7,FALSE)*-1)))</f>
        <v/>
      </c>
      <c r="DL24" s="756" t="str">
        <f>IF(BS24="","",IF(VLOOKUP(BS24,#REF!,8,FALSE)="",VLOOKUP(AU24,$DF$2:$DN$9,6,FALSE),(VLOOKUP(BS24,#REF!,8,FALSE))))</f>
        <v/>
      </c>
      <c r="DM24" s="756" t="str">
        <f>IF(BS24="","",VLOOKUP(BS24,#REF!,9,FALSE))</f>
        <v/>
      </c>
      <c r="DN24" s="757">
        <f t="shared" si="36"/>
        <v>0</v>
      </c>
      <c r="DO24" s="759">
        <f t="shared" si="37"/>
        <v>0</v>
      </c>
      <c r="DP24" s="763" t="str">
        <f t="shared" si="38"/>
        <v/>
      </c>
      <c r="DQ24" s="763" t="str">
        <f t="shared" si="39"/>
        <v/>
      </c>
      <c r="DR24" s="763" t="str">
        <f t="shared" si="40"/>
        <v/>
      </c>
      <c r="DS24" s="762">
        <f t="shared" si="41"/>
        <v>0</v>
      </c>
      <c r="DT24" s="762" t="e">
        <f t="shared" si="42"/>
        <v>#REF!</v>
      </c>
      <c r="DU24" s="762" t="str">
        <f t="shared" si="43"/>
        <v/>
      </c>
      <c r="DV24" s="763" t="str">
        <f t="shared" si="44"/>
        <v/>
      </c>
      <c r="DW24" s="795" t="str">
        <f t="shared" si="45"/>
        <v/>
      </c>
      <c r="DX24" s="926">
        <f>IF(CV24="",0,IF(DW24/COS(FN24-FD24)&lt;0.0625,0,CEILING(DW24/COS(FN24-FD24)-0.03125,0.125)))</f>
        <v>0</v>
      </c>
      <c r="DY24" s="763">
        <f t="shared" si="46"/>
        <v>0</v>
      </c>
      <c r="DZ24" s="762" t="e">
        <f t="shared" si="47"/>
        <v>#REF!</v>
      </c>
      <c r="EA24" s="762" t="str">
        <f t="shared" si="48"/>
        <v/>
      </c>
      <c r="EB24" s="763" t="str">
        <f>IF(DF24="","",(DF24+EA24+(VLOOKUP(IF(AU24="HDR","K",AU24),$DF$2:$DN$9,2,FALSE))*TAN(DY24))/COS(FI24)-FM24)</f>
        <v/>
      </c>
      <c r="EC24" s="795" t="str">
        <f t="shared" si="49"/>
        <v/>
      </c>
      <c r="ED24" s="926">
        <f>IF(DF24="",0,IF(EC24/COS(FN24+FI24)&lt;0.0625,0,CEILING(EC24/COS(FN24+FI24)-0.03125,0.125)))</f>
        <v>0</v>
      </c>
      <c r="EE24" s="1210" t="str">
        <f t="shared" si="50"/>
        <v/>
      </c>
      <c r="EF24" s="763" t="str">
        <f>IF(EE24="ERR","ERR",IF(EE24="","",IF(DB24*TAN(DS24)&lt;=(VLOOKUP(AU24,$DF$2:$DN$9,8,FALSE)-(VLOOKUP(AU24,$DF$2:$DN$9,7,FALSE)-0.0625)),CV24-(EE24-FH24)/IF(OR(CU24="C",AND(CU24="M",$DD$1="N")),1,COS(DS24))-IF(MID(CW24,1,1)="R",0,DW24),(ABS(EE24-FH24)/IF(OR(CU24="C",AND(CU24="M",$DD$1="N")),1,COS(DS24))+CV24)-((DB24/2)*TAN(DS24))-IF(MID(CW24,1,1)="R",0,DW24))))</f>
        <v/>
      </c>
      <c r="EG24" s="763" t="str">
        <f>IF(EE24="ERR","ERR",IF(EE24="","",IF(DB24*TAN(DS24)&lt;=(VLOOKUP(AU24,$DF$2:$DN$9,8,FALSE)-(VLOOKUP(AU24,$DF$2:$DN$9,7,FALSE)-0.0625)),CV24-(EE24-FH24)/IF(OR(CU24="C",AND(CU24="M",$DD$1="N")),1,COS(DS24))-IF(MID(CW24,1,1)="R",0,DW24),(ABS(EE24-FH24)/IF(OR(CU24="C",AND(CU24="M",$DD$1="N")),1,COS(DS24))+CV24)+((DB24/2)*TAN(DS24))-IF(MID(CW24,1,1)="R",0,DW24))))</f>
        <v/>
      </c>
      <c r="EH24" s="795" t="e">
        <f t="shared" si="51"/>
        <v>#N/A</v>
      </c>
      <c r="EI24" s="795" t="e">
        <f t="shared" si="52"/>
        <v>#N/A</v>
      </c>
      <c r="EJ24" s="763" t="str">
        <f t="shared" si="53"/>
        <v/>
      </c>
      <c r="EK24" s="763" t="str">
        <f t="shared" si="53"/>
        <v/>
      </c>
      <c r="EL24" s="1210" t="str">
        <f t="shared" si="54"/>
        <v/>
      </c>
      <c r="EM24" s="763" t="str">
        <f>IF(EL24="ERR","ERR",IF(EL24="","",IF(DL24*TAN(DY24)&lt;=(VLOOKUP(AU24,$DF$2:$DN$9,8,FALSE)-(VLOOKUP(AU24,$DF$2:$DN$9,7,FALSE)-0.0625)),DF24-(EL24-FM24)/IF(OR(DE24="C",AND(DE24="M",$DD$1="N")),1,COS(DY24))-IF(MID(DG24,1,1)="R",0,EC24),(ABS(EL24-FM24)/IF(OR(DE24="C",AND(DE24="M",$DD$1="N")),1,COS(DY24))+DF24)-((DL24/2)*TAN(DY24))-IF(MID(DG24,1,1)="R",0,EC24))))</f>
        <v/>
      </c>
      <c r="EN24" s="763" t="str">
        <f>IF(EL24="ERR","ERR",IF(EL24="","",IF(DL24*TAN(DY24)&lt;=(VLOOKUP(AU24,$DF$2:$DN$9,8,FALSE)-(VLOOKUP(AU24,$DF$2:$DN$9,7,FALSE)-0.0625)),DF24-(EL24-FM24)/IF(OR(DE24="C",AND(DE24="M",$DD$1="N")),1,COS(DY24))-IF(MID(DG24,1,1)="R",0,EC24),(ABS(EL24-FM24)/IF(OR(DE24="C",AND(DE24="M",$DD$1="N")),1,COS(DY24))+DF24)+((DL24/2)*TAN(DY24))-IF(MID(DG24,1,1)="R",0,EC24))))</f>
        <v/>
      </c>
      <c r="EO24" s="795" t="e">
        <f t="shared" si="55"/>
        <v>#N/A</v>
      </c>
      <c r="EP24" s="795" t="e">
        <f t="shared" si="56"/>
        <v>#N/A</v>
      </c>
      <c r="EQ24" s="763" t="str">
        <f t="shared" si="57"/>
        <v/>
      </c>
      <c r="ER24" s="763" t="str">
        <f t="shared" si="57"/>
        <v/>
      </c>
      <c r="ES24" s="763" t="str">
        <f t="shared" si="58"/>
        <v/>
      </c>
      <c r="ET24" s="763" t="str">
        <f t="shared" si="59"/>
        <v/>
      </c>
      <c r="EU24" s="770" t="str">
        <f t="shared" si="60"/>
        <v/>
      </c>
      <c r="EV24" s="765" t="str">
        <f>IF(AND(EK24="",ER24=""),"",IF(EK24="",DL24,IF(EQ24="",DB24,IF(DB24&lt;&gt;DL24,EU24,DB24))))</f>
        <v/>
      </c>
      <c r="EW24" s="770"/>
      <c r="EX24" s="770" t="str">
        <f>IF(AND(CU24="G", ISBLANK(BK24), ISBLANK(BL24)),VLOOKUP(MIN(BH24:BI24),#REF!,2),IF(OR(CU24="B",CU24="G"),MIN(BK24:BL24),""))</f>
        <v/>
      </c>
      <c r="EY24" s="770" t="str">
        <f>IF(AND(CU24="G", ISBLANK(BK24), ISBLANK(BL24)),VLOOKUP(MAX(BH24:BI24),#REF!,2),IF(OR(CU24="B",CU24="G"),MAX(BK24:BL24),""))</f>
        <v/>
      </c>
      <c r="EZ24" s="770" t="str">
        <f t="shared" si="61"/>
        <v/>
      </c>
      <c r="FA24" s="770" t="str">
        <f>IF(AND(DE24="G", ISBLANK(BW24), ISBLANK(BX24)),VLOOKUP(MIN(BT24:BU24),#REF!,2),IF(OR(DE24="B", DE24="G"),MIN(BW24:BX24),""))</f>
        <v/>
      </c>
      <c r="FB24" s="770" t="str">
        <f>IF(AND(DE24="G", ISBLANK(BW24), ISBLANK(BX24)),VLOOKUP(MAX(BT24:BU24),#REF!,2),IF(OR(DE24="B", DE24="G"),MAX(BW24:BX24),""))</f>
        <v/>
      </c>
      <c r="FC24" s="770" t="str">
        <f t="shared" si="62"/>
        <v/>
      </c>
      <c r="FD24" s="763">
        <f t="shared" si="63"/>
        <v>0</v>
      </c>
      <c r="FE24" s="763">
        <f t="shared" si="64"/>
        <v>0</v>
      </c>
      <c r="FF24" s="762">
        <f t="shared" si="65"/>
        <v>0</v>
      </c>
      <c r="FG24" s="762" t="str">
        <f t="shared" si="66"/>
        <v/>
      </c>
      <c r="FH24" s="763" t="str">
        <f t="shared" si="67"/>
        <v/>
      </c>
      <c r="FI24" s="763">
        <f t="shared" si="68"/>
        <v>0</v>
      </c>
      <c r="FJ24" s="763">
        <f t="shared" si="69"/>
        <v>0</v>
      </c>
      <c r="FK24" s="762">
        <f t="shared" si="70"/>
        <v>0</v>
      </c>
      <c r="FL24" s="762" t="str">
        <f t="shared" si="71"/>
        <v/>
      </c>
      <c r="FM24" s="763" t="str">
        <f t="shared" si="72"/>
        <v/>
      </c>
      <c r="FN24" s="763" t="e">
        <f t="shared" si="73"/>
        <v>#VALUE!</v>
      </c>
      <c r="FO24" s="872" t="e">
        <f t="shared" si="74"/>
        <v>#VALUE!</v>
      </c>
      <c r="FP24" s="872" t="e">
        <f t="shared" si="75"/>
        <v>#VALUE!</v>
      </c>
      <c r="FQ24" s="771" t="e">
        <f t="shared" si="76"/>
        <v>#VALUE!</v>
      </c>
      <c r="FR24" s="772" t="e">
        <f t="shared" si="77"/>
        <v>#VALUE!</v>
      </c>
      <c r="FS24" s="773" t="str">
        <f t="shared" si="78"/>
        <v/>
      </c>
      <c r="FT24" s="774" t="str">
        <f t="shared" si="79"/>
        <v/>
      </c>
      <c r="FU24" s="809">
        <f t="shared" si="80"/>
        <v>0</v>
      </c>
      <c r="FV24" s="810">
        <f t="shared" si="81"/>
        <v>0</v>
      </c>
      <c r="GA24" s="542" t="str">
        <f t="shared" si="82"/>
        <v/>
      </c>
      <c r="GB24" s="562" t="str">
        <f t="shared" si="83"/>
        <v/>
      </c>
      <c r="GC24" s="564" t="str">
        <f t="shared" si="84"/>
        <v/>
      </c>
      <c r="GD24" s="565" t="str">
        <f t="shared" si="85"/>
        <v/>
      </c>
      <c r="GE24" s="563" t="str">
        <f t="shared" si="86"/>
        <v/>
      </c>
      <c r="GF24" s="543" t="str">
        <f t="shared" si="87"/>
        <v/>
      </c>
      <c r="GG24" s="1052"/>
      <c r="GH24" s="1053"/>
      <c r="GI24" s="1052"/>
      <c r="GJ24" s="1053"/>
      <c r="GK24" s="1519">
        <f t="shared" si="88"/>
        <v>0</v>
      </c>
      <c r="GL24" s="1519" t="e">
        <f t="shared" si="89"/>
        <v>#VALUE!</v>
      </c>
      <c r="GM24" s="1520" t="e">
        <f>IF(ABS(GK24-GL24)&gt;=#REF!,ABS(GK24-GL24),0)</f>
        <v>#VALUE!</v>
      </c>
      <c r="GZ24" s="346"/>
      <c r="HA24" s="1266"/>
      <c r="HB24" s="1267"/>
      <c r="HC24" s="1267"/>
      <c r="HD24" s="1268"/>
      <c r="HE24" s="1269"/>
      <c r="HF24" s="1267"/>
      <c r="HG24" s="1267"/>
      <c r="HH24" s="1267"/>
      <c r="HI24" s="1270"/>
      <c r="HJ24" s="1267"/>
      <c r="HK24" s="1267"/>
      <c r="HL24" s="1267"/>
      <c r="HM24" s="1267"/>
      <c r="HN24" s="1267"/>
      <c r="HO24" s="1267"/>
      <c r="HP24" s="1267"/>
      <c r="HQ24" s="1270"/>
      <c r="HR24" s="1267"/>
      <c r="HS24" s="1267"/>
      <c r="HT24" s="1267"/>
      <c r="HU24" s="1267"/>
      <c r="HV24" s="1267"/>
      <c r="HW24" s="1269"/>
      <c r="HX24" s="1269"/>
      <c r="HY24" s="1269"/>
      <c r="HZ24" s="1269"/>
      <c r="IA24" s="1269"/>
      <c r="IB24" s="1269"/>
      <c r="IC24" s="1269"/>
      <c r="ID24" s="1269"/>
      <c r="IE24" s="1269"/>
      <c r="IF24" s="1271"/>
    </row>
    <row r="25" spans="1:244" ht="12.6" customHeight="1" x14ac:dyDescent="0.25">
      <c r="A25" s="1132" t="str">
        <f t="shared" si="1"/>
        <v/>
      </c>
      <c r="B25" s="1586" t="str">
        <f t="shared" si="2"/>
        <v/>
      </c>
      <c r="C25" s="1133" t="str">
        <f t="shared" si="3"/>
        <v/>
      </c>
      <c r="D25" s="1134" t="str">
        <f>IF(DP25="","",TRUNC(DP25/12))</f>
        <v/>
      </c>
      <c r="E25" s="1644" t="str">
        <f>IF(DP25="","",DP25-(D25*12))</f>
        <v/>
      </c>
      <c r="F25" s="1137" t="str">
        <f>IF(DX25=0,"",TRUNC(DX25/12))</f>
        <v/>
      </c>
      <c r="G25" s="1138" t="str">
        <f>IF(DX25=0,"",DX25-(F25*12))</f>
        <v/>
      </c>
      <c r="H25" s="1645" t="str">
        <f>IF(DX25=0,"",CW25)</f>
        <v/>
      </c>
      <c r="I25" s="1134" t="str">
        <f>IF(ED25=0,"",TRUNC(ED25/12))</f>
        <v/>
      </c>
      <c r="J25" s="1138" t="str">
        <f>IF(ED25=0,"",ED25-(I25*12))</f>
        <v/>
      </c>
      <c r="K25" s="1646" t="str">
        <f>IF(ED25=0,"",DG25)</f>
        <v/>
      </c>
      <c r="L25" s="1141" t="str">
        <f t="shared" si="4"/>
        <v/>
      </c>
      <c r="M25" s="1142" t="str">
        <f t="shared" si="4"/>
        <v/>
      </c>
      <c r="N25" s="1137" t="str">
        <f>IF(ES25="","",IF(AND(ES25&lt;0,ES25&gt;-12),TRUNC(ES25/12)-0.0000001,TRUNC(ES25/12)))</f>
        <v/>
      </c>
      <c r="O25" s="1138" t="str">
        <f>IF(ES25="","",IF(AND(ES25-(N25*12)=0,ES25&lt;0),-0.000001,ES25-(N25*12)))</f>
        <v/>
      </c>
      <c r="P25" s="1139" t="str">
        <f>IF(ES25="","",IF(OR(CW25="Q",CW25="C"),3,CZ25))</f>
        <v/>
      </c>
      <c r="Q25" s="1134" t="str">
        <f>IF(ET25="","",IF(AND(ET25&lt;0,ET25&gt;-12),TRUNC(ET25/12)-0.0000001,TRUNC(ET25/12)))</f>
        <v/>
      </c>
      <c r="R25" s="1138" t="str">
        <f>IF(ET25="","",IF(AND(ET25-(Q25*12)=0,ET25&lt;0),-0.000001,ET25-(Q25*12)))</f>
        <v/>
      </c>
      <c r="S25" s="1625" t="str">
        <f>IF(ET25="","",IF(OR(DG25="Q",DG25="C"),3,DJ25))</f>
        <v/>
      </c>
      <c r="T25" s="1137" t="str">
        <f>IF(CH25="ERR","",IF(EK25="","",IF(EK25="ERR",TRUNC(EJ25/12),TRUNC(EK25/12))))</f>
        <v/>
      </c>
      <c r="U25" s="1138" t="str">
        <f>IF(CH25="ERR","",IF(EK25="","",IF(EK25="ERR",EJ25-(T25*12),EK25-(T25*12))))</f>
        <v/>
      </c>
      <c r="V25" s="1134" t="str">
        <f>IF(CI25="ERR","",IF(ER25="","",IF(ER25="ERR",TRUNC(EQ25/12),TRUNC(ER25/12))))</f>
        <v/>
      </c>
      <c r="W25" s="1138" t="str">
        <f>IF(CI25="ERR","",IF(ER25="","",IF(ER25="ERR",EQ25-(V25*12),ER25-(V25*12))))</f>
        <v/>
      </c>
      <c r="X25" s="1622">
        <f>IF(EV25="",0,EV25)</f>
        <v>0</v>
      </c>
      <c r="Y25" s="1647" t="str">
        <f>FG25</f>
        <v/>
      </c>
      <c r="Z25" s="1648" t="str">
        <f>FL25</f>
        <v/>
      </c>
      <c r="AA25" s="1649" t="str">
        <f t="shared" si="5"/>
        <v/>
      </c>
      <c r="AB25" s="1288"/>
      <c r="AC25" s="898" t="b">
        <v>0</v>
      </c>
      <c r="AD25" s="374">
        <f t="shared" si="6"/>
        <v>0</v>
      </c>
      <c r="AE25" s="375">
        <f t="shared" si="7"/>
        <v>0</v>
      </c>
      <c r="AF25" s="375">
        <f t="shared" si="8"/>
        <v>0</v>
      </c>
      <c r="AG25" s="375">
        <f t="shared" si="9"/>
        <v>0</v>
      </c>
      <c r="AH25" s="376">
        <f t="shared" si="10"/>
        <v>0</v>
      </c>
      <c r="AI25" s="377" t="b">
        <v>0</v>
      </c>
      <c r="AJ25" s="143">
        <f>IF(OR(ISERROR(VALUE(LEFT(C25,SEARCH(AK25,C25)-1))),AK25=""),0,VALUE(LEFT(C25,SEARCH(AK25,C25)-1)))</f>
        <v>0</v>
      </c>
      <c r="AK25" s="143" t="str">
        <f t="shared" si="11"/>
        <v/>
      </c>
      <c r="AL25" s="1207" t="str">
        <f t="shared" si="12"/>
        <v/>
      </c>
      <c r="AM25" s="143" t="str">
        <f t="shared" si="13"/>
        <v/>
      </c>
      <c r="AN25" s="143" t="str">
        <f t="shared" si="14"/>
        <v/>
      </c>
      <c r="AO25" s="143" t="str">
        <f t="shared" si="15"/>
        <v/>
      </c>
      <c r="AP25" s="771" t="b">
        <f>IF(ISERROR(AJ25),FALSE,IF(OR(AJ25=0,ISERROR(AL25),ISERROR(AM25),ISERROR(AN25),ISERROR(AO25)),FALSE,IF(AL25&lt;&gt;"",IF(ISERROR(VLOOKUP(SUBSTITUTE(SUBSTITUTE(C25,"R",""),"A",""),#REF!,1,FALSE)),FALSE,TRUE),TRUE)))</f>
        <v>0</v>
      </c>
      <c r="AQ25" s="945" t="e">
        <f t="shared" si="16"/>
        <v>#N/A</v>
      </c>
      <c r="AR25" s="877" t="b">
        <f t="shared" ref="AR25:AR40" si="92">IF(IF(ISNUMBER(T25),T25*12,0)+IF(ISNUMBER(U25),U25,0)&gt;0,IF(AND(IF(ISNUMBER(T25),T25*12,0)+IF(ISNUMBER(U25),U25,0)&gt;=VLOOKUP(AU25,$DF$2:$DN$9,8,FALSE)/2+$DQ$2,IF(ISNUMBER(T25),T25*12,0)+IF(ISNUMBER(U25),U25,0)&lt;=(AQ25-(VLOOKUP(AU25,$DF$2:$DN$9,8,FALSE)/2+$DQ$2))+IF(H25="X",2,0)),TRUE,FALSE),FALSE)</f>
        <v>0</v>
      </c>
      <c r="AS25" s="945" t="e">
        <f t="shared" si="17"/>
        <v>#N/A</v>
      </c>
      <c r="AT25" s="877" t="b">
        <f t="shared" ref="AT25:AT40" si="93">IF(IF(ISNUMBER(V25),V25*12,0)+IF(ISNUMBER(W25),W25,0)&gt;0,IF(AND((IF(ISNUMBER(V25),V25*12,0)+IF(ISNUMBER(W25),W25,0))&gt;=VLOOKUP(AU25,$DF$2:$DN$9,8,FALSE)/2+$DQ$2,(IF(ISNUMBER(V25),V25*12,0)+IF(ISNUMBER(W25),W25,0))&lt;=(AS25-(VLOOKUP(AU25,$DF$2:$DN$9,8,FALSE)/2+$DQ$2))+IF(K25="X",2,0)),TRUE,FALSE),FALSE)</f>
        <v>0</v>
      </c>
      <c r="AU25" s="1208" t="str">
        <f t="shared" si="18"/>
        <v/>
      </c>
      <c r="AV25" s="771" t="str">
        <f t="shared" si="19"/>
        <v/>
      </c>
      <c r="AW25" s="771" t="str">
        <f t="shared" si="90"/>
        <v/>
      </c>
      <c r="AX25" s="771" t="str">
        <f t="shared" ref="AX25:AX40" si="94">IF(AND(OR(ISBLANK(A25),A25=""),AA25&lt;&gt;""),AX24,IF(OR(ISBLANK(A25),A25=""),"",A25))</f>
        <v/>
      </c>
      <c r="AY25" s="399" t="e">
        <f t="shared" si="20"/>
        <v>#REF!</v>
      </c>
      <c r="AZ25" s="795" t="str">
        <f t="shared" si="91"/>
        <v/>
      </c>
      <c r="BA25" s="496"/>
      <c r="BB25" s="616"/>
      <c r="BC25" s="1567"/>
      <c r="BD25" s="682"/>
      <c r="BE25" s="683"/>
      <c r="BF25" s="684"/>
      <c r="BG25" s="660"/>
      <c r="BH25" s="901"/>
      <c r="BI25" s="902"/>
      <c r="BJ25" s="1508"/>
      <c r="BK25" s="901"/>
      <c r="BL25" s="902"/>
      <c r="BM25" s="1448"/>
      <c r="BN25" s="1449"/>
      <c r="BO25" s="1497" t="str">
        <f>IF(ISERROR(CU25),"",IF(CU25="","",IF(VLOOKUP(BG25,#REF!,10,FALSE)="","","X")))</f>
        <v/>
      </c>
      <c r="BP25" s="1440"/>
      <c r="BQ25" s="1441" t="str">
        <f t="shared" si="21"/>
        <v/>
      </c>
      <c r="BR25" s="1442"/>
      <c r="BS25" s="660"/>
      <c r="BT25" s="901"/>
      <c r="BU25" s="902"/>
      <c r="BV25" s="1508"/>
      <c r="BW25" s="901"/>
      <c r="BX25" s="902"/>
      <c r="BY25" s="1448"/>
      <c r="BZ25" s="1449"/>
      <c r="CA25" s="1497" t="str">
        <f>IF(ISERROR(DE25),"",IF(DE25="","",IF(VLOOKUP(BS25,#REF!,10,FALSE)="","","X")))</f>
        <v/>
      </c>
      <c r="CB25" s="1440"/>
      <c r="CC25" s="1441" t="str">
        <f t="shared" si="22"/>
        <v/>
      </c>
      <c r="CD25" s="1442"/>
      <c r="CE25" s="1453"/>
      <c r="CF25" s="685"/>
      <c r="CG25" s="686"/>
      <c r="CH25" s="586" t="str">
        <f t="shared" si="23"/>
        <v/>
      </c>
      <c r="CI25" s="587" t="str">
        <f t="shared" si="24"/>
        <v/>
      </c>
      <c r="CJ25" s="588" t="str">
        <f t="shared" si="25"/>
        <v/>
      </c>
      <c r="CK25" s="793" t="str">
        <f t="shared" si="26"/>
        <v/>
      </c>
      <c r="CL25" s="788" t="str">
        <f t="shared" si="27"/>
        <v/>
      </c>
      <c r="CM25" s="789" t="str">
        <f t="shared" si="28"/>
        <v/>
      </c>
      <c r="CN25" s="554" t="str">
        <f t="shared" si="29"/>
        <v/>
      </c>
      <c r="CO25" s="555" t="str">
        <f t="shared" si="30"/>
        <v/>
      </c>
      <c r="CP25" s="558" t="str">
        <f t="shared" si="31"/>
        <v/>
      </c>
      <c r="CQ25" s="559" t="str">
        <f t="shared" si="32"/>
        <v/>
      </c>
      <c r="CR25" s="699" t="str">
        <f t="shared" si="33"/>
        <v/>
      </c>
      <c r="CS25" s="700" t="str">
        <f t="shared" si="34"/>
        <v/>
      </c>
      <c r="CU25" s="37" t="str">
        <f>IF(BG25="","",VLOOKUP(BG25,#REF!,12,FALSE))</f>
        <v/>
      </c>
      <c r="CV25" s="38" t="str">
        <f>IF(BG25="","",IF(ISBLANK(BP25),VLOOKUP(BG25,#REF!,13,FALSE),BP25))</f>
        <v/>
      </c>
      <c r="CW25" s="38" t="str">
        <f>IF(BG25="","",IF(VLOOKUP(BG25,#REF!,5,FALSE)="","R",UPPER(VLOOKUP(BG25,#REF!,5,FALSE))))</f>
        <v/>
      </c>
      <c r="CX25" s="756" t="str">
        <f>IF(BG25="","",IF(ISBLANK(BR25),VLOOKUP(BG25,#REF!,6,FALSE),BR25))</f>
        <v/>
      </c>
      <c r="CY25" s="1203" t="str">
        <f>IF(BG25="","",IF(VLOOKUP(BG25,#REF!,10,FALSE)="","",(IF(BO25="X",VLOOKUP(BG25,#REF!,10,FALSE),VALUE(BO25))*-1)))</f>
        <v/>
      </c>
      <c r="CZ25" s="1042" t="str">
        <f>IF(BG25="","",IF(VLOOKUP(BG25,#REF!,11,FALSE)="","2",(VLOOKUP(BG25,#REF!,11,FALSE))))</f>
        <v/>
      </c>
      <c r="DA25" s="38" t="str">
        <f>IF(BG25="","",IF(VLOOKUP(BG25,#REF!,7,FALSE)="","",(VLOOKUP(BG25,#REF!,7,FALSE)*-1)))</f>
        <v/>
      </c>
      <c r="DB25" s="756" t="str">
        <f>IF(BG25="","",IF(VLOOKUP(BG25,#REF!,8,FALSE)="",VLOOKUP(AU25,$DF$2:$DN$9,6,FALSE),(VLOOKUP(BG25,#REF!,8,FALSE))))</f>
        <v/>
      </c>
      <c r="DC25" s="756" t="str">
        <f>IF(BG25="","",VLOOKUP(BG25,#REF!,9,FALSE))</f>
        <v/>
      </c>
      <c r="DD25" s="757">
        <f t="shared" si="35"/>
        <v>0</v>
      </c>
      <c r="DE25" s="758" t="str">
        <f>IF(BS25="","",VLOOKUP(BS25,#REF!,12,FALSE))</f>
        <v/>
      </c>
      <c r="DF25" s="756" t="str">
        <f>IF(BS25="","",IF(ISBLANK(CB25),VLOOKUP(BS25,#REF!,13,FALSE),CB25))</f>
        <v/>
      </c>
      <c r="DG25" s="756" t="str">
        <f>IF(BS25="","",IF(VLOOKUP(BS25,#REF!,5,FALSE)="","R",UPPER(VLOOKUP(BS25,#REF!,5,FALSE))))</f>
        <v/>
      </c>
      <c r="DH25" s="756" t="str">
        <f>IF(BS25="","",IF(ISBLANK(CD25),VLOOKUP(BS25,#REF!,6,FALSE),CD25))</f>
        <v/>
      </c>
      <c r="DI25" s="1203" t="str">
        <f>IF(BS25="","",IF(VLOOKUP(BS25,#REF!,10,FALSE)="","",(IF(CA25="X",VLOOKUP(BS25,#REF!,10,FALSE),VALUE(CA25))*-1)))</f>
        <v/>
      </c>
      <c r="DJ25" s="1042" t="str">
        <f>IF(BS25="","",IF(VLOOKUP(BS25,#REF!,11,FALSE)="","2",(VLOOKUP(BS25,#REF!,11,FALSE))))</f>
        <v/>
      </c>
      <c r="DK25" s="756" t="str">
        <f>IF(BS25="","",IF(VLOOKUP(BS25,#REF!,7,FALSE)="","",(VLOOKUP(BS25,#REF!,7,FALSE)*-1)))</f>
        <v/>
      </c>
      <c r="DL25" s="756" t="str">
        <f>IF(BS25="","",IF(VLOOKUP(BS25,#REF!,8,FALSE)="",VLOOKUP(AU25,$DF$2:$DN$9,6,FALSE),(VLOOKUP(BS25,#REF!,8,FALSE))))</f>
        <v/>
      </c>
      <c r="DM25" s="756" t="str">
        <f>IF(BS25="","",VLOOKUP(BS25,#REF!,9,FALSE))</f>
        <v/>
      </c>
      <c r="DN25" s="757">
        <f t="shared" si="36"/>
        <v>0</v>
      </c>
      <c r="DO25" s="759">
        <f t="shared" si="37"/>
        <v>0</v>
      </c>
      <c r="DP25" s="763" t="str">
        <f t="shared" si="38"/>
        <v/>
      </c>
      <c r="DQ25" s="763" t="str">
        <f t="shared" si="39"/>
        <v/>
      </c>
      <c r="DR25" s="763" t="str">
        <f t="shared" si="40"/>
        <v/>
      </c>
      <c r="DS25" s="762">
        <f t="shared" si="41"/>
        <v>0</v>
      </c>
      <c r="DT25" s="762" t="e">
        <f t="shared" si="42"/>
        <v>#REF!</v>
      </c>
      <c r="DU25" s="762" t="str">
        <f t="shared" si="43"/>
        <v/>
      </c>
      <c r="DV25" s="763" t="str">
        <f t="shared" si="44"/>
        <v/>
      </c>
      <c r="DW25" s="795" t="str">
        <f t="shared" si="45"/>
        <v/>
      </c>
      <c r="DX25" s="926">
        <f>IF(CV25="",0,IF(DW25/COS(FN25-FD25)&lt;0.0625,0,CEILING(DW25/COS(FN25-FD25)-0.03125,0.125)))</f>
        <v>0</v>
      </c>
      <c r="DY25" s="763">
        <f t="shared" si="46"/>
        <v>0</v>
      </c>
      <c r="DZ25" s="762" t="e">
        <f t="shared" si="47"/>
        <v>#REF!</v>
      </c>
      <c r="EA25" s="762" t="str">
        <f t="shared" si="48"/>
        <v/>
      </c>
      <c r="EB25" s="763" t="str">
        <f>IF(DF25="","",(DF25+EA25+(VLOOKUP(IF(AU25="HDR","K",AU25),$DF$2:$DN$9,2,FALSE))*TAN(DY25))/COS(FI25)-FM25)</f>
        <v/>
      </c>
      <c r="EC25" s="795" t="str">
        <f t="shared" si="49"/>
        <v/>
      </c>
      <c r="ED25" s="926">
        <f>IF(DF25="",0,IF(EC25/COS(FN25+FI25)&lt;0.0625,0,CEILING(EC25/COS(FN25+FI25)-0.03125,0.125)))</f>
        <v>0</v>
      </c>
      <c r="EE25" s="1210" t="str">
        <f t="shared" si="50"/>
        <v/>
      </c>
      <c r="EF25" s="1210" t="str">
        <f>IF(EE25="ERR","ERR",IF(EE25="","",IF(DB25*TAN(DS25)&lt;=(VLOOKUP(AU25,$DF$2:$DN$9,8,FALSE)-(VLOOKUP(AU25,$DF$2:$DN$9,7,FALSE)-0.0625)),CV25-(EE25-FH25)/IF(OR(CU25="C",AND(CU25="M",$DD$1="N")),1,COS(DS25))-IF(MID(CW25,1,1)="R",0,DW25),(ABS(EE25-FH25)/IF(OR(CU25="C",AND(CU25="M",$DD$1="N")),1,COS(DS25))+CV25)-((DB25/2)*TAN(DS25))-IF(MID(CW25,1,1)="R",0,DW25))))</f>
        <v/>
      </c>
      <c r="EG25" s="1210" t="str">
        <f>IF(EE25="ERR","ERR",IF(EE25="","",IF(DB25*TAN(DS25)&lt;=(VLOOKUP(AU25,$DF$2:$DN$9,8,FALSE)-(VLOOKUP(AU25,$DF$2:$DN$9,7,FALSE)-0.0625)),CV25-(EE25-FH25)/IF(OR(CU25="C",AND(CU25="M",$DD$1="N")),1,COS(DS25))-IF(MID(CW25,1,1)="R",0,DW25),(ABS(EE25-FH25)/IF(OR(CU25="C",AND(CU25="M",$DD$1="N")),1,COS(DS25))+CV25)+((DB25/2)*TAN(DS25))-IF(MID(CW25,1,1)="R",0,DW25))))</f>
        <v/>
      </c>
      <c r="EH25" s="795" t="e">
        <f t="shared" si="51"/>
        <v>#N/A</v>
      </c>
      <c r="EI25" s="795" t="e">
        <f t="shared" si="52"/>
        <v>#N/A</v>
      </c>
      <c r="EJ25" s="763" t="str">
        <f t="shared" si="53"/>
        <v/>
      </c>
      <c r="EK25" s="763" t="str">
        <f t="shared" si="53"/>
        <v/>
      </c>
      <c r="EL25" s="1210" t="str">
        <f t="shared" si="54"/>
        <v/>
      </c>
      <c r="EM25" s="763" t="str">
        <f>IF(EL25="ERR","ERR",IF(EL25="","",IF(DL25*TAN(DY25)&lt;=(VLOOKUP(AU25,$DF$2:$DN$9,8,FALSE)-(VLOOKUP(AU25,$DF$2:$DN$9,7,FALSE)-0.0625)),DF25-(EL25-FM25)/IF(OR(DE25="C",AND(DE25="M",$DD$1="N")),1,COS(DY25))-IF(MID(DG25,1,1)="R",0,EC25),(ABS(EL25-FM25)/IF(OR(DE25="C",AND(DE25="M",$DD$1="N")),1,COS(DY25))+DF25)-((DL25/2)*TAN(DY25))-IF(MID(DG25,1,1)="R",0,EC25))))</f>
        <v/>
      </c>
      <c r="EN25" s="763" t="str">
        <f>IF(EL25="ERR","ERR",IF(EL25="","",IF(DL25*TAN(DY25)&lt;=(VLOOKUP(AU25,$DF$2:$DN$9,8,FALSE)-(VLOOKUP(AU25,$DF$2:$DN$9,7,FALSE)-0.0625)),DF25-(EL25-FM25)/IF(OR(DE25="C",AND(DE25="M",$DD$1="N")),1,COS(DY25))-IF(MID(DG25,1,1)="R",0,EC25),(ABS(EL25-FM25)/IF(OR(DE25="C",AND(DE25="M",$DD$1="N")),1,COS(DY25))+DF25)+((DL25/2)*TAN(DY25))-IF(MID(DG25,1,1)="R",0,EC25))))</f>
        <v/>
      </c>
      <c r="EO25" s="795" t="e">
        <f t="shared" si="55"/>
        <v>#N/A</v>
      </c>
      <c r="EP25" s="795" t="e">
        <f t="shared" si="56"/>
        <v>#N/A</v>
      </c>
      <c r="EQ25" s="763" t="str">
        <f t="shared" si="57"/>
        <v/>
      </c>
      <c r="ER25" s="763" t="str">
        <f t="shared" si="57"/>
        <v/>
      </c>
      <c r="ES25" s="763" t="str">
        <f t="shared" si="58"/>
        <v/>
      </c>
      <c r="ET25" s="763" t="str">
        <f t="shared" si="59"/>
        <v/>
      </c>
      <c r="EU25" s="770" t="str">
        <f t="shared" si="60"/>
        <v/>
      </c>
      <c r="EV25" s="765" t="str">
        <f>IF(AND(EK25="",ER25=""),"",IF(EK25="",DL25,IF(EQ25="",DB25,IF(DB25&lt;&gt;DL25,EU25,DB25))))</f>
        <v/>
      </c>
      <c r="EW25" s="770"/>
      <c r="EX25" s="770" t="str">
        <f>IF(AND(CU25="G", ISBLANK(BK25), ISBLANK(BL25)),VLOOKUP(MIN(BH25:BI25),#REF!,2),IF(OR(CU25="B",CU25="G"),MIN(BK25:BL25),""))</f>
        <v/>
      </c>
      <c r="EY25" s="770" t="str">
        <f>IF(AND(CU25="G", ISBLANK(BK25), ISBLANK(BL25)),VLOOKUP(MAX(BH25:BI25),#REF!,2),IF(OR(CU25="B",CU25="G"),MAX(BK25:BL25),""))</f>
        <v/>
      </c>
      <c r="EZ25" s="770" t="str">
        <f t="shared" si="61"/>
        <v/>
      </c>
      <c r="FA25" s="770" t="str">
        <f>IF(AND(DE25="G", ISBLANK(BW25), ISBLANK(BX25)),VLOOKUP(MIN(BT25:BU25),#REF!,2),IF(OR(DE25="B", DE25="G"),MIN(BW25:BX25),""))</f>
        <v/>
      </c>
      <c r="FB25" s="770" t="str">
        <f>IF(AND(DE25="G", ISBLANK(BW25), ISBLANK(BX25)),VLOOKUP(MAX(BT25:BU25),#REF!,2),IF(OR(DE25="B", DE25="G"),MAX(BW25:BX25),""))</f>
        <v/>
      </c>
      <c r="FC25" s="770" t="str">
        <f t="shared" si="62"/>
        <v/>
      </c>
      <c r="FD25" s="763">
        <f t="shared" si="63"/>
        <v>0</v>
      </c>
      <c r="FE25" s="763">
        <f t="shared" si="64"/>
        <v>0</v>
      </c>
      <c r="FF25" s="762">
        <f t="shared" si="65"/>
        <v>0</v>
      </c>
      <c r="FG25" s="762" t="str">
        <f t="shared" si="66"/>
        <v/>
      </c>
      <c r="FH25" s="763" t="str">
        <f t="shared" si="67"/>
        <v/>
      </c>
      <c r="FI25" s="763">
        <f t="shared" si="68"/>
        <v>0</v>
      </c>
      <c r="FJ25" s="763">
        <f t="shared" si="69"/>
        <v>0</v>
      </c>
      <c r="FK25" s="762">
        <f t="shared" si="70"/>
        <v>0</v>
      </c>
      <c r="FL25" s="762" t="str">
        <f t="shared" si="71"/>
        <v/>
      </c>
      <c r="FM25" s="763" t="str">
        <f t="shared" si="72"/>
        <v/>
      </c>
      <c r="FN25" s="763" t="e">
        <f t="shared" si="73"/>
        <v>#VALUE!</v>
      </c>
      <c r="FO25" s="872" t="e">
        <f t="shared" si="74"/>
        <v>#VALUE!</v>
      </c>
      <c r="FP25" s="872" t="e">
        <f t="shared" si="75"/>
        <v>#VALUE!</v>
      </c>
      <c r="FQ25" s="771" t="e">
        <f t="shared" si="76"/>
        <v>#VALUE!</v>
      </c>
      <c r="FR25" s="772" t="e">
        <f t="shared" si="77"/>
        <v>#VALUE!</v>
      </c>
      <c r="FS25" s="773" t="str">
        <f t="shared" si="78"/>
        <v/>
      </c>
      <c r="FT25" s="774" t="str">
        <f t="shared" si="79"/>
        <v/>
      </c>
      <c r="FU25" s="809">
        <f t="shared" si="80"/>
        <v>0</v>
      </c>
      <c r="FV25" s="810">
        <f t="shared" si="81"/>
        <v>0</v>
      </c>
      <c r="GA25" s="542" t="str">
        <f t="shared" si="82"/>
        <v/>
      </c>
      <c r="GB25" s="562" t="str">
        <f t="shared" si="83"/>
        <v/>
      </c>
      <c r="GC25" s="564" t="str">
        <f t="shared" si="84"/>
        <v/>
      </c>
      <c r="GD25" s="565" t="str">
        <f t="shared" si="85"/>
        <v/>
      </c>
      <c r="GE25" s="563" t="str">
        <f t="shared" si="86"/>
        <v/>
      </c>
      <c r="GF25" s="543" t="str">
        <f t="shared" si="87"/>
        <v/>
      </c>
      <c r="GG25" s="1052"/>
      <c r="GH25" s="1053"/>
      <c r="GI25" s="1052"/>
      <c r="GJ25" s="1053"/>
      <c r="GK25" s="1519">
        <f t="shared" si="88"/>
        <v>0</v>
      </c>
      <c r="GL25" s="1519" t="e">
        <f t="shared" si="89"/>
        <v>#VALUE!</v>
      </c>
      <c r="GM25" s="1520" t="e">
        <f>IF(ABS(GK25-GL25)&gt;=#REF!,ABS(GK25-GL25),0)</f>
        <v>#VALUE!</v>
      </c>
      <c r="GZ25" s="346"/>
      <c r="HA25" s="1266"/>
      <c r="HB25" s="1267"/>
      <c r="HC25" s="1267"/>
      <c r="HD25" s="1268"/>
      <c r="HE25" s="1269"/>
      <c r="HF25" s="1267"/>
      <c r="HG25" s="1267"/>
      <c r="HH25" s="1267"/>
      <c r="HI25" s="1270"/>
      <c r="HJ25" s="1267"/>
      <c r="HK25" s="1267"/>
      <c r="HL25" s="1267"/>
      <c r="HM25" s="1267"/>
      <c r="HN25" s="1267"/>
      <c r="HO25" s="1267"/>
      <c r="HP25" s="1267"/>
      <c r="HQ25" s="1270"/>
      <c r="HR25" s="1267"/>
      <c r="HS25" s="1267"/>
      <c r="HT25" s="1267"/>
      <c r="HU25" s="1267"/>
      <c r="HV25" s="1267"/>
      <c r="HW25" s="1269"/>
      <c r="HX25" s="1269"/>
      <c r="HY25" s="1269"/>
      <c r="HZ25" s="1269"/>
      <c r="IA25" s="1269"/>
      <c r="IB25" s="1269"/>
      <c r="IC25" s="1269"/>
      <c r="ID25" s="1269"/>
      <c r="IE25" s="1269"/>
      <c r="IF25" s="1271"/>
    </row>
    <row r="26" spans="1:244" ht="12.6" customHeight="1" x14ac:dyDescent="0.25">
      <c r="A26" s="1132" t="str">
        <f t="shared" si="1"/>
        <v/>
      </c>
      <c r="B26" s="1586" t="str">
        <f t="shared" si="2"/>
        <v/>
      </c>
      <c r="C26" s="1133" t="str">
        <f t="shared" si="3"/>
        <v/>
      </c>
      <c r="D26" s="1134" t="str">
        <f t="shared" ref="D26:D40" si="95">IF(DP26="","",TRUNC(DP26/12))</f>
        <v/>
      </c>
      <c r="E26" s="1644" t="str">
        <f t="shared" ref="E26:E40" si="96">IF(DP26="","",DP26-(D26*12))</f>
        <v/>
      </c>
      <c r="F26" s="1137" t="str">
        <f t="shared" ref="F26:F40" si="97">IF(DX26=0,"",TRUNC(DX26/12))</f>
        <v/>
      </c>
      <c r="G26" s="1138" t="str">
        <f t="shared" ref="G26:G40" si="98">IF(DX26=0,"",DX26-(F26*12))</f>
        <v/>
      </c>
      <c r="H26" s="1645" t="str">
        <f t="shared" ref="H26:H40" si="99">IF(DX26=0,"",CW26)</f>
        <v/>
      </c>
      <c r="I26" s="1134" t="str">
        <f t="shared" ref="I26:I40" si="100">IF(ED26=0,"",TRUNC(ED26/12))</f>
        <v/>
      </c>
      <c r="J26" s="1138" t="str">
        <f t="shared" ref="J26:J40" si="101">IF(ED26=0,"",ED26-(I26*12))</f>
        <v/>
      </c>
      <c r="K26" s="1646" t="str">
        <f t="shared" ref="K26:K40" si="102">IF(ED26=0,"",DG26)</f>
        <v/>
      </c>
      <c r="L26" s="1141" t="str">
        <f t="shared" ref="L26:L40" si="103">DQ26</f>
        <v/>
      </c>
      <c r="M26" s="1142" t="str">
        <f t="shared" ref="M26:M40" si="104">DR26</f>
        <v/>
      </c>
      <c r="N26" s="1137" t="str">
        <f t="shared" ref="N26:N40" si="105">IF(ES26="","",IF(AND(ES26&lt;0,ES26&gt;-12),TRUNC(ES26/12)-0.0000001,TRUNC(ES26/12)))</f>
        <v/>
      </c>
      <c r="O26" s="1138" t="str">
        <f t="shared" ref="O26:O40" si="106">IF(ES26="","",IF(AND(ES26-(N26*12)=0,ES26&lt;0),-0.000001,ES26-(N26*12)))</f>
        <v/>
      </c>
      <c r="P26" s="1139" t="str">
        <f t="shared" ref="P26:P40" si="107">IF(ES26="","",IF(OR(CW26="Q",CW26="C"),3,CZ26))</f>
        <v/>
      </c>
      <c r="Q26" s="1134" t="str">
        <f t="shared" ref="Q26:Q40" si="108">IF(ET26="","",IF(AND(ET26&lt;0,ET26&gt;-12),TRUNC(ET26/12)-0.0000001,TRUNC(ET26/12)))</f>
        <v/>
      </c>
      <c r="R26" s="1138" t="str">
        <f t="shared" ref="R26:R40" si="109">IF(ET26="","",IF(AND(ET26-(Q26*12)=0,ET26&lt;0),-0.000001,ET26-(Q26*12)))</f>
        <v/>
      </c>
      <c r="S26" s="1625" t="str">
        <f t="shared" ref="S26:S40" si="110">IF(ET26="","",IF(OR(DG26="Q",DG26="C"),3,DJ26))</f>
        <v/>
      </c>
      <c r="T26" s="1137" t="str">
        <f t="shared" ref="T26:T40" si="111">IF(CH26="ERR","",IF(EK26="","",IF(EK26="ERR",TRUNC(EJ26/12),TRUNC(EK26/12))))</f>
        <v/>
      </c>
      <c r="U26" s="1138" t="str">
        <f t="shared" ref="U26:U40" si="112">IF(CH26="ERR","",IF(EK26="","",IF(EK26="ERR",EJ26-(T26*12),EK26-(T26*12))))</f>
        <v/>
      </c>
      <c r="V26" s="1134" t="str">
        <f t="shared" ref="V26:V40" si="113">IF(CI26="ERR","",IF(ER26="","",IF(ER26="ERR",TRUNC(EQ26/12),TRUNC(ER26/12))))</f>
        <v/>
      </c>
      <c r="W26" s="1138" t="str">
        <f t="shared" ref="W26:W40" si="114">IF(CI26="ERR","",IF(ER26="","",IF(ER26="ERR",EQ26-(V26*12),ER26-(V26*12))))</f>
        <v/>
      </c>
      <c r="X26" s="1622">
        <f t="shared" ref="X26:X40" si="115">IF(EV26="",0,EV26)</f>
        <v>0</v>
      </c>
      <c r="Y26" s="1647" t="str">
        <f t="shared" ref="Y26:Y40" si="116">FG26</f>
        <v/>
      </c>
      <c r="Z26" s="1648" t="str">
        <f t="shared" ref="Z26:Z40" si="117">FL26</f>
        <v/>
      </c>
      <c r="AA26" s="1649" t="str">
        <f t="shared" si="5"/>
        <v/>
      </c>
      <c r="AB26" s="1288"/>
      <c r="AC26" s="898" t="b">
        <v>0</v>
      </c>
      <c r="AD26" s="374">
        <f t="shared" si="6"/>
        <v>0</v>
      </c>
      <c r="AE26" s="375">
        <f t="shared" si="7"/>
        <v>0</v>
      </c>
      <c r="AF26" s="375">
        <f t="shared" si="8"/>
        <v>0</v>
      </c>
      <c r="AG26" s="375">
        <f t="shared" si="9"/>
        <v>0</v>
      </c>
      <c r="AH26" s="376">
        <f t="shared" si="10"/>
        <v>0</v>
      </c>
      <c r="AI26" s="377" t="b">
        <v>0</v>
      </c>
      <c r="AJ26" s="143">
        <f>IF(OR(ISERROR(VALUE(LEFT(C26,SEARCH(AK26,C26)-1))),AK26=""),0,VALUE(LEFT(C26,SEARCH(AK26,C26)-1)))</f>
        <v>0</v>
      </c>
      <c r="AK26" s="143" t="str">
        <f t="shared" si="11"/>
        <v/>
      </c>
      <c r="AL26" s="1207" t="str">
        <f t="shared" si="12"/>
        <v/>
      </c>
      <c r="AM26" s="143" t="str">
        <f t="shared" si="13"/>
        <v/>
      </c>
      <c r="AN26" s="143" t="str">
        <f t="shared" si="14"/>
        <v/>
      </c>
      <c r="AO26" s="143" t="str">
        <f t="shared" si="15"/>
        <v/>
      </c>
      <c r="AP26" s="771" t="b">
        <f>IF(ISERROR(AJ26),FALSE,IF(OR(AJ26=0,ISERROR(AL26),ISERROR(AM26),ISERROR(AN26),ISERROR(AO26)),FALSE,IF(AL26&lt;&gt;"",IF(ISERROR(VLOOKUP(SUBSTITUTE(SUBSTITUTE(C26,"R",""),"A",""),#REF!,1,FALSE)),FALSE,TRUE),TRUE)))</f>
        <v>0</v>
      </c>
      <c r="AQ26" s="945" t="e">
        <f t="shared" si="16"/>
        <v>#N/A</v>
      </c>
      <c r="AR26" s="877" t="b">
        <f t="shared" si="92"/>
        <v>0</v>
      </c>
      <c r="AS26" s="945" t="e">
        <f t="shared" si="17"/>
        <v>#N/A</v>
      </c>
      <c r="AT26" s="877" t="b">
        <f t="shared" si="93"/>
        <v>0</v>
      </c>
      <c r="AU26" s="1208" t="str">
        <f t="shared" si="18"/>
        <v/>
      </c>
      <c r="AV26" s="771" t="str">
        <f t="shared" si="19"/>
        <v/>
      </c>
      <c r="AW26" s="771" t="str">
        <f t="shared" si="90"/>
        <v/>
      </c>
      <c r="AX26" s="771" t="str">
        <f t="shared" si="94"/>
        <v/>
      </c>
      <c r="AY26" s="399" t="e">
        <f t="shared" si="20"/>
        <v>#REF!</v>
      </c>
      <c r="AZ26" s="795" t="str">
        <f t="shared" si="91"/>
        <v/>
      </c>
      <c r="BA26" s="496"/>
      <c r="BB26" s="616"/>
      <c r="BC26" s="1567"/>
      <c r="BD26" s="682"/>
      <c r="BE26" s="683"/>
      <c r="BF26" s="684"/>
      <c r="BG26" s="660"/>
      <c r="BH26" s="901"/>
      <c r="BI26" s="902"/>
      <c r="BJ26" s="1508"/>
      <c r="BK26" s="901"/>
      <c r="BL26" s="902"/>
      <c r="BM26" s="1448"/>
      <c r="BN26" s="1449"/>
      <c r="BO26" s="1497" t="str">
        <f>IF(ISERROR(CU26),"",IF(CU26="","",IF(VLOOKUP(BG26,#REF!,10,FALSE)="","","X")))</f>
        <v/>
      </c>
      <c r="BP26" s="1440"/>
      <c r="BQ26" s="1441" t="str">
        <f t="shared" si="21"/>
        <v/>
      </c>
      <c r="BR26" s="1442"/>
      <c r="BS26" s="660"/>
      <c r="BT26" s="901"/>
      <c r="BU26" s="902"/>
      <c r="BV26" s="1508"/>
      <c r="BW26" s="901"/>
      <c r="BX26" s="902"/>
      <c r="BY26" s="1448"/>
      <c r="BZ26" s="1449"/>
      <c r="CA26" s="1497" t="str">
        <f>IF(ISERROR(DE26),"",IF(DE26="","",IF(VLOOKUP(BS26,#REF!,10,FALSE)="","","X")))</f>
        <v/>
      </c>
      <c r="CB26" s="1440"/>
      <c r="CC26" s="1441" t="str">
        <f t="shared" si="22"/>
        <v/>
      </c>
      <c r="CD26" s="1442"/>
      <c r="CE26" s="1453"/>
      <c r="CF26" s="685"/>
      <c r="CG26" s="686"/>
      <c r="CH26" s="586" t="str">
        <f t="shared" si="23"/>
        <v/>
      </c>
      <c r="CI26" s="587" t="str">
        <f t="shared" si="24"/>
        <v/>
      </c>
      <c r="CJ26" s="588" t="str">
        <f t="shared" si="25"/>
        <v/>
      </c>
      <c r="CK26" s="793" t="str">
        <f t="shared" si="26"/>
        <v/>
      </c>
      <c r="CL26" s="788" t="str">
        <f t="shared" si="27"/>
        <v/>
      </c>
      <c r="CM26" s="789" t="str">
        <f t="shared" si="28"/>
        <v/>
      </c>
      <c r="CN26" s="554" t="str">
        <f t="shared" si="29"/>
        <v/>
      </c>
      <c r="CO26" s="555" t="str">
        <f t="shared" si="30"/>
        <v/>
      </c>
      <c r="CP26" s="558" t="str">
        <f t="shared" si="31"/>
        <v/>
      </c>
      <c r="CQ26" s="559" t="str">
        <f t="shared" si="32"/>
        <v/>
      </c>
      <c r="CR26" s="699" t="str">
        <f t="shared" si="33"/>
        <v/>
      </c>
      <c r="CS26" s="700" t="str">
        <f t="shared" si="34"/>
        <v/>
      </c>
      <c r="CU26" s="37" t="str">
        <f>IF(BG26="","",VLOOKUP(BG26,#REF!,12,FALSE))</f>
        <v/>
      </c>
      <c r="CV26" s="38" t="str">
        <f>IF(BG26="","",IF(ISBLANK(BP26),VLOOKUP(BG26,#REF!,13,FALSE),BP26))</f>
        <v/>
      </c>
      <c r="CW26" s="38" t="str">
        <f>IF(BG26="","",IF(VLOOKUP(BG26,#REF!,5,FALSE)="","R",UPPER(VLOOKUP(BG26,#REF!,5,FALSE))))</f>
        <v/>
      </c>
      <c r="CX26" s="756" t="str">
        <f>IF(BG26="","",IF(ISBLANK(BR26),VLOOKUP(BG26,#REF!,6,FALSE),BR26))</f>
        <v/>
      </c>
      <c r="CY26" s="1203" t="str">
        <f>IF(BG26="","",IF(VLOOKUP(BG26,#REF!,10,FALSE)="","",(IF(BO26="X",VLOOKUP(BG26,#REF!,10,FALSE),VALUE(BO26))*-1)))</f>
        <v/>
      </c>
      <c r="CZ26" s="1042" t="str">
        <f>IF(BG26="","",IF(VLOOKUP(BG26,#REF!,11,FALSE)="","2",(VLOOKUP(BG26,#REF!,11,FALSE))))</f>
        <v/>
      </c>
      <c r="DA26" s="38" t="str">
        <f>IF(BG26="","",IF(VLOOKUP(BG26,#REF!,7,FALSE)="","",(VLOOKUP(BG26,#REF!,7,FALSE)*-1)))</f>
        <v/>
      </c>
      <c r="DB26" s="756" t="str">
        <f>IF(BG26="","",IF(VLOOKUP(BG26,#REF!,8,FALSE)="",VLOOKUP(AU26,$DF$2:$DN$9,6,FALSE),(VLOOKUP(BG26,#REF!,8,FALSE))))</f>
        <v/>
      </c>
      <c r="DC26" s="756" t="str">
        <f>IF(BG26="","",VLOOKUP(BG26,#REF!,9,FALSE))</f>
        <v/>
      </c>
      <c r="DD26" s="757">
        <f t="shared" si="35"/>
        <v>0</v>
      </c>
      <c r="DE26" s="758" t="str">
        <f>IF(BS26="","",VLOOKUP(BS26,#REF!,12,FALSE))</f>
        <v/>
      </c>
      <c r="DF26" s="756" t="str">
        <f>IF(BS26="","",IF(ISBLANK(CB26),VLOOKUP(BS26,#REF!,13,FALSE),CB26))</f>
        <v/>
      </c>
      <c r="DG26" s="756" t="str">
        <f>IF(BS26="","",IF(VLOOKUP(BS26,#REF!,5,FALSE)="","R",UPPER(VLOOKUP(BS26,#REF!,5,FALSE))))</f>
        <v/>
      </c>
      <c r="DH26" s="756" t="str">
        <f>IF(BS26="","",IF(ISBLANK(CD26),VLOOKUP(BS26,#REF!,6,FALSE),CD26))</f>
        <v/>
      </c>
      <c r="DI26" s="1203" t="str">
        <f>IF(BS26="","",IF(VLOOKUP(BS26,#REF!,10,FALSE)="","",(IF(CA26="X",VLOOKUP(BS26,#REF!,10,FALSE),VALUE(CA26))*-1)))</f>
        <v/>
      </c>
      <c r="DJ26" s="1042" t="str">
        <f>IF(BS26="","",IF(VLOOKUP(BS26,#REF!,11,FALSE)="","2",(VLOOKUP(BS26,#REF!,11,FALSE))))</f>
        <v/>
      </c>
      <c r="DK26" s="756" t="str">
        <f>IF(BS26="","",IF(VLOOKUP(BS26,#REF!,7,FALSE)="","",(VLOOKUP(BS26,#REF!,7,FALSE)*-1)))</f>
        <v/>
      </c>
      <c r="DL26" s="756" t="str">
        <f>IF(BS26="","",IF(VLOOKUP(BS26,#REF!,8,FALSE)="",VLOOKUP(AU26,$DF$2:$DN$9,6,FALSE),(VLOOKUP(BS26,#REF!,8,FALSE))))</f>
        <v/>
      </c>
      <c r="DM26" s="756" t="str">
        <f>IF(BS26="","",VLOOKUP(BS26,#REF!,9,FALSE))</f>
        <v/>
      </c>
      <c r="DN26" s="757">
        <f t="shared" si="36"/>
        <v>0</v>
      </c>
      <c r="DO26" s="759">
        <f t="shared" si="37"/>
        <v>0</v>
      </c>
      <c r="DP26" s="763" t="str">
        <f t="shared" si="38"/>
        <v/>
      </c>
      <c r="DQ26" s="763" t="str">
        <f t="shared" si="39"/>
        <v/>
      </c>
      <c r="DR26" s="763" t="str">
        <f t="shared" si="40"/>
        <v/>
      </c>
      <c r="DS26" s="762">
        <f t="shared" si="41"/>
        <v>0</v>
      </c>
      <c r="DT26" s="762" t="e">
        <f t="shared" si="42"/>
        <v>#REF!</v>
      </c>
      <c r="DU26" s="762" t="str">
        <f t="shared" si="43"/>
        <v/>
      </c>
      <c r="DV26" s="763" t="str">
        <f t="shared" si="44"/>
        <v/>
      </c>
      <c r="DW26" s="795" t="str">
        <f t="shared" si="45"/>
        <v/>
      </c>
      <c r="DX26" s="926">
        <f t="shared" ref="DX26:DX40" si="118">IF(CV26="",0,IF(DW26/COS(FN26-FD26)&lt;0.0625,0,CEILING(DW26/COS(FN26-FD26)-0.03125,0.125)))</f>
        <v>0</v>
      </c>
      <c r="DY26" s="763">
        <f t="shared" si="46"/>
        <v>0</v>
      </c>
      <c r="DZ26" s="762" t="e">
        <f t="shared" si="47"/>
        <v>#REF!</v>
      </c>
      <c r="EA26" s="762" t="str">
        <f t="shared" si="48"/>
        <v/>
      </c>
      <c r="EB26" s="763" t="str">
        <f t="shared" ref="EB26:EB40" si="119">IF(DF26="","",(DF26+EA26+(VLOOKUP(IF(AU26="HDR","K",AU26),$DF$2:$DN$9,2,FALSE))*TAN(DY26))/COS(FI26)-FM26)</f>
        <v/>
      </c>
      <c r="EC26" s="795" t="str">
        <f t="shared" si="49"/>
        <v/>
      </c>
      <c r="ED26" s="926">
        <f t="shared" ref="ED26:ED40" si="120">IF(DF26="",0,IF(EC26/COS(FN26+FI26)&lt;0.0625,0,CEILING(EC26/COS(FN26+FI26)-0.03125,0.125)))</f>
        <v>0</v>
      </c>
      <c r="EE26" s="1210" t="str">
        <f t="shared" si="50"/>
        <v/>
      </c>
      <c r="EF26" s="763" t="str">
        <f t="shared" ref="EF26:EF40" si="121">IF(EE26="ERR","ERR",IF(EE26="","",IF(DB26*TAN(DS26)&lt;=(VLOOKUP(AU26,$DF$2:$DN$9,8,FALSE)-(VLOOKUP(AU26,$DF$2:$DN$9,7,FALSE)-0.0625)),CV26-(EE26-FH26)/IF(OR(CU26="C",AND(CU26="M",$DD$1="N")),1,COS(DS26))-IF(MID(CW26,1,1)="R",0,DW26),(ABS(EE26-FH26)/IF(OR(CU26="C",AND(CU26="M",$DD$1="N")),1,COS(DS26))+CV26)-((DB26/2)*TAN(DS26))-IF(MID(CW26,1,1)="R",0,DW26))))</f>
        <v/>
      </c>
      <c r="EG26" s="763" t="str">
        <f t="shared" ref="EG26:EG40" si="122">IF(EE26="ERR","ERR",IF(EE26="","",IF(DB26*TAN(DS26)&lt;=(VLOOKUP(AU26,$DF$2:$DN$9,8,FALSE)-(VLOOKUP(AU26,$DF$2:$DN$9,7,FALSE)-0.0625)),CV26-(EE26-FH26)/IF(OR(CU26="C",AND(CU26="M",$DD$1="N")),1,COS(DS26))-IF(MID(CW26,1,1)="R",0,DW26),(ABS(EE26-FH26)/IF(OR(CU26="C",AND(CU26="M",$DD$1="N")),1,COS(DS26))+CV26)+((DB26/2)*TAN(DS26))-IF(MID(CW26,1,1)="R",0,DW26))))</f>
        <v/>
      </c>
      <c r="EH26" s="795" t="e">
        <f t="shared" si="51"/>
        <v>#N/A</v>
      </c>
      <c r="EI26" s="795" t="e">
        <f t="shared" si="52"/>
        <v>#N/A</v>
      </c>
      <c r="EJ26" s="763" t="str">
        <f t="shared" ref="EJ26:EJ40" si="123">IF(ISERROR(EF26),"ERR",IF(EF26="","",IF(EH26="ERR","ERR",CEILING(EH26-0.0625,0.125))))</f>
        <v/>
      </c>
      <c r="EK26" s="763" t="str">
        <f t="shared" ref="EK26:EK40" si="124">IF(ISERROR(EG26),"ERR",IF(EG26="","",IF(EI26="ERR","ERR",CEILING(EI26-0.0625,0.125))))</f>
        <v/>
      </c>
      <c r="EL26" s="1210" t="str">
        <f t="shared" si="54"/>
        <v/>
      </c>
      <c r="EM26" s="763" t="str">
        <f t="shared" ref="EM26:EM40" si="125">IF(EL26="ERR","ERR",IF(EL26="","",IF(DL26*TAN(DY26)&lt;=(VLOOKUP(AU26,$DF$2:$DN$9,8,FALSE)-(VLOOKUP(AU26,$DF$2:$DN$9,7,FALSE)-0.0625)),DF26-(EL26-FM26)/IF(OR(DE26="C",AND(DE26="M",$DD$1="N")),1,COS(DY26))-IF(MID(DG26,1,1)="R",0,EC26),(ABS(EL26-FM26)/IF(OR(DE26="C",AND(DE26="M",$DD$1="N")),1,COS(DY26))+DF26)-((DL26/2)*TAN(DY26))-IF(MID(DG26,1,1)="R",0,EC26))))</f>
        <v/>
      </c>
      <c r="EN26" s="763" t="str">
        <f t="shared" ref="EN26:EN40" si="126">IF(EL26="ERR","ERR",IF(EL26="","",IF(DL26*TAN(DY26)&lt;=(VLOOKUP(AU26,$DF$2:$DN$9,8,FALSE)-(VLOOKUP(AU26,$DF$2:$DN$9,7,FALSE)-0.0625)),DF26-(EL26-FM26)/IF(OR(DE26="C",AND(DE26="M",$DD$1="N")),1,COS(DY26))-IF(MID(DG26,1,1)="R",0,EC26),(ABS(EL26-FM26)/IF(OR(DE26="C",AND(DE26="M",$DD$1="N")),1,COS(DY26))+DF26)+((DL26/2)*TAN(DY26))-IF(MID(DG26,1,1)="R",0,EC26))))</f>
        <v/>
      </c>
      <c r="EO26" s="795" t="e">
        <f t="shared" si="55"/>
        <v>#N/A</v>
      </c>
      <c r="EP26" s="795" t="e">
        <f t="shared" si="56"/>
        <v>#N/A</v>
      </c>
      <c r="EQ26" s="763" t="str">
        <f t="shared" si="57"/>
        <v/>
      </c>
      <c r="ER26" s="763" t="str">
        <f t="shared" si="57"/>
        <v/>
      </c>
      <c r="ES26" s="763" t="str">
        <f t="shared" si="58"/>
        <v/>
      </c>
      <c r="ET26" s="763" t="str">
        <f t="shared" si="59"/>
        <v/>
      </c>
      <c r="EU26" s="770" t="str">
        <f t="shared" si="60"/>
        <v/>
      </c>
      <c r="EV26" s="765" t="str">
        <f>IF(AND(EK26="",ER26=""),"",IF(EK26="",DL26,IF(EQ26="",DB26,IF(DB26&lt;&gt;DL26,EU26,DB26))))</f>
        <v/>
      </c>
      <c r="EW26" s="770"/>
      <c r="EX26" s="770" t="str">
        <f>IF(AND(CU26="G", ISBLANK(BK26), ISBLANK(BL26)),VLOOKUP(MIN(BH26:BI26),#REF!,2),IF(OR(CU26="B",CU26="G"),MIN(BK26:BL26),""))</f>
        <v/>
      </c>
      <c r="EY26" s="770" t="str">
        <f>IF(AND(CU26="G", ISBLANK(BK26), ISBLANK(BL26)),VLOOKUP(MAX(BH26:BI26),#REF!,2),IF(OR(CU26="B",CU26="G"),MAX(BK26:BL26),""))</f>
        <v/>
      </c>
      <c r="EZ26" s="770" t="str">
        <f t="shared" si="61"/>
        <v/>
      </c>
      <c r="FA26" s="770" t="str">
        <f>IF(AND(DE26="G", ISBLANK(BW26), ISBLANK(BX26)),VLOOKUP(MIN(BT26:BU26),#REF!,2),IF(OR(DE26="B", DE26="G"),MIN(BW26:BX26),""))</f>
        <v/>
      </c>
      <c r="FB26" s="770" t="str">
        <f>IF(AND(DE26="G", ISBLANK(BW26), ISBLANK(BX26)),VLOOKUP(MAX(BT26:BU26),#REF!,2),IF(OR(DE26="B", DE26="G"),MAX(BW26:BX26),""))</f>
        <v/>
      </c>
      <c r="FC26" s="770" t="str">
        <f t="shared" si="62"/>
        <v/>
      </c>
      <c r="FD26" s="763">
        <f t="shared" si="63"/>
        <v>0</v>
      </c>
      <c r="FE26" s="763">
        <f t="shared" si="64"/>
        <v>0</v>
      </c>
      <c r="FF26" s="762">
        <f t="shared" si="65"/>
        <v>0</v>
      </c>
      <c r="FG26" s="762" t="str">
        <f t="shared" si="66"/>
        <v/>
      </c>
      <c r="FH26" s="763" t="str">
        <f t="shared" si="67"/>
        <v/>
      </c>
      <c r="FI26" s="763">
        <f t="shared" si="68"/>
        <v>0</v>
      </c>
      <c r="FJ26" s="763">
        <f t="shared" si="69"/>
        <v>0</v>
      </c>
      <c r="FK26" s="762">
        <f t="shared" si="70"/>
        <v>0</v>
      </c>
      <c r="FL26" s="762" t="str">
        <f t="shared" si="71"/>
        <v/>
      </c>
      <c r="FM26" s="763" t="str">
        <f t="shared" si="72"/>
        <v/>
      </c>
      <c r="FN26" s="763" t="e">
        <f t="shared" si="73"/>
        <v>#VALUE!</v>
      </c>
      <c r="FO26" s="872" t="e">
        <f t="shared" si="74"/>
        <v>#VALUE!</v>
      </c>
      <c r="FP26" s="872" t="e">
        <f t="shared" si="75"/>
        <v>#VALUE!</v>
      </c>
      <c r="FQ26" s="771" t="e">
        <f t="shared" si="76"/>
        <v>#VALUE!</v>
      </c>
      <c r="FR26" s="772" t="e">
        <f t="shared" si="77"/>
        <v>#VALUE!</v>
      </c>
      <c r="FS26" s="773" t="str">
        <f t="shared" si="78"/>
        <v/>
      </c>
      <c r="FT26" s="774" t="str">
        <f t="shared" si="79"/>
        <v/>
      </c>
      <c r="FU26" s="809">
        <f t="shared" si="80"/>
        <v>0</v>
      </c>
      <c r="FV26" s="810">
        <f t="shared" si="81"/>
        <v>0</v>
      </c>
      <c r="GA26" s="542" t="str">
        <f t="shared" si="82"/>
        <v/>
      </c>
      <c r="GB26" s="562" t="str">
        <f t="shared" si="83"/>
        <v/>
      </c>
      <c r="GC26" s="564" t="str">
        <f t="shared" si="84"/>
        <v/>
      </c>
      <c r="GD26" s="565" t="str">
        <f t="shared" si="85"/>
        <v/>
      </c>
      <c r="GE26" s="563" t="str">
        <f t="shared" si="86"/>
        <v/>
      </c>
      <c r="GF26" s="543" t="str">
        <f t="shared" si="87"/>
        <v/>
      </c>
      <c r="GG26" s="1052"/>
      <c r="GH26" s="1053"/>
      <c r="GI26" s="1052"/>
      <c r="GJ26" s="1053"/>
      <c r="GK26" s="1519">
        <f t="shared" si="88"/>
        <v>0</v>
      </c>
      <c r="GL26" s="1519" t="e">
        <f t="shared" si="89"/>
        <v>#VALUE!</v>
      </c>
      <c r="GM26" s="1520" t="e">
        <f>IF(ABS(GK26-GL26)&gt;=#REF!,ABS(GK26-GL26),0)</f>
        <v>#VALUE!</v>
      </c>
      <c r="GZ26" s="346"/>
      <c r="HA26" s="1266"/>
      <c r="HB26" s="1267"/>
      <c r="HC26" s="1267"/>
      <c r="HD26" s="1268"/>
      <c r="HE26" s="1269"/>
      <c r="HF26" s="1267"/>
      <c r="HG26" s="1267"/>
      <c r="HH26" s="1267"/>
      <c r="HI26" s="1270"/>
      <c r="HJ26" s="1267"/>
      <c r="HK26" s="1267"/>
      <c r="HL26" s="1267"/>
      <c r="HM26" s="1267"/>
      <c r="HN26" s="1267"/>
      <c r="HO26" s="1267"/>
      <c r="HP26" s="1267"/>
      <c r="HQ26" s="1270"/>
      <c r="HR26" s="1267"/>
      <c r="HS26" s="1267"/>
      <c r="HT26" s="1267"/>
      <c r="HU26" s="1267"/>
      <c r="HV26" s="1267"/>
      <c r="HW26" s="1269"/>
      <c r="HX26" s="1269"/>
      <c r="HY26" s="1269"/>
      <c r="HZ26" s="1269"/>
      <c r="IA26" s="1269"/>
      <c r="IB26" s="1269"/>
      <c r="IC26" s="1269"/>
      <c r="ID26" s="1269"/>
      <c r="IE26" s="1269"/>
      <c r="IF26" s="1271"/>
    </row>
    <row r="27" spans="1:244" ht="12.6" customHeight="1" x14ac:dyDescent="0.25">
      <c r="A27" s="1132" t="str">
        <f t="shared" si="1"/>
        <v/>
      </c>
      <c r="B27" s="1586" t="str">
        <f t="shared" si="2"/>
        <v/>
      </c>
      <c r="C27" s="1133" t="str">
        <f t="shared" si="3"/>
        <v/>
      </c>
      <c r="D27" s="1134" t="str">
        <f t="shared" si="95"/>
        <v/>
      </c>
      <c r="E27" s="1644" t="str">
        <f t="shared" si="96"/>
        <v/>
      </c>
      <c r="F27" s="1137" t="str">
        <f t="shared" si="97"/>
        <v/>
      </c>
      <c r="G27" s="1138" t="str">
        <f t="shared" si="98"/>
        <v/>
      </c>
      <c r="H27" s="1645" t="str">
        <f t="shared" si="99"/>
        <v/>
      </c>
      <c r="I27" s="1134" t="str">
        <f t="shared" si="100"/>
        <v/>
      </c>
      <c r="J27" s="1138" t="str">
        <f t="shared" si="101"/>
        <v/>
      </c>
      <c r="K27" s="1646" t="str">
        <f t="shared" si="102"/>
        <v/>
      </c>
      <c r="L27" s="1141" t="str">
        <f t="shared" si="103"/>
        <v/>
      </c>
      <c r="M27" s="1142" t="str">
        <f t="shared" si="104"/>
        <v/>
      </c>
      <c r="N27" s="1137" t="str">
        <f t="shared" si="105"/>
        <v/>
      </c>
      <c r="O27" s="1138" t="str">
        <f t="shared" si="106"/>
        <v/>
      </c>
      <c r="P27" s="1139" t="str">
        <f t="shared" si="107"/>
        <v/>
      </c>
      <c r="Q27" s="1134" t="str">
        <f t="shared" si="108"/>
        <v/>
      </c>
      <c r="R27" s="1138" t="str">
        <f t="shared" si="109"/>
        <v/>
      </c>
      <c r="S27" s="1625" t="str">
        <f t="shared" si="110"/>
        <v/>
      </c>
      <c r="T27" s="1137" t="str">
        <f t="shared" si="111"/>
        <v/>
      </c>
      <c r="U27" s="1138" t="str">
        <f t="shared" si="112"/>
        <v/>
      </c>
      <c r="V27" s="1134" t="str">
        <f t="shared" si="113"/>
        <v/>
      </c>
      <c r="W27" s="1138" t="str">
        <f t="shared" si="114"/>
        <v/>
      </c>
      <c r="X27" s="1622">
        <f t="shared" si="115"/>
        <v>0</v>
      </c>
      <c r="Y27" s="1647" t="str">
        <f t="shared" si="116"/>
        <v/>
      </c>
      <c r="Z27" s="1648" t="str">
        <f t="shared" si="117"/>
        <v/>
      </c>
      <c r="AA27" s="1649" t="str">
        <f t="shared" si="5"/>
        <v/>
      </c>
      <c r="AB27" s="1288"/>
      <c r="AC27" s="898" t="b">
        <v>0</v>
      </c>
      <c r="AD27" s="374">
        <f t="shared" si="6"/>
        <v>0</v>
      </c>
      <c r="AE27" s="375">
        <f t="shared" si="7"/>
        <v>0</v>
      </c>
      <c r="AF27" s="375">
        <f t="shared" si="8"/>
        <v>0</v>
      </c>
      <c r="AG27" s="375">
        <f t="shared" si="9"/>
        <v>0</v>
      </c>
      <c r="AH27" s="376">
        <f t="shared" si="10"/>
        <v>0</v>
      </c>
      <c r="AI27" s="377" t="b">
        <v>0</v>
      </c>
      <c r="AJ27" s="143">
        <f>IF(OR(ISERROR(VALUE(LEFT(C27,SEARCH(AK27,C27)-1))),AK27=""),0,VALUE(LEFT(C27,SEARCH(AK27,C27)-1)))</f>
        <v>0</v>
      </c>
      <c r="AK27" s="143" t="str">
        <f t="shared" si="11"/>
        <v/>
      </c>
      <c r="AL27" s="1207" t="str">
        <f t="shared" si="12"/>
        <v/>
      </c>
      <c r="AM27" s="143" t="str">
        <f t="shared" si="13"/>
        <v/>
      </c>
      <c r="AN27" s="143" t="str">
        <f t="shared" si="14"/>
        <v/>
      </c>
      <c r="AO27" s="143" t="str">
        <f t="shared" si="15"/>
        <v/>
      </c>
      <c r="AP27" s="771" t="b">
        <f>IF(ISERROR(AJ27),FALSE,IF(OR(AJ27=0,ISERROR(AL27),ISERROR(AM27),ISERROR(AN27),ISERROR(AO27)),FALSE,IF(AL27&lt;&gt;"",IF(ISERROR(VLOOKUP(SUBSTITUTE(SUBSTITUTE(C27,"R",""),"A",""),#REF!,1,FALSE)),FALSE,TRUE),TRUE)))</f>
        <v>0</v>
      </c>
      <c r="AQ27" s="945" t="e">
        <f t="shared" si="16"/>
        <v>#N/A</v>
      </c>
      <c r="AR27" s="877" t="b">
        <f t="shared" si="92"/>
        <v>0</v>
      </c>
      <c r="AS27" s="945" t="e">
        <f t="shared" si="17"/>
        <v>#N/A</v>
      </c>
      <c r="AT27" s="877" t="b">
        <f t="shared" si="93"/>
        <v>0</v>
      </c>
      <c r="AU27" s="1208" t="str">
        <f t="shared" si="18"/>
        <v/>
      </c>
      <c r="AV27" s="771" t="str">
        <f t="shared" si="19"/>
        <v/>
      </c>
      <c r="AW27" s="771" t="str">
        <f t="shared" si="90"/>
        <v/>
      </c>
      <c r="AX27" s="771" t="str">
        <f t="shared" si="94"/>
        <v/>
      </c>
      <c r="AY27" s="399" t="e">
        <f t="shared" si="20"/>
        <v>#REF!</v>
      </c>
      <c r="AZ27" s="795" t="str">
        <f t="shared" si="91"/>
        <v/>
      </c>
      <c r="BA27" s="496"/>
      <c r="BB27" s="616"/>
      <c r="BC27" s="1567"/>
      <c r="BD27" s="682"/>
      <c r="BE27" s="683"/>
      <c r="BF27" s="684"/>
      <c r="BG27" s="660"/>
      <c r="BH27" s="901"/>
      <c r="BI27" s="902"/>
      <c r="BJ27" s="1508"/>
      <c r="BK27" s="901"/>
      <c r="BL27" s="902"/>
      <c r="BM27" s="1448"/>
      <c r="BN27" s="1449"/>
      <c r="BO27" s="1497" t="str">
        <f>IF(ISERROR(CU27),"",IF(CU27="","",IF(VLOOKUP(BG27,#REF!,10,FALSE)="","","X")))</f>
        <v/>
      </c>
      <c r="BP27" s="1440"/>
      <c r="BQ27" s="1441" t="str">
        <f t="shared" si="21"/>
        <v/>
      </c>
      <c r="BR27" s="1442"/>
      <c r="BS27" s="660"/>
      <c r="BT27" s="901"/>
      <c r="BU27" s="902"/>
      <c r="BV27" s="1508"/>
      <c r="BW27" s="901"/>
      <c r="BX27" s="902"/>
      <c r="BY27" s="1448"/>
      <c r="BZ27" s="1449"/>
      <c r="CA27" s="1497" t="str">
        <f>IF(ISERROR(DE27),"",IF(DE27="","",IF(VLOOKUP(BS27,#REF!,10,FALSE)="","","X")))</f>
        <v/>
      </c>
      <c r="CB27" s="1440"/>
      <c r="CC27" s="1441" t="str">
        <f t="shared" si="22"/>
        <v/>
      </c>
      <c r="CD27" s="1442"/>
      <c r="CE27" s="1453"/>
      <c r="CF27" s="685"/>
      <c r="CG27" s="686"/>
      <c r="CH27" s="586" t="str">
        <f t="shared" si="23"/>
        <v/>
      </c>
      <c r="CI27" s="587" t="str">
        <f t="shared" si="24"/>
        <v/>
      </c>
      <c r="CJ27" s="588" t="str">
        <f t="shared" si="25"/>
        <v/>
      </c>
      <c r="CK27" s="793" t="str">
        <f t="shared" si="26"/>
        <v/>
      </c>
      <c r="CL27" s="788" t="str">
        <f t="shared" si="27"/>
        <v/>
      </c>
      <c r="CM27" s="789" t="str">
        <f t="shared" si="28"/>
        <v/>
      </c>
      <c r="CN27" s="554" t="str">
        <f t="shared" si="29"/>
        <v/>
      </c>
      <c r="CO27" s="555" t="str">
        <f t="shared" si="30"/>
        <v/>
      </c>
      <c r="CP27" s="558" t="str">
        <f t="shared" si="31"/>
        <v/>
      </c>
      <c r="CQ27" s="559" t="str">
        <f t="shared" si="32"/>
        <v/>
      </c>
      <c r="CR27" s="699" t="str">
        <f t="shared" si="33"/>
        <v/>
      </c>
      <c r="CS27" s="700" t="str">
        <f t="shared" si="34"/>
        <v/>
      </c>
      <c r="CU27" s="37" t="str">
        <f>IF(BG27="","",VLOOKUP(BG27,#REF!,12,FALSE))</f>
        <v/>
      </c>
      <c r="CV27" s="38" t="str">
        <f>IF(BG27="","",IF(ISBLANK(BP27),VLOOKUP(BG27,#REF!,13,FALSE),BP27))</f>
        <v/>
      </c>
      <c r="CW27" s="38" t="str">
        <f>IF(BG27="","",IF(VLOOKUP(BG27,#REF!,5,FALSE)="","R",UPPER(VLOOKUP(BG27,#REF!,5,FALSE))))</f>
        <v/>
      </c>
      <c r="CX27" s="756" t="str">
        <f>IF(BG27="","",IF(ISBLANK(BR27),VLOOKUP(BG27,#REF!,6,FALSE),BR27))</f>
        <v/>
      </c>
      <c r="CY27" s="1203" t="str">
        <f>IF(BG27="","",IF(VLOOKUP(BG27,#REF!,10,FALSE)="","",(IF(BO27="X",VLOOKUP(BG27,#REF!,10,FALSE),VALUE(BO27))*-1)))</f>
        <v/>
      </c>
      <c r="CZ27" s="1042" t="str">
        <f>IF(BG27="","",IF(VLOOKUP(BG27,#REF!,11,FALSE)="","2",(VLOOKUP(BG27,#REF!,11,FALSE))))</f>
        <v/>
      </c>
      <c r="DA27" s="38" t="str">
        <f>IF(BG27="","",IF(VLOOKUP(BG27,#REF!,7,FALSE)="","",(VLOOKUP(BG27,#REF!,7,FALSE)*-1)))</f>
        <v/>
      </c>
      <c r="DB27" s="756" t="str">
        <f>IF(BG27="","",IF(VLOOKUP(BG27,#REF!,8,FALSE)="",VLOOKUP(AU27,$DF$2:$DN$9,6,FALSE),(VLOOKUP(BG27,#REF!,8,FALSE))))</f>
        <v/>
      </c>
      <c r="DC27" s="756" t="str">
        <f>IF(BG27="","",VLOOKUP(BG27,#REF!,9,FALSE))</f>
        <v/>
      </c>
      <c r="DD27" s="757">
        <f t="shared" si="35"/>
        <v>0</v>
      </c>
      <c r="DE27" s="758" t="str">
        <f>IF(BS27="","",VLOOKUP(BS27,#REF!,12,FALSE))</f>
        <v/>
      </c>
      <c r="DF27" s="756" t="str">
        <f>IF(BS27="","",IF(ISBLANK(CB27),VLOOKUP(BS27,#REF!,13,FALSE),CB27))</f>
        <v/>
      </c>
      <c r="DG27" s="756" t="str">
        <f>IF(BS27="","",IF(VLOOKUP(BS27,#REF!,5,FALSE)="","R",UPPER(VLOOKUP(BS27,#REF!,5,FALSE))))</f>
        <v/>
      </c>
      <c r="DH27" s="756" t="str">
        <f>IF(BS27="","",IF(ISBLANK(CD27),VLOOKUP(BS27,#REF!,6,FALSE),CD27))</f>
        <v/>
      </c>
      <c r="DI27" s="1203" t="str">
        <f>IF(BS27="","",IF(VLOOKUP(BS27,#REF!,10,FALSE)="","",(IF(CA27="X",VLOOKUP(BS27,#REF!,10,FALSE),VALUE(CA27))*-1)))</f>
        <v/>
      </c>
      <c r="DJ27" s="1042" t="str">
        <f>IF(BS27="","",IF(VLOOKUP(BS27,#REF!,11,FALSE)="","2",(VLOOKUP(BS27,#REF!,11,FALSE))))</f>
        <v/>
      </c>
      <c r="DK27" s="756" t="str">
        <f>IF(BS27="","",IF(VLOOKUP(BS27,#REF!,7,FALSE)="","",(VLOOKUP(BS27,#REF!,7,FALSE)*-1)))</f>
        <v/>
      </c>
      <c r="DL27" s="756" t="str">
        <f>IF(BS27="","",IF(VLOOKUP(BS27,#REF!,8,FALSE)="",VLOOKUP(AU27,$DF$2:$DN$9,6,FALSE),(VLOOKUP(BS27,#REF!,8,FALSE))))</f>
        <v/>
      </c>
      <c r="DM27" s="756" t="str">
        <f>IF(BS27="","",VLOOKUP(BS27,#REF!,9,FALSE))</f>
        <v/>
      </c>
      <c r="DN27" s="757">
        <f t="shared" si="36"/>
        <v>0</v>
      </c>
      <c r="DO27" s="759">
        <f t="shared" si="37"/>
        <v>0</v>
      </c>
      <c r="DP27" s="763" t="str">
        <f t="shared" si="38"/>
        <v/>
      </c>
      <c r="DQ27" s="763" t="str">
        <f t="shared" si="39"/>
        <v/>
      </c>
      <c r="DR27" s="763" t="str">
        <f t="shared" si="40"/>
        <v/>
      </c>
      <c r="DS27" s="762">
        <f t="shared" si="41"/>
        <v>0</v>
      </c>
      <c r="DT27" s="762" t="e">
        <f t="shared" si="42"/>
        <v>#REF!</v>
      </c>
      <c r="DU27" s="762" t="str">
        <f t="shared" si="43"/>
        <v/>
      </c>
      <c r="DV27" s="763" t="str">
        <f t="shared" si="44"/>
        <v/>
      </c>
      <c r="DW27" s="795" t="str">
        <f t="shared" si="45"/>
        <v/>
      </c>
      <c r="DX27" s="926">
        <f t="shared" si="118"/>
        <v>0</v>
      </c>
      <c r="DY27" s="763">
        <f t="shared" si="46"/>
        <v>0</v>
      </c>
      <c r="DZ27" s="762" t="e">
        <f t="shared" si="47"/>
        <v>#REF!</v>
      </c>
      <c r="EA27" s="762" t="str">
        <f t="shared" si="48"/>
        <v/>
      </c>
      <c r="EB27" s="763" t="str">
        <f t="shared" si="119"/>
        <v/>
      </c>
      <c r="EC27" s="795" t="str">
        <f t="shared" si="49"/>
        <v/>
      </c>
      <c r="ED27" s="926">
        <f t="shared" si="120"/>
        <v>0</v>
      </c>
      <c r="EE27" s="1210" t="str">
        <f t="shared" si="50"/>
        <v/>
      </c>
      <c r="EF27" s="763" t="str">
        <f t="shared" si="121"/>
        <v/>
      </c>
      <c r="EG27" s="763" t="str">
        <f t="shared" si="122"/>
        <v/>
      </c>
      <c r="EH27" s="795" t="e">
        <f t="shared" si="51"/>
        <v>#N/A</v>
      </c>
      <c r="EI27" s="795" t="e">
        <f t="shared" si="52"/>
        <v>#N/A</v>
      </c>
      <c r="EJ27" s="763" t="str">
        <f t="shared" si="123"/>
        <v/>
      </c>
      <c r="EK27" s="763" t="str">
        <f t="shared" si="124"/>
        <v/>
      </c>
      <c r="EL27" s="1210" t="str">
        <f t="shared" si="54"/>
        <v/>
      </c>
      <c r="EM27" s="763" t="str">
        <f t="shared" si="125"/>
        <v/>
      </c>
      <c r="EN27" s="763" t="str">
        <f t="shared" si="126"/>
        <v/>
      </c>
      <c r="EO27" s="795" t="e">
        <f t="shared" si="55"/>
        <v>#N/A</v>
      </c>
      <c r="EP27" s="795" t="e">
        <f t="shared" si="56"/>
        <v>#N/A</v>
      </c>
      <c r="EQ27" s="763" t="str">
        <f t="shared" si="57"/>
        <v/>
      </c>
      <c r="ER27" s="763" t="str">
        <f t="shared" si="57"/>
        <v/>
      </c>
      <c r="ES27" s="763" t="str">
        <f t="shared" si="58"/>
        <v/>
      </c>
      <c r="ET27" s="763" t="str">
        <f t="shared" si="59"/>
        <v/>
      </c>
      <c r="EU27" s="770" t="str">
        <f t="shared" si="60"/>
        <v/>
      </c>
      <c r="EV27" s="765" t="str">
        <f t="shared" ref="EV27:EV40" si="127">IF(AND(EK27="",ER27=""),"",IF(EK27="",DL27,IF(EQ27="",DB27,IF(DB27&lt;&gt;DL27,EU27,DB27))))</f>
        <v/>
      </c>
      <c r="EW27" s="770"/>
      <c r="EX27" s="770" t="str">
        <f>IF(AND(CU27="G", ISBLANK(BK27), ISBLANK(BL27)),VLOOKUP(MIN(BH27:BI27),#REF!,2),IF(OR(CU27="B",CU27="G"),MIN(BK27:BL27),""))</f>
        <v/>
      </c>
      <c r="EY27" s="770" t="str">
        <f>IF(AND(CU27="G", ISBLANK(BK27), ISBLANK(BL27)),VLOOKUP(MAX(BH27:BI27),#REF!,2),IF(OR(CU27="B",CU27="G"),MAX(BK27:BL27),""))</f>
        <v/>
      </c>
      <c r="EZ27" s="770" t="str">
        <f t="shared" si="61"/>
        <v/>
      </c>
      <c r="FA27" s="770" t="str">
        <f>IF(AND(DE27="G", ISBLANK(BW27), ISBLANK(BX27)),VLOOKUP(MIN(BT27:BU27),#REF!,2),IF(OR(DE27="B", DE27="G"),MIN(BW27:BX27),""))</f>
        <v/>
      </c>
      <c r="FB27" s="770" t="str">
        <f>IF(AND(DE27="G", ISBLANK(BW27), ISBLANK(BX27)),VLOOKUP(MAX(BT27:BU27),#REF!,2),IF(OR(DE27="B", DE27="G"),MAX(BW27:BX27),""))</f>
        <v/>
      </c>
      <c r="FC27" s="770" t="str">
        <f t="shared" si="62"/>
        <v/>
      </c>
      <c r="FD27" s="763">
        <f t="shared" si="63"/>
        <v>0</v>
      </c>
      <c r="FE27" s="763">
        <f t="shared" si="64"/>
        <v>0</v>
      </c>
      <c r="FF27" s="762">
        <f t="shared" si="65"/>
        <v>0</v>
      </c>
      <c r="FG27" s="762" t="str">
        <f t="shared" si="66"/>
        <v/>
      </c>
      <c r="FH27" s="763" t="str">
        <f t="shared" si="67"/>
        <v/>
      </c>
      <c r="FI27" s="763">
        <f t="shared" si="68"/>
        <v>0</v>
      </c>
      <c r="FJ27" s="763">
        <f t="shared" si="69"/>
        <v>0</v>
      </c>
      <c r="FK27" s="762">
        <f t="shared" si="70"/>
        <v>0</v>
      </c>
      <c r="FL27" s="762" t="str">
        <f t="shared" si="71"/>
        <v/>
      </c>
      <c r="FM27" s="763" t="str">
        <f t="shared" si="72"/>
        <v/>
      </c>
      <c r="FN27" s="763" t="e">
        <f t="shared" si="73"/>
        <v>#VALUE!</v>
      </c>
      <c r="FO27" s="872" t="e">
        <f t="shared" si="74"/>
        <v>#VALUE!</v>
      </c>
      <c r="FP27" s="872" t="e">
        <f t="shared" si="75"/>
        <v>#VALUE!</v>
      </c>
      <c r="FQ27" s="771" t="e">
        <f t="shared" si="76"/>
        <v>#VALUE!</v>
      </c>
      <c r="FR27" s="772" t="e">
        <f t="shared" si="77"/>
        <v>#VALUE!</v>
      </c>
      <c r="FS27" s="773" t="str">
        <f t="shared" si="78"/>
        <v/>
      </c>
      <c r="FT27" s="774" t="str">
        <f t="shared" si="79"/>
        <v/>
      </c>
      <c r="FU27" s="809">
        <f t="shared" si="80"/>
        <v>0</v>
      </c>
      <c r="FV27" s="810">
        <f t="shared" si="81"/>
        <v>0</v>
      </c>
      <c r="GA27" s="542" t="str">
        <f t="shared" si="82"/>
        <v/>
      </c>
      <c r="GB27" s="562" t="str">
        <f t="shared" si="83"/>
        <v/>
      </c>
      <c r="GC27" s="564" t="str">
        <f t="shared" si="84"/>
        <v/>
      </c>
      <c r="GD27" s="565" t="str">
        <f t="shared" si="85"/>
        <v/>
      </c>
      <c r="GE27" s="563" t="str">
        <f t="shared" si="86"/>
        <v/>
      </c>
      <c r="GF27" s="543" t="str">
        <f t="shared" si="87"/>
        <v/>
      </c>
      <c r="GG27" s="1052"/>
      <c r="GH27" s="1053"/>
      <c r="GI27" s="1052"/>
      <c r="GJ27" s="1053"/>
      <c r="GK27" s="1519">
        <f t="shared" si="88"/>
        <v>0</v>
      </c>
      <c r="GL27" s="1519" t="e">
        <f t="shared" si="89"/>
        <v>#VALUE!</v>
      </c>
      <c r="GM27" s="1520" t="e">
        <f>IF(ABS(GK27-GL27)&gt;=#REF!,ABS(GK27-GL27),0)</f>
        <v>#VALUE!</v>
      </c>
      <c r="GZ27" s="346"/>
      <c r="HA27" s="1266"/>
      <c r="HB27" s="1267"/>
      <c r="HC27" s="1267"/>
      <c r="HD27" s="1268"/>
      <c r="HE27" s="1269"/>
      <c r="HF27" s="1267"/>
      <c r="HG27" s="1267"/>
      <c r="HH27" s="1267"/>
      <c r="HI27" s="1270"/>
      <c r="HJ27" s="1267"/>
      <c r="HK27" s="1267"/>
      <c r="HL27" s="1267"/>
      <c r="HM27" s="1267"/>
      <c r="HN27" s="1267"/>
      <c r="HO27" s="1267"/>
      <c r="HP27" s="1267"/>
      <c r="HQ27" s="1270"/>
      <c r="HR27" s="1267"/>
      <c r="HS27" s="1267"/>
      <c r="HT27" s="1267"/>
      <c r="HU27" s="1267"/>
      <c r="HV27" s="1267"/>
      <c r="HW27" s="1269"/>
      <c r="HX27" s="1269"/>
      <c r="HY27" s="1269"/>
      <c r="HZ27" s="1269"/>
      <c r="IA27" s="1269"/>
      <c r="IB27" s="1269"/>
      <c r="IC27" s="1269"/>
      <c r="ID27" s="1269"/>
      <c r="IE27" s="1269"/>
      <c r="IF27" s="1271"/>
    </row>
    <row r="28" spans="1:244" ht="12.6" customHeight="1" x14ac:dyDescent="0.25">
      <c r="A28" s="1132" t="str">
        <f t="shared" si="1"/>
        <v/>
      </c>
      <c r="B28" s="1586" t="str">
        <f t="shared" si="2"/>
        <v/>
      </c>
      <c r="C28" s="1133" t="str">
        <f t="shared" si="3"/>
        <v/>
      </c>
      <c r="D28" s="1134" t="str">
        <f t="shared" si="95"/>
        <v/>
      </c>
      <c r="E28" s="1644" t="str">
        <f t="shared" si="96"/>
        <v/>
      </c>
      <c r="F28" s="1137" t="str">
        <f t="shared" si="97"/>
        <v/>
      </c>
      <c r="G28" s="1138" t="str">
        <f t="shared" si="98"/>
        <v/>
      </c>
      <c r="H28" s="1645" t="str">
        <f t="shared" si="99"/>
        <v/>
      </c>
      <c r="I28" s="1134" t="str">
        <f t="shared" si="100"/>
        <v/>
      </c>
      <c r="J28" s="1138" t="str">
        <f t="shared" si="101"/>
        <v/>
      </c>
      <c r="K28" s="1646" t="str">
        <f t="shared" si="102"/>
        <v/>
      </c>
      <c r="L28" s="1141" t="str">
        <f t="shared" si="103"/>
        <v/>
      </c>
      <c r="M28" s="1142" t="str">
        <f t="shared" si="104"/>
        <v/>
      </c>
      <c r="N28" s="1137" t="str">
        <f t="shared" si="105"/>
        <v/>
      </c>
      <c r="O28" s="1138" t="str">
        <f t="shared" si="106"/>
        <v/>
      </c>
      <c r="P28" s="1139" t="str">
        <f t="shared" si="107"/>
        <v/>
      </c>
      <c r="Q28" s="1134" t="str">
        <f t="shared" si="108"/>
        <v/>
      </c>
      <c r="R28" s="1138" t="str">
        <f t="shared" si="109"/>
        <v/>
      </c>
      <c r="S28" s="1625" t="str">
        <f t="shared" si="110"/>
        <v/>
      </c>
      <c r="T28" s="1137" t="str">
        <f t="shared" si="111"/>
        <v/>
      </c>
      <c r="U28" s="1138" t="str">
        <f t="shared" si="112"/>
        <v/>
      </c>
      <c r="V28" s="1134" t="str">
        <f t="shared" si="113"/>
        <v/>
      </c>
      <c r="W28" s="1138" t="str">
        <f t="shared" si="114"/>
        <v/>
      </c>
      <c r="X28" s="1622">
        <f t="shared" si="115"/>
        <v>0</v>
      </c>
      <c r="Y28" s="1647" t="str">
        <f t="shared" si="116"/>
        <v/>
      </c>
      <c r="Z28" s="1648" t="str">
        <f t="shared" si="117"/>
        <v/>
      </c>
      <c r="AA28" s="1649" t="str">
        <f t="shared" si="5"/>
        <v/>
      </c>
      <c r="AB28" s="1288"/>
      <c r="AC28" s="898" t="b">
        <v>0</v>
      </c>
      <c r="AD28" s="374">
        <f t="shared" si="6"/>
        <v>0</v>
      </c>
      <c r="AE28" s="375">
        <f t="shared" si="7"/>
        <v>0</v>
      </c>
      <c r="AF28" s="375">
        <f t="shared" si="8"/>
        <v>0</v>
      </c>
      <c r="AG28" s="375">
        <f t="shared" si="9"/>
        <v>0</v>
      </c>
      <c r="AH28" s="376">
        <f t="shared" si="10"/>
        <v>0</v>
      </c>
      <c r="AI28" s="377" t="b">
        <v>0</v>
      </c>
      <c r="AJ28" s="143">
        <f t="shared" ref="AJ28:AJ40" si="128">IF(OR(ISERROR(VALUE(LEFT(C28,SEARCH(AK28,C28)-1))),AK28=""),0,VALUE(LEFT(C28,SEARCH(AK28,C28)-1)))</f>
        <v>0</v>
      </c>
      <c r="AK28" s="143" t="str">
        <f t="shared" si="11"/>
        <v/>
      </c>
      <c r="AL28" s="1207" t="str">
        <f t="shared" si="12"/>
        <v/>
      </c>
      <c r="AM28" s="143" t="str">
        <f t="shared" si="13"/>
        <v/>
      </c>
      <c r="AN28" s="143" t="str">
        <f t="shared" si="14"/>
        <v/>
      </c>
      <c r="AO28" s="143" t="str">
        <f t="shared" si="15"/>
        <v/>
      </c>
      <c r="AP28" s="771" t="b">
        <f>IF(ISERROR(AJ28),FALSE,IF(OR(AJ28=0,ISERROR(AL28),ISERROR(AM28),ISERROR(AN28),ISERROR(AO28)),FALSE,IF(AL28&lt;&gt;"",IF(ISERROR(VLOOKUP(SUBSTITUTE(SUBSTITUTE(C28,"R",""),"A",""),#REF!,1,FALSE)),FALSE,TRUE),TRUE)))</f>
        <v>0</v>
      </c>
      <c r="AQ28" s="945" t="e">
        <f t="shared" si="16"/>
        <v>#N/A</v>
      </c>
      <c r="AR28" s="877" t="b">
        <f t="shared" si="92"/>
        <v>0</v>
      </c>
      <c r="AS28" s="945" t="e">
        <f t="shared" si="17"/>
        <v>#N/A</v>
      </c>
      <c r="AT28" s="877" t="b">
        <f t="shared" si="93"/>
        <v>0</v>
      </c>
      <c r="AU28" s="1208" t="str">
        <f t="shared" si="18"/>
        <v/>
      </c>
      <c r="AV28" s="771" t="str">
        <f t="shared" si="19"/>
        <v/>
      </c>
      <c r="AW28" s="771" t="str">
        <f t="shared" si="90"/>
        <v/>
      </c>
      <c r="AX28" s="771" t="str">
        <f t="shared" si="94"/>
        <v/>
      </c>
      <c r="AY28" s="399" t="e">
        <f t="shared" si="20"/>
        <v>#REF!</v>
      </c>
      <c r="AZ28" s="795" t="str">
        <f t="shared" si="91"/>
        <v/>
      </c>
      <c r="BA28" s="496"/>
      <c r="BB28" s="616"/>
      <c r="BC28" s="1567"/>
      <c r="BD28" s="682"/>
      <c r="BE28" s="683"/>
      <c r="BF28" s="684"/>
      <c r="BG28" s="660"/>
      <c r="BH28" s="901"/>
      <c r="BI28" s="902"/>
      <c r="BJ28" s="1508"/>
      <c r="BK28" s="901"/>
      <c r="BL28" s="902"/>
      <c r="BM28" s="1448"/>
      <c r="BN28" s="1449"/>
      <c r="BO28" s="1497" t="str">
        <f>IF(ISERROR(CU28),"",IF(CU28="","",IF(VLOOKUP(BG28,#REF!,10,FALSE)="","","X")))</f>
        <v/>
      </c>
      <c r="BP28" s="1440"/>
      <c r="BQ28" s="1441" t="str">
        <f t="shared" si="21"/>
        <v/>
      </c>
      <c r="BR28" s="1442"/>
      <c r="BS28" s="660"/>
      <c r="BT28" s="901"/>
      <c r="BU28" s="902"/>
      <c r="BV28" s="1508"/>
      <c r="BW28" s="901"/>
      <c r="BX28" s="902"/>
      <c r="BY28" s="1448"/>
      <c r="BZ28" s="1449"/>
      <c r="CA28" s="1497" t="str">
        <f>IF(ISERROR(DE28),"",IF(DE28="","",IF(VLOOKUP(BS28,#REF!,10,FALSE)="","","X")))</f>
        <v/>
      </c>
      <c r="CB28" s="1440"/>
      <c r="CC28" s="1441" t="str">
        <f t="shared" si="22"/>
        <v/>
      </c>
      <c r="CD28" s="1442"/>
      <c r="CE28" s="1453"/>
      <c r="CF28" s="685"/>
      <c r="CG28" s="686"/>
      <c r="CH28" s="586" t="str">
        <f t="shared" si="23"/>
        <v/>
      </c>
      <c r="CI28" s="587" t="str">
        <f t="shared" si="24"/>
        <v/>
      </c>
      <c r="CJ28" s="588" t="str">
        <f t="shared" si="25"/>
        <v/>
      </c>
      <c r="CK28" s="793" t="str">
        <f t="shared" si="26"/>
        <v/>
      </c>
      <c r="CL28" s="788" t="str">
        <f t="shared" si="27"/>
        <v/>
      </c>
      <c r="CM28" s="789" t="str">
        <f t="shared" si="28"/>
        <v/>
      </c>
      <c r="CN28" s="554" t="str">
        <f t="shared" si="29"/>
        <v/>
      </c>
      <c r="CO28" s="555" t="str">
        <f t="shared" si="30"/>
        <v/>
      </c>
      <c r="CP28" s="558" t="str">
        <f t="shared" si="31"/>
        <v/>
      </c>
      <c r="CQ28" s="559" t="str">
        <f t="shared" si="32"/>
        <v/>
      </c>
      <c r="CR28" s="699" t="str">
        <f t="shared" si="33"/>
        <v/>
      </c>
      <c r="CS28" s="700" t="str">
        <f t="shared" si="34"/>
        <v/>
      </c>
      <c r="CU28" s="37" t="str">
        <f>IF(BG28="","",VLOOKUP(BG28,#REF!,12,FALSE))</f>
        <v/>
      </c>
      <c r="CV28" s="38" t="str">
        <f>IF(BG28="","",IF(ISBLANK(BP28),VLOOKUP(BG28,#REF!,13,FALSE),BP28))</f>
        <v/>
      </c>
      <c r="CW28" s="38" t="str">
        <f>IF(BG28="","",IF(VLOOKUP(BG28,#REF!,5,FALSE)="","R",UPPER(VLOOKUP(BG28,#REF!,5,FALSE))))</f>
        <v/>
      </c>
      <c r="CX28" s="756" t="str">
        <f>IF(BG28="","",IF(ISBLANK(BR28),VLOOKUP(BG28,#REF!,6,FALSE),BR28))</f>
        <v/>
      </c>
      <c r="CY28" s="1203" t="str">
        <f>IF(BG28="","",IF(VLOOKUP(BG28,#REF!,10,FALSE)="","",(IF(BO28="X",VLOOKUP(BG28,#REF!,10,FALSE),VALUE(BO28))*-1)))</f>
        <v/>
      </c>
      <c r="CZ28" s="1042" t="str">
        <f>IF(BG28="","",IF(VLOOKUP(BG28,#REF!,11,FALSE)="","2",(VLOOKUP(BG28,#REF!,11,FALSE))))</f>
        <v/>
      </c>
      <c r="DA28" s="38" t="str">
        <f>IF(BG28="","",IF(VLOOKUP(BG28,#REF!,7,FALSE)="","",(VLOOKUP(BG28,#REF!,7,FALSE)*-1)))</f>
        <v/>
      </c>
      <c r="DB28" s="756" t="str">
        <f>IF(BG28="","",IF(VLOOKUP(BG28,#REF!,8,FALSE)="",VLOOKUP(AU28,$DF$2:$DN$9,6,FALSE),(VLOOKUP(BG28,#REF!,8,FALSE))))</f>
        <v/>
      </c>
      <c r="DC28" s="756" t="str">
        <f>IF(BG28="","",VLOOKUP(BG28,#REF!,9,FALSE))</f>
        <v/>
      </c>
      <c r="DD28" s="757">
        <f t="shared" si="35"/>
        <v>0</v>
      </c>
      <c r="DE28" s="758" t="str">
        <f>IF(BS28="","",VLOOKUP(BS28,#REF!,12,FALSE))</f>
        <v/>
      </c>
      <c r="DF28" s="756" t="str">
        <f>IF(BS28="","",IF(ISBLANK(CB28),VLOOKUP(BS28,#REF!,13,FALSE),CB28))</f>
        <v/>
      </c>
      <c r="DG28" s="756" t="str">
        <f>IF(BS28="","",IF(VLOOKUP(BS28,#REF!,5,FALSE)="","R",UPPER(VLOOKUP(BS28,#REF!,5,FALSE))))</f>
        <v/>
      </c>
      <c r="DH28" s="756" t="str">
        <f>IF(BS28="","",IF(ISBLANK(CD28),VLOOKUP(BS28,#REF!,6,FALSE),CD28))</f>
        <v/>
      </c>
      <c r="DI28" s="1203" t="str">
        <f>IF(BS28="","",IF(VLOOKUP(BS28,#REF!,10,FALSE)="","",(IF(CA28="X",VLOOKUP(BS28,#REF!,10,FALSE),VALUE(CA28))*-1)))</f>
        <v/>
      </c>
      <c r="DJ28" s="1042" t="str">
        <f>IF(BS28="","",IF(VLOOKUP(BS28,#REF!,11,FALSE)="","2",(VLOOKUP(BS28,#REF!,11,FALSE))))</f>
        <v/>
      </c>
      <c r="DK28" s="756" t="str">
        <f>IF(BS28="","",IF(VLOOKUP(BS28,#REF!,7,FALSE)="","",(VLOOKUP(BS28,#REF!,7,FALSE)*-1)))</f>
        <v/>
      </c>
      <c r="DL28" s="756" t="str">
        <f>IF(BS28="","",IF(VLOOKUP(BS28,#REF!,8,FALSE)="",VLOOKUP(AU28,$DF$2:$DN$9,6,FALSE),(VLOOKUP(BS28,#REF!,8,FALSE))))</f>
        <v/>
      </c>
      <c r="DM28" s="756" t="str">
        <f>IF(BS28="","",VLOOKUP(BS28,#REF!,9,FALSE))</f>
        <v/>
      </c>
      <c r="DN28" s="757">
        <f t="shared" si="36"/>
        <v>0</v>
      </c>
      <c r="DO28" s="759">
        <f t="shared" si="37"/>
        <v>0</v>
      </c>
      <c r="DP28" s="763" t="str">
        <f t="shared" si="38"/>
        <v/>
      </c>
      <c r="DQ28" s="763" t="str">
        <f t="shared" si="39"/>
        <v/>
      </c>
      <c r="DR28" s="763" t="str">
        <f t="shared" si="40"/>
        <v/>
      </c>
      <c r="DS28" s="762">
        <f t="shared" si="41"/>
        <v>0</v>
      </c>
      <c r="DT28" s="762" t="e">
        <f t="shared" si="42"/>
        <v>#REF!</v>
      </c>
      <c r="DU28" s="762" t="str">
        <f t="shared" si="43"/>
        <v/>
      </c>
      <c r="DV28" s="763" t="str">
        <f t="shared" si="44"/>
        <v/>
      </c>
      <c r="DW28" s="795" t="str">
        <f t="shared" si="45"/>
        <v/>
      </c>
      <c r="DX28" s="926">
        <f t="shared" si="118"/>
        <v>0</v>
      </c>
      <c r="DY28" s="763">
        <f t="shared" si="46"/>
        <v>0</v>
      </c>
      <c r="DZ28" s="762" t="e">
        <f t="shared" si="47"/>
        <v>#REF!</v>
      </c>
      <c r="EA28" s="762" t="str">
        <f t="shared" si="48"/>
        <v/>
      </c>
      <c r="EB28" s="763" t="str">
        <f t="shared" si="119"/>
        <v/>
      </c>
      <c r="EC28" s="795" t="str">
        <f t="shared" si="49"/>
        <v/>
      </c>
      <c r="ED28" s="926">
        <f t="shared" si="120"/>
        <v>0</v>
      </c>
      <c r="EE28" s="1210" t="str">
        <f t="shared" si="50"/>
        <v/>
      </c>
      <c r="EF28" s="763" t="str">
        <f t="shared" si="121"/>
        <v/>
      </c>
      <c r="EG28" s="763" t="str">
        <f t="shared" si="122"/>
        <v/>
      </c>
      <c r="EH28" s="795" t="e">
        <f t="shared" si="51"/>
        <v>#N/A</v>
      </c>
      <c r="EI28" s="795" t="e">
        <f t="shared" si="52"/>
        <v>#N/A</v>
      </c>
      <c r="EJ28" s="763" t="str">
        <f t="shared" si="123"/>
        <v/>
      </c>
      <c r="EK28" s="763" t="str">
        <f t="shared" si="124"/>
        <v/>
      </c>
      <c r="EL28" s="1210" t="str">
        <f t="shared" si="54"/>
        <v/>
      </c>
      <c r="EM28" s="763" t="str">
        <f t="shared" si="125"/>
        <v/>
      </c>
      <c r="EN28" s="763" t="str">
        <f t="shared" si="126"/>
        <v/>
      </c>
      <c r="EO28" s="795" t="e">
        <f t="shared" si="55"/>
        <v>#N/A</v>
      </c>
      <c r="EP28" s="795" t="e">
        <f t="shared" si="56"/>
        <v>#N/A</v>
      </c>
      <c r="EQ28" s="763" t="str">
        <f t="shared" si="57"/>
        <v/>
      </c>
      <c r="ER28" s="763" t="str">
        <f t="shared" si="57"/>
        <v/>
      </c>
      <c r="ES28" s="763" t="str">
        <f t="shared" si="58"/>
        <v/>
      </c>
      <c r="ET28" s="763" t="str">
        <f t="shared" si="59"/>
        <v/>
      </c>
      <c r="EU28" s="770" t="str">
        <f t="shared" si="60"/>
        <v/>
      </c>
      <c r="EV28" s="765" t="str">
        <f t="shared" si="127"/>
        <v/>
      </c>
      <c r="EW28" s="770"/>
      <c r="EX28" s="770" t="str">
        <f>IF(AND(CU28="G", ISBLANK(BK28), ISBLANK(BL28)),VLOOKUP(MIN(BH28:BI28),#REF!,2),IF(OR(CU28="B",CU28="G"),MIN(BK28:BL28),""))</f>
        <v/>
      </c>
      <c r="EY28" s="770" t="str">
        <f>IF(AND(CU28="G", ISBLANK(BK28), ISBLANK(BL28)),VLOOKUP(MAX(BH28:BI28),#REF!,2),IF(OR(CU28="B",CU28="G"),MAX(BK28:BL28),""))</f>
        <v/>
      </c>
      <c r="EZ28" s="770" t="str">
        <f t="shared" si="61"/>
        <v/>
      </c>
      <c r="FA28" s="770" t="str">
        <f>IF(AND(DE28="G", ISBLANK(BW28), ISBLANK(BX28)),VLOOKUP(MIN(BT28:BU28),#REF!,2),IF(OR(DE28="B", DE28="G"),MIN(BW28:BX28),""))</f>
        <v/>
      </c>
      <c r="FB28" s="770" t="str">
        <f>IF(AND(DE28="G", ISBLANK(BW28), ISBLANK(BX28)),VLOOKUP(MAX(BT28:BU28),#REF!,2),IF(OR(DE28="B", DE28="G"),MAX(BW28:BX28),""))</f>
        <v/>
      </c>
      <c r="FC28" s="770" t="str">
        <f t="shared" si="62"/>
        <v/>
      </c>
      <c r="FD28" s="763">
        <f t="shared" si="63"/>
        <v>0</v>
      </c>
      <c r="FE28" s="763">
        <f t="shared" si="64"/>
        <v>0</v>
      </c>
      <c r="FF28" s="762">
        <f t="shared" si="65"/>
        <v>0</v>
      </c>
      <c r="FG28" s="762" t="str">
        <f t="shared" si="66"/>
        <v/>
      </c>
      <c r="FH28" s="763" t="str">
        <f t="shared" si="67"/>
        <v/>
      </c>
      <c r="FI28" s="763">
        <f t="shared" si="68"/>
        <v>0</v>
      </c>
      <c r="FJ28" s="763">
        <f t="shared" si="69"/>
        <v>0</v>
      </c>
      <c r="FK28" s="762">
        <f t="shared" si="70"/>
        <v>0</v>
      </c>
      <c r="FL28" s="762" t="str">
        <f t="shared" si="71"/>
        <v/>
      </c>
      <c r="FM28" s="763" t="str">
        <f t="shared" si="72"/>
        <v/>
      </c>
      <c r="FN28" s="763" t="e">
        <f t="shared" si="73"/>
        <v>#VALUE!</v>
      </c>
      <c r="FO28" s="872" t="e">
        <f t="shared" si="74"/>
        <v>#VALUE!</v>
      </c>
      <c r="FP28" s="872" t="e">
        <f t="shared" si="75"/>
        <v>#VALUE!</v>
      </c>
      <c r="FQ28" s="771" t="e">
        <f t="shared" si="76"/>
        <v>#VALUE!</v>
      </c>
      <c r="FR28" s="772" t="e">
        <f t="shared" si="77"/>
        <v>#VALUE!</v>
      </c>
      <c r="FS28" s="773" t="str">
        <f t="shared" si="78"/>
        <v/>
      </c>
      <c r="FT28" s="774" t="str">
        <f t="shared" si="79"/>
        <v/>
      </c>
      <c r="FU28" s="809">
        <f t="shared" si="80"/>
        <v>0</v>
      </c>
      <c r="FV28" s="810">
        <f t="shared" si="81"/>
        <v>0</v>
      </c>
      <c r="GA28" s="542" t="str">
        <f t="shared" si="82"/>
        <v/>
      </c>
      <c r="GB28" s="562" t="str">
        <f t="shared" si="83"/>
        <v/>
      </c>
      <c r="GC28" s="564" t="str">
        <f t="shared" si="84"/>
        <v/>
      </c>
      <c r="GD28" s="565" t="str">
        <f t="shared" si="85"/>
        <v/>
      </c>
      <c r="GE28" s="563" t="str">
        <f t="shared" si="86"/>
        <v/>
      </c>
      <c r="GF28" s="543" t="str">
        <f t="shared" si="87"/>
        <v/>
      </c>
      <c r="GG28" s="1052"/>
      <c r="GH28" s="1053"/>
      <c r="GI28" s="1052"/>
      <c r="GJ28" s="1053"/>
      <c r="GK28" s="1519">
        <f t="shared" si="88"/>
        <v>0</v>
      </c>
      <c r="GL28" s="1519" t="e">
        <f t="shared" si="89"/>
        <v>#VALUE!</v>
      </c>
      <c r="GM28" s="1520" t="e">
        <f>IF(ABS(GK28-GL28)&gt;=#REF!,ABS(GK28-GL28),0)</f>
        <v>#VALUE!</v>
      </c>
      <c r="GZ28" s="346"/>
      <c r="HA28" s="1266"/>
      <c r="HB28" s="1267"/>
      <c r="HC28" s="1267"/>
      <c r="HD28" s="1268"/>
      <c r="HE28" s="1269"/>
      <c r="HF28" s="1267"/>
      <c r="HG28" s="1267"/>
      <c r="HH28" s="1267"/>
      <c r="HI28" s="1270"/>
      <c r="HJ28" s="1267"/>
      <c r="HK28" s="1267"/>
      <c r="HL28" s="1267"/>
      <c r="HM28" s="1267"/>
      <c r="HN28" s="1267"/>
      <c r="HO28" s="1267"/>
      <c r="HP28" s="1267"/>
      <c r="HQ28" s="1270"/>
      <c r="HR28" s="1267"/>
      <c r="HS28" s="1267"/>
      <c r="HT28" s="1267"/>
      <c r="HU28" s="1267"/>
      <c r="HV28" s="1267"/>
      <c r="HW28" s="1269"/>
      <c r="HX28" s="1269"/>
      <c r="HY28" s="1269"/>
      <c r="HZ28" s="1269"/>
      <c r="IA28" s="1269"/>
      <c r="IB28" s="1269"/>
      <c r="IC28" s="1269"/>
      <c r="ID28" s="1269"/>
      <c r="IE28" s="1269"/>
      <c r="IF28" s="1271"/>
    </row>
    <row r="29" spans="1:244" ht="12.6" customHeight="1" x14ac:dyDescent="0.25">
      <c r="A29" s="1132" t="str">
        <f t="shared" si="1"/>
        <v/>
      </c>
      <c r="B29" s="1586" t="str">
        <f t="shared" si="2"/>
        <v/>
      </c>
      <c r="C29" s="1133" t="str">
        <f t="shared" si="3"/>
        <v/>
      </c>
      <c r="D29" s="1134" t="str">
        <f t="shared" si="95"/>
        <v/>
      </c>
      <c r="E29" s="1644" t="str">
        <f t="shared" si="96"/>
        <v/>
      </c>
      <c r="F29" s="1137" t="str">
        <f t="shared" si="97"/>
        <v/>
      </c>
      <c r="G29" s="1138" t="str">
        <f t="shared" si="98"/>
        <v/>
      </c>
      <c r="H29" s="1645" t="str">
        <f t="shared" si="99"/>
        <v/>
      </c>
      <c r="I29" s="1134" t="str">
        <f t="shared" si="100"/>
        <v/>
      </c>
      <c r="J29" s="1138" t="str">
        <f t="shared" si="101"/>
        <v/>
      </c>
      <c r="K29" s="1646" t="str">
        <f t="shared" si="102"/>
        <v/>
      </c>
      <c r="L29" s="1141" t="str">
        <f t="shared" si="103"/>
        <v/>
      </c>
      <c r="M29" s="1142" t="str">
        <f t="shared" si="104"/>
        <v/>
      </c>
      <c r="N29" s="1137" t="str">
        <f t="shared" si="105"/>
        <v/>
      </c>
      <c r="O29" s="1138" t="str">
        <f t="shared" si="106"/>
        <v/>
      </c>
      <c r="P29" s="1139" t="str">
        <f t="shared" si="107"/>
        <v/>
      </c>
      <c r="Q29" s="1134" t="str">
        <f t="shared" si="108"/>
        <v/>
      </c>
      <c r="R29" s="1138" t="str">
        <f t="shared" si="109"/>
        <v/>
      </c>
      <c r="S29" s="1625" t="str">
        <f t="shared" si="110"/>
        <v/>
      </c>
      <c r="T29" s="1137" t="str">
        <f t="shared" si="111"/>
        <v/>
      </c>
      <c r="U29" s="1138" t="str">
        <f t="shared" si="112"/>
        <v/>
      </c>
      <c r="V29" s="1134" t="str">
        <f t="shared" si="113"/>
        <v/>
      </c>
      <c r="W29" s="1138" t="str">
        <f t="shared" si="114"/>
        <v/>
      </c>
      <c r="X29" s="1622">
        <f t="shared" si="115"/>
        <v>0</v>
      </c>
      <c r="Y29" s="1647" t="str">
        <f t="shared" si="116"/>
        <v/>
      </c>
      <c r="Z29" s="1648" t="str">
        <f t="shared" si="117"/>
        <v/>
      </c>
      <c r="AA29" s="1649" t="str">
        <f t="shared" si="5"/>
        <v/>
      </c>
      <c r="AB29" s="1288"/>
      <c r="AC29" s="898" t="b">
        <v>0</v>
      </c>
      <c r="AD29" s="374">
        <f t="shared" si="6"/>
        <v>0</v>
      </c>
      <c r="AE29" s="375">
        <f t="shared" si="7"/>
        <v>0</v>
      </c>
      <c r="AF29" s="375">
        <f t="shared" si="8"/>
        <v>0</v>
      </c>
      <c r="AG29" s="375">
        <f t="shared" si="9"/>
        <v>0</v>
      </c>
      <c r="AH29" s="376">
        <f t="shared" si="10"/>
        <v>0</v>
      </c>
      <c r="AI29" s="377" t="b">
        <v>0</v>
      </c>
      <c r="AJ29" s="143">
        <f t="shared" si="128"/>
        <v>0</v>
      </c>
      <c r="AK29" s="143" t="str">
        <f t="shared" si="11"/>
        <v/>
      </c>
      <c r="AL29" s="1207" t="str">
        <f t="shared" si="12"/>
        <v/>
      </c>
      <c r="AM29" s="143" t="str">
        <f t="shared" si="13"/>
        <v/>
      </c>
      <c r="AN29" s="143" t="str">
        <f t="shared" si="14"/>
        <v/>
      </c>
      <c r="AO29" s="143" t="str">
        <f t="shared" si="15"/>
        <v/>
      </c>
      <c r="AP29" s="771" t="b">
        <f>IF(ISERROR(AJ29),FALSE,IF(OR(AJ29=0,ISERROR(AL29),ISERROR(AM29),ISERROR(AN29),ISERROR(AO29)),FALSE,IF(AL29&lt;&gt;"",IF(ISERROR(VLOOKUP(SUBSTITUTE(SUBSTITUTE(C29,"R",""),"A",""),#REF!,1,FALSE)),FALSE,TRUE),TRUE)))</f>
        <v>0</v>
      </c>
      <c r="AQ29" s="945" t="e">
        <f t="shared" si="16"/>
        <v>#N/A</v>
      </c>
      <c r="AR29" s="877" t="b">
        <f t="shared" si="92"/>
        <v>0</v>
      </c>
      <c r="AS29" s="945" t="e">
        <f t="shared" si="17"/>
        <v>#N/A</v>
      </c>
      <c r="AT29" s="877" t="b">
        <f t="shared" si="93"/>
        <v>0</v>
      </c>
      <c r="AU29" s="1208" t="str">
        <f t="shared" si="18"/>
        <v/>
      </c>
      <c r="AV29" s="771" t="str">
        <f t="shared" si="19"/>
        <v/>
      </c>
      <c r="AW29" s="771" t="str">
        <f t="shared" si="90"/>
        <v/>
      </c>
      <c r="AX29" s="771" t="str">
        <f t="shared" si="94"/>
        <v/>
      </c>
      <c r="AY29" s="399" t="e">
        <f t="shared" si="20"/>
        <v>#REF!</v>
      </c>
      <c r="AZ29" s="795" t="str">
        <f t="shared" si="91"/>
        <v/>
      </c>
      <c r="BA29" s="496"/>
      <c r="BB29" s="616"/>
      <c r="BC29" s="1567"/>
      <c r="BD29" s="682"/>
      <c r="BE29" s="683"/>
      <c r="BF29" s="684"/>
      <c r="BG29" s="660"/>
      <c r="BH29" s="901"/>
      <c r="BI29" s="902"/>
      <c r="BJ29" s="1508"/>
      <c r="BK29" s="901"/>
      <c r="BL29" s="902"/>
      <c r="BM29" s="1448"/>
      <c r="BN29" s="1449"/>
      <c r="BO29" s="1497" t="str">
        <f>IF(ISERROR(CU29),"",IF(CU29="","",IF(VLOOKUP(BG29,#REF!,10,FALSE)="","","X")))</f>
        <v/>
      </c>
      <c r="BP29" s="1440"/>
      <c r="BQ29" s="1441" t="str">
        <f t="shared" si="21"/>
        <v/>
      </c>
      <c r="BR29" s="1442"/>
      <c r="BS29" s="660"/>
      <c r="BT29" s="901"/>
      <c r="BU29" s="902"/>
      <c r="BV29" s="1508"/>
      <c r="BW29" s="901"/>
      <c r="BX29" s="902"/>
      <c r="BY29" s="1448"/>
      <c r="BZ29" s="1449"/>
      <c r="CA29" s="1497" t="str">
        <f>IF(ISERROR(DE29),"",IF(DE29="","",IF(VLOOKUP(BS29,#REF!,10,FALSE)="","","X")))</f>
        <v/>
      </c>
      <c r="CB29" s="1440"/>
      <c r="CC29" s="1441" t="str">
        <f t="shared" si="22"/>
        <v/>
      </c>
      <c r="CD29" s="1442"/>
      <c r="CE29" s="1453"/>
      <c r="CF29" s="685"/>
      <c r="CG29" s="686"/>
      <c r="CH29" s="586" t="str">
        <f t="shared" si="23"/>
        <v/>
      </c>
      <c r="CI29" s="587" t="str">
        <f t="shared" si="24"/>
        <v/>
      </c>
      <c r="CJ29" s="588" t="str">
        <f t="shared" si="25"/>
        <v/>
      </c>
      <c r="CK29" s="793" t="str">
        <f t="shared" si="26"/>
        <v/>
      </c>
      <c r="CL29" s="788" t="str">
        <f t="shared" si="27"/>
        <v/>
      </c>
      <c r="CM29" s="789" t="str">
        <f t="shared" si="28"/>
        <v/>
      </c>
      <c r="CN29" s="554" t="str">
        <f t="shared" si="29"/>
        <v/>
      </c>
      <c r="CO29" s="555" t="str">
        <f t="shared" si="30"/>
        <v/>
      </c>
      <c r="CP29" s="558" t="str">
        <f t="shared" si="31"/>
        <v/>
      </c>
      <c r="CQ29" s="559" t="str">
        <f t="shared" si="32"/>
        <v/>
      </c>
      <c r="CR29" s="699" t="str">
        <f t="shared" si="33"/>
        <v/>
      </c>
      <c r="CS29" s="700" t="str">
        <f t="shared" si="34"/>
        <v/>
      </c>
      <c r="CU29" s="37" t="str">
        <f>IF(BG29="","",VLOOKUP(BG29,#REF!,12,FALSE))</f>
        <v/>
      </c>
      <c r="CV29" s="38" t="str">
        <f>IF(BG29="","",IF(ISBLANK(BP29),VLOOKUP(BG29,#REF!,13,FALSE),BP29))</f>
        <v/>
      </c>
      <c r="CW29" s="38" t="str">
        <f>IF(BG29="","",IF(VLOOKUP(BG29,#REF!,5,FALSE)="","R",UPPER(VLOOKUP(BG29,#REF!,5,FALSE))))</f>
        <v/>
      </c>
      <c r="CX29" s="756" t="str">
        <f>IF(BG29="","",IF(ISBLANK(BR29),VLOOKUP(BG29,#REF!,6,FALSE),BR29))</f>
        <v/>
      </c>
      <c r="CY29" s="1203" t="str">
        <f>IF(BG29="","",IF(VLOOKUP(BG29,#REF!,10,FALSE)="","",(IF(BO29="X",VLOOKUP(BG29,#REF!,10,FALSE),VALUE(BO29))*-1)))</f>
        <v/>
      </c>
      <c r="CZ29" s="1042" t="str">
        <f>IF(BG29="","",IF(VLOOKUP(BG29,#REF!,11,FALSE)="","2",(VLOOKUP(BG29,#REF!,11,FALSE))))</f>
        <v/>
      </c>
      <c r="DA29" s="38" t="str">
        <f>IF(BG29="","",IF(VLOOKUP(BG29,#REF!,7,FALSE)="","",(VLOOKUP(BG29,#REF!,7,FALSE)*-1)))</f>
        <v/>
      </c>
      <c r="DB29" s="756" t="str">
        <f>IF(BG29="","",IF(VLOOKUP(BG29,#REF!,8,FALSE)="",VLOOKUP(AU29,$DF$2:$DN$9,6,FALSE),(VLOOKUP(BG29,#REF!,8,FALSE))))</f>
        <v/>
      </c>
      <c r="DC29" s="756" t="str">
        <f>IF(BG29="","",VLOOKUP(BG29,#REF!,9,FALSE))</f>
        <v/>
      </c>
      <c r="DD29" s="757">
        <f t="shared" si="35"/>
        <v>0</v>
      </c>
      <c r="DE29" s="758" t="str">
        <f>IF(BS29="","",VLOOKUP(BS29,#REF!,12,FALSE))</f>
        <v/>
      </c>
      <c r="DF29" s="756" t="str">
        <f>IF(BS29="","",IF(ISBLANK(CB29),VLOOKUP(BS29,#REF!,13,FALSE),CB29))</f>
        <v/>
      </c>
      <c r="DG29" s="756" t="str">
        <f>IF(BS29="","",IF(VLOOKUP(BS29,#REF!,5,FALSE)="","R",UPPER(VLOOKUP(BS29,#REF!,5,FALSE))))</f>
        <v/>
      </c>
      <c r="DH29" s="756" t="str">
        <f>IF(BS29="","",IF(ISBLANK(CD29),VLOOKUP(BS29,#REF!,6,FALSE),CD29))</f>
        <v/>
      </c>
      <c r="DI29" s="1203" t="str">
        <f>IF(BS29="","",IF(VLOOKUP(BS29,#REF!,10,FALSE)="","",(IF(CA29="X",VLOOKUP(BS29,#REF!,10,FALSE),VALUE(CA29))*-1)))</f>
        <v/>
      </c>
      <c r="DJ29" s="1042" t="str">
        <f>IF(BS29="","",IF(VLOOKUP(BS29,#REF!,11,FALSE)="","2",(VLOOKUP(BS29,#REF!,11,FALSE))))</f>
        <v/>
      </c>
      <c r="DK29" s="756" t="str">
        <f>IF(BS29="","",IF(VLOOKUP(BS29,#REF!,7,FALSE)="","",(VLOOKUP(BS29,#REF!,7,FALSE)*-1)))</f>
        <v/>
      </c>
      <c r="DL29" s="756" t="str">
        <f>IF(BS29="","",IF(VLOOKUP(BS29,#REF!,8,FALSE)="",VLOOKUP(AU29,$DF$2:$DN$9,6,FALSE),(VLOOKUP(BS29,#REF!,8,FALSE))))</f>
        <v/>
      </c>
      <c r="DM29" s="756" t="str">
        <f>IF(BS29="","",VLOOKUP(BS29,#REF!,9,FALSE))</f>
        <v/>
      </c>
      <c r="DN29" s="757">
        <f t="shared" si="36"/>
        <v>0</v>
      </c>
      <c r="DO29" s="759">
        <f t="shared" si="37"/>
        <v>0</v>
      </c>
      <c r="DP29" s="763" t="str">
        <f t="shared" si="38"/>
        <v/>
      </c>
      <c r="DQ29" s="763" t="str">
        <f t="shared" si="39"/>
        <v/>
      </c>
      <c r="DR29" s="763" t="str">
        <f t="shared" si="40"/>
        <v/>
      </c>
      <c r="DS29" s="762">
        <f t="shared" si="41"/>
        <v>0</v>
      </c>
      <c r="DT29" s="762" t="e">
        <f t="shared" si="42"/>
        <v>#REF!</v>
      </c>
      <c r="DU29" s="762" t="str">
        <f t="shared" si="43"/>
        <v/>
      </c>
      <c r="DV29" s="763" t="str">
        <f t="shared" si="44"/>
        <v/>
      </c>
      <c r="DW29" s="795" t="str">
        <f t="shared" si="45"/>
        <v/>
      </c>
      <c r="DX29" s="926">
        <f t="shared" si="118"/>
        <v>0</v>
      </c>
      <c r="DY29" s="763">
        <f t="shared" si="46"/>
        <v>0</v>
      </c>
      <c r="DZ29" s="762" t="e">
        <f t="shared" si="47"/>
        <v>#REF!</v>
      </c>
      <c r="EA29" s="762" t="str">
        <f t="shared" si="48"/>
        <v/>
      </c>
      <c r="EB29" s="763" t="str">
        <f t="shared" si="119"/>
        <v/>
      </c>
      <c r="EC29" s="795" t="str">
        <f t="shared" si="49"/>
        <v/>
      </c>
      <c r="ED29" s="926">
        <f t="shared" si="120"/>
        <v>0</v>
      </c>
      <c r="EE29" s="1210" t="str">
        <f t="shared" si="50"/>
        <v/>
      </c>
      <c r="EF29" s="763" t="str">
        <f t="shared" si="121"/>
        <v/>
      </c>
      <c r="EG29" s="763" t="str">
        <f t="shared" si="122"/>
        <v/>
      </c>
      <c r="EH29" s="795" t="e">
        <f t="shared" si="51"/>
        <v>#N/A</v>
      </c>
      <c r="EI29" s="795" t="e">
        <f t="shared" si="52"/>
        <v>#N/A</v>
      </c>
      <c r="EJ29" s="763" t="str">
        <f t="shared" si="123"/>
        <v/>
      </c>
      <c r="EK29" s="763" t="str">
        <f t="shared" si="124"/>
        <v/>
      </c>
      <c r="EL29" s="1210" t="str">
        <f t="shared" si="54"/>
        <v/>
      </c>
      <c r="EM29" s="763" t="str">
        <f t="shared" si="125"/>
        <v/>
      </c>
      <c r="EN29" s="763" t="str">
        <f t="shared" si="126"/>
        <v/>
      </c>
      <c r="EO29" s="795" t="e">
        <f t="shared" si="55"/>
        <v>#N/A</v>
      </c>
      <c r="EP29" s="795" t="e">
        <f t="shared" si="56"/>
        <v>#N/A</v>
      </c>
      <c r="EQ29" s="763" t="str">
        <f t="shared" si="57"/>
        <v/>
      </c>
      <c r="ER29" s="763" t="str">
        <f t="shared" si="57"/>
        <v/>
      </c>
      <c r="ES29" s="763" t="str">
        <f t="shared" si="58"/>
        <v/>
      </c>
      <c r="ET29" s="763" t="str">
        <f t="shared" si="59"/>
        <v/>
      </c>
      <c r="EU29" s="770" t="str">
        <f t="shared" si="60"/>
        <v/>
      </c>
      <c r="EV29" s="765" t="str">
        <f t="shared" si="127"/>
        <v/>
      </c>
      <c r="EW29" s="770"/>
      <c r="EX29" s="770" t="str">
        <f>IF(AND(CU29="G", ISBLANK(BK29), ISBLANK(BL29)),VLOOKUP(MIN(BH29:BI29),#REF!,2),IF(OR(CU29="B",CU29="G"),MIN(BK29:BL29),""))</f>
        <v/>
      </c>
      <c r="EY29" s="770" t="str">
        <f>IF(AND(CU29="G", ISBLANK(BK29), ISBLANK(BL29)),VLOOKUP(MAX(BH29:BI29),#REF!,2),IF(OR(CU29="B",CU29="G"),MAX(BK29:BL29),""))</f>
        <v/>
      </c>
      <c r="EZ29" s="770" t="str">
        <f t="shared" si="61"/>
        <v/>
      </c>
      <c r="FA29" s="770" t="str">
        <f>IF(AND(DE29="G", ISBLANK(BW29), ISBLANK(BX29)),VLOOKUP(MIN(BT29:BU29),#REF!,2),IF(OR(DE29="B", DE29="G"),MIN(BW29:BX29),""))</f>
        <v/>
      </c>
      <c r="FB29" s="770" t="str">
        <f>IF(AND(DE29="G", ISBLANK(BW29), ISBLANK(BX29)),VLOOKUP(MAX(BT29:BU29),#REF!,2),IF(OR(DE29="B", DE29="G"),MAX(BW29:BX29),""))</f>
        <v/>
      </c>
      <c r="FC29" s="770" t="str">
        <f t="shared" si="62"/>
        <v/>
      </c>
      <c r="FD29" s="763">
        <f t="shared" si="63"/>
        <v>0</v>
      </c>
      <c r="FE29" s="763">
        <f t="shared" si="64"/>
        <v>0</v>
      </c>
      <c r="FF29" s="762">
        <f t="shared" si="65"/>
        <v>0</v>
      </c>
      <c r="FG29" s="762" t="str">
        <f t="shared" si="66"/>
        <v/>
      </c>
      <c r="FH29" s="763" t="str">
        <f t="shared" si="67"/>
        <v/>
      </c>
      <c r="FI29" s="763">
        <f t="shared" si="68"/>
        <v>0</v>
      </c>
      <c r="FJ29" s="763">
        <f t="shared" si="69"/>
        <v>0</v>
      </c>
      <c r="FK29" s="762">
        <f t="shared" si="70"/>
        <v>0</v>
      </c>
      <c r="FL29" s="762" t="str">
        <f t="shared" si="71"/>
        <v/>
      </c>
      <c r="FM29" s="763" t="str">
        <f t="shared" si="72"/>
        <v/>
      </c>
      <c r="FN29" s="763" t="e">
        <f t="shared" si="73"/>
        <v>#VALUE!</v>
      </c>
      <c r="FO29" s="872" t="e">
        <f t="shared" si="74"/>
        <v>#VALUE!</v>
      </c>
      <c r="FP29" s="872" t="e">
        <f t="shared" si="75"/>
        <v>#VALUE!</v>
      </c>
      <c r="FQ29" s="771" t="e">
        <f t="shared" si="76"/>
        <v>#VALUE!</v>
      </c>
      <c r="FR29" s="772" t="e">
        <f t="shared" si="77"/>
        <v>#VALUE!</v>
      </c>
      <c r="FS29" s="773" t="str">
        <f t="shared" si="78"/>
        <v/>
      </c>
      <c r="FT29" s="774" t="str">
        <f t="shared" si="79"/>
        <v/>
      </c>
      <c r="FU29" s="809">
        <f t="shared" si="80"/>
        <v>0</v>
      </c>
      <c r="FV29" s="810">
        <f t="shared" si="81"/>
        <v>0</v>
      </c>
      <c r="GA29" s="542" t="str">
        <f t="shared" si="82"/>
        <v/>
      </c>
      <c r="GB29" s="562" t="str">
        <f t="shared" si="83"/>
        <v/>
      </c>
      <c r="GC29" s="564" t="str">
        <f t="shared" si="84"/>
        <v/>
      </c>
      <c r="GD29" s="565" t="str">
        <f t="shared" si="85"/>
        <v/>
      </c>
      <c r="GE29" s="563" t="str">
        <f t="shared" si="86"/>
        <v/>
      </c>
      <c r="GF29" s="543" t="str">
        <f t="shared" si="87"/>
        <v/>
      </c>
      <c r="GG29" s="1052"/>
      <c r="GH29" s="1053"/>
      <c r="GI29" s="1052"/>
      <c r="GJ29" s="1053"/>
      <c r="GK29" s="1519">
        <f t="shared" si="88"/>
        <v>0</v>
      </c>
      <c r="GL29" s="1519" t="e">
        <f t="shared" si="89"/>
        <v>#VALUE!</v>
      </c>
      <c r="GM29" s="1520" t="e">
        <f>IF(ABS(GK29-GL29)&gt;=#REF!,ABS(GK29-GL29),0)</f>
        <v>#VALUE!</v>
      </c>
      <c r="GZ29" s="346"/>
      <c r="HA29" s="1266"/>
      <c r="HB29" s="1267"/>
      <c r="HC29" s="1267"/>
      <c r="HD29" s="1268"/>
      <c r="HE29" s="1269"/>
      <c r="HF29" s="1267"/>
      <c r="HG29" s="1267"/>
      <c r="HH29" s="1267"/>
      <c r="HI29" s="1270"/>
      <c r="HJ29" s="1267"/>
      <c r="HK29" s="1267"/>
      <c r="HL29" s="1267"/>
      <c r="HM29" s="1267"/>
      <c r="HN29" s="1267"/>
      <c r="HO29" s="1267"/>
      <c r="HP29" s="1267"/>
      <c r="HQ29" s="1270"/>
      <c r="HR29" s="1267"/>
      <c r="HS29" s="1267"/>
      <c r="HT29" s="1267"/>
      <c r="HU29" s="1267"/>
      <c r="HV29" s="1267"/>
      <c r="HW29" s="1269"/>
      <c r="HX29" s="1269"/>
      <c r="HY29" s="1269"/>
      <c r="HZ29" s="1269"/>
      <c r="IA29" s="1269"/>
      <c r="IB29" s="1269"/>
      <c r="IC29" s="1269"/>
      <c r="ID29" s="1269"/>
      <c r="IE29" s="1269"/>
      <c r="IF29" s="1271"/>
    </row>
    <row r="30" spans="1:244" ht="12.6" customHeight="1" x14ac:dyDescent="0.25">
      <c r="A30" s="1132" t="str">
        <f t="shared" si="1"/>
        <v/>
      </c>
      <c r="B30" s="1586" t="str">
        <f t="shared" si="2"/>
        <v/>
      </c>
      <c r="C30" s="1133" t="str">
        <f t="shared" si="3"/>
        <v/>
      </c>
      <c r="D30" s="1134" t="str">
        <f t="shared" si="95"/>
        <v/>
      </c>
      <c r="E30" s="1644" t="str">
        <f t="shared" si="96"/>
        <v/>
      </c>
      <c r="F30" s="1137" t="str">
        <f t="shared" si="97"/>
        <v/>
      </c>
      <c r="G30" s="1138" t="str">
        <f t="shared" si="98"/>
        <v/>
      </c>
      <c r="H30" s="1645" t="str">
        <f t="shared" si="99"/>
        <v/>
      </c>
      <c r="I30" s="1134" t="str">
        <f t="shared" si="100"/>
        <v/>
      </c>
      <c r="J30" s="1138" t="str">
        <f t="shared" si="101"/>
        <v/>
      </c>
      <c r="K30" s="1646" t="str">
        <f t="shared" si="102"/>
        <v/>
      </c>
      <c r="L30" s="1141" t="str">
        <f t="shared" si="103"/>
        <v/>
      </c>
      <c r="M30" s="1142" t="str">
        <f t="shared" si="104"/>
        <v/>
      </c>
      <c r="N30" s="1137" t="str">
        <f t="shared" si="105"/>
        <v/>
      </c>
      <c r="O30" s="1138" t="str">
        <f t="shared" si="106"/>
        <v/>
      </c>
      <c r="P30" s="1139" t="str">
        <f t="shared" si="107"/>
        <v/>
      </c>
      <c r="Q30" s="1134" t="str">
        <f t="shared" si="108"/>
        <v/>
      </c>
      <c r="R30" s="1138" t="str">
        <f t="shared" si="109"/>
        <v/>
      </c>
      <c r="S30" s="1625" t="str">
        <f t="shared" si="110"/>
        <v/>
      </c>
      <c r="T30" s="1137" t="str">
        <f t="shared" si="111"/>
        <v/>
      </c>
      <c r="U30" s="1138" t="str">
        <f t="shared" si="112"/>
        <v/>
      </c>
      <c r="V30" s="1134" t="str">
        <f t="shared" si="113"/>
        <v/>
      </c>
      <c r="W30" s="1138" t="str">
        <f t="shared" si="114"/>
        <v/>
      </c>
      <c r="X30" s="1622">
        <f t="shared" si="115"/>
        <v>0</v>
      </c>
      <c r="Y30" s="1647" t="str">
        <f t="shared" si="116"/>
        <v/>
      </c>
      <c r="Z30" s="1648" t="str">
        <f t="shared" si="117"/>
        <v/>
      </c>
      <c r="AA30" s="1649" t="str">
        <f t="shared" si="5"/>
        <v/>
      </c>
      <c r="AB30" s="1288"/>
      <c r="AC30" s="898" t="b">
        <v>0</v>
      </c>
      <c r="AD30" s="374">
        <f t="shared" si="6"/>
        <v>0</v>
      </c>
      <c r="AE30" s="375">
        <f t="shared" si="7"/>
        <v>0</v>
      </c>
      <c r="AF30" s="375">
        <f t="shared" si="8"/>
        <v>0</v>
      </c>
      <c r="AG30" s="375">
        <f t="shared" si="9"/>
        <v>0</v>
      </c>
      <c r="AH30" s="376">
        <f t="shared" si="10"/>
        <v>0</v>
      </c>
      <c r="AI30" s="377" t="b">
        <v>0</v>
      </c>
      <c r="AJ30" s="143">
        <f t="shared" si="128"/>
        <v>0</v>
      </c>
      <c r="AK30" s="143" t="str">
        <f t="shared" si="11"/>
        <v/>
      </c>
      <c r="AL30" s="1207" t="str">
        <f t="shared" si="12"/>
        <v/>
      </c>
      <c r="AM30" s="143" t="str">
        <f t="shared" si="13"/>
        <v/>
      </c>
      <c r="AN30" s="143" t="str">
        <f t="shared" si="14"/>
        <v/>
      </c>
      <c r="AO30" s="143" t="str">
        <f t="shared" si="15"/>
        <v/>
      </c>
      <c r="AP30" s="771" t="b">
        <f>IF(ISERROR(AJ30),FALSE,IF(OR(AJ30=0,ISERROR(AL30),ISERROR(AM30),ISERROR(AN30),ISERROR(AO30)),FALSE,IF(AL30&lt;&gt;"",IF(ISERROR(VLOOKUP(SUBSTITUTE(SUBSTITUTE(C30,"R",""),"A",""),#REF!,1,FALSE)),FALSE,TRUE),TRUE)))</f>
        <v>0</v>
      </c>
      <c r="AQ30" s="945" t="e">
        <f t="shared" si="16"/>
        <v>#N/A</v>
      </c>
      <c r="AR30" s="877" t="b">
        <f t="shared" si="92"/>
        <v>0</v>
      </c>
      <c r="AS30" s="945" t="e">
        <f t="shared" si="17"/>
        <v>#N/A</v>
      </c>
      <c r="AT30" s="877" t="b">
        <f t="shared" si="93"/>
        <v>0</v>
      </c>
      <c r="AU30" s="1208" t="str">
        <f t="shared" si="18"/>
        <v/>
      </c>
      <c r="AV30" s="771" t="str">
        <f t="shared" si="19"/>
        <v/>
      </c>
      <c r="AW30" s="771" t="str">
        <f t="shared" si="90"/>
        <v/>
      </c>
      <c r="AX30" s="771" t="str">
        <f t="shared" si="94"/>
        <v/>
      </c>
      <c r="AY30" s="399" t="e">
        <f t="shared" si="20"/>
        <v>#REF!</v>
      </c>
      <c r="AZ30" s="795" t="str">
        <f t="shared" si="91"/>
        <v/>
      </c>
      <c r="BA30" s="496"/>
      <c r="BB30" s="616"/>
      <c r="BC30" s="1567"/>
      <c r="BD30" s="682"/>
      <c r="BE30" s="683"/>
      <c r="BF30" s="684"/>
      <c r="BG30" s="660"/>
      <c r="BH30" s="901"/>
      <c r="BI30" s="902"/>
      <c r="BJ30" s="1508"/>
      <c r="BK30" s="901"/>
      <c r="BL30" s="902"/>
      <c r="BM30" s="1448"/>
      <c r="BN30" s="1449"/>
      <c r="BO30" s="1497" t="str">
        <f>IF(ISERROR(CU30),"",IF(CU30="","",IF(VLOOKUP(BG30,#REF!,10,FALSE)="","","X")))</f>
        <v/>
      </c>
      <c r="BP30" s="1440"/>
      <c r="BQ30" s="1441" t="str">
        <f t="shared" si="21"/>
        <v/>
      </c>
      <c r="BR30" s="1442"/>
      <c r="BS30" s="660"/>
      <c r="BT30" s="901"/>
      <c r="BU30" s="902"/>
      <c r="BV30" s="1508"/>
      <c r="BW30" s="901"/>
      <c r="BX30" s="902"/>
      <c r="BY30" s="1448"/>
      <c r="BZ30" s="1449"/>
      <c r="CA30" s="1497" t="str">
        <f>IF(ISERROR(DE30),"",IF(DE30="","",IF(VLOOKUP(BS30,#REF!,10,FALSE)="","","X")))</f>
        <v/>
      </c>
      <c r="CB30" s="1440"/>
      <c r="CC30" s="1441" t="str">
        <f t="shared" si="22"/>
        <v/>
      </c>
      <c r="CD30" s="1442"/>
      <c r="CE30" s="1453"/>
      <c r="CF30" s="685"/>
      <c r="CG30" s="686"/>
      <c r="CH30" s="586" t="str">
        <f t="shared" si="23"/>
        <v/>
      </c>
      <c r="CI30" s="587" t="str">
        <f t="shared" si="24"/>
        <v/>
      </c>
      <c r="CJ30" s="588" t="str">
        <f t="shared" si="25"/>
        <v/>
      </c>
      <c r="CK30" s="793" t="str">
        <f t="shared" si="26"/>
        <v/>
      </c>
      <c r="CL30" s="788" t="str">
        <f t="shared" si="27"/>
        <v/>
      </c>
      <c r="CM30" s="789" t="str">
        <f t="shared" si="28"/>
        <v/>
      </c>
      <c r="CN30" s="554" t="str">
        <f t="shared" si="29"/>
        <v/>
      </c>
      <c r="CO30" s="555" t="str">
        <f t="shared" si="30"/>
        <v/>
      </c>
      <c r="CP30" s="558" t="str">
        <f t="shared" si="31"/>
        <v/>
      </c>
      <c r="CQ30" s="559" t="str">
        <f t="shared" si="32"/>
        <v/>
      </c>
      <c r="CR30" s="699" t="str">
        <f t="shared" si="33"/>
        <v/>
      </c>
      <c r="CS30" s="700" t="str">
        <f t="shared" si="34"/>
        <v/>
      </c>
      <c r="CU30" s="37" t="str">
        <f>IF(BG30="","",VLOOKUP(BG30,#REF!,12,FALSE))</f>
        <v/>
      </c>
      <c r="CV30" s="38" t="str">
        <f>IF(BG30="","",IF(ISBLANK(BP30),VLOOKUP(BG30,#REF!,13,FALSE),BP30))</f>
        <v/>
      </c>
      <c r="CW30" s="38" t="str">
        <f>IF(BG30="","",IF(VLOOKUP(BG30,#REF!,5,FALSE)="","R",UPPER(VLOOKUP(BG30,#REF!,5,FALSE))))</f>
        <v/>
      </c>
      <c r="CX30" s="756" t="str">
        <f>IF(BG30="","",IF(ISBLANK(BR30),VLOOKUP(BG30,#REF!,6,FALSE),BR30))</f>
        <v/>
      </c>
      <c r="CY30" s="1203" t="str">
        <f>IF(BG30="","",IF(VLOOKUP(BG30,#REF!,10,FALSE)="","",(IF(BO30="X",VLOOKUP(BG30,#REF!,10,FALSE),VALUE(BO30))*-1)))</f>
        <v/>
      </c>
      <c r="CZ30" s="1042" t="str">
        <f>IF(BG30="","",IF(VLOOKUP(BG30,#REF!,11,FALSE)="","2",(VLOOKUP(BG30,#REF!,11,FALSE))))</f>
        <v/>
      </c>
      <c r="DA30" s="38" t="str">
        <f>IF(BG30="","",IF(VLOOKUP(BG30,#REF!,7,FALSE)="","",(VLOOKUP(BG30,#REF!,7,FALSE)*-1)))</f>
        <v/>
      </c>
      <c r="DB30" s="756" t="str">
        <f>IF(BG30="","",IF(VLOOKUP(BG30,#REF!,8,FALSE)="",VLOOKUP(AU30,$DF$2:$DN$9,6,FALSE),(VLOOKUP(BG30,#REF!,8,FALSE))))</f>
        <v/>
      </c>
      <c r="DC30" s="756" t="str">
        <f>IF(BG30="","",VLOOKUP(BG30,#REF!,9,FALSE))</f>
        <v/>
      </c>
      <c r="DD30" s="757">
        <f t="shared" si="35"/>
        <v>0</v>
      </c>
      <c r="DE30" s="758" t="str">
        <f>IF(BS30="","",VLOOKUP(BS30,#REF!,12,FALSE))</f>
        <v/>
      </c>
      <c r="DF30" s="756" t="str">
        <f>IF(BS30="","",IF(ISBLANK(CB30),VLOOKUP(BS30,#REF!,13,FALSE),CB30))</f>
        <v/>
      </c>
      <c r="DG30" s="756" t="str">
        <f>IF(BS30="","",IF(VLOOKUP(BS30,#REF!,5,FALSE)="","R",UPPER(VLOOKUP(BS30,#REF!,5,FALSE))))</f>
        <v/>
      </c>
      <c r="DH30" s="756" t="str">
        <f>IF(BS30="","",IF(ISBLANK(CD30),VLOOKUP(BS30,#REF!,6,FALSE),CD30))</f>
        <v/>
      </c>
      <c r="DI30" s="1203" t="str">
        <f>IF(BS30="","",IF(VLOOKUP(BS30,#REF!,10,FALSE)="","",(IF(CA30="X",VLOOKUP(BS30,#REF!,10,FALSE),VALUE(CA30))*-1)))</f>
        <v/>
      </c>
      <c r="DJ30" s="1042" t="str">
        <f>IF(BS30="","",IF(VLOOKUP(BS30,#REF!,11,FALSE)="","2",(VLOOKUP(BS30,#REF!,11,FALSE))))</f>
        <v/>
      </c>
      <c r="DK30" s="756" t="str">
        <f>IF(BS30="","",IF(VLOOKUP(BS30,#REF!,7,FALSE)="","",(VLOOKUP(BS30,#REF!,7,FALSE)*-1)))</f>
        <v/>
      </c>
      <c r="DL30" s="756" t="str">
        <f>IF(BS30="","",IF(VLOOKUP(BS30,#REF!,8,FALSE)="",VLOOKUP(AU30,$DF$2:$DN$9,6,FALSE),(VLOOKUP(BS30,#REF!,8,FALSE))))</f>
        <v/>
      </c>
      <c r="DM30" s="756" t="str">
        <f>IF(BS30="","",VLOOKUP(BS30,#REF!,9,FALSE))</f>
        <v/>
      </c>
      <c r="DN30" s="757">
        <f t="shared" si="36"/>
        <v>0</v>
      </c>
      <c r="DO30" s="759">
        <f t="shared" si="37"/>
        <v>0</v>
      </c>
      <c r="DP30" s="763" t="str">
        <f t="shared" si="38"/>
        <v/>
      </c>
      <c r="DQ30" s="763" t="str">
        <f t="shared" si="39"/>
        <v/>
      </c>
      <c r="DR30" s="763" t="str">
        <f t="shared" si="40"/>
        <v/>
      </c>
      <c r="DS30" s="762">
        <f t="shared" si="41"/>
        <v>0</v>
      </c>
      <c r="DT30" s="762" t="e">
        <f t="shared" si="42"/>
        <v>#REF!</v>
      </c>
      <c r="DU30" s="762" t="str">
        <f t="shared" si="43"/>
        <v/>
      </c>
      <c r="DV30" s="763" t="str">
        <f t="shared" si="44"/>
        <v/>
      </c>
      <c r="DW30" s="795" t="str">
        <f t="shared" si="45"/>
        <v/>
      </c>
      <c r="DX30" s="926">
        <f t="shared" si="118"/>
        <v>0</v>
      </c>
      <c r="DY30" s="763">
        <f t="shared" si="46"/>
        <v>0</v>
      </c>
      <c r="DZ30" s="762" t="e">
        <f t="shared" si="47"/>
        <v>#REF!</v>
      </c>
      <c r="EA30" s="762" t="str">
        <f t="shared" si="48"/>
        <v/>
      </c>
      <c r="EB30" s="763" t="str">
        <f t="shared" si="119"/>
        <v/>
      </c>
      <c r="EC30" s="795" t="str">
        <f t="shared" si="49"/>
        <v/>
      </c>
      <c r="ED30" s="926">
        <f t="shared" si="120"/>
        <v>0</v>
      </c>
      <c r="EE30" s="1210" t="str">
        <f t="shared" si="50"/>
        <v/>
      </c>
      <c r="EF30" s="763" t="str">
        <f t="shared" si="121"/>
        <v/>
      </c>
      <c r="EG30" s="763" t="str">
        <f t="shared" si="122"/>
        <v/>
      </c>
      <c r="EH30" s="795" t="e">
        <f t="shared" si="51"/>
        <v>#N/A</v>
      </c>
      <c r="EI30" s="795" t="e">
        <f t="shared" si="52"/>
        <v>#N/A</v>
      </c>
      <c r="EJ30" s="763" t="str">
        <f t="shared" si="123"/>
        <v/>
      </c>
      <c r="EK30" s="763" t="str">
        <f t="shared" si="124"/>
        <v/>
      </c>
      <c r="EL30" s="1210" t="str">
        <f t="shared" si="54"/>
        <v/>
      </c>
      <c r="EM30" s="763" t="str">
        <f t="shared" si="125"/>
        <v/>
      </c>
      <c r="EN30" s="763" t="str">
        <f t="shared" si="126"/>
        <v/>
      </c>
      <c r="EO30" s="795" t="e">
        <f t="shared" si="55"/>
        <v>#N/A</v>
      </c>
      <c r="EP30" s="795" t="e">
        <f t="shared" si="56"/>
        <v>#N/A</v>
      </c>
      <c r="EQ30" s="763" t="str">
        <f t="shared" si="57"/>
        <v/>
      </c>
      <c r="ER30" s="763" t="str">
        <f t="shared" si="57"/>
        <v/>
      </c>
      <c r="ES30" s="763" t="str">
        <f t="shared" si="58"/>
        <v/>
      </c>
      <c r="ET30" s="763" t="str">
        <f t="shared" si="59"/>
        <v/>
      </c>
      <c r="EU30" s="770" t="str">
        <f t="shared" si="60"/>
        <v/>
      </c>
      <c r="EV30" s="765" t="str">
        <f t="shared" si="127"/>
        <v/>
      </c>
      <c r="EW30" s="770"/>
      <c r="EX30" s="770" t="str">
        <f>IF(AND(CU30="G", ISBLANK(BK30), ISBLANK(BL30)),VLOOKUP(MIN(BH30:BI30),#REF!,2),IF(OR(CU30="B",CU30="G"),MIN(BK30:BL30),""))</f>
        <v/>
      </c>
      <c r="EY30" s="770" t="str">
        <f>IF(AND(CU30="G", ISBLANK(BK30), ISBLANK(BL30)),VLOOKUP(MAX(BH30:BI30),#REF!,2),IF(OR(CU30="B",CU30="G"),MAX(BK30:BL30),""))</f>
        <v/>
      </c>
      <c r="EZ30" s="770" t="str">
        <f t="shared" si="61"/>
        <v/>
      </c>
      <c r="FA30" s="770" t="str">
        <f>IF(AND(DE30="G", ISBLANK(BW30), ISBLANK(BX30)),VLOOKUP(MIN(BT30:BU30),#REF!,2),IF(OR(DE30="B", DE30="G"),MIN(BW30:BX30),""))</f>
        <v/>
      </c>
      <c r="FB30" s="770" t="str">
        <f>IF(AND(DE30="G", ISBLANK(BW30), ISBLANK(BX30)),VLOOKUP(MAX(BT30:BU30),#REF!,2),IF(OR(DE30="B", DE30="G"),MAX(BW30:BX30),""))</f>
        <v/>
      </c>
      <c r="FC30" s="770" t="str">
        <f t="shared" si="62"/>
        <v/>
      </c>
      <c r="FD30" s="763">
        <f t="shared" si="63"/>
        <v>0</v>
      </c>
      <c r="FE30" s="763">
        <f t="shared" si="64"/>
        <v>0</v>
      </c>
      <c r="FF30" s="762">
        <f t="shared" si="65"/>
        <v>0</v>
      </c>
      <c r="FG30" s="762" t="str">
        <f t="shared" si="66"/>
        <v/>
      </c>
      <c r="FH30" s="763" t="str">
        <f t="shared" si="67"/>
        <v/>
      </c>
      <c r="FI30" s="763">
        <f t="shared" si="68"/>
        <v>0</v>
      </c>
      <c r="FJ30" s="763">
        <f t="shared" si="69"/>
        <v>0</v>
      </c>
      <c r="FK30" s="762">
        <f t="shared" si="70"/>
        <v>0</v>
      </c>
      <c r="FL30" s="762" t="str">
        <f t="shared" si="71"/>
        <v/>
      </c>
      <c r="FM30" s="763" t="str">
        <f t="shared" si="72"/>
        <v/>
      </c>
      <c r="FN30" s="763" t="e">
        <f t="shared" si="73"/>
        <v>#VALUE!</v>
      </c>
      <c r="FO30" s="872" t="e">
        <f t="shared" si="74"/>
        <v>#VALUE!</v>
      </c>
      <c r="FP30" s="872" t="e">
        <f t="shared" si="75"/>
        <v>#VALUE!</v>
      </c>
      <c r="FQ30" s="771" t="e">
        <f t="shared" si="76"/>
        <v>#VALUE!</v>
      </c>
      <c r="FR30" s="772" t="e">
        <f t="shared" si="77"/>
        <v>#VALUE!</v>
      </c>
      <c r="FS30" s="773" t="str">
        <f t="shared" si="78"/>
        <v/>
      </c>
      <c r="FT30" s="774" t="str">
        <f t="shared" si="79"/>
        <v/>
      </c>
      <c r="FU30" s="809">
        <f t="shared" si="80"/>
        <v>0</v>
      </c>
      <c r="FV30" s="810">
        <f t="shared" si="81"/>
        <v>0</v>
      </c>
      <c r="GA30" s="542" t="str">
        <f t="shared" si="82"/>
        <v/>
      </c>
      <c r="GB30" s="562" t="str">
        <f t="shared" si="83"/>
        <v/>
      </c>
      <c r="GC30" s="564" t="str">
        <f t="shared" si="84"/>
        <v/>
      </c>
      <c r="GD30" s="565" t="str">
        <f t="shared" si="85"/>
        <v/>
      </c>
      <c r="GE30" s="563" t="str">
        <f t="shared" si="86"/>
        <v/>
      </c>
      <c r="GF30" s="543" t="str">
        <f t="shared" si="87"/>
        <v/>
      </c>
      <c r="GG30" s="1052"/>
      <c r="GH30" s="1053"/>
      <c r="GI30" s="1052"/>
      <c r="GJ30" s="1053"/>
      <c r="GK30" s="1519">
        <f t="shared" si="88"/>
        <v>0</v>
      </c>
      <c r="GL30" s="1519" t="e">
        <f t="shared" si="89"/>
        <v>#VALUE!</v>
      </c>
      <c r="GM30" s="1520" t="e">
        <f>IF(ABS(GK30-GL30)&gt;=#REF!,ABS(GK30-GL30),0)</f>
        <v>#VALUE!</v>
      </c>
      <c r="GZ30" s="346"/>
      <c r="HA30" s="1266"/>
      <c r="HB30" s="1267"/>
      <c r="HC30" s="1267"/>
      <c r="HD30" s="1268"/>
      <c r="HE30" s="1269"/>
      <c r="HF30" s="1267"/>
      <c r="HG30" s="1267"/>
      <c r="HH30" s="1267"/>
      <c r="HI30" s="1270"/>
      <c r="HJ30" s="1267"/>
      <c r="HK30" s="1267"/>
      <c r="HL30" s="1267"/>
      <c r="HM30" s="1267"/>
      <c r="HN30" s="1267"/>
      <c r="HO30" s="1267"/>
      <c r="HP30" s="1267"/>
      <c r="HQ30" s="1270"/>
      <c r="HR30" s="1267"/>
      <c r="HS30" s="1267"/>
      <c r="HT30" s="1267"/>
      <c r="HU30" s="1267"/>
      <c r="HV30" s="1267"/>
      <c r="HW30" s="1269"/>
      <c r="HX30" s="1269"/>
      <c r="HY30" s="1269"/>
      <c r="HZ30" s="1269"/>
      <c r="IA30" s="1269"/>
      <c r="IB30" s="1269"/>
      <c r="IC30" s="1269"/>
      <c r="ID30" s="1269"/>
      <c r="IE30" s="1269"/>
      <c r="IF30" s="1271"/>
    </row>
    <row r="31" spans="1:244" ht="12.6" customHeight="1" x14ac:dyDescent="0.25">
      <c r="A31" s="1132" t="str">
        <f t="shared" si="1"/>
        <v/>
      </c>
      <c r="B31" s="1586" t="str">
        <f t="shared" si="2"/>
        <v/>
      </c>
      <c r="C31" s="1133" t="str">
        <f t="shared" si="3"/>
        <v/>
      </c>
      <c r="D31" s="1134" t="str">
        <f t="shared" si="95"/>
        <v/>
      </c>
      <c r="E31" s="1644" t="str">
        <f t="shared" si="96"/>
        <v/>
      </c>
      <c r="F31" s="1137" t="str">
        <f t="shared" si="97"/>
        <v/>
      </c>
      <c r="G31" s="1138" t="str">
        <f t="shared" si="98"/>
        <v/>
      </c>
      <c r="H31" s="1645" t="str">
        <f t="shared" si="99"/>
        <v/>
      </c>
      <c r="I31" s="1134" t="str">
        <f t="shared" si="100"/>
        <v/>
      </c>
      <c r="J31" s="1138" t="str">
        <f t="shared" si="101"/>
        <v/>
      </c>
      <c r="K31" s="1646" t="str">
        <f t="shared" si="102"/>
        <v/>
      </c>
      <c r="L31" s="1141" t="str">
        <f t="shared" si="103"/>
        <v/>
      </c>
      <c r="M31" s="1142" t="str">
        <f t="shared" si="104"/>
        <v/>
      </c>
      <c r="N31" s="1137" t="str">
        <f t="shared" si="105"/>
        <v/>
      </c>
      <c r="O31" s="1138" t="str">
        <f t="shared" si="106"/>
        <v/>
      </c>
      <c r="P31" s="1139" t="str">
        <f t="shared" si="107"/>
        <v/>
      </c>
      <c r="Q31" s="1134" t="str">
        <f t="shared" si="108"/>
        <v/>
      </c>
      <c r="R31" s="1138" t="str">
        <f t="shared" si="109"/>
        <v/>
      </c>
      <c r="S31" s="1625" t="str">
        <f t="shared" si="110"/>
        <v/>
      </c>
      <c r="T31" s="1137" t="str">
        <f t="shared" si="111"/>
        <v/>
      </c>
      <c r="U31" s="1138" t="str">
        <f t="shared" si="112"/>
        <v/>
      </c>
      <c r="V31" s="1134" t="str">
        <f t="shared" si="113"/>
        <v/>
      </c>
      <c r="W31" s="1138" t="str">
        <f t="shared" si="114"/>
        <v/>
      </c>
      <c r="X31" s="1622">
        <f t="shared" si="115"/>
        <v>0</v>
      </c>
      <c r="Y31" s="1647" t="str">
        <f t="shared" si="116"/>
        <v/>
      </c>
      <c r="Z31" s="1648" t="str">
        <f t="shared" si="117"/>
        <v/>
      </c>
      <c r="AA31" s="1649" t="str">
        <f t="shared" si="5"/>
        <v/>
      </c>
      <c r="AB31" s="1288"/>
      <c r="AC31" s="898" t="b">
        <v>0</v>
      </c>
      <c r="AD31" s="374">
        <f t="shared" si="6"/>
        <v>0</v>
      </c>
      <c r="AE31" s="375">
        <f t="shared" si="7"/>
        <v>0</v>
      </c>
      <c r="AF31" s="375">
        <f t="shared" si="8"/>
        <v>0</v>
      </c>
      <c r="AG31" s="375">
        <f t="shared" si="9"/>
        <v>0</v>
      </c>
      <c r="AH31" s="376">
        <f t="shared" si="10"/>
        <v>0</v>
      </c>
      <c r="AI31" s="377" t="b">
        <v>0</v>
      </c>
      <c r="AJ31" s="143">
        <f t="shared" si="128"/>
        <v>0</v>
      </c>
      <c r="AK31" s="143" t="str">
        <f t="shared" si="11"/>
        <v/>
      </c>
      <c r="AL31" s="1207" t="str">
        <f t="shared" si="12"/>
        <v/>
      </c>
      <c r="AM31" s="143" t="str">
        <f t="shared" si="13"/>
        <v/>
      </c>
      <c r="AN31" s="143" t="str">
        <f t="shared" si="14"/>
        <v/>
      </c>
      <c r="AO31" s="143" t="str">
        <f t="shared" si="15"/>
        <v/>
      </c>
      <c r="AP31" s="771" t="b">
        <f>IF(ISERROR(AJ31),FALSE,IF(OR(AJ31=0,ISERROR(AL31),ISERROR(AM31),ISERROR(AN31),ISERROR(AO31)),FALSE,IF(AL31&lt;&gt;"",IF(ISERROR(VLOOKUP(SUBSTITUTE(SUBSTITUTE(C31,"R",""),"A",""),#REF!,1,FALSE)),FALSE,TRUE),TRUE)))</f>
        <v>0</v>
      </c>
      <c r="AQ31" s="945" t="e">
        <f t="shared" si="16"/>
        <v>#N/A</v>
      </c>
      <c r="AR31" s="877" t="b">
        <f t="shared" si="92"/>
        <v>0</v>
      </c>
      <c r="AS31" s="945" t="e">
        <f t="shared" si="17"/>
        <v>#N/A</v>
      </c>
      <c r="AT31" s="877" t="b">
        <f t="shared" si="93"/>
        <v>0</v>
      </c>
      <c r="AU31" s="1208" t="str">
        <f t="shared" si="18"/>
        <v/>
      </c>
      <c r="AV31" s="771" t="str">
        <f t="shared" si="19"/>
        <v/>
      </c>
      <c r="AW31" s="771" t="str">
        <f t="shared" si="90"/>
        <v/>
      </c>
      <c r="AX31" s="771" t="str">
        <f t="shared" si="94"/>
        <v/>
      </c>
      <c r="AY31" s="399" t="e">
        <f t="shared" si="20"/>
        <v>#REF!</v>
      </c>
      <c r="AZ31" s="795" t="str">
        <f t="shared" si="91"/>
        <v/>
      </c>
      <c r="BA31" s="496"/>
      <c r="BB31" s="616"/>
      <c r="BC31" s="1567"/>
      <c r="BD31" s="682"/>
      <c r="BE31" s="683"/>
      <c r="BF31" s="684"/>
      <c r="BG31" s="660"/>
      <c r="BH31" s="901"/>
      <c r="BI31" s="902"/>
      <c r="BJ31" s="1508"/>
      <c r="BK31" s="901"/>
      <c r="BL31" s="902"/>
      <c r="BM31" s="1448"/>
      <c r="BN31" s="1449"/>
      <c r="BO31" s="1497" t="str">
        <f>IF(ISERROR(CU31),"",IF(CU31="","",IF(VLOOKUP(BG31,#REF!,10,FALSE)="","","X")))</f>
        <v/>
      </c>
      <c r="BP31" s="1440"/>
      <c r="BQ31" s="1441" t="str">
        <f t="shared" si="21"/>
        <v/>
      </c>
      <c r="BR31" s="1442"/>
      <c r="BS31" s="660"/>
      <c r="BT31" s="901"/>
      <c r="BU31" s="902"/>
      <c r="BV31" s="1508"/>
      <c r="BW31" s="901"/>
      <c r="BX31" s="902"/>
      <c r="BY31" s="1448"/>
      <c r="BZ31" s="1449"/>
      <c r="CA31" s="1497" t="str">
        <f>IF(ISERROR(DE31),"",IF(DE31="","",IF(VLOOKUP(BS31,#REF!,10,FALSE)="","","X")))</f>
        <v/>
      </c>
      <c r="CB31" s="1440"/>
      <c r="CC31" s="1441" t="str">
        <f t="shared" si="22"/>
        <v/>
      </c>
      <c r="CD31" s="1442"/>
      <c r="CE31" s="1453"/>
      <c r="CF31" s="685"/>
      <c r="CG31" s="686"/>
      <c r="CH31" s="586" t="str">
        <f t="shared" si="23"/>
        <v/>
      </c>
      <c r="CI31" s="587" t="str">
        <f t="shared" si="24"/>
        <v/>
      </c>
      <c r="CJ31" s="588" t="str">
        <f t="shared" si="25"/>
        <v/>
      </c>
      <c r="CK31" s="793" t="str">
        <f t="shared" si="26"/>
        <v/>
      </c>
      <c r="CL31" s="788" t="str">
        <f t="shared" si="27"/>
        <v/>
      </c>
      <c r="CM31" s="789" t="str">
        <f t="shared" si="28"/>
        <v/>
      </c>
      <c r="CN31" s="554" t="str">
        <f t="shared" si="29"/>
        <v/>
      </c>
      <c r="CO31" s="555" t="str">
        <f t="shared" si="30"/>
        <v/>
      </c>
      <c r="CP31" s="558" t="str">
        <f t="shared" si="31"/>
        <v/>
      </c>
      <c r="CQ31" s="559" t="str">
        <f t="shared" si="32"/>
        <v/>
      </c>
      <c r="CR31" s="699" t="str">
        <f t="shared" si="33"/>
        <v/>
      </c>
      <c r="CS31" s="700" t="str">
        <f t="shared" si="34"/>
        <v/>
      </c>
      <c r="CU31" s="37" t="str">
        <f>IF(BG31="","",VLOOKUP(BG31,#REF!,12,FALSE))</f>
        <v/>
      </c>
      <c r="CV31" s="38" t="str">
        <f>IF(BG31="","",IF(ISBLANK(BP31),VLOOKUP(BG31,#REF!,13,FALSE),BP31))</f>
        <v/>
      </c>
      <c r="CW31" s="38" t="str">
        <f>IF(BG31="","",IF(VLOOKUP(BG31,#REF!,5,FALSE)="","R",UPPER(VLOOKUP(BG31,#REF!,5,FALSE))))</f>
        <v/>
      </c>
      <c r="CX31" s="756" t="str">
        <f>IF(BG31="","",IF(ISBLANK(BR31),VLOOKUP(BG31,#REF!,6,FALSE),BR31))</f>
        <v/>
      </c>
      <c r="CY31" s="1203" t="str">
        <f>IF(BG31="","",IF(VLOOKUP(BG31,#REF!,10,FALSE)="","",(IF(BO31="X",VLOOKUP(BG31,#REF!,10,FALSE),VALUE(BO31))*-1)))</f>
        <v/>
      </c>
      <c r="CZ31" s="1042" t="str">
        <f>IF(BG31="","",IF(VLOOKUP(BG31,#REF!,11,FALSE)="","2",(VLOOKUP(BG31,#REF!,11,FALSE))))</f>
        <v/>
      </c>
      <c r="DA31" s="38" t="str">
        <f>IF(BG31="","",IF(VLOOKUP(BG31,#REF!,7,FALSE)="","",(VLOOKUP(BG31,#REF!,7,FALSE)*-1)))</f>
        <v/>
      </c>
      <c r="DB31" s="756" t="str">
        <f>IF(BG31="","",IF(VLOOKUP(BG31,#REF!,8,FALSE)="",VLOOKUP(AU31,$DF$2:$DN$9,6,FALSE),(VLOOKUP(BG31,#REF!,8,FALSE))))</f>
        <v/>
      </c>
      <c r="DC31" s="756" t="str">
        <f>IF(BG31="","",VLOOKUP(BG31,#REF!,9,FALSE))</f>
        <v/>
      </c>
      <c r="DD31" s="757">
        <f t="shared" si="35"/>
        <v>0</v>
      </c>
      <c r="DE31" s="758" t="str">
        <f>IF(BS31="","",VLOOKUP(BS31,#REF!,12,FALSE))</f>
        <v/>
      </c>
      <c r="DF31" s="756" t="str">
        <f>IF(BS31="","",IF(ISBLANK(CB31),VLOOKUP(BS31,#REF!,13,FALSE),CB31))</f>
        <v/>
      </c>
      <c r="DG31" s="756" t="str">
        <f>IF(BS31="","",IF(VLOOKUP(BS31,#REF!,5,FALSE)="","R",UPPER(VLOOKUP(BS31,#REF!,5,FALSE))))</f>
        <v/>
      </c>
      <c r="DH31" s="756" t="str">
        <f>IF(BS31="","",IF(ISBLANK(CD31),VLOOKUP(BS31,#REF!,6,FALSE),CD31))</f>
        <v/>
      </c>
      <c r="DI31" s="1203" t="str">
        <f>IF(BS31="","",IF(VLOOKUP(BS31,#REF!,10,FALSE)="","",(IF(CA31="X",VLOOKUP(BS31,#REF!,10,FALSE),VALUE(CA31))*-1)))</f>
        <v/>
      </c>
      <c r="DJ31" s="1042" t="str">
        <f>IF(BS31="","",IF(VLOOKUP(BS31,#REF!,11,FALSE)="","2",(VLOOKUP(BS31,#REF!,11,FALSE))))</f>
        <v/>
      </c>
      <c r="DK31" s="756" t="str">
        <f>IF(BS31="","",IF(VLOOKUP(BS31,#REF!,7,FALSE)="","",(VLOOKUP(BS31,#REF!,7,FALSE)*-1)))</f>
        <v/>
      </c>
      <c r="DL31" s="756" t="str">
        <f>IF(BS31="","",IF(VLOOKUP(BS31,#REF!,8,FALSE)="",VLOOKUP(AU31,$DF$2:$DN$9,6,FALSE),(VLOOKUP(BS31,#REF!,8,FALSE))))</f>
        <v/>
      </c>
      <c r="DM31" s="756" t="str">
        <f>IF(BS31="","",VLOOKUP(BS31,#REF!,9,FALSE))</f>
        <v/>
      </c>
      <c r="DN31" s="757">
        <f t="shared" si="36"/>
        <v>0</v>
      </c>
      <c r="DO31" s="759">
        <f t="shared" si="37"/>
        <v>0</v>
      </c>
      <c r="DP31" s="763" t="str">
        <f t="shared" si="38"/>
        <v/>
      </c>
      <c r="DQ31" s="763" t="str">
        <f t="shared" si="39"/>
        <v/>
      </c>
      <c r="DR31" s="763" t="str">
        <f t="shared" si="40"/>
        <v/>
      </c>
      <c r="DS31" s="762">
        <f t="shared" si="41"/>
        <v>0</v>
      </c>
      <c r="DT31" s="762" t="e">
        <f t="shared" si="42"/>
        <v>#REF!</v>
      </c>
      <c r="DU31" s="762" t="str">
        <f t="shared" si="43"/>
        <v/>
      </c>
      <c r="DV31" s="763" t="str">
        <f t="shared" si="44"/>
        <v/>
      </c>
      <c r="DW31" s="795" t="str">
        <f t="shared" si="45"/>
        <v/>
      </c>
      <c r="DX31" s="926">
        <f t="shared" si="118"/>
        <v>0</v>
      </c>
      <c r="DY31" s="763">
        <f t="shared" si="46"/>
        <v>0</v>
      </c>
      <c r="DZ31" s="762" t="e">
        <f t="shared" si="47"/>
        <v>#REF!</v>
      </c>
      <c r="EA31" s="762" t="str">
        <f t="shared" si="48"/>
        <v/>
      </c>
      <c r="EB31" s="763" t="str">
        <f t="shared" si="119"/>
        <v/>
      </c>
      <c r="EC31" s="795" t="str">
        <f t="shared" si="49"/>
        <v/>
      </c>
      <c r="ED31" s="926">
        <f t="shared" si="120"/>
        <v>0</v>
      </c>
      <c r="EE31" s="1210" t="str">
        <f t="shared" si="50"/>
        <v/>
      </c>
      <c r="EF31" s="763" t="str">
        <f t="shared" si="121"/>
        <v/>
      </c>
      <c r="EG31" s="763" t="str">
        <f t="shared" si="122"/>
        <v/>
      </c>
      <c r="EH31" s="795" t="e">
        <f t="shared" si="51"/>
        <v>#N/A</v>
      </c>
      <c r="EI31" s="795" t="e">
        <f t="shared" si="52"/>
        <v>#N/A</v>
      </c>
      <c r="EJ31" s="763" t="str">
        <f t="shared" si="123"/>
        <v/>
      </c>
      <c r="EK31" s="763" t="str">
        <f t="shared" si="124"/>
        <v/>
      </c>
      <c r="EL31" s="1210" t="str">
        <f t="shared" si="54"/>
        <v/>
      </c>
      <c r="EM31" s="763" t="str">
        <f t="shared" si="125"/>
        <v/>
      </c>
      <c r="EN31" s="763" t="str">
        <f t="shared" si="126"/>
        <v/>
      </c>
      <c r="EO31" s="795" t="e">
        <f t="shared" si="55"/>
        <v>#N/A</v>
      </c>
      <c r="EP31" s="795" t="e">
        <f t="shared" si="56"/>
        <v>#N/A</v>
      </c>
      <c r="EQ31" s="763" t="str">
        <f t="shared" si="57"/>
        <v/>
      </c>
      <c r="ER31" s="763" t="str">
        <f t="shared" si="57"/>
        <v/>
      </c>
      <c r="ES31" s="763" t="str">
        <f t="shared" si="58"/>
        <v/>
      </c>
      <c r="ET31" s="763" t="str">
        <f t="shared" si="59"/>
        <v/>
      </c>
      <c r="EU31" s="770" t="str">
        <f t="shared" si="60"/>
        <v/>
      </c>
      <c r="EV31" s="765" t="str">
        <f t="shared" si="127"/>
        <v/>
      </c>
      <c r="EW31" s="770"/>
      <c r="EX31" s="770" t="str">
        <f>IF(AND(CU31="G", ISBLANK(BK31), ISBLANK(BL31)),VLOOKUP(MIN(BH31:BI31),#REF!,2),IF(OR(CU31="B",CU31="G"),MIN(BK31:BL31),""))</f>
        <v/>
      </c>
      <c r="EY31" s="770" t="str">
        <f>IF(AND(CU31="G", ISBLANK(BK31), ISBLANK(BL31)),VLOOKUP(MAX(BH31:BI31),#REF!,2),IF(OR(CU31="B",CU31="G"),MAX(BK31:BL31),""))</f>
        <v/>
      </c>
      <c r="EZ31" s="770" t="str">
        <f t="shared" si="61"/>
        <v/>
      </c>
      <c r="FA31" s="770" t="str">
        <f>IF(AND(DE31="G", ISBLANK(BW31), ISBLANK(BX31)),VLOOKUP(MIN(BT31:BU31),#REF!,2),IF(OR(DE31="B", DE31="G"),MIN(BW31:BX31),""))</f>
        <v/>
      </c>
      <c r="FB31" s="770" t="str">
        <f>IF(AND(DE31="G", ISBLANK(BW31), ISBLANK(BX31)),VLOOKUP(MAX(BT31:BU31),#REF!,2),IF(OR(DE31="B", DE31="G"),MAX(BW31:BX31),""))</f>
        <v/>
      </c>
      <c r="FC31" s="770" t="str">
        <f t="shared" si="62"/>
        <v/>
      </c>
      <c r="FD31" s="763">
        <f t="shared" si="63"/>
        <v>0</v>
      </c>
      <c r="FE31" s="763">
        <f t="shared" si="64"/>
        <v>0</v>
      </c>
      <c r="FF31" s="762">
        <f t="shared" si="65"/>
        <v>0</v>
      </c>
      <c r="FG31" s="762" t="str">
        <f t="shared" si="66"/>
        <v/>
      </c>
      <c r="FH31" s="763" t="str">
        <f t="shared" si="67"/>
        <v/>
      </c>
      <c r="FI31" s="763">
        <f t="shared" si="68"/>
        <v>0</v>
      </c>
      <c r="FJ31" s="763">
        <f t="shared" si="69"/>
        <v>0</v>
      </c>
      <c r="FK31" s="762">
        <f t="shared" si="70"/>
        <v>0</v>
      </c>
      <c r="FL31" s="762" t="str">
        <f t="shared" si="71"/>
        <v/>
      </c>
      <c r="FM31" s="763" t="str">
        <f t="shared" si="72"/>
        <v/>
      </c>
      <c r="FN31" s="763" t="e">
        <f t="shared" si="73"/>
        <v>#VALUE!</v>
      </c>
      <c r="FO31" s="872" t="e">
        <f t="shared" si="74"/>
        <v>#VALUE!</v>
      </c>
      <c r="FP31" s="872" t="e">
        <f t="shared" si="75"/>
        <v>#VALUE!</v>
      </c>
      <c r="FQ31" s="771" t="e">
        <f t="shared" si="76"/>
        <v>#VALUE!</v>
      </c>
      <c r="FR31" s="772" t="e">
        <f t="shared" si="77"/>
        <v>#VALUE!</v>
      </c>
      <c r="FS31" s="773" t="str">
        <f t="shared" si="78"/>
        <v/>
      </c>
      <c r="FT31" s="774" t="str">
        <f t="shared" si="79"/>
        <v/>
      </c>
      <c r="FU31" s="809">
        <f t="shared" si="80"/>
        <v>0</v>
      </c>
      <c r="FV31" s="810">
        <f t="shared" si="81"/>
        <v>0</v>
      </c>
      <c r="GA31" s="542" t="str">
        <f t="shared" si="82"/>
        <v/>
      </c>
      <c r="GB31" s="562" t="str">
        <f t="shared" si="83"/>
        <v/>
      </c>
      <c r="GC31" s="564" t="str">
        <f t="shared" si="84"/>
        <v/>
      </c>
      <c r="GD31" s="565" t="str">
        <f t="shared" si="85"/>
        <v/>
      </c>
      <c r="GE31" s="563" t="str">
        <f t="shared" si="86"/>
        <v/>
      </c>
      <c r="GF31" s="543" t="str">
        <f t="shared" si="87"/>
        <v/>
      </c>
      <c r="GG31" s="1052"/>
      <c r="GH31" s="1053"/>
      <c r="GI31" s="1052"/>
      <c r="GJ31" s="1053"/>
      <c r="GK31" s="1519">
        <f t="shared" si="88"/>
        <v>0</v>
      </c>
      <c r="GL31" s="1519" t="e">
        <f t="shared" si="89"/>
        <v>#VALUE!</v>
      </c>
      <c r="GM31" s="1520" t="e">
        <f>IF(ABS(GK31-GL31)&gt;=#REF!,ABS(GK31-GL31),0)</f>
        <v>#VALUE!</v>
      </c>
      <c r="GZ31" s="346"/>
      <c r="HA31" s="1266"/>
      <c r="HB31" s="1267"/>
      <c r="HC31" s="1267"/>
      <c r="HD31" s="1268"/>
      <c r="HE31" s="1269"/>
      <c r="HF31" s="1267"/>
      <c r="HG31" s="1267"/>
      <c r="HH31" s="1267"/>
      <c r="HI31" s="1270"/>
      <c r="HJ31" s="1267"/>
      <c r="HK31" s="1267"/>
      <c r="HL31" s="1267"/>
      <c r="HM31" s="1267"/>
      <c r="HN31" s="1267"/>
      <c r="HO31" s="1267"/>
      <c r="HP31" s="1267"/>
      <c r="HQ31" s="1270"/>
      <c r="HR31" s="1267"/>
      <c r="HS31" s="1267"/>
      <c r="HT31" s="1267"/>
      <c r="HU31" s="1267"/>
      <c r="HV31" s="1267"/>
      <c r="HW31" s="1269"/>
      <c r="HX31" s="1269"/>
      <c r="HY31" s="1269"/>
      <c r="HZ31" s="1269"/>
      <c r="IA31" s="1269"/>
      <c r="IB31" s="1269"/>
      <c r="IC31" s="1269"/>
      <c r="ID31" s="1269"/>
      <c r="IE31" s="1269"/>
      <c r="IF31" s="1271"/>
    </row>
    <row r="32" spans="1:244" ht="12.6" customHeight="1" x14ac:dyDescent="0.25">
      <c r="A32" s="1132" t="str">
        <f t="shared" si="1"/>
        <v/>
      </c>
      <c r="B32" s="1586" t="str">
        <f t="shared" si="2"/>
        <v/>
      </c>
      <c r="C32" s="1133" t="str">
        <f t="shared" si="3"/>
        <v/>
      </c>
      <c r="D32" s="1134" t="str">
        <f t="shared" si="95"/>
        <v/>
      </c>
      <c r="E32" s="1644" t="str">
        <f t="shared" si="96"/>
        <v/>
      </c>
      <c r="F32" s="1137" t="str">
        <f t="shared" si="97"/>
        <v/>
      </c>
      <c r="G32" s="1138" t="str">
        <f t="shared" si="98"/>
        <v/>
      </c>
      <c r="H32" s="1645" t="str">
        <f t="shared" si="99"/>
        <v/>
      </c>
      <c r="I32" s="1134" t="str">
        <f t="shared" si="100"/>
        <v/>
      </c>
      <c r="J32" s="1138" t="str">
        <f t="shared" si="101"/>
        <v/>
      </c>
      <c r="K32" s="1646" t="str">
        <f t="shared" si="102"/>
        <v/>
      </c>
      <c r="L32" s="1141" t="str">
        <f t="shared" si="103"/>
        <v/>
      </c>
      <c r="M32" s="1142" t="str">
        <f t="shared" si="104"/>
        <v/>
      </c>
      <c r="N32" s="1137" t="str">
        <f t="shared" si="105"/>
        <v/>
      </c>
      <c r="O32" s="1138" t="str">
        <f t="shared" si="106"/>
        <v/>
      </c>
      <c r="P32" s="1139" t="str">
        <f t="shared" si="107"/>
        <v/>
      </c>
      <c r="Q32" s="1134" t="str">
        <f t="shared" si="108"/>
        <v/>
      </c>
      <c r="R32" s="1138" t="str">
        <f t="shared" si="109"/>
        <v/>
      </c>
      <c r="S32" s="1625" t="str">
        <f t="shared" si="110"/>
        <v/>
      </c>
      <c r="T32" s="1137" t="str">
        <f t="shared" si="111"/>
        <v/>
      </c>
      <c r="U32" s="1138" t="str">
        <f t="shared" si="112"/>
        <v/>
      </c>
      <c r="V32" s="1134" t="str">
        <f t="shared" si="113"/>
        <v/>
      </c>
      <c r="W32" s="1138" t="str">
        <f t="shared" si="114"/>
        <v/>
      </c>
      <c r="X32" s="1622">
        <f t="shared" si="115"/>
        <v>0</v>
      </c>
      <c r="Y32" s="1647" t="str">
        <f t="shared" si="116"/>
        <v/>
      </c>
      <c r="Z32" s="1648" t="str">
        <f t="shared" si="117"/>
        <v/>
      </c>
      <c r="AA32" s="1649" t="str">
        <f t="shared" si="5"/>
        <v/>
      </c>
      <c r="AB32" s="1288"/>
      <c r="AC32" s="898" t="b">
        <v>0</v>
      </c>
      <c r="AD32" s="374">
        <f t="shared" si="6"/>
        <v>0</v>
      </c>
      <c r="AE32" s="375">
        <f t="shared" si="7"/>
        <v>0</v>
      </c>
      <c r="AF32" s="375">
        <f t="shared" si="8"/>
        <v>0</v>
      </c>
      <c r="AG32" s="375">
        <f t="shared" si="9"/>
        <v>0</v>
      </c>
      <c r="AH32" s="376">
        <f t="shared" si="10"/>
        <v>0</v>
      </c>
      <c r="AI32" s="377" t="b">
        <v>0</v>
      </c>
      <c r="AJ32" s="143">
        <f t="shared" si="128"/>
        <v>0</v>
      </c>
      <c r="AK32" s="143" t="str">
        <f t="shared" si="11"/>
        <v/>
      </c>
      <c r="AL32" s="1207" t="str">
        <f t="shared" si="12"/>
        <v/>
      </c>
      <c r="AM32" s="143" t="str">
        <f t="shared" si="13"/>
        <v/>
      </c>
      <c r="AN32" s="143" t="str">
        <f t="shared" si="14"/>
        <v/>
      </c>
      <c r="AO32" s="143" t="str">
        <f t="shared" si="15"/>
        <v/>
      </c>
      <c r="AP32" s="771" t="b">
        <f>IF(ISERROR(AJ32),FALSE,IF(OR(AJ32=0,ISERROR(AL32),ISERROR(AM32),ISERROR(AN32),ISERROR(AO32)),FALSE,IF(AL32&lt;&gt;"",IF(ISERROR(VLOOKUP(SUBSTITUTE(SUBSTITUTE(C32,"R",""),"A",""),#REF!,1,FALSE)),FALSE,TRUE),TRUE)))</f>
        <v>0</v>
      </c>
      <c r="AQ32" s="945" t="e">
        <f t="shared" si="16"/>
        <v>#N/A</v>
      </c>
      <c r="AR32" s="877" t="b">
        <f t="shared" si="92"/>
        <v>0</v>
      </c>
      <c r="AS32" s="945" t="e">
        <f t="shared" si="17"/>
        <v>#N/A</v>
      </c>
      <c r="AT32" s="877" t="b">
        <f t="shared" si="93"/>
        <v>0</v>
      </c>
      <c r="AU32" s="1208" t="str">
        <f t="shared" si="18"/>
        <v/>
      </c>
      <c r="AV32" s="771" t="str">
        <f t="shared" si="19"/>
        <v/>
      </c>
      <c r="AW32" s="771" t="str">
        <f t="shared" si="90"/>
        <v/>
      </c>
      <c r="AX32" s="771" t="str">
        <f t="shared" si="94"/>
        <v/>
      </c>
      <c r="AY32" s="399" t="e">
        <f t="shared" si="20"/>
        <v>#REF!</v>
      </c>
      <c r="AZ32" s="795" t="str">
        <f t="shared" si="91"/>
        <v/>
      </c>
      <c r="BA32" s="496"/>
      <c r="BB32" s="616"/>
      <c r="BC32" s="1567"/>
      <c r="BD32" s="682"/>
      <c r="BE32" s="683"/>
      <c r="BF32" s="684"/>
      <c r="BG32" s="660"/>
      <c r="BH32" s="901"/>
      <c r="BI32" s="902"/>
      <c r="BJ32" s="1508"/>
      <c r="BK32" s="901"/>
      <c r="BL32" s="902"/>
      <c r="BM32" s="1448"/>
      <c r="BN32" s="1449"/>
      <c r="BO32" s="1497" t="str">
        <f>IF(ISERROR(CU32),"",IF(CU32="","",IF(VLOOKUP(BG32,#REF!,10,FALSE)="","","X")))</f>
        <v/>
      </c>
      <c r="BP32" s="1440"/>
      <c r="BQ32" s="1441" t="str">
        <f t="shared" si="21"/>
        <v/>
      </c>
      <c r="BR32" s="1442"/>
      <c r="BS32" s="660"/>
      <c r="BT32" s="901"/>
      <c r="BU32" s="902"/>
      <c r="BV32" s="1508"/>
      <c r="BW32" s="901"/>
      <c r="BX32" s="902"/>
      <c r="BY32" s="1448"/>
      <c r="BZ32" s="1449"/>
      <c r="CA32" s="1497" t="str">
        <f>IF(ISERROR(DE32),"",IF(DE32="","",IF(VLOOKUP(BS32,#REF!,10,FALSE)="","","X")))</f>
        <v/>
      </c>
      <c r="CB32" s="1440"/>
      <c r="CC32" s="1441" t="str">
        <f t="shared" si="22"/>
        <v/>
      </c>
      <c r="CD32" s="1442"/>
      <c r="CE32" s="1453"/>
      <c r="CF32" s="685"/>
      <c r="CG32" s="686"/>
      <c r="CH32" s="586" t="str">
        <f t="shared" si="23"/>
        <v/>
      </c>
      <c r="CI32" s="587" t="str">
        <f t="shared" si="24"/>
        <v/>
      </c>
      <c r="CJ32" s="588" t="str">
        <f t="shared" si="25"/>
        <v/>
      </c>
      <c r="CK32" s="793" t="str">
        <f t="shared" si="26"/>
        <v/>
      </c>
      <c r="CL32" s="788" t="str">
        <f t="shared" si="27"/>
        <v/>
      </c>
      <c r="CM32" s="789" t="str">
        <f t="shared" si="28"/>
        <v/>
      </c>
      <c r="CN32" s="554" t="str">
        <f t="shared" si="29"/>
        <v/>
      </c>
      <c r="CO32" s="555" t="str">
        <f t="shared" si="30"/>
        <v/>
      </c>
      <c r="CP32" s="558" t="str">
        <f t="shared" si="31"/>
        <v/>
      </c>
      <c r="CQ32" s="559" t="str">
        <f t="shared" si="32"/>
        <v/>
      </c>
      <c r="CR32" s="699" t="str">
        <f t="shared" si="33"/>
        <v/>
      </c>
      <c r="CS32" s="700" t="str">
        <f t="shared" si="34"/>
        <v/>
      </c>
      <c r="CU32" s="37" t="str">
        <f>IF(BG32="","",VLOOKUP(BG32,#REF!,12,FALSE))</f>
        <v/>
      </c>
      <c r="CV32" s="38" t="str">
        <f>IF(BG32="","",IF(ISBLANK(BP32),VLOOKUP(BG32,#REF!,13,FALSE),BP32))</f>
        <v/>
      </c>
      <c r="CW32" s="38" t="str">
        <f>IF(BG32="","",IF(VLOOKUP(BG32,#REF!,5,FALSE)="","R",UPPER(VLOOKUP(BG32,#REF!,5,FALSE))))</f>
        <v/>
      </c>
      <c r="CX32" s="756" t="str">
        <f>IF(BG32="","",IF(ISBLANK(BR32),VLOOKUP(BG32,#REF!,6,FALSE),BR32))</f>
        <v/>
      </c>
      <c r="CY32" s="1203" t="str">
        <f>IF(BG32="","",IF(VLOOKUP(BG32,#REF!,10,FALSE)="","",(IF(BO32="X",VLOOKUP(BG32,#REF!,10,FALSE),VALUE(BO32))*-1)))</f>
        <v/>
      </c>
      <c r="CZ32" s="1042" t="str">
        <f>IF(BG32="","",IF(VLOOKUP(BG32,#REF!,11,FALSE)="","2",(VLOOKUP(BG32,#REF!,11,FALSE))))</f>
        <v/>
      </c>
      <c r="DA32" s="38" t="str">
        <f>IF(BG32="","",IF(VLOOKUP(BG32,#REF!,7,FALSE)="","",(VLOOKUP(BG32,#REF!,7,FALSE)*-1)))</f>
        <v/>
      </c>
      <c r="DB32" s="756" t="str">
        <f>IF(BG32="","",IF(VLOOKUP(BG32,#REF!,8,FALSE)="",VLOOKUP(AU32,$DF$2:$DN$9,6,FALSE),(VLOOKUP(BG32,#REF!,8,FALSE))))</f>
        <v/>
      </c>
      <c r="DC32" s="756" t="str">
        <f>IF(BG32="","",VLOOKUP(BG32,#REF!,9,FALSE))</f>
        <v/>
      </c>
      <c r="DD32" s="757">
        <f t="shared" si="35"/>
        <v>0</v>
      </c>
      <c r="DE32" s="758" t="str">
        <f>IF(BS32="","",VLOOKUP(BS32,#REF!,12,FALSE))</f>
        <v/>
      </c>
      <c r="DF32" s="756" t="str">
        <f>IF(BS32="","",IF(ISBLANK(CB32),VLOOKUP(BS32,#REF!,13,FALSE),CB32))</f>
        <v/>
      </c>
      <c r="DG32" s="756" t="str">
        <f>IF(BS32="","",IF(VLOOKUP(BS32,#REF!,5,FALSE)="","R",UPPER(VLOOKUP(BS32,#REF!,5,FALSE))))</f>
        <v/>
      </c>
      <c r="DH32" s="756" t="str">
        <f>IF(BS32="","",IF(ISBLANK(CD32),VLOOKUP(BS32,#REF!,6,FALSE),CD32))</f>
        <v/>
      </c>
      <c r="DI32" s="1203" t="str">
        <f>IF(BS32="","",IF(VLOOKUP(BS32,#REF!,10,FALSE)="","",(IF(CA32="X",VLOOKUP(BS32,#REF!,10,FALSE),VALUE(CA32))*-1)))</f>
        <v/>
      </c>
      <c r="DJ32" s="1042" t="str">
        <f>IF(BS32="","",IF(VLOOKUP(BS32,#REF!,11,FALSE)="","2",(VLOOKUP(BS32,#REF!,11,FALSE))))</f>
        <v/>
      </c>
      <c r="DK32" s="756" t="str">
        <f>IF(BS32="","",IF(VLOOKUP(BS32,#REF!,7,FALSE)="","",(VLOOKUP(BS32,#REF!,7,FALSE)*-1)))</f>
        <v/>
      </c>
      <c r="DL32" s="756" t="str">
        <f>IF(BS32="","",IF(VLOOKUP(BS32,#REF!,8,FALSE)="",VLOOKUP(AU32,$DF$2:$DN$9,6,FALSE),(VLOOKUP(BS32,#REF!,8,FALSE))))</f>
        <v/>
      </c>
      <c r="DM32" s="756" t="str">
        <f>IF(BS32="","",VLOOKUP(BS32,#REF!,9,FALSE))</f>
        <v/>
      </c>
      <c r="DN32" s="757">
        <f t="shared" si="36"/>
        <v>0</v>
      </c>
      <c r="DO32" s="759">
        <f t="shared" si="37"/>
        <v>0</v>
      </c>
      <c r="DP32" s="763" t="str">
        <f t="shared" si="38"/>
        <v/>
      </c>
      <c r="DQ32" s="763" t="str">
        <f t="shared" si="39"/>
        <v/>
      </c>
      <c r="DR32" s="763" t="str">
        <f t="shared" si="40"/>
        <v/>
      </c>
      <c r="DS32" s="762">
        <f t="shared" si="41"/>
        <v>0</v>
      </c>
      <c r="DT32" s="762" t="e">
        <f t="shared" si="42"/>
        <v>#REF!</v>
      </c>
      <c r="DU32" s="762" t="str">
        <f t="shared" si="43"/>
        <v/>
      </c>
      <c r="DV32" s="763" t="str">
        <f t="shared" si="44"/>
        <v/>
      </c>
      <c r="DW32" s="795" t="str">
        <f t="shared" si="45"/>
        <v/>
      </c>
      <c r="DX32" s="926">
        <f t="shared" si="118"/>
        <v>0</v>
      </c>
      <c r="DY32" s="763">
        <f t="shared" si="46"/>
        <v>0</v>
      </c>
      <c r="DZ32" s="762" t="e">
        <f t="shared" si="47"/>
        <v>#REF!</v>
      </c>
      <c r="EA32" s="762" t="str">
        <f t="shared" si="48"/>
        <v/>
      </c>
      <c r="EB32" s="763" t="str">
        <f t="shared" si="119"/>
        <v/>
      </c>
      <c r="EC32" s="795" t="str">
        <f t="shared" si="49"/>
        <v/>
      </c>
      <c r="ED32" s="926">
        <f t="shared" si="120"/>
        <v>0</v>
      </c>
      <c r="EE32" s="1210" t="str">
        <f t="shared" si="50"/>
        <v/>
      </c>
      <c r="EF32" s="763" t="str">
        <f t="shared" si="121"/>
        <v/>
      </c>
      <c r="EG32" s="763" t="str">
        <f t="shared" si="122"/>
        <v/>
      </c>
      <c r="EH32" s="795" t="e">
        <f t="shared" si="51"/>
        <v>#N/A</v>
      </c>
      <c r="EI32" s="795" t="e">
        <f t="shared" si="52"/>
        <v>#N/A</v>
      </c>
      <c r="EJ32" s="763" t="str">
        <f t="shared" si="123"/>
        <v/>
      </c>
      <c r="EK32" s="763" t="str">
        <f t="shared" si="124"/>
        <v/>
      </c>
      <c r="EL32" s="1210" t="str">
        <f t="shared" si="54"/>
        <v/>
      </c>
      <c r="EM32" s="763" t="str">
        <f t="shared" si="125"/>
        <v/>
      </c>
      <c r="EN32" s="763" t="str">
        <f t="shared" si="126"/>
        <v/>
      </c>
      <c r="EO32" s="795" t="e">
        <f t="shared" si="55"/>
        <v>#N/A</v>
      </c>
      <c r="EP32" s="795" t="e">
        <f t="shared" si="56"/>
        <v>#N/A</v>
      </c>
      <c r="EQ32" s="763" t="str">
        <f t="shared" si="57"/>
        <v/>
      </c>
      <c r="ER32" s="763" t="str">
        <f t="shared" si="57"/>
        <v/>
      </c>
      <c r="ES32" s="763" t="str">
        <f t="shared" si="58"/>
        <v/>
      </c>
      <c r="ET32" s="763" t="str">
        <f t="shared" si="59"/>
        <v/>
      </c>
      <c r="EU32" s="770" t="str">
        <f t="shared" si="60"/>
        <v/>
      </c>
      <c r="EV32" s="765" t="str">
        <f t="shared" si="127"/>
        <v/>
      </c>
      <c r="EW32" s="770"/>
      <c r="EX32" s="770" t="str">
        <f>IF(AND(CU32="G", ISBLANK(BK32), ISBLANK(BL32)),VLOOKUP(MIN(BH32:BI32),#REF!,2),IF(OR(CU32="B",CU32="G"),MIN(BK32:BL32),""))</f>
        <v/>
      </c>
      <c r="EY32" s="770" t="str">
        <f>IF(AND(CU32="G", ISBLANK(BK32), ISBLANK(BL32)),VLOOKUP(MAX(BH32:BI32),#REF!,2),IF(OR(CU32="B",CU32="G"),MAX(BK32:BL32),""))</f>
        <v/>
      </c>
      <c r="EZ32" s="770" t="str">
        <f t="shared" si="61"/>
        <v/>
      </c>
      <c r="FA32" s="770" t="str">
        <f>IF(AND(DE32="G", ISBLANK(BW32), ISBLANK(BX32)),VLOOKUP(MIN(BT32:BU32),#REF!,2),IF(OR(DE32="B", DE32="G"),MIN(BW32:BX32),""))</f>
        <v/>
      </c>
      <c r="FB32" s="770" t="str">
        <f>IF(AND(DE32="G", ISBLANK(BW32), ISBLANK(BX32)),VLOOKUP(MAX(BT32:BU32),#REF!,2),IF(OR(DE32="B", DE32="G"),MAX(BW32:BX32),""))</f>
        <v/>
      </c>
      <c r="FC32" s="770" t="str">
        <f t="shared" si="62"/>
        <v/>
      </c>
      <c r="FD32" s="763">
        <f t="shared" si="63"/>
        <v>0</v>
      </c>
      <c r="FE32" s="763">
        <f t="shared" si="64"/>
        <v>0</v>
      </c>
      <c r="FF32" s="762">
        <f t="shared" si="65"/>
        <v>0</v>
      </c>
      <c r="FG32" s="762" t="str">
        <f t="shared" si="66"/>
        <v/>
      </c>
      <c r="FH32" s="763" t="str">
        <f t="shared" si="67"/>
        <v/>
      </c>
      <c r="FI32" s="763">
        <f t="shared" si="68"/>
        <v>0</v>
      </c>
      <c r="FJ32" s="763">
        <f t="shared" si="69"/>
        <v>0</v>
      </c>
      <c r="FK32" s="762">
        <f t="shared" si="70"/>
        <v>0</v>
      </c>
      <c r="FL32" s="762" t="str">
        <f t="shared" si="71"/>
        <v/>
      </c>
      <c r="FM32" s="763" t="str">
        <f t="shared" si="72"/>
        <v/>
      </c>
      <c r="FN32" s="763" t="e">
        <f t="shared" si="73"/>
        <v>#VALUE!</v>
      </c>
      <c r="FO32" s="872" t="e">
        <f t="shared" si="74"/>
        <v>#VALUE!</v>
      </c>
      <c r="FP32" s="872" t="e">
        <f t="shared" si="75"/>
        <v>#VALUE!</v>
      </c>
      <c r="FQ32" s="771" t="e">
        <f t="shared" si="76"/>
        <v>#VALUE!</v>
      </c>
      <c r="FR32" s="772" t="e">
        <f t="shared" si="77"/>
        <v>#VALUE!</v>
      </c>
      <c r="FS32" s="773" t="str">
        <f t="shared" si="78"/>
        <v/>
      </c>
      <c r="FT32" s="774" t="str">
        <f t="shared" si="79"/>
        <v/>
      </c>
      <c r="FU32" s="809">
        <f t="shared" si="80"/>
        <v>0</v>
      </c>
      <c r="FV32" s="810">
        <f t="shared" si="81"/>
        <v>0</v>
      </c>
      <c r="GA32" s="542" t="str">
        <f t="shared" si="82"/>
        <v/>
      </c>
      <c r="GB32" s="562" t="str">
        <f t="shared" si="83"/>
        <v/>
      </c>
      <c r="GC32" s="564" t="str">
        <f t="shared" si="84"/>
        <v/>
      </c>
      <c r="GD32" s="565" t="str">
        <f t="shared" si="85"/>
        <v/>
      </c>
      <c r="GE32" s="563" t="str">
        <f t="shared" si="86"/>
        <v/>
      </c>
      <c r="GF32" s="543" t="str">
        <f t="shared" si="87"/>
        <v/>
      </c>
      <c r="GG32" s="1052"/>
      <c r="GH32" s="1053"/>
      <c r="GI32" s="1052"/>
      <c r="GJ32" s="1053"/>
      <c r="GK32" s="1519">
        <f t="shared" si="88"/>
        <v>0</v>
      </c>
      <c r="GL32" s="1519" t="e">
        <f t="shared" si="89"/>
        <v>#VALUE!</v>
      </c>
      <c r="GM32" s="1520" t="e">
        <f>IF(ABS(GK32-GL32)&gt;=#REF!,ABS(GK32-GL32),0)</f>
        <v>#VALUE!</v>
      </c>
      <c r="GZ32" s="346"/>
      <c r="HA32" s="1266"/>
      <c r="HB32" s="1267"/>
      <c r="HC32" s="1267"/>
      <c r="HD32" s="1268"/>
      <c r="HE32" s="1269"/>
      <c r="HF32" s="1267"/>
      <c r="HG32" s="1267"/>
      <c r="HH32" s="1267"/>
      <c r="HI32" s="1270"/>
      <c r="HJ32" s="1267"/>
      <c r="HK32" s="1267"/>
      <c r="HL32" s="1267"/>
      <c r="HM32" s="1267"/>
      <c r="HN32" s="1267"/>
      <c r="HO32" s="1267"/>
      <c r="HP32" s="1267"/>
      <c r="HQ32" s="1270"/>
      <c r="HR32" s="1267"/>
      <c r="HS32" s="1267"/>
      <c r="HT32" s="1267"/>
      <c r="HU32" s="1267"/>
      <c r="HV32" s="1267"/>
      <c r="HW32" s="1269"/>
      <c r="HX32" s="1269"/>
      <c r="HY32" s="1269"/>
      <c r="HZ32" s="1269"/>
      <c r="IA32" s="1269"/>
      <c r="IB32" s="1269"/>
      <c r="IC32" s="1269"/>
      <c r="ID32" s="1269"/>
      <c r="IE32" s="1269"/>
      <c r="IF32" s="1271"/>
    </row>
    <row r="33" spans="1:240" ht="12.6" customHeight="1" x14ac:dyDescent="0.25">
      <c r="A33" s="1132" t="str">
        <f t="shared" si="1"/>
        <v/>
      </c>
      <c r="B33" s="1586" t="str">
        <f t="shared" si="2"/>
        <v/>
      </c>
      <c r="C33" s="1133" t="str">
        <f t="shared" si="3"/>
        <v/>
      </c>
      <c r="D33" s="1134" t="str">
        <f t="shared" si="95"/>
        <v/>
      </c>
      <c r="E33" s="1644" t="str">
        <f t="shared" si="96"/>
        <v/>
      </c>
      <c r="F33" s="1137" t="str">
        <f t="shared" si="97"/>
        <v/>
      </c>
      <c r="G33" s="1138" t="str">
        <f t="shared" si="98"/>
        <v/>
      </c>
      <c r="H33" s="1645" t="str">
        <f t="shared" si="99"/>
        <v/>
      </c>
      <c r="I33" s="1134" t="str">
        <f t="shared" si="100"/>
        <v/>
      </c>
      <c r="J33" s="1138" t="str">
        <f t="shared" si="101"/>
        <v/>
      </c>
      <c r="K33" s="1646" t="str">
        <f t="shared" si="102"/>
        <v/>
      </c>
      <c r="L33" s="1141" t="str">
        <f t="shared" si="103"/>
        <v/>
      </c>
      <c r="M33" s="1142" t="str">
        <f t="shared" si="104"/>
        <v/>
      </c>
      <c r="N33" s="1137" t="str">
        <f t="shared" si="105"/>
        <v/>
      </c>
      <c r="O33" s="1138" t="str">
        <f t="shared" si="106"/>
        <v/>
      </c>
      <c r="P33" s="1139" t="str">
        <f t="shared" si="107"/>
        <v/>
      </c>
      <c r="Q33" s="1134" t="str">
        <f t="shared" si="108"/>
        <v/>
      </c>
      <c r="R33" s="1138" t="str">
        <f t="shared" si="109"/>
        <v/>
      </c>
      <c r="S33" s="1625" t="str">
        <f t="shared" si="110"/>
        <v/>
      </c>
      <c r="T33" s="1137" t="str">
        <f t="shared" si="111"/>
        <v/>
      </c>
      <c r="U33" s="1138" t="str">
        <f t="shared" si="112"/>
        <v/>
      </c>
      <c r="V33" s="1134" t="str">
        <f t="shared" si="113"/>
        <v/>
      </c>
      <c r="W33" s="1138" t="str">
        <f t="shared" si="114"/>
        <v/>
      </c>
      <c r="X33" s="1622">
        <f t="shared" si="115"/>
        <v>0</v>
      </c>
      <c r="Y33" s="1647" t="str">
        <f t="shared" si="116"/>
        <v/>
      </c>
      <c r="Z33" s="1648" t="str">
        <f t="shared" si="117"/>
        <v/>
      </c>
      <c r="AA33" s="1649" t="str">
        <f t="shared" si="5"/>
        <v/>
      </c>
      <c r="AB33" s="1288"/>
      <c r="AC33" s="898" t="b">
        <v>0</v>
      </c>
      <c r="AD33" s="374">
        <f t="shared" si="6"/>
        <v>0</v>
      </c>
      <c r="AE33" s="375">
        <f t="shared" si="7"/>
        <v>0</v>
      </c>
      <c r="AF33" s="375">
        <f t="shared" si="8"/>
        <v>0</v>
      </c>
      <c r="AG33" s="375">
        <f t="shared" si="9"/>
        <v>0</v>
      </c>
      <c r="AH33" s="376">
        <f t="shared" si="10"/>
        <v>0</v>
      </c>
      <c r="AI33" s="377" t="b">
        <v>0</v>
      </c>
      <c r="AJ33" s="143">
        <f t="shared" si="128"/>
        <v>0</v>
      </c>
      <c r="AK33" s="143" t="str">
        <f t="shared" si="11"/>
        <v/>
      </c>
      <c r="AL33" s="1207" t="str">
        <f t="shared" si="12"/>
        <v/>
      </c>
      <c r="AM33" s="143" t="str">
        <f t="shared" si="13"/>
        <v/>
      </c>
      <c r="AN33" s="143" t="str">
        <f t="shared" si="14"/>
        <v/>
      </c>
      <c r="AO33" s="143" t="str">
        <f t="shared" si="15"/>
        <v/>
      </c>
      <c r="AP33" s="771" t="b">
        <f>IF(ISERROR(AJ33),FALSE,IF(OR(AJ33=0,ISERROR(AL33),ISERROR(AM33),ISERROR(AN33),ISERROR(AO33)),FALSE,IF(AL33&lt;&gt;"",IF(ISERROR(VLOOKUP(SUBSTITUTE(SUBSTITUTE(C33,"R",""),"A",""),#REF!,1,FALSE)),FALSE,TRUE),TRUE)))</f>
        <v>0</v>
      </c>
      <c r="AQ33" s="945" t="e">
        <f t="shared" si="16"/>
        <v>#N/A</v>
      </c>
      <c r="AR33" s="877" t="b">
        <f t="shared" si="92"/>
        <v>0</v>
      </c>
      <c r="AS33" s="945" t="e">
        <f t="shared" si="17"/>
        <v>#N/A</v>
      </c>
      <c r="AT33" s="877" t="b">
        <f t="shared" si="93"/>
        <v>0</v>
      </c>
      <c r="AU33" s="1208" t="str">
        <f t="shared" si="18"/>
        <v/>
      </c>
      <c r="AV33" s="771" t="str">
        <f t="shared" si="19"/>
        <v/>
      </c>
      <c r="AW33" s="771" t="str">
        <f t="shared" si="90"/>
        <v/>
      </c>
      <c r="AX33" s="771" t="str">
        <f t="shared" si="94"/>
        <v/>
      </c>
      <c r="AY33" s="399" t="e">
        <f t="shared" si="20"/>
        <v>#REF!</v>
      </c>
      <c r="AZ33" s="795" t="str">
        <f t="shared" si="91"/>
        <v/>
      </c>
      <c r="BA33" s="496"/>
      <c r="BB33" s="616"/>
      <c r="BC33" s="1567"/>
      <c r="BD33" s="682"/>
      <c r="BE33" s="683"/>
      <c r="BF33" s="684"/>
      <c r="BG33" s="660"/>
      <c r="BH33" s="901"/>
      <c r="BI33" s="902"/>
      <c r="BJ33" s="1508"/>
      <c r="BK33" s="901"/>
      <c r="BL33" s="902"/>
      <c r="BM33" s="1448"/>
      <c r="BN33" s="1449"/>
      <c r="BO33" s="1497" t="str">
        <f>IF(ISERROR(CU33),"",IF(CU33="","",IF(VLOOKUP(BG33,#REF!,10,FALSE)="","","X")))</f>
        <v/>
      </c>
      <c r="BP33" s="1440"/>
      <c r="BQ33" s="1441" t="str">
        <f t="shared" si="21"/>
        <v/>
      </c>
      <c r="BR33" s="1442"/>
      <c r="BS33" s="660"/>
      <c r="BT33" s="901"/>
      <c r="BU33" s="902"/>
      <c r="BV33" s="1508"/>
      <c r="BW33" s="901"/>
      <c r="BX33" s="902"/>
      <c r="BY33" s="1448"/>
      <c r="BZ33" s="1449"/>
      <c r="CA33" s="1497" t="str">
        <f>IF(ISERROR(DE33),"",IF(DE33="","",IF(VLOOKUP(BS33,#REF!,10,FALSE)="","","X")))</f>
        <v/>
      </c>
      <c r="CB33" s="1440"/>
      <c r="CC33" s="1441" t="str">
        <f t="shared" si="22"/>
        <v/>
      </c>
      <c r="CD33" s="1442"/>
      <c r="CE33" s="1453"/>
      <c r="CF33" s="685"/>
      <c r="CG33" s="686"/>
      <c r="CH33" s="586" t="str">
        <f t="shared" si="23"/>
        <v/>
      </c>
      <c r="CI33" s="587" t="str">
        <f t="shared" si="24"/>
        <v/>
      </c>
      <c r="CJ33" s="588" t="str">
        <f t="shared" si="25"/>
        <v/>
      </c>
      <c r="CK33" s="793" t="str">
        <f t="shared" si="26"/>
        <v/>
      </c>
      <c r="CL33" s="788" t="str">
        <f t="shared" si="27"/>
        <v/>
      </c>
      <c r="CM33" s="789" t="str">
        <f t="shared" si="28"/>
        <v/>
      </c>
      <c r="CN33" s="554" t="str">
        <f t="shared" si="29"/>
        <v/>
      </c>
      <c r="CO33" s="555" t="str">
        <f t="shared" si="30"/>
        <v/>
      </c>
      <c r="CP33" s="558" t="str">
        <f t="shared" si="31"/>
        <v/>
      </c>
      <c r="CQ33" s="559" t="str">
        <f t="shared" si="32"/>
        <v/>
      </c>
      <c r="CR33" s="699" t="str">
        <f t="shared" si="33"/>
        <v/>
      </c>
      <c r="CS33" s="700" t="str">
        <f t="shared" si="34"/>
        <v/>
      </c>
      <c r="CU33" s="37" t="str">
        <f>IF(BG33="","",VLOOKUP(BG33,#REF!,12,FALSE))</f>
        <v/>
      </c>
      <c r="CV33" s="38" t="str">
        <f>IF(BG33="","",IF(ISBLANK(BP33),VLOOKUP(BG33,#REF!,13,FALSE),BP33))</f>
        <v/>
      </c>
      <c r="CW33" s="38" t="str">
        <f>IF(BG33="","",IF(VLOOKUP(BG33,#REF!,5,FALSE)="","R",UPPER(VLOOKUP(BG33,#REF!,5,FALSE))))</f>
        <v/>
      </c>
      <c r="CX33" s="756" t="str">
        <f>IF(BG33="","",IF(ISBLANK(BR33),VLOOKUP(BG33,#REF!,6,FALSE),BR33))</f>
        <v/>
      </c>
      <c r="CY33" s="1203" t="str">
        <f>IF(BG33="","",IF(VLOOKUP(BG33,#REF!,10,FALSE)="","",(IF(BO33="X",VLOOKUP(BG33,#REF!,10,FALSE),VALUE(BO33))*-1)))</f>
        <v/>
      </c>
      <c r="CZ33" s="1042" t="str">
        <f>IF(BG33="","",IF(VLOOKUP(BG33,#REF!,11,FALSE)="","2",(VLOOKUP(BG33,#REF!,11,FALSE))))</f>
        <v/>
      </c>
      <c r="DA33" s="38" t="str">
        <f>IF(BG33="","",IF(VLOOKUP(BG33,#REF!,7,FALSE)="","",(VLOOKUP(BG33,#REF!,7,FALSE)*-1)))</f>
        <v/>
      </c>
      <c r="DB33" s="756" t="str">
        <f>IF(BG33="","",IF(VLOOKUP(BG33,#REF!,8,FALSE)="",VLOOKUP(AU33,$DF$2:$DN$9,6,FALSE),(VLOOKUP(BG33,#REF!,8,FALSE))))</f>
        <v/>
      </c>
      <c r="DC33" s="756" t="str">
        <f>IF(BG33="","",VLOOKUP(BG33,#REF!,9,FALSE))</f>
        <v/>
      </c>
      <c r="DD33" s="757">
        <f t="shared" si="35"/>
        <v>0</v>
      </c>
      <c r="DE33" s="758" t="str">
        <f>IF(BS33="","",VLOOKUP(BS33,#REF!,12,FALSE))</f>
        <v/>
      </c>
      <c r="DF33" s="756" t="str">
        <f>IF(BS33="","",IF(ISBLANK(CB33),VLOOKUP(BS33,#REF!,13,FALSE),CB33))</f>
        <v/>
      </c>
      <c r="DG33" s="756" t="str">
        <f>IF(BS33="","",IF(VLOOKUP(BS33,#REF!,5,FALSE)="","R",UPPER(VLOOKUP(BS33,#REF!,5,FALSE))))</f>
        <v/>
      </c>
      <c r="DH33" s="756" t="str">
        <f>IF(BS33="","",IF(ISBLANK(CD33),VLOOKUP(BS33,#REF!,6,FALSE),CD33))</f>
        <v/>
      </c>
      <c r="DI33" s="1203" t="str">
        <f>IF(BS33="","",IF(VLOOKUP(BS33,#REF!,10,FALSE)="","",(IF(CA33="X",VLOOKUP(BS33,#REF!,10,FALSE),VALUE(CA33))*-1)))</f>
        <v/>
      </c>
      <c r="DJ33" s="1042" t="str">
        <f>IF(BS33="","",IF(VLOOKUP(BS33,#REF!,11,FALSE)="","2",(VLOOKUP(BS33,#REF!,11,FALSE))))</f>
        <v/>
      </c>
      <c r="DK33" s="756" t="str">
        <f>IF(BS33="","",IF(VLOOKUP(BS33,#REF!,7,FALSE)="","",(VLOOKUP(BS33,#REF!,7,FALSE)*-1)))</f>
        <v/>
      </c>
      <c r="DL33" s="756" t="str">
        <f>IF(BS33="","",IF(VLOOKUP(BS33,#REF!,8,FALSE)="",VLOOKUP(AU33,$DF$2:$DN$9,6,FALSE),(VLOOKUP(BS33,#REF!,8,FALSE))))</f>
        <v/>
      </c>
      <c r="DM33" s="756" t="str">
        <f>IF(BS33="","",VLOOKUP(BS33,#REF!,9,FALSE))</f>
        <v/>
      </c>
      <c r="DN33" s="757">
        <f t="shared" si="36"/>
        <v>0</v>
      </c>
      <c r="DO33" s="759">
        <f t="shared" si="37"/>
        <v>0</v>
      </c>
      <c r="DP33" s="763" t="str">
        <f t="shared" si="38"/>
        <v/>
      </c>
      <c r="DQ33" s="763" t="str">
        <f t="shared" si="39"/>
        <v/>
      </c>
      <c r="DR33" s="763" t="str">
        <f t="shared" si="40"/>
        <v/>
      </c>
      <c r="DS33" s="762">
        <f t="shared" si="41"/>
        <v>0</v>
      </c>
      <c r="DT33" s="762" t="e">
        <f t="shared" si="42"/>
        <v>#REF!</v>
      </c>
      <c r="DU33" s="762" t="str">
        <f t="shared" si="43"/>
        <v/>
      </c>
      <c r="DV33" s="763" t="str">
        <f t="shared" si="44"/>
        <v/>
      </c>
      <c r="DW33" s="795" t="str">
        <f t="shared" si="45"/>
        <v/>
      </c>
      <c r="DX33" s="926">
        <f t="shared" si="118"/>
        <v>0</v>
      </c>
      <c r="DY33" s="763">
        <f t="shared" si="46"/>
        <v>0</v>
      </c>
      <c r="DZ33" s="762" t="e">
        <f t="shared" si="47"/>
        <v>#REF!</v>
      </c>
      <c r="EA33" s="762" t="str">
        <f t="shared" si="48"/>
        <v/>
      </c>
      <c r="EB33" s="763" t="str">
        <f t="shared" si="119"/>
        <v/>
      </c>
      <c r="EC33" s="795" t="str">
        <f t="shared" si="49"/>
        <v/>
      </c>
      <c r="ED33" s="926">
        <f t="shared" si="120"/>
        <v>0</v>
      </c>
      <c r="EE33" s="1210" t="str">
        <f t="shared" si="50"/>
        <v/>
      </c>
      <c r="EF33" s="763" t="str">
        <f t="shared" si="121"/>
        <v/>
      </c>
      <c r="EG33" s="763" t="str">
        <f t="shared" si="122"/>
        <v/>
      </c>
      <c r="EH33" s="795" t="e">
        <f t="shared" si="51"/>
        <v>#N/A</v>
      </c>
      <c r="EI33" s="795" t="e">
        <f t="shared" si="52"/>
        <v>#N/A</v>
      </c>
      <c r="EJ33" s="763" t="str">
        <f t="shared" si="123"/>
        <v/>
      </c>
      <c r="EK33" s="763" t="str">
        <f t="shared" si="124"/>
        <v/>
      </c>
      <c r="EL33" s="1210" t="str">
        <f t="shared" si="54"/>
        <v/>
      </c>
      <c r="EM33" s="763" t="str">
        <f t="shared" si="125"/>
        <v/>
      </c>
      <c r="EN33" s="763" t="str">
        <f t="shared" si="126"/>
        <v/>
      </c>
      <c r="EO33" s="795" t="e">
        <f t="shared" si="55"/>
        <v>#N/A</v>
      </c>
      <c r="EP33" s="795" t="e">
        <f t="shared" si="56"/>
        <v>#N/A</v>
      </c>
      <c r="EQ33" s="763" t="str">
        <f t="shared" si="57"/>
        <v/>
      </c>
      <c r="ER33" s="763" t="str">
        <f t="shared" si="57"/>
        <v/>
      </c>
      <c r="ES33" s="763" t="str">
        <f t="shared" si="58"/>
        <v/>
      </c>
      <c r="ET33" s="763" t="str">
        <f t="shared" si="59"/>
        <v/>
      </c>
      <c r="EU33" s="770" t="str">
        <f t="shared" si="60"/>
        <v/>
      </c>
      <c r="EV33" s="765" t="str">
        <f t="shared" si="127"/>
        <v/>
      </c>
      <c r="EW33" s="770"/>
      <c r="EX33" s="770" t="str">
        <f>IF(AND(CU33="G", ISBLANK(BK33), ISBLANK(BL33)),VLOOKUP(MIN(BH33:BI33),#REF!,2),IF(OR(CU33="B",CU33="G"),MIN(BK33:BL33),""))</f>
        <v/>
      </c>
      <c r="EY33" s="770" t="str">
        <f>IF(AND(CU33="G", ISBLANK(BK33), ISBLANK(BL33)),VLOOKUP(MAX(BH33:BI33),#REF!,2),IF(OR(CU33="B",CU33="G"),MAX(BK33:BL33),""))</f>
        <v/>
      </c>
      <c r="EZ33" s="770" t="str">
        <f t="shared" si="61"/>
        <v/>
      </c>
      <c r="FA33" s="770" t="str">
        <f>IF(AND(DE33="G", ISBLANK(BW33), ISBLANK(BX33)),VLOOKUP(MIN(BT33:BU33),#REF!,2),IF(OR(DE33="B", DE33="G"),MIN(BW33:BX33),""))</f>
        <v/>
      </c>
      <c r="FB33" s="770" t="str">
        <f>IF(AND(DE33="G", ISBLANK(BW33), ISBLANK(BX33)),VLOOKUP(MAX(BT33:BU33),#REF!,2),IF(OR(DE33="B", DE33="G"),MAX(BW33:BX33),""))</f>
        <v/>
      </c>
      <c r="FC33" s="770" t="str">
        <f t="shared" si="62"/>
        <v/>
      </c>
      <c r="FD33" s="763">
        <f t="shared" si="63"/>
        <v>0</v>
      </c>
      <c r="FE33" s="763">
        <f t="shared" si="64"/>
        <v>0</v>
      </c>
      <c r="FF33" s="762">
        <f t="shared" si="65"/>
        <v>0</v>
      </c>
      <c r="FG33" s="762" t="str">
        <f t="shared" si="66"/>
        <v/>
      </c>
      <c r="FH33" s="763" t="str">
        <f t="shared" si="67"/>
        <v/>
      </c>
      <c r="FI33" s="763">
        <f t="shared" si="68"/>
        <v>0</v>
      </c>
      <c r="FJ33" s="763">
        <f t="shared" si="69"/>
        <v>0</v>
      </c>
      <c r="FK33" s="762">
        <f t="shared" si="70"/>
        <v>0</v>
      </c>
      <c r="FL33" s="762" t="str">
        <f t="shared" si="71"/>
        <v/>
      </c>
      <c r="FM33" s="763" t="str">
        <f t="shared" si="72"/>
        <v/>
      </c>
      <c r="FN33" s="763" t="e">
        <f t="shared" si="73"/>
        <v>#VALUE!</v>
      </c>
      <c r="FO33" s="872" t="e">
        <f t="shared" si="74"/>
        <v>#VALUE!</v>
      </c>
      <c r="FP33" s="872" t="e">
        <f t="shared" si="75"/>
        <v>#VALUE!</v>
      </c>
      <c r="FQ33" s="771" t="e">
        <f t="shared" si="76"/>
        <v>#VALUE!</v>
      </c>
      <c r="FR33" s="772" t="e">
        <f t="shared" si="77"/>
        <v>#VALUE!</v>
      </c>
      <c r="FS33" s="773" t="str">
        <f t="shared" si="78"/>
        <v/>
      </c>
      <c r="FT33" s="774" t="str">
        <f t="shared" si="79"/>
        <v/>
      </c>
      <c r="FU33" s="809">
        <f t="shared" si="80"/>
        <v>0</v>
      </c>
      <c r="FV33" s="810">
        <f t="shared" si="81"/>
        <v>0</v>
      </c>
      <c r="GA33" s="542" t="str">
        <f t="shared" si="82"/>
        <v/>
      </c>
      <c r="GB33" s="562" t="str">
        <f t="shared" si="83"/>
        <v/>
      </c>
      <c r="GC33" s="564" t="str">
        <f t="shared" si="84"/>
        <v/>
      </c>
      <c r="GD33" s="565" t="str">
        <f t="shared" si="85"/>
        <v/>
      </c>
      <c r="GE33" s="563" t="str">
        <f t="shared" si="86"/>
        <v/>
      </c>
      <c r="GF33" s="543" t="str">
        <f t="shared" si="87"/>
        <v/>
      </c>
      <c r="GG33" s="1052"/>
      <c r="GH33" s="1053"/>
      <c r="GI33" s="1052"/>
      <c r="GJ33" s="1053"/>
      <c r="GK33" s="1519">
        <f t="shared" si="88"/>
        <v>0</v>
      </c>
      <c r="GL33" s="1519" t="e">
        <f t="shared" si="89"/>
        <v>#VALUE!</v>
      </c>
      <c r="GM33" s="1520" t="e">
        <f>IF(ABS(GK33-GL33)&gt;=#REF!,ABS(GK33-GL33),0)</f>
        <v>#VALUE!</v>
      </c>
      <c r="GZ33" s="346"/>
      <c r="HA33" s="1266"/>
      <c r="HB33" s="1267"/>
      <c r="HC33" s="1267"/>
      <c r="HD33" s="1268"/>
      <c r="HE33" s="1269"/>
      <c r="HF33" s="1267"/>
      <c r="HG33" s="1267"/>
      <c r="HH33" s="1267"/>
      <c r="HI33" s="1270"/>
      <c r="HJ33" s="1267"/>
      <c r="HK33" s="1267"/>
      <c r="HL33" s="1267"/>
      <c r="HM33" s="1267"/>
      <c r="HN33" s="1267"/>
      <c r="HO33" s="1267"/>
      <c r="HP33" s="1267"/>
      <c r="HQ33" s="1270"/>
      <c r="HR33" s="1267"/>
      <c r="HS33" s="1267"/>
      <c r="HT33" s="1267"/>
      <c r="HU33" s="1267"/>
      <c r="HV33" s="1267"/>
      <c r="HW33" s="1269"/>
      <c r="HX33" s="1269"/>
      <c r="HY33" s="1269"/>
      <c r="HZ33" s="1269"/>
      <c r="IA33" s="1269"/>
      <c r="IB33" s="1269"/>
      <c r="IC33" s="1269"/>
      <c r="ID33" s="1269"/>
      <c r="IE33" s="1269"/>
      <c r="IF33" s="1271"/>
    </row>
    <row r="34" spans="1:240" ht="12.6" customHeight="1" x14ac:dyDescent="0.25">
      <c r="A34" s="1132" t="str">
        <f t="shared" si="1"/>
        <v/>
      </c>
      <c r="B34" s="1586" t="str">
        <f t="shared" si="2"/>
        <v/>
      </c>
      <c r="C34" s="1133" t="str">
        <f t="shared" si="3"/>
        <v/>
      </c>
      <c r="D34" s="1134" t="str">
        <f t="shared" si="95"/>
        <v/>
      </c>
      <c r="E34" s="1644" t="str">
        <f t="shared" si="96"/>
        <v/>
      </c>
      <c r="F34" s="1137" t="str">
        <f t="shared" si="97"/>
        <v/>
      </c>
      <c r="G34" s="1138" t="str">
        <f t="shared" si="98"/>
        <v/>
      </c>
      <c r="H34" s="1645" t="str">
        <f t="shared" si="99"/>
        <v/>
      </c>
      <c r="I34" s="1134" t="str">
        <f t="shared" si="100"/>
        <v/>
      </c>
      <c r="J34" s="1138" t="str">
        <f t="shared" si="101"/>
        <v/>
      </c>
      <c r="K34" s="1646" t="str">
        <f t="shared" si="102"/>
        <v/>
      </c>
      <c r="L34" s="1141" t="str">
        <f t="shared" si="103"/>
        <v/>
      </c>
      <c r="M34" s="1142" t="str">
        <f t="shared" si="104"/>
        <v/>
      </c>
      <c r="N34" s="1137" t="str">
        <f t="shared" si="105"/>
        <v/>
      </c>
      <c r="O34" s="1138" t="str">
        <f t="shared" si="106"/>
        <v/>
      </c>
      <c r="P34" s="1139" t="str">
        <f t="shared" si="107"/>
        <v/>
      </c>
      <c r="Q34" s="1134" t="str">
        <f t="shared" si="108"/>
        <v/>
      </c>
      <c r="R34" s="1138" t="str">
        <f t="shared" si="109"/>
        <v/>
      </c>
      <c r="S34" s="1625" t="str">
        <f t="shared" si="110"/>
        <v/>
      </c>
      <c r="T34" s="1137" t="str">
        <f t="shared" si="111"/>
        <v/>
      </c>
      <c r="U34" s="1138" t="str">
        <f t="shared" si="112"/>
        <v/>
      </c>
      <c r="V34" s="1134" t="str">
        <f t="shared" si="113"/>
        <v/>
      </c>
      <c r="W34" s="1138" t="str">
        <f t="shared" si="114"/>
        <v/>
      </c>
      <c r="X34" s="1622">
        <f t="shared" si="115"/>
        <v>0</v>
      </c>
      <c r="Y34" s="1647" t="str">
        <f t="shared" si="116"/>
        <v/>
      </c>
      <c r="Z34" s="1648" t="str">
        <f t="shared" si="117"/>
        <v/>
      </c>
      <c r="AA34" s="1649" t="str">
        <f t="shared" si="5"/>
        <v/>
      </c>
      <c r="AB34" s="1288"/>
      <c r="AC34" s="898" t="b">
        <v>0</v>
      </c>
      <c r="AD34" s="374">
        <f t="shared" si="6"/>
        <v>0</v>
      </c>
      <c r="AE34" s="375">
        <f t="shared" si="7"/>
        <v>0</v>
      </c>
      <c r="AF34" s="375">
        <f t="shared" si="8"/>
        <v>0</v>
      </c>
      <c r="AG34" s="375">
        <f t="shared" si="9"/>
        <v>0</v>
      </c>
      <c r="AH34" s="376">
        <f t="shared" si="10"/>
        <v>0</v>
      </c>
      <c r="AI34" s="377" t="b">
        <v>0</v>
      </c>
      <c r="AJ34" s="143">
        <f t="shared" si="128"/>
        <v>0</v>
      </c>
      <c r="AK34" s="143" t="str">
        <f t="shared" si="11"/>
        <v/>
      </c>
      <c r="AL34" s="1207" t="str">
        <f t="shared" si="12"/>
        <v/>
      </c>
      <c r="AM34" s="143" t="str">
        <f t="shared" si="13"/>
        <v/>
      </c>
      <c r="AN34" s="143" t="str">
        <f t="shared" si="14"/>
        <v/>
      </c>
      <c r="AO34" s="143" t="str">
        <f t="shared" si="15"/>
        <v/>
      </c>
      <c r="AP34" s="771" t="b">
        <f>IF(ISERROR(AJ34),FALSE,IF(OR(AJ34=0,ISERROR(AL34),ISERROR(AM34),ISERROR(AN34),ISERROR(AO34)),FALSE,IF(AL34&lt;&gt;"",IF(ISERROR(VLOOKUP(SUBSTITUTE(SUBSTITUTE(C34,"R",""),"A",""),#REF!,1,FALSE)),FALSE,TRUE),TRUE)))</f>
        <v>0</v>
      </c>
      <c r="AQ34" s="945" t="e">
        <f t="shared" si="16"/>
        <v>#N/A</v>
      </c>
      <c r="AR34" s="877" t="b">
        <f t="shared" si="92"/>
        <v>0</v>
      </c>
      <c r="AS34" s="945" t="e">
        <f t="shared" si="17"/>
        <v>#N/A</v>
      </c>
      <c r="AT34" s="877" t="b">
        <f t="shared" si="93"/>
        <v>0</v>
      </c>
      <c r="AU34" s="1208" t="str">
        <f t="shared" si="18"/>
        <v/>
      </c>
      <c r="AV34" s="771" t="str">
        <f t="shared" si="19"/>
        <v/>
      </c>
      <c r="AW34" s="771" t="str">
        <f t="shared" si="90"/>
        <v/>
      </c>
      <c r="AX34" s="771" t="str">
        <f t="shared" si="94"/>
        <v/>
      </c>
      <c r="AY34" s="399" t="e">
        <f t="shared" si="20"/>
        <v>#REF!</v>
      </c>
      <c r="AZ34" s="795" t="str">
        <f t="shared" si="91"/>
        <v/>
      </c>
      <c r="BA34" s="496"/>
      <c r="BB34" s="616"/>
      <c r="BC34" s="1567"/>
      <c r="BD34" s="682"/>
      <c r="BE34" s="683"/>
      <c r="BF34" s="684"/>
      <c r="BG34" s="660"/>
      <c r="BH34" s="901"/>
      <c r="BI34" s="902"/>
      <c r="BJ34" s="1508"/>
      <c r="BK34" s="901"/>
      <c r="BL34" s="902"/>
      <c r="BM34" s="1448"/>
      <c r="BN34" s="1449"/>
      <c r="BO34" s="1497" t="str">
        <f>IF(ISERROR(CU34),"",IF(CU34="","",IF(VLOOKUP(BG34,#REF!,10,FALSE)="","","X")))</f>
        <v/>
      </c>
      <c r="BP34" s="1440"/>
      <c r="BQ34" s="1441" t="str">
        <f t="shared" si="21"/>
        <v/>
      </c>
      <c r="BR34" s="1442"/>
      <c r="BS34" s="660"/>
      <c r="BT34" s="901"/>
      <c r="BU34" s="902"/>
      <c r="BV34" s="1508"/>
      <c r="BW34" s="901"/>
      <c r="BX34" s="902"/>
      <c r="BY34" s="1448"/>
      <c r="BZ34" s="1449"/>
      <c r="CA34" s="1497" t="str">
        <f>IF(ISERROR(DE34),"",IF(DE34="","",IF(VLOOKUP(BS34,#REF!,10,FALSE)="","","X")))</f>
        <v/>
      </c>
      <c r="CB34" s="1440"/>
      <c r="CC34" s="1441" t="str">
        <f t="shared" si="22"/>
        <v/>
      </c>
      <c r="CD34" s="1442"/>
      <c r="CE34" s="1453"/>
      <c r="CF34" s="685"/>
      <c r="CG34" s="686"/>
      <c r="CH34" s="586" t="str">
        <f t="shared" si="23"/>
        <v/>
      </c>
      <c r="CI34" s="587" t="str">
        <f t="shared" si="24"/>
        <v/>
      </c>
      <c r="CJ34" s="588" t="str">
        <f t="shared" si="25"/>
        <v/>
      </c>
      <c r="CK34" s="793" t="str">
        <f t="shared" si="26"/>
        <v/>
      </c>
      <c r="CL34" s="788" t="str">
        <f t="shared" si="27"/>
        <v/>
      </c>
      <c r="CM34" s="789" t="str">
        <f t="shared" si="28"/>
        <v/>
      </c>
      <c r="CN34" s="554" t="str">
        <f t="shared" si="29"/>
        <v/>
      </c>
      <c r="CO34" s="555" t="str">
        <f t="shared" si="30"/>
        <v/>
      </c>
      <c r="CP34" s="558" t="str">
        <f t="shared" si="31"/>
        <v/>
      </c>
      <c r="CQ34" s="559" t="str">
        <f t="shared" si="32"/>
        <v/>
      </c>
      <c r="CR34" s="699" t="str">
        <f t="shared" si="33"/>
        <v/>
      </c>
      <c r="CS34" s="700" t="str">
        <f t="shared" si="34"/>
        <v/>
      </c>
      <c r="CU34" s="37" t="str">
        <f>IF(BG34="","",VLOOKUP(BG34,#REF!,12,FALSE))</f>
        <v/>
      </c>
      <c r="CV34" s="38" t="str">
        <f>IF(BG34="","",IF(ISBLANK(BP34),VLOOKUP(BG34,#REF!,13,FALSE),BP34))</f>
        <v/>
      </c>
      <c r="CW34" s="38" t="str">
        <f>IF(BG34="","",IF(VLOOKUP(BG34,#REF!,5,FALSE)="","R",UPPER(VLOOKUP(BG34,#REF!,5,FALSE))))</f>
        <v/>
      </c>
      <c r="CX34" s="756" t="str">
        <f>IF(BG34="","",IF(ISBLANK(BR34),VLOOKUP(BG34,#REF!,6,FALSE),BR34))</f>
        <v/>
      </c>
      <c r="CY34" s="1203" t="str">
        <f>IF(BG34="","",IF(VLOOKUP(BG34,#REF!,10,FALSE)="","",(IF(BO34="X",VLOOKUP(BG34,#REF!,10,FALSE),VALUE(BO34))*-1)))</f>
        <v/>
      </c>
      <c r="CZ34" s="1042" t="str">
        <f>IF(BG34="","",IF(VLOOKUP(BG34,#REF!,11,FALSE)="","2",(VLOOKUP(BG34,#REF!,11,FALSE))))</f>
        <v/>
      </c>
      <c r="DA34" s="38" t="str">
        <f>IF(BG34="","",IF(VLOOKUP(BG34,#REF!,7,FALSE)="","",(VLOOKUP(BG34,#REF!,7,FALSE)*-1)))</f>
        <v/>
      </c>
      <c r="DB34" s="756" t="str">
        <f>IF(BG34="","",IF(VLOOKUP(BG34,#REF!,8,FALSE)="",VLOOKUP(AU34,$DF$2:$DN$9,6,FALSE),(VLOOKUP(BG34,#REF!,8,FALSE))))</f>
        <v/>
      </c>
      <c r="DC34" s="756" t="str">
        <f>IF(BG34="","",VLOOKUP(BG34,#REF!,9,FALSE))</f>
        <v/>
      </c>
      <c r="DD34" s="757">
        <f t="shared" si="35"/>
        <v>0</v>
      </c>
      <c r="DE34" s="758" t="str">
        <f>IF(BS34="","",VLOOKUP(BS34,#REF!,12,FALSE))</f>
        <v/>
      </c>
      <c r="DF34" s="756" t="str">
        <f>IF(BS34="","",IF(ISBLANK(CB34),VLOOKUP(BS34,#REF!,13,FALSE),CB34))</f>
        <v/>
      </c>
      <c r="DG34" s="756" t="str">
        <f>IF(BS34="","",IF(VLOOKUP(BS34,#REF!,5,FALSE)="","R",UPPER(VLOOKUP(BS34,#REF!,5,FALSE))))</f>
        <v/>
      </c>
      <c r="DH34" s="756" t="str">
        <f>IF(BS34="","",IF(ISBLANK(CD34),VLOOKUP(BS34,#REF!,6,FALSE),CD34))</f>
        <v/>
      </c>
      <c r="DI34" s="1203" t="str">
        <f>IF(BS34="","",IF(VLOOKUP(BS34,#REF!,10,FALSE)="","",(IF(CA34="X",VLOOKUP(BS34,#REF!,10,FALSE),VALUE(CA34))*-1)))</f>
        <v/>
      </c>
      <c r="DJ34" s="1042" t="str">
        <f>IF(BS34="","",IF(VLOOKUP(BS34,#REF!,11,FALSE)="","2",(VLOOKUP(BS34,#REF!,11,FALSE))))</f>
        <v/>
      </c>
      <c r="DK34" s="756" t="str">
        <f>IF(BS34="","",IF(VLOOKUP(BS34,#REF!,7,FALSE)="","",(VLOOKUP(BS34,#REF!,7,FALSE)*-1)))</f>
        <v/>
      </c>
      <c r="DL34" s="756" t="str">
        <f>IF(BS34="","",IF(VLOOKUP(BS34,#REF!,8,FALSE)="",VLOOKUP(AU34,$DF$2:$DN$9,6,FALSE),(VLOOKUP(BS34,#REF!,8,FALSE))))</f>
        <v/>
      </c>
      <c r="DM34" s="756" t="str">
        <f>IF(BS34="","",VLOOKUP(BS34,#REF!,9,FALSE))</f>
        <v/>
      </c>
      <c r="DN34" s="757">
        <f t="shared" si="36"/>
        <v>0</v>
      </c>
      <c r="DO34" s="759">
        <f t="shared" si="37"/>
        <v>0</v>
      </c>
      <c r="DP34" s="763" t="str">
        <f t="shared" si="38"/>
        <v/>
      </c>
      <c r="DQ34" s="763" t="str">
        <f t="shared" si="39"/>
        <v/>
      </c>
      <c r="DR34" s="763" t="str">
        <f t="shared" si="40"/>
        <v/>
      </c>
      <c r="DS34" s="762">
        <f t="shared" si="41"/>
        <v>0</v>
      </c>
      <c r="DT34" s="762" t="e">
        <f t="shared" si="42"/>
        <v>#REF!</v>
      </c>
      <c r="DU34" s="762" t="str">
        <f t="shared" si="43"/>
        <v/>
      </c>
      <c r="DV34" s="763" t="str">
        <f t="shared" si="44"/>
        <v/>
      </c>
      <c r="DW34" s="795" t="str">
        <f t="shared" si="45"/>
        <v/>
      </c>
      <c r="DX34" s="926">
        <f t="shared" si="118"/>
        <v>0</v>
      </c>
      <c r="DY34" s="763">
        <f t="shared" si="46"/>
        <v>0</v>
      </c>
      <c r="DZ34" s="762" t="e">
        <f t="shared" si="47"/>
        <v>#REF!</v>
      </c>
      <c r="EA34" s="762" t="str">
        <f t="shared" si="48"/>
        <v/>
      </c>
      <c r="EB34" s="763" t="str">
        <f t="shared" si="119"/>
        <v/>
      </c>
      <c r="EC34" s="795" t="str">
        <f t="shared" si="49"/>
        <v/>
      </c>
      <c r="ED34" s="926">
        <f t="shared" si="120"/>
        <v>0</v>
      </c>
      <c r="EE34" s="1210" t="str">
        <f t="shared" si="50"/>
        <v/>
      </c>
      <c r="EF34" s="763" t="str">
        <f t="shared" si="121"/>
        <v/>
      </c>
      <c r="EG34" s="763" t="str">
        <f t="shared" si="122"/>
        <v/>
      </c>
      <c r="EH34" s="795" t="e">
        <f t="shared" si="51"/>
        <v>#N/A</v>
      </c>
      <c r="EI34" s="795" t="e">
        <f t="shared" si="52"/>
        <v>#N/A</v>
      </c>
      <c r="EJ34" s="763" t="str">
        <f t="shared" si="123"/>
        <v/>
      </c>
      <c r="EK34" s="763" t="str">
        <f t="shared" si="124"/>
        <v/>
      </c>
      <c r="EL34" s="1210" t="str">
        <f t="shared" si="54"/>
        <v/>
      </c>
      <c r="EM34" s="763" t="str">
        <f t="shared" si="125"/>
        <v/>
      </c>
      <c r="EN34" s="763" t="str">
        <f t="shared" si="126"/>
        <v/>
      </c>
      <c r="EO34" s="795" t="e">
        <f t="shared" si="55"/>
        <v>#N/A</v>
      </c>
      <c r="EP34" s="795" t="e">
        <f t="shared" si="56"/>
        <v>#N/A</v>
      </c>
      <c r="EQ34" s="763" t="str">
        <f t="shared" si="57"/>
        <v/>
      </c>
      <c r="ER34" s="763" t="str">
        <f t="shared" si="57"/>
        <v/>
      </c>
      <c r="ES34" s="763" t="str">
        <f t="shared" si="58"/>
        <v/>
      </c>
      <c r="ET34" s="763" t="str">
        <f t="shared" si="59"/>
        <v/>
      </c>
      <c r="EU34" s="770" t="str">
        <f t="shared" si="60"/>
        <v/>
      </c>
      <c r="EV34" s="765" t="str">
        <f t="shared" si="127"/>
        <v/>
      </c>
      <c r="EW34" s="770"/>
      <c r="EX34" s="770" t="str">
        <f>IF(AND(CU34="G", ISBLANK(BK34), ISBLANK(BL34)),VLOOKUP(MIN(BH34:BI34),#REF!,2),IF(OR(CU34="B",CU34="G"),MIN(BK34:BL34),""))</f>
        <v/>
      </c>
      <c r="EY34" s="770" t="str">
        <f>IF(AND(CU34="G", ISBLANK(BK34), ISBLANK(BL34)),VLOOKUP(MAX(BH34:BI34),#REF!,2),IF(OR(CU34="B",CU34="G"),MAX(BK34:BL34),""))</f>
        <v/>
      </c>
      <c r="EZ34" s="770" t="str">
        <f t="shared" si="61"/>
        <v/>
      </c>
      <c r="FA34" s="770" t="str">
        <f>IF(AND(DE34="G", ISBLANK(BW34), ISBLANK(BX34)),VLOOKUP(MIN(BT34:BU34),#REF!,2),IF(OR(DE34="B", DE34="G"),MIN(BW34:BX34),""))</f>
        <v/>
      </c>
      <c r="FB34" s="770" t="str">
        <f>IF(AND(DE34="G", ISBLANK(BW34), ISBLANK(BX34)),VLOOKUP(MAX(BT34:BU34),#REF!,2),IF(OR(DE34="B", DE34="G"),MAX(BW34:BX34),""))</f>
        <v/>
      </c>
      <c r="FC34" s="770" t="str">
        <f t="shared" si="62"/>
        <v/>
      </c>
      <c r="FD34" s="763">
        <f t="shared" si="63"/>
        <v>0</v>
      </c>
      <c r="FE34" s="763">
        <f t="shared" si="64"/>
        <v>0</v>
      </c>
      <c r="FF34" s="762">
        <f t="shared" si="65"/>
        <v>0</v>
      </c>
      <c r="FG34" s="762" t="str">
        <f t="shared" si="66"/>
        <v/>
      </c>
      <c r="FH34" s="763" t="str">
        <f t="shared" si="67"/>
        <v/>
      </c>
      <c r="FI34" s="763">
        <f t="shared" si="68"/>
        <v>0</v>
      </c>
      <c r="FJ34" s="763">
        <f t="shared" si="69"/>
        <v>0</v>
      </c>
      <c r="FK34" s="762">
        <f t="shared" si="70"/>
        <v>0</v>
      </c>
      <c r="FL34" s="762" t="str">
        <f t="shared" si="71"/>
        <v/>
      </c>
      <c r="FM34" s="763" t="str">
        <f t="shared" si="72"/>
        <v/>
      </c>
      <c r="FN34" s="763" t="e">
        <f t="shared" si="73"/>
        <v>#VALUE!</v>
      </c>
      <c r="FO34" s="872" t="e">
        <f t="shared" si="74"/>
        <v>#VALUE!</v>
      </c>
      <c r="FP34" s="872" t="e">
        <f t="shared" si="75"/>
        <v>#VALUE!</v>
      </c>
      <c r="FQ34" s="771" t="e">
        <f t="shared" si="76"/>
        <v>#VALUE!</v>
      </c>
      <c r="FR34" s="772" t="e">
        <f t="shared" si="77"/>
        <v>#VALUE!</v>
      </c>
      <c r="FS34" s="773" t="str">
        <f t="shared" si="78"/>
        <v/>
      </c>
      <c r="FT34" s="774" t="str">
        <f t="shared" si="79"/>
        <v/>
      </c>
      <c r="FU34" s="809">
        <f t="shared" si="80"/>
        <v>0</v>
      </c>
      <c r="FV34" s="810">
        <f t="shared" si="81"/>
        <v>0</v>
      </c>
      <c r="GA34" s="542" t="str">
        <f t="shared" si="82"/>
        <v/>
      </c>
      <c r="GB34" s="562" t="str">
        <f t="shared" si="83"/>
        <v/>
      </c>
      <c r="GC34" s="564" t="str">
        <f t="shared" si="84"/>
        <v/>
      </c>
      <c r="GD34" s="565" t="str">
        <f t="shared" si="85"/>
        <v/>
      </c>
      <c r="GE34" s="563" t="str">
        <f t="shared" si="86"/>
        <v/>
      </c>
      <c r="GF34" s="543" t="str">
        <f t="shared" si="87"/>
        <v/>
      </c>
      <c r="GG34" s="1052"/>
      <c r="GH34" s="1053"/>
      <c r="GI34" s="1052"/>
      <c r="GJ34" s="1053"/>
      <c r="GK34" s="1519">
        <f t="shared" si="88"/>
        <v>0</v>
      </c>
      <c r="GL34" s="1519" t="e">
        <f t="shared" si="89"/>
        <v>#VALUE!</v>
      </c>
      <c r="GM34" s="1520" t="e">
        <f>IF(ABS(GK34-GL34)&gt;=#REF!,ABS(GK34-GL34),0)</f>
        <v>#VALUE!</v>
      </c>
      <c r="GZ34" s="346"/>
      <c r="HA34" s="1266"/>
      <c r="HB34" s="1267"/>
      <c r="HC34" s="1267"/>
      <c r="HD34" s="1268"/>
      <c r="HE34" s="1269"/>
      <c r="HF34" s="1267"/>
      <c r="HG34" s="1267"/>
      <c r="HH34" s="1267"/>
      <c r="HI34" s="1270"/>
      <c r="HJ34" s="1267"/>
      <c r="HK34" s="1267"/>
      <c r="HL34" s="1267"/>
      <c r="HM34" s="1267"/>
      <c r="HN34" s="1267"/>
      <c r="HO34" s="1267"/>
      <c r="HP34" s="1267"/>
      <c r="HQ34" s="1270"/>
      <c r="HR34" s="1267"/>
      <c r="HS34" s="1267"/>
      <c r="HT34" s="1267"/>
      <c r="HU34" s="1267"/>
      <c r="HV34" s="1267"/>
      <c r="HW34" s="1269"/>
      <c r="HX34" s="1269"/>
      <c r="HY34" s="1269"/>
      <c r="HZ34" s="1269"/>
      <c r="IA34" s="1269"/>
      <c r="IB34" s="1269"/>
      <c r="IC34" s="1269"/>
      <c r="ID34" s="1269"/>
      <c r="IE34" s="1269"/>
      <c r="IF34" s="1271"/>
    </row>
    <row r="35" spans="1:240" ht="12.6" customHeight="1" x14ac:dyDescent="0.25">
      <c r="A35" s="1132" t="str">
        <f t="shared" si="1"/>
        <v/>
      </c>
      <c r="B35" s="1586" t="str">
        <f t="shared" si="2"/>
        <v/>
      </c>
      <c r="C35" s="1133" t="str">
        <f t="shared" si="3"/>
        <v/>
      </c>
      <c r="D35" s="1134" t="str">
        <f t="shared" si="95"/>
        <v/>
      </c>
      <c r="E35" s="1644" t="str">
        <f t="shared" si="96"/>
        <v/>
      </c>
      <c r="F35" s="1137" t="str">
        <f t="shared" si="97"/>
        <v/>
      </c>
      <c r="G35" s="1138" t="str">
        <f t="shared" si="98"/>
        <v/>
      </c>
      <c r="H35" s="1645" t="str">
        <f t="shared" si="99"/>
        <v/>
      </c>
      <c r="I35" s="1134" t="str">
        <f t="shared" si="100"/>
        <v/>
      </c>
      <c r="J35" s="1138" t="str">
        <f t="shared" si="101"/>
        <v/>
      </c>
      <c r="K35" s="1646" t="str">
        <f t="shared" si="102"/>
        <v/>
      </c>
      <c r="L35" s="1141" t="str">
        <f t="shared" si="103"/>
        <v/>
      </c>
      <c r="M35" s="1142" t="str">
        <f t="shared" si="104"/>
        <v/>
      </c>
      <c r="N35" s="1137" t="str">
        <f t="shared" si="105"/>
        <v/>
      </c>
      <c r="O35" s="1138" t="str">
        <f t="shared" si="106"/>
        <v/>
      </c>
      <c r="P35" s="1139" t="str">
        <f t="shared" si="107"/>
        <v/>
      </c>
      <c r="Q35" s="1134" t="str">
        <f t="shared" si="108"/>
        <v/>
      </c>
      <c r="R35" s="1138" t="str">
        <f t="shared" si="109"/>
        <v/>
      </c>
      <c r="S35" s="1625" t="str">
        <f t="shared" si="110"/>
        <v/>
      </c>
      <c r="T35" s="1137" t="str">
        <f t="shared" si="111"/>
        <v/>
      </c>
      <c r="U35" s="1138" t="str">
        <f t="shared" si="112"/>
        <v/>
      </c>
      <c r="V35" s="1134" t="str">
        <f t="shared" si="113"/>
        <v/>
      </c>
      <c r="W35" s="1138" t="str">
        <f t="shared" si="114"/>
        <v/>
      </c>
      <c r="X35" s="1622">
        <f t="shared" si="115"/>
        <v>0</v>
      </c>
      <c r="Y35" s="1647" t="str">
        <f t="shared" si="116"/>
        <v/>
      </c>
      <c r="Z35" s="1648" t="str">
        <f t="shared" si="117"/>
        <v/>
      </c>
      <c r="AA35" s="1649" t="str">
        <f t="shared" si="5"/>
        <v/>
      </c>
      <c r="AB35" s="1288"/>
      <c r="AC35" s="898" t="b">
        <v>0</v>
      </c>
      <c r="AD35" s="374">
        <f t="shared" si="6"/>
        <v>0</v>
      </c>
      <c r="AE35" s="375">
        <f t="shared" si="7"/>
        <v>0</v>
      </c>
      <c r="AF35" s="375">
        <f t="shared" si="8"/>
        <v>0</v>
      </c>
      <c r="AG35" s="375">
        <f t="shared" si="9"/>
        <v>0</v>
      </c>
      <c r="AH35" s="376">
        <f t="shared" si="10"/>
        <v>0</v>
      </c>
      <c r="AI35" s="377" t="b">
        <v>0</v>
      </c>
      <c r="AJ35" s="143">
        <f t="shared" si="128"/>
        <v>0</v>
      </c>
      <c r="AK35" s="143" t="str">
        <f t="shared" si="11"/>
        <v/>
      </c>
      <c r="AL35" s="1207" t="str">
        <f t="shared" si="12"/>
        <v/>
      </c>
      <c r="AM35" s="143" t="str">
        <f t="shared" si="13"/>
        <v/>
      </c>
      <c r="AN35" s="143" t="str">
        <f t="shared" si="14"/>
        <v/>
      </c>
      <c r="AO35" s="143" t="str">
        <f t="shared" si="15"/>
        <v/>
      </c>
      <c r="AP35" s="771" t="b">
        <f>IF(ISERROR(AJ35),FALSE,IF(OR(AJ35=0,ISERROR(AL35),ISERROR(AM35),ISERROR(AN35),ISERROR(AO35)),FALSE,IF(AL35&lt;&gt;"",IF(ISERROR(VLOOKUP(SUBSTITUTE(SUBSTITUTE(C35,"R",""),"A",""),#REF!,1,FALSE)),FALSE,TRUE),TRUE)))</f>
        <v>0</v>
      </c>
      <c r="AQ35" s="945" t="e">
        <f t="shared" si="16"/>
        <v>#N/A</v>
      </c>
      <c r="AR35" s="877" t="b">
        <f t="shared" si="92"/>
        <v>0</v>
      </c>
      <c r="AS35" s="945" t="e">
        <f t="shared" si="17"/>
        <v>#N/A</v>
      </c>
      <c r="AT35" s="877" t="b">
        <f t="shared" si="93"/>
        <v>0</v>
      </c>
      <c r="AU35" s="1208" t="str">
        <f t="shared" si="18"/>
        <v/>
      </c>
      <c r="AV35" s="771" t="str">
        <f t="shared" si="19"/>
        <v/>
      </c>
      <c r="AW35" s="771" t="str">
        <f t="shared" si="90"/>
        <v/>
      </c>
      <c r="AX35" s="771" t="str">
        <f t="shared" si="94"/>
        <v/>
      </c>
      <c r="AY35" s="399" t="e">
        <f t="shared" si="20"/>
        <v>#REF!</v>
      </c>
      <c r="AZ35" s="795" t="str">
        <f t="shared" si="91"/>
        <v/>
      </c>
      <c r="BA35" s="496"/>
      <c r="BB35" s="616"/>
      <c r="BC35" s="1567"/>
      <c r="BD35" s="682"/>
      <c r="BE35" s="683"/>
      <c r="BF35" s="684"/>
      <c r="BG35" s="660"/>
      <c r="BH35" s="901"/>
      <c r="BI35" s="902"/>
      <c r="BJ35" s="1508"/>
      <c r="BK35" s="901"/>
      <c r="BL35" s="902"/>
      <c r="BM35" s="1448"/>
      <c r="BN35" s="1449"/>
      <c r="BO35" s="1497" t="str">
        <f>IF(ISERROR(CU35),"",IF(CU35="","",IF(VLOOKUP(BG35,#REF!,10,FALSE)="","","X")))</f>
        <v/>
      </c>
      <c r="BP35" s="1440"/>
      <c r="BQ35" s="1441" t="str">
        <f t="shared" si="21"/>
        <v/>
      </c>
      <c r="BR35" s="1442"/>
      <c r="BS35" s="660"/>
      <c r="BT35" s="901"/>
      <c r="BU35" s="902"/>
      <c r="BV35" s="1508"/>
      <c r="BW35" s="901"/>
      <c r="BX35" s="902"/>
      <c r="BY35" s="1448"/>
      <c r="BZ35" s="1449"/>
      <c r="CA35" s="1497" t="str">
        <f>IF(ISERROR(DE35),"",IF(DE35="","",IF(VLOOKUP(BS35,#REF!,10,FALSE)="","","X")))</f>
        <v/>
      </c>
      <c r="CB35" s="1440"/>
      <c r="CC35" s="1441" t="str">
        <f t="shared" si="22"/>
        <v/>
      </c>
      <c r="CD35" s="1442"/>
      <c r="CE35" s="1453"/>
      <c r="CF35" s="685"/>
      <c r="CG35" s="686"/>
      <c r="CH35" s="586" t="str">
        <f t="shared" si="23"/>
        <v/>
      </c>
      <c r="CI35" s="587" t="str">
        <f t="shared" si="24"/>
        <v/>
      </c>
      <c r="CJ35" s="588" t="str">
        <f t="shared" si="25"/>
        <v/>
      </c>
      <c r="CK35" s="793" t="str">
        <f t="shared" si="26"/>
        <v/>
      </c>
      <c r="CL35" s="788" t="str">
        <f t="shared" si="27"/>
        <v/>
      </c>
      <c r="CM35" s="789" t="str">
        <f t="shared" si="28"/>
        <v/>
      </c>
      <c r="CN35" s="554" t="str">
        <f t="shared" si="29"/>
        <v/>
      </c>
      <c r="CO35" s="555" t="str">
        <f t="shared" si="30"/>
        <v/>
      </c>
      <c r="CP35" s="558" t="str">
        <f t="shared" si="31"/>
        <v/>
      </c>
      <c r="CQ35" s="559" t="str">
        <f t="shared" si="32"/>
        <v/>
      </c>
      <c r="CR35" s="699" t="str">
        <f t="shared" si="33"/>
        <v/>
      </c>
      <c r="CS35" s="700" t="str">
        <f t="shared" si="34"/>
        <v/>
      </c>
      <c r="CU35" s="37" t="str">
        <f>IF(BG35="","",VLOOKUP(BG35,#REF!,12,FALSE))</f>
        <v/>
      </c>
      <c r="CV35" s="38" t="str">
        <f>IF(BG35="","",IF(ISBLANK(BP35),VLOOKUP(BG35,#REF!,13,FALSE),BP35))</f>
        <v/>
      </c>
      <c r="CW35" s="38" t="str">
        <f>IF(BG35="","",IF(VLOOKUP(BG35,#REF!,5,FALSE)="","R",UPPER(VLOOKUP(BG35,#REF!,5,FALSE))))</f>
        <v/>
      </c>
      <c r="CX35" s="756" t="str">
        <f>IF(BG35="","",IF(ISBLANK(BR35),VLOOKUP(BG35,#REF!,6,FALSE),BR35))</f>
        <v/>
      </c>
      <c r="CY35" s="1203" t="str">
        <f>IF(BG35="","",IF(VLOOKUP(BG35,#REF!,10,FALSE)="","",(IF(BO35="X",VLOOKUP(BG35,#REF!,10,FALSE),VALUE(BO35))*-1)))</f>
        <v/>
      </c>
      <c r="CZ35" s="1042" t="str">
        <f>IF(BG35="","",IF(VLOOKUP(BG35,#REF!,11,FALSE)="","2",(VLOOKUP(BG35,#REF!,11,FALSE))))</f>
        <v/>
      </c>
      <c r="DA35" s="38" t="str">
        <f>IF(BG35="","",IF(VLOOKUP(BG35,#REF!,7,FALSE)="","",(VLOOKUP(BG35,#REF!,7,FALSE)*-1)))</f>
        <v/>
      </c>
      <c r="DB35" s="756" t="str">
        <f>IF(BG35="","",IF(VLOOKUP(BG35,#REF!,8,FALSE)="",VLOOKUP(AU35,$DF$2:$DN$9,6,FALSE),(VLOOKUP(BG35,#REF!,8,FALSE))))</f>
        <v/>
      </c>
      <c r="DC35" s="756" t="str">
        <f>IF(BG35="","",VLOOKUP(BG35,#REF!,9,FALSE))</f>
        <v/>
      </c>
      <c r="DD35" s="757">
        <f t="shared" si="35"/>
        <v>0</v>
      </c>
      <c r="DE35" s="758" t="str">
        <f>IF(BS35="","",VLOOKUP(BS35,#REF!,12,FALSE))</f>
        <v/>
      </c>
      <c r="DF35" s="756" t="str">
        <f>IF(BS35="","",IF(ISBLANK(CB35),VLOOKUP(BS35,#REF!,13,FALSE),CB35))</f>
        <v/>
      </c>
      <c r="DG35" s="756" t="str">
        <f>IF(BS35="","",IF(VLOOKUP(BS35,#REF!,5,FALSE)="","R",UPPER(VLOOKUP(BS35,#REF!,5,FALSE))))</f>
        <v/>
      </c>
      <c r="DH35" s="756" t="str">
        <f>IF(BS35="","",IF(ISBLANK(CD35),VLOOKUP(BS35,#REF!,6,FALSE),CD35))</f>
        <v/>
      </c>
      <c r="DI35" s="1203" t="str">
        <f>IF(BS35="","",IF(VLOOKUP(BS35,#REF!,10,FALSE)="","",(IF(CA35="X",VLOOKUP(BS35,#REF!,10,FALSE),VALUE(CA35))*-1)))</f>
        <v/>
      </c>
      <c r="DJ35" s="1042" t="str">
        <f>IF(BS35="","",IF(VLOOKUP(BS35,#REF!,11,FALSE)="","2",(VLOOKUP(BS35,#REF!,11,FALSE))))</f>
        <v/>
      </c>
      <c r="DK35" s="756" t="str">
        <f>IF(BS35="","",IF(VLOOKUP(BS35,#REF!,7,FALSE)="","",(VLOOKUP(BS35,#REF!,7,FALSE)*-1)))</f>
        <v/>
      </c>
      <c r="DL35" s="756" t="str">
        <f>IF(BS35="","",IF(VLOOKUP(BS35,#REF!,8,FALSE)="",VLOOKUP(AU35,$DF$2:$DN$9,6,FALSE),(VLOOKUP(BS35,#REF!,8,FALSE))))</f>
        <v/>
      </c>
      <c r="DM35" s="756" t="str">
        <f>IF(BS35="","",VLOOKUP(BS35,#REF!,9,FALSE))</f>
        <v/>
      </c>
      <c r="DN35" s="757">
        <f t="shared" si="36"/>
        <v>0</v>
      </c>
      <c r="DO35" s="759">
        <f t="shared" si="37"/>
        <v>0</v>
      </c>
      <c r="DP35" s="763" t="str">
        <f t="shared" si="38"/>
        <v/>
      </c>
      <c r="DQ35" s="763" t="str">
        <f t="shared" si="39"/>
        <v/>
      </c>
      <c r="DR35" s="763" t="str">
        <f t="shared" si="40"/>
        <v/>
      </c>
      <c r="DS35" s="762">
        <f t="shared" si="41"/>
        <v>0</v>
      </c>
      <c r="DT35" s="762" t="e">
        <f t="shared" si="42"/>
        <v>#REF!</v>
      </c>
      <c r="DU35" s="762" t="str">
        <f t="shared" si="43"/>
        <v/>
      </c>
      <c r="DV35" s="763" t="str">
        <f t="shared" si="44"/>
        <v/>
      </c>
      <c r="DW35" s="795" t="str">
        <f t="shared" si="45"/>
        <v/>
      </c>
      <c r="DX35" s="926">
        <f t="shared" si="118"/>
        <v>0</v>
      </c>
      <c r="DY35" s="763">
        <f t="shared" si="46"/>
        <v>0</v>
      </c>
      <c r="DZ35" s="762" t="e">
        <f t="shared" si="47"/>
        <v>#REF!</v>
      </c>
      <c r="EA35" s="762" t="str">
        <f t="shared" si="48"/>
        <v/>
      </c>
      <c r="EB35" s="763" t="str">
        <f t="shared" si="119"/>
        <v/>
      </c>
      <c r="EC35" s="795" t="str">
        <f t="shared" si="49"/>
        <v/>
      </c>
      <c r="ED35" s="926">
        <f t="shared" si="120"/>
        <v>0</v>
      </c>
      <c r="EE35" s="1210" t="str">
        <f t="shared" si="50"/>
        <v/>
      </c>
      <c r="EF35" s="763" t="str">
        <f t="shared" si="121"/>
        <v/>
      </c>
      <c r="EG35" s="763" t="str">
        <f t="shared" si="122"/>
        <v/>
      </c>
      <c r="EH35" s="795" t="e">
        <f t="shared" si="51"/>
        <v>#N/A</v>
      </c>
      <c r="EI35" s="795" t="e">
        <f t="shared" si="52"/>
        <v>#N/A</v>
      </c>
      <c r="EJ35" s="763" t="str">
        <f t="shared" si="123"/>
        <v/>
      </c>
      <c r="EK35" s="763" t="str">
        <f t="shared" si="124"/>
        <v/>
      </c>
      <c r="EL35" s="1210" t="str">
        <f t="shared" si="54"/>
        <v/>
      </c>
      <c r="EM35" s="763" t="str">
        <f t="shared" si="125"/>
        <v/>
      </c>
      <c r="EN35" s="763" t="str">
        <f t="shared" si="126"/>
        <v/>
      </c>
      <c r="EO35" s="795" t="e">
        <f t="shared" si="55"/>
        <v>#N/A</v>
      </c>
      <c r="EP35" s="795" t="e">
        <f t="shared" si="56"/>
        <v>#N/A</v>
      </c>
      <c r="EQ35" s="763" t="str">
        <f t="shared" si="57"/>
        <v/>
      </c>
      <c r="ER35" s="763" t="str">
        <f t="shared" si="57"/>
        <v/>
      </c>
      <c r="ES35" s="763" t="str">
        <f t="shared" si="58"/>
        <v/>
      </c>
      <c r="ET35" s="763" t="str">
        <f t="shared" si="59"/>
        <v/>
      </c>
      <c r="EU35" s="770" t="str">
        <f t="shared" si="60"/>
        <v/>
      </c>
      <c r="EV35" s="765" t="str">
        <f t="shared" si="127"/>
        <v/>
      </c>
      <c r="EW35" s="770"/>
      <c r="EX35" s="770" t="str">
        <f>IF(AND(CU35="G", ISBLANK(BK35), ISBLANK(BL35)),VLOOKUP(MIN(BH35:BI35),#REF!,2),IF(OR(CU35="B",CU35="G"),MIN(BK35:BL35),""))</f>
        <v/>
      </c>
      <c r="EY35" s="770" t="str">
        <f>IF(AND(CU35="G", ISBLANK(BK35), ISBLANK(BL35)),VLOOKUP(MAX(BH35:BI35),#REF!,2),IF(OR(CU35="B",CU35="G"),MAX(BK35:BL35),""))</f>
        <v/>
      </c>
      <c r="EZ35" s="770" t="str">
        <f t="shared" si="61"/>
        <v/>
      </c>
      <c r="FA35" s="770" t="str">
        <f>IF(AND(DE35="G", ISBLANK(BW35), ISBLANK(BX35)),VLOOKUP(MIN(BT35:BU35),#REF!,2),IF(OR(DE35="B", DE35="G"),MIN(BW35:BX35),""))</f>
        <v/>
      </c>
      <c r="FB35" s="770" t="str">
        <f>IF(AND(DE35="G", ISBLANK(BW35), ISBLANK(BX35)),VLOOKUP(MAX(BT35:BU35),#REF!,2),IF(OR(DE35="B", DE35="G"),MAX(BW35:BX35),""))</f>
        <v/>
      </c>
      <c r="FC35" s="770" t="str">
        <f t="shared" si="62"/>
        <v/>
      </c>
      <c r="FD35" s="763">
        <f t="shared" si="63"/>
        <v>0</v>
      </c>
      <c r="FE35" s="763">
        <f t="shared" si="64"/>
        <v>0</v>
      </c>
      <c r="FF35" s="762">
        <f t="shared" si="65"/>
        <v>0</v>
      </c>
      <c r="FG35" s="762" t="str">
        <f t="shared" si="66"/>
        <v/>
      </c>
      <c r="FH35" s="763" t="str">
        <f t="shared" si="67"/>
        <v/>
      </c>
      <c r="FI35" s="763">
        <f t="shared" si="68"/>
        <v>0</v>
      </c>
      <c r="FJ35" s="763">
        <f t="shared" si="69"/>
        <v>0</v>
      </c>
      <c r="FK35" s="762">
        <f t="shared" si="70"/>
        <v>0</v>
      </c>
      <c r="FL35" s="762" t="str">
        <f t="shared" si="71"/>
        <v/>
      </c>
      <c r="FM35" s="763" t="str">
        <f t="shared" si="72"/>
        <v/>
      </c>
      <c r="FN35" s="763" t="e">
        <f t="shared" si="73"/>
        <v>#VALUE!</v>
      </c>
      <c r="FO35" s="872" t="e">
        <f t="shared" si="74"/>
        <v>#VALUE!</v>
      </c>
      <c r="FP35" s="872" t="e">
        <f t="shared" si="75"/>
        <v>#VALUE!</v>
      </c>
      <c r="FQ35" s="771" t="e">
        <f t="shared" si="76"/>
        <v>#VALUE!</v>
      </c>
      <c r="FR35" s="772" t="e">
        <f t="shared" si="77"/>
        <v>#VALUE!</v>
      </c>
      <c r="FS35" s="773" t="str">
        <f t="shared" si="78"/>
        <v/>
      </c>
      <c r="FT35" s="774" t="str">
        <f t="shared" si="79"/>
        <v/>
      </c>
      <c r="FU35" s="809">
        <f t="shared" si="80"/>
        <v>0</v>
      </c>
      <c r="FV35" s="810">
        <f t="shared" si="81"/>
        <v>0</v>
      </c>
      <c r="GA35" s="542" t="str">
        <f t="shared" si="82"/>
        <v/>
      </c>
      <c r="GB35" s="562" t="str">
        <f t="shared" si="83"/>
        <v/>
      </c>
      <c r="GC35" s="564" t="str">
        <f t="shared" si="84"/>
        <v/>
      </c>
      <c r="GD35" s="565" t="str">
        <f t="shared" si="85"/>
        <v/>
      </c>
      <c r="GE35" s="563" t="str">
        <f t="shared" si="86"/>
        <v/>
      </c>
      <c r="GF35" s="543" t="str">
        <f t="shared" si="87"/>
        <v/>
      </c>
      <c r="GG35" s="1052"/>
      <c r="GH35" s="1053"/>
      <c r="GI35" s="1052"/>
      <c r="GJ35" s="1053"/>
      <c r="GK35" s="1519">
        <f t="shared" si="88"/>
        <v>0</v>
      </c>
      <c r="GL35" s="1519" t="e">
        <f t="shared" si="89"/>
        <v>#VALUE!</v>
      </c>
      <c r="GM35" s="1520" t="e">
        <f>IF(ABS(GK35-GL35)&gt;=#REF!,ABS(GK35-GL35),0)</f>
        <v>#VALUE!</v>
      </c>
      <c r="GZ35" s="346"/>
      <c r="HA35" s="1266"/>
      <c r="HB35" s="1267"/>
      <c r="HC35" s="1267"/>
      <c r="HD35" s="1268"/>
      <c r="HE35" s="1269"/>
      <c r="HF35" s="1267"/>
      <c r="HG35" s="1267"/>
      <c r="HH35" s="1267"/>
      <c r="HI35" s="1270"/>
      <c r="HJ35" s="1267"/>
      <c r="HK35" s="1267"/>
      <c r="HL35" s="1267"/>
      <c r="HM35" s="1267"/>
      <c r="HN35" s="1267"/>
      <c r="HO35" s="1267"/>
      <c r="HP35" s="1267"/>
      <c r="HQ35" s="1270"/>
      <c r="HR35" s="1267"/>
      <c r="HS35" s="1267"/>
      <c r="HT35" s="1267"/>
      <c r="HU35" s="1267"/>
      <c r="HV35" s="1267"/>
      <c r="HW35" s="1269"/>
      <c r="HX35" s="1269"/>
      <c r="HY35" s="1269"/>
      <c r="HZ35" s="1269"/>
      <c r="IA35" s="1269"/>
      <c r="IB35" s="1269"/>
      <c r="IC35" s="1269"/>
      <c r="ID35" s="1269"/>
      <c r="IE35" s="1269"/>
      <c r="IF35" s="1271"/>
    </row>
    <row r="36" spans="1:240" ht="12.6" customHeight="1" x14ac:dyDescent="0.25">
      <c r="A36" s="1132" t="str">
        <f t="shared" si="1"/>
        <v/>
      </c>
      <c r="B36" s="1586" t="str">
        <f t="shared" si="2"/>
        <v/>
      </c>
      <c r="C36" s="1133" t="str">
        <f t="shared" si="3"/>
        <v/>
      </c>
      <c r="D36" s="1134" t="str">
        <f t="shared" si="95"/>
        <v/>
      </c>
      <c r="E36" s="1644" t="str">
        <f t="shared" si="96"/>
        <v/>
      </c>
      <c r="F36" s="1137" t="str">
        <f t="shared" si="97"/>
        <v/>
      </c>
      <c r="G36" s="1138" t="str">
        <f t="shared" si="98"/>
        <v/>
      </c>
      <c r="H36" s="1645" t="str">
        <f t="shared" si="99"/>
        <v/>
      </c>
      <c r="I36" s="1134" t="str">
        <f t="shared" si="100"/>
        <v/>
      </c>
      <c r="J36" s="1138" t="str">
        <f t="shared" si="101"/>
        <v/>
      </c>
      <c r="K36" s="1646" t="str">
        <f t="shared" si="102"/>
        <v/>
      </c>
      <c r="L36" s="1141" t="str">
        <f t="shared" si="103"/>
        <v/>
      </c>
      <c r="M36" s="1142" t="str">
        <f t="shared" si="104"/>
        <v/>
      </c>
      <c r="N36" s="1137" t="str">
        <f t="shared" si="105"/>
        <v/>
      </c>
      <c r="O36" s="1138" t="str">
        <f t="shared" si="106"/>
        <v/>
      </c>
      <c r="P36" s="1139" t="str">
        <f t="shared" si="107"/>
        <v/>
      </c>
      <c r="Q36" s="1134" t="str">
        <f t="shared" si="108"/>
        <v/>
      </c>
      <c r="R36" s="1138" t="str">
        <f t="shared" si="109"/>
        <v/>
      </c>
      <c r="S36" s="1625" t="str">
        <f t="shared" si="110"/>
        <v/>
      </c>
      <c r="T36" s="1137" t="str">
        <f t="shared" si="111"/>
        <v/>
      </c>
      <c r="U36" s="1138" t="str">
        <f t="shared" si="112"/>
        <v/>
      </c>
      <c r="V36" s="1134" t="str">
        <f t="shared" si="113"/>
        <v/>
      </c>
      <c r="W36" s="1138" t="str">
        <f t="shared" si="114"/>
        <v/>
      </c>
      <c r="X36" s="1622">
        <f t="shared" si="115"/>
        <v>0</v>
      </c>
      <c r="Y36" s="1647" t="str">
        <f t="shared" si="116"/>
        <v/>
      </c>
      <c r="Z36" s="1648" t="str">
        <f t="shared" si="117"/>
        <v/>
      </c>
      <c r="AA36" s="1649" t="str">
        <f t="shared" si="5"/>
        <v/>
      </c>
      <c r="AB36" s="1288"/>
      <c r="AC36" s="898" t="b">
        <v>0</v>
      </c>
      <c r="AD36" s="374">
        <f t="shared" si="6"/>
        <v>0</v>
      </c>
      <c r="AE36" s="375">
        <f t="shared" si="7"/>
        <v>0</v>
      </c>
      <c r="AF36" s="375">
        <f t="shared" si="8"/>
        <v>0</v>
      </c>
      <c r="AG36" s="375">
        <f t="shared" si="9"/>
        <v>0</v>
      </c>
      <c r="AH36" s="376">
        <f t="shared" si="10"/>
        <v>0</v>
      </c>
      <c r="AI36" s="377" t="b">
        <v>0</v>
      </c>
      <c r="AJ36" s="143">
        <f t="shared" si="128"/>
        <v>0</v>
      </c>
      <c r="AK36" s="143" t="str">
        <f t="shared" si="11"/>
        <v/>
      </c>
      <c r="AL36" s="1207" t="str">
        <f t="shared" si="12"/>
        <v/>
      </c>
      <c r="AM36" s="143" t="str">
        <f t="shared" si="13"/>
        <v/>
      </c>
      <c r="AN36" s="143" t="str">
        <f t="shared" si="14"/>
        <v/>
      </c>
      <c r="AO36" s="143" t="str">
        <f t="shared" si="15"/>
        <v/>
      </c>
      <c r="AP36" s="771" t="b">
        <f>IF(ISERROR(AJ36),FALSE,IF(OR(AJ36=0,ISERROR(AL36),ISERROR(AM36),ISERROR(AN36),ISERROR(AO36)),FALSE,IF(AL36&lt;&gt;"",IF(ISERROR(VLOOKUP(SUBSTITUTE(SUBSTITUTE(C36,"R",""),"A",""),#REF!,1,FALSE)),FALSE,TRUE),TRUE)))</f>
        <v>0</v>
      </c>
      <c r="AQ36" s="945" t="e">
        <f t="shared" si="16"/>
        <v>#N/A</v>
      </c>
      <c r="AR36" s="877" t="b">
        <f t="shared" si="92"/>
        <v>0</v>
      </c>
      <c r="AS36" s="945" t="e">
        <f t="shared" si="17"/>
        <v>#N/A</v>
      </c>
      <c r="AT36" s="877" t="b">
        <f t="shared" si="93"/>
        <v>0</v>
      </c>
      <c r="AU36" s="1208" t="str">
        <f t="shared" si="18"/>
        <v/>
      </c>
      <c r="AV36" s="771" t="str">
        <f t="shared" si="19"/>
        <v/>
      </c>
      <c r="AW36" s="771" t="str">
        <f t="shared" si="90"/>
        <v/>
      </c>
      <c r="AX36" s="771" t="str">
        <f t="shared" si="94"/>
        <v/>
      </c>
      <c r="AY36" s="399" t="e">
        <f t="shared" si="20"/>
        <v>#REF!</v>
      </c>
      <c r="AZ36" s="795" t="str">
        <f t="shared" si="91"/>
        <v/>
      </c>
      <c r="BA36" s="496"/>
      <c r="BB36" s="616"/>
      <c r="BC36" s="1567"/>
      <c r="BD36" s="682"/>
      <c r="BE36" s="683"/>
      <c r="BF36" s="684"/>
      <c r="BG36" s="660"/>
      <c r="BH36" s="901"/>
      <c r="BI36" s="902"/>
      <c r="BJ36" s="1508"/>
      <c r="BK36" s="901"/>
      <c r="BL36" s="902"/>
      <c r="BM36" s="1448"/>
      <c r="BN36" s="1449"/>
      <c r="BO36" s="1497" t="str">
        <f>IF(ISERROR(CU36),"",IF(CU36="","",IF(VLOOKUP(BG36,#REF!,10,FALSE)="","","X")))</f>
        <v/>
      </c>
      <c r="BP36" s="1440"/>
      <c r="BQ36" s="1441" t="str">
        <f t="shared" si="21"/>
        <v/>
      </c>
      <c r="BR36" s="1442"/>
      <c r="BS36" s="660"/>
      <c r="BT36" s="901"/>
      <c r="BU36" s="902"/>
      <c r="BV36" s="1508"/>
      <c r="BW36" s="901"/>
      <c r="BX36" s="902"/>
      <c r="BY36" s="1448"/>
      <c r="BZ36" s="1449"/>
      <c r="CA36" s="1497" t="str">
        <f>IF(ISERROR(DE36),"",IF(DE36="","",IF(VLOOKUP(BS36,#REF!,10,FALSE)="","","X")))</f>
        <v/>
      </c>
      <c r="CB36" s="1440"/>
      <c r="CC36" s="1441" t="str">
        <f t="shared" si="22"/>
        <v/>
      </c>
      <c r="CD36" s="1442"/>
      <c r="CE36" s="1453"/>
      <c r="CF36" s="685"/>
      <c r="CG36" s="686"/>
      <c r="CH36" s="586" t="str">
        <f t="shared" si="23"/>
        <v/>
      </c>
      <c r="CI36" s="587" t="str">
        <f t="shared" si="24"/>
        <v/>
      </c>
      <c r="CJ36" s="588" t="str">
        <f t="shared" si="25"/>
        <v/>
      </c>
      <c r="CK36" s="793" t="str">
        <f t="shared" si="26"/>
        <v/>
      </c>
      <c r="CL36" s="788" t="str">
        <f t="shared" si="27"/>
        <v/>
      </c>
      <c r="CM36" s="789" t="str">
        <f t="shared" si="28"/>
        <v/>
      </c>
      <c r="CN36" s="554" t="str">
        <f t="shared" si="29"/>
        <v/>
      </c>
      <c r="CO36" s="555" t="str">
        <f t="shared" si="30"/>
        <v/>
      </c>
      <c r="CP36" s="558" t="str">
        <f t="shared" si="31"/>
        <v/>
      </c>
      <c r="CQ36" s="559" t="str">
        <f t="shared" si="32"/>
        <v/>
      </c>
      <c r="CR36" s="699" t="str">
        <f t="shared" si="33"/>
        <v/>
      </c>
      <c r="CS36" s="700" t="str">
        <f t="shared" si="34"/>
        <v/>
      </c>
      <c r="CU36" s="37" t="str">
        <f>IF(BG36="","",VLOOKUP(BG36,#REF!,12,FALSE))</f>
        <v/>
      </c>
      <c r="CV36" s="38" t="str">
        <f>IF(BG36="","",IF(ISBLANK(BP36),VLOOKUP(BG36,#REF!,13,FALSE),BP36))</f>
        <v/>
      </c>
      <c r="CW36" s="38" t="str">
        <f>IF(BG36="","",IF(VLOOKUP(BG36,#REF!,5,FALSE)="","R",UPPER(VLOOKUP(BG36,#REF!,5,FALSE))))</f>
        <v/>
      </c>
      <c r="CX36" s="756" t="str">
        <f>IF(BG36="","",IF(ISBLANK(BR36),VLOOKUP(BG36,#REF!,6,FALSE),BR36))</f>
        <v/>
      </c>
      <c r="CY36" s="1203" t="str">
        <f>IF(BG36="","",IF(VLOOKUP(BG36,#REF!,10,FALSE)="","",(IF(BO36="X",VLOOKUP(BG36,#REF!,10,FALSE),VALUE(BO36))*-1)))</f>
        <v/>
      </c>
      <c r="CZ36" s="1042" t="str">
        <f>IF(BG36="","",IF(VLOOKUP(BG36,#REF!,11,FALSE)="","2",(VLOOKUP(BG36,#REF!,11,FALSE))))</f>
        <v/>
      </c>
      <c r="DA36" s="38" t="str">
        <f>IF(BG36="","",IF(VLOOKUP(BG36,#REF!,7,FALSE)="","",(VLOOKUP(BG36,#REF!,7,FALSE)*-1)))</f>
        <v/>
      </c>
      <c r="DB36" s="756" t="str">
        <f>IF(BG36="","",IF(VLOOKUP(BG36,#REF!,8,FALSE)="",VLOOKUP(AU36,$DF$2:$DN$9,6,FALSE),(VLOOKUP(BG36,#REF!,8,FALSE))))</f>
        <v/>
      </c>
      <c r="DC36" s="756" t="str">
        <f>IF(BG36="","",VLOOKUP(BG36,#REF!,9,FALSE))</f>
        <v/>
      </c>
      <c r="DD36" s="757">
        <f t="shared" si="35"/>
        <v>0</v>
      </c>
      <c r="DE36" s="758" t="str">
        <f>IF(BS36="","",VLOOKUP(BS36,#REF!,12,FALSE))</f>
        <v/>
      </c>
      <c r="DF36" s="756" t="str">
        <f>IF(BS36="","",IF(ISBLANK(CB36),VLOOKUP(BS36,#REF!,13,FALSE),CB36))</f>
        <v/>
      </c>
      <c r="DG36" s="756" t="str">
        <f>IF(BS36="","",IF(VLOOKUP(BS36,#REF!,5,FALSE)="","R",UPPER(VLOOKUP(BS36,#REF!,5,FALSE))))</f>
        <v/>
      </c>
      <c r="DH36" s="756" t="str">
        <f>IF(BS36="","",IF(ISBLANK(CD36),VLOOKUP(BS36,#REF!,6,FALSE),CD36))</f>
        <v/>
      </c>
      <c r="DI36" s="1203" t="str">
        <f>IF(BS36="","",IF(VLOOKUP(BS36,#REF!,10,FALSE)="","",(IF(CA36="X",VLOOKUP(BS36,#REF!,10,FALSE),VALUE(CA36))*-1)))</f>
        <v/>
      </c>
      <c r="DJ36" s="1042" t="str">
        <f>IF(BS36="","",IF(VLOOKUP(BS36,#REF!,11,FALSE)="","2",(VLOOKUP(BS36,#REF!,11,FALSE))))</f>
        <v/>
      </c>
      <c r="DK36" s="756" t="str">
        <f>IF(BS36="","",IF(VLOOKUP(BS36,#REF!,7,FALSE)="","",(VLOOKUP(BS36,#REF!,7,FALSE)*-1)))</f>
        <v/>
      </c>
      <c r="DL36" s="756" t="str">
        <f>IF(BS36="","",IF(VLOOKUP(BS36,#REF!,8,FALSE)="",VLOOKUP(AU36,$DF$2:$DN$9,6,FALSE),(VLOOKUP(BS36,#REF!,8,FALSE))))</f>
        <v/>
      </c>
      <c r="DM36" s="756" t="str">
        <f>IF(BS36="","",VLOOKUP(BS36,#REF!,9,FALSE))</f>
        <v/>
      </c>
      <c r="DN36" s="757">
        <f t="shared" si="36"/>
        <v>0</v>
      </c>
      <c r="DO36" s="759">
        <f t="shared" si="37"/>
        <v>0</v>
      </c>
      <c r="DP36" s="763" t="str">
        <f t="shared" si="38"/>
        <v/>
      </c>
      <c r="DQ36" s="763" t="str">
        <f t="shared" si="39"/>
        <v/>
      </c>
      <c r="DR36" s="763" t="str">
        <f t="shared" si="40"/>
        <v/>
      </c>
      <c r="DS36" s="762">
        <f t="shared" si="41"/>
        <v>0</v>
      </c>
      <c r="DT36" s="762" t="e">
        <f t="shared" si="42"/>
        <v>#REF!</v>
      </c>
      <c r="DU36" s="762" t="str">
        <f t="shared" si="43"/>
        <v/>
      </c>
      <c r="DV36" s="763" t="str">
        <f t="shared" si="44"/>
        <v/>
      </c>
      <c r="DW36" s="795" t="str">
        <f t="shared" si="45"/>
        <v/>
      </c>
      <c r="DX36" s="926">
        <f t="shared" si="118"/>
        <v>0</v>
      </c>
      <c r="DY36" s="763">
        <f t="shared" si="46"/>
        <v>0</v>
      </c>
      <c r="DZ36" s="762" t="e">
        <f t="shared" si="47"/>
        <v>#REF!</v>
      </c>
      <c r="EA36" s="762" t="str">
        <f t="shared" si="48"/>
        <v/>
      </c>
      <c r="EB36" s="763" t="str">
        <f t="shared" si="119"/>
        <v/>
      </c>
      <c r="EC36" s="795" t="str">
        <f t="shared" si="49"/>
        <v/>
      </c>
      <c r="ED36" s="926">
        <f t="shared" si="120"/>
        <v>0</v>
      </c>
      <c r="EE36" s="1210" t="str">
        <f t="shared" si="50"/>
        <v/>
      </c>
      <c r="EF36" s="763" t="str">
        <f t="shared" si="121"/>
        <v/>
      </c>
      <c r="EG36" s="763" t="str">
        <f t="shared" si="122"/>
        <v/>
      </c>
      <c r="EH36" s="795" t="e">
        <f t="shared" si="51"/>
        <v>#N/A</v>
      </c>
      <c r="EI36" s="795" t="e">
        <f t="shared" si="52"/>
        <v>#N/A</v>
      </c>
      <c r="EJ36" s="763" t="str">
        <f t="shared" si="123"/>
        <v/>
      </c>
      <c r="EK36" s="763" t="str">
        <f t="shared" si="124"/>
        <v/>
      </c>
      <c r="EL36" s="1210" t="str">
        <f t="shared" si="54"/>
        <v/>
      </c>
      <c r="EM36" s="763" t="str">
        <f t="shared" si="125"/>
        <v/>
      </c>
      <c r="EN36" s="763" t="str">
        <f t="shared" si="126"/>
        <v/>
      </c>
      <c r="EO36" s="795" t="e">
        <f t="shared" si="55"/>
        <v>#N/A</v>
      </c>
      <c r="EP36" s="795" t="e">
        <f t="shared" si="56"/>
        <v>#N/A</v>
      </c>
      <c r="EQ36" s="763" t="str">
        <f t="shared" si="57"/>
        <v/>
      </c>
      <c r="ER36" s="763" t="str">
        <f t="shared" si="57"/>
        <v/>
      </c>
      <c r="ES36" s="763" t="str">
        <f t="shared" si="58"/>
        <v/>
      </c>
      <c r="ET36" s="763" t="str">
        <f t="shared" si="59"/>
        <v/>
      </c>
      <c r="EU36" s="770" t="str">
        <f t="shared" si="60"/>
        <v/>
      </c>
      <c r="EV36" s="765" t="str">
        <f t="shared" si="127"/>
        <v/>
      </c>
      <c r="EW36" s="770"/>
      <c r="EX36" s="770" t="str">
        <f>IF(AND(CU36="G", ISBLANK(BK36), ISBLANK(BL36)),VLOOKUP(MIN(BH36:BI36),#REF!,2),IF(OR(CU36="B",CU36="G"),MIN(BK36:BL36),""))</f>
        <v/>
      </c>
      <c r="EY36" s="770" t="str">
        <f>IF(AND(CU36="G", ISBLANK(BK36), ISBLANK(BL36)),VLOOKUP(MAX(BH36:BI36),#REF!,2),IF(OR(CU36="B",CU36="G"),MAX(BK36:BL36),""))</f>
        <v/>
      </c>
      <c r="EZ36" s="770" t="str">
        <f t="shared" si="61"/>
        <v/>
      </c>
      <c r="FA36" s="770" t="str">
        <f>IF(AND(DE36="G", ISBLANK(BW36), ISBLANK(BX36)),VLOOKUP(MIN(BT36:BU36),#REF!,2),IF(OR(DE36="B", DE36="G"),MIN(BW36:BX36),""))</f>
        <v/>
      </c>
      <c r="FB36" s="770" t="str">
        <f>IF(AND(DE36="G", ISBLANK(BW36), ISBLANK(BX36)),VLOOKUP(MAX(BT36:BU36),#REF!,2),IF(OR(DE36="B", DE36="G"),MAX(BW36:BX36),""))</f>
        <v/>
      </c>
      <c r="FC36" s="770" t="str">
        <f t="shared" si="62"/>
        <v/>
      </c>
      <c r="FD36" s="763">
        <f t="shared" si="63"/>
        <v>0</v>
      </c>
      <c r="FE36" s="763">
        <f t="shared" si="64"/>
        <v>0</v>
      </c>
      <c r="FF36" s="762">
        <f t="shared" si="65"/>
        <v>0</v>
      </c>
      <c r="FG36" s="762" t="str">
        <f t="shared" si="66"/>
        <v/>
      </c>
      <c r="FH36" s="763" t="str">
        <f t="shared" si="67"/>
        <v/>
      </c>
      <c r="FI36" s="763">
        <f t="shared" si="68"/>
        <v>0</v>
      </c>
      <c r="FJ36" s="763">
        <f t="shared" si="69"/>
        <v>0</v>
      </c>
      <c r="FK36" s="762">
        <f t="shared" si="70"/>
        <v>0</v>
      </c>
      <c r="FL36" s="762" t="str">
        <f t="shared" si="71"/>
        <v/>
      </c>
      <c r="FM36" s="763" t="str">
        <f t="shared" si="72"/>
        <v/>
      </c>
      <c r="FN36" s="763" t="e">
        <f t="shared" si="73"/>
        <v>#VALUE!</v>
      </c>
      <c r="FO36" s="872" t="e">
        <f t="shared" si="74"/>
        <v>#VALUE!</v>
      </c>
      <c r="FP36" s="872" t="e">
        <f t="shared" si="75"/>
        <v>#VALUE!</v>
      </c>
      <c r="FQ36" s="771" t="e">
        <f t="shared" si="76"/>
        <v>#VALUE!</v>
      </c>
      <c r="FR36" s="772" t="e">
        <f t="shared" si="77"/>
        <v>#VALUE!</v>
      </c>
      <c r="FS36" s="773" t="str">
        <f t="shared" si="78"/>
        <v/>
      </c>
      <c r="FT36" s="774" t="str">
        <f t="shared" si="79"/>
        <v/>
      </c>
      <c r="FU36" s="809">
        <f t="shared" si="80"/>
        <v>0</v>
      </c>
      <c r="FV36" s="810">
        <f t="shared" si="81"/>
        <v>0</v>
      </c>
      <c r="GA36" s="542" t="str">
        <f t="shared" si="82"/>
        <v/>
      </c>
      <c r="GB36" s="562" t="str">
        <f t="shared" si="83"/>
        <v/>
      </c>
      <c r="GC36" s="564" t="str">
        <f t="shared" si="84"/>
        <v/>
      </c>
      <c r="GD36" s="565" t="str">
        <f t="shared" si="85"/>
        <v/>
      </c>
      <c r="GE36" s="563" t="str">
        <f t="shared" si="86"/>
        <v/>
      </c>
      <c r="GF36" s="543" t="str">
        <f t="shared" si="87"/>
        <v/>
      </c>
      <c r="GG36" s="1052"/>
      <c r="GH36" s="1053"/>
      <c r="GI36" s="1052"/>
      <c r="GJ36" s="1053"/>
      <c r="GK36" s="1519">
        <f t="shared" si="88"/>
        <v>0</v>
      </c>
      <c r="GL36" s="1519" t="e">
        <f t="shared" si="89"/>
        <v>#VALUE!</v>
      </c>
      <c r="GM36" s="1520" t="e">
        <f>IF(ABS(GK36-GL36)&gt;=#REF!,ABS(GK36-GL36),0)</f>
        <v>#VALUE!</v>
      </c>
      <c r="GZ36" s="346"/>
      <c r="HA36" s="1266"/>
      <c r="HB36" s="1267"/>
      <c r="HC36" s="1267"/>
      <c r="HD36" s="1268"/>
      <c r="HE36" s="1269"/>
      <c r="HF36" s="1267"/>
      <c r="HG36" s="1267"/>
      <c r="HH36" s="1267"/>
      <c r="HI36" s="1270"/>
      <c r="HJ36" s="1267"/>
      <c r="HK36" s="1267"/>
      <c r="HL36" s="1267"/>
      <c r="HM36" s="1267"/>
      <c r="HN36" s="1267"/>
      <c r="HO36" s="1267"/>
      <c r="HP36" s="1267"/>
      <c r="HQ36" s="1270"/>
      <c r="HR36" s="1267"/>
      <c r="HS36" s="1267"/>
      <c r="HT36" s="1267"/>
      <c r="HU36" s="1267"/>
      <c r="HV36" s="1267"/>
      <c r="HW36" s="1269"/>
      <c r="HX36" s="1269"/>
      <c r="HY36" s="1269"/>
      <c r="HZ36" s="1269"/>
      <c r="IA36" s="1269"/>
      <c r="IB36" s="1269"/>
      <c r="IC36" s="1269"/>
      <c r="ID36" s="1269"/>
      <c r="IE36" s="1269"/>
      <c r="IF36" s="1271"/>
    </row>
    <row r="37" spans="1:240" ht="12.6" customHeight="1" x14ac:dyDescent="0.25">
      <c r="A37" s="1132" t="str">
        <f t="shared" si="1"/>
        <v/>
      </c>
      <c r="B37" s="1586" t="str">
        <f t="shared" si="2"/>
        <v/>
      </c>
      <c r="C37" s="1133" t="str">
        <f t="shared" si="3"/>
        <v/>
      </c>
      <c r="D37" s="1134" t="str">
        <f t="shared" si="95"/>
        <v/>
      </c>
      <c r="E37" s="1644" t="str">
        <f t="shared" si="96"/>
        <v/>
      </c>
      <c r="F37" s="1137" t="str">
        <f t="shared" si="97"/>
        <v/>
      </c>
      <c r="G37" s="1138" t="str">
        <f t="shared" si="98"/>
        <v/>
      </c>
      <c r="H37" s="1645" t="str">
        <f t="shared" si="99"/>
        <v/>
      </c>
      <c r="I37" s="1134" t="str">
        <f t="shared" si="100"/>
        <v/>
      </c>
      <c r="J37" s="1138" t="str">
        <f t="shared" si="101"/>
        <v/>
      </c>
      <c r="K37" s="1646" t="str">
        <f t="shared" si="102"/>
        <v/>
      </c>
      <c r="L37" s="1141" t="str">
        <f t="shared" si="103"/>
        <v/>
      </c>
      <c r="M37" s="1142" t="str">
        <f t="shared" si="104"/>
        <v/>
      </c>
      <c r="N37" s="1137" t="str">
        <f t="shared" si="105"/>
        <v/>
      </c>
      <c r="O37" s="1138" t="str">
        <f t="shared" si="106"/>
        <v/>
      </c>
      <c r="P37" s="1139" t="str">
        <f t="shared" si="107"/>
        <v/>
      </c>
      <c r="Q37" s="1134" t="str">
        <f t="shared" si="108"/>
        <v/>
      </c>
      <c r="R37" s="1138" t="str">
        <f t="shared" si="109"/>
        <v/>
      </c>
      <c r="S37" s="1625" t="str">
        <f t="shared" si="110"/>
        <v/>
      </c>
      <c r="T37" s="1137" t="str">
        <f t="shared" si="111"/>
        <v/>
      </c>
      <c r="U37" s="1138" t="str">
        <f t="shared" si="112"/>
        <v/>
      </c>
      <c r="V37" s="1134" t="str">
        <f t="shared" si="113"/>
        <v/>
      </c>
      <c r="W37" s="1138" t="str">
        <f t="shared" si="114"/>
        <v/>
      </c>
      <c r="X37" s="1622">
        <f t="shared" si="115"/>
        <v>0</v>
      </c>
      <c r="Y37" s="1647" t="str">
        <f t="shared" si="116"/>
        <v/>
      </c>
      <c r="Z37" s="1648" t="str">
        <f t="shared" si="117"/>
        <v/>
      </c>
      <c r="AA37" s="1649" t="str">
        <f t="shared" si="5"/>
        <v/>
      </c>
      <c r="AB37" s="1288"/>
      <c r="AC37" s="898" t="b">
        <v>0</v>
      </c>
      <c r="AD37" s="374">
        <f t="shared" si="6"/>
        <v>0</v>
      </c>
      <c r="AE37" s="375">
        <f t="shared" si="7"/>
        <v>0</v>
      </c>
      <c r="AF37" s="375">
        <f t="shared" si="8"/>
        <v>0</v>
      </c>
      <c r="AG37" s="375">
        <f t="shared" si="9"/>
        <v>0</v>
      </c>
      <c r="AH37" s="376">
        <f t="shared" si="10"/>
        <v>0</v>
      </c>
      <c r="AI37" s="377" t="b">
        <v>0</v>
      </c>
      <c r="AJ37" s="143">
        <f t="shared" si="128"/>
        <v>0</v>
      </c>
      <c r="AK37" s="143" t="str">
        <f t="shared" si="11"/>
        <v/>
      </c>
      <c r="AL37" s="1207" t="str">
        <f t="shared" si="12"/>
        <v/>
      </c>
      <c r="AM37" s="143" t="str">
        <f t="shared" si="13"/>
        <v/>
      </c>
      <c r="AN37" s="143" t="str">
        <f t="shared" si="14"/>
        <v/>
      </c>
      <c r="AO37" s="143" t="str">
        <f t="shared" si="15"/>
        <v/>
      </c>
      <c r="AP37" s="771" t="b">
        <f>IF(ISERROR(AJ37),FALSE,IF(OR(AJ37=0,ISERROR(AL37),ISERROR(AM37),ISERROR(AN37),ISERROR(AO37)),FALSE,IF(AL37&lt;&gt;"",IF(ISERROR(VLOOKUP(SUBSTITUTE(SUBSTITUTE(C37,"R",""),"A",""),#REF!,1,FALSE)),FALSE,TRUE),TRUE)))</f>
        <v>0</v>
      </c>
      <c r="AQ37" s="945" t="e">
        <f t="shared" si="16"/>
        <v>#N/A</v>
      </c>
      <c r="AR37" s="877" t="b">
        <f t="shared" si="92"/>
        <v>0</v>
      </c>
      <c r="AS37" s="945" t="e">
        <f t="shared" si="17"/>
        <v>#N/A</v>
      </c>
      <c r="AT37" s="877" t="b">
        <f t="shared" si="93"/>
        <v>0</v>
      </c>
      <c r="AU37" s="1208" t="str">
        <f t="shared" si="18"/>
        <v/>
      </c>
      <c r="AV37" s="771" t="str">
        <f t="shared" si="19"/>
        <v/>
      </c>
      <c r="AW37" s="771" t="str">
        <f t="shared" si="90"/>
        <v/>
      </c>
      <c r="AX37" s="771" t="str">
        <f t="shared" si="94"/>
        <v/>
      </c>
      <c r="AY37" s="399" t="e">
        <f t="shared" si="20"/>
        <v>#REF!</v>
      </c>
      <c r="AZ37" s="795" t="str">
        <f t="shared" si="91"/>
        <v/>
      </c>
      <c r="BA37" s="496"/>
      <c r="BB37" s="616"/>
      <c r="BC37" s="1567"/>
      <c r="BD37" s="682"/>
      <c r="BE37" s="683"/>
      <c r="BF37" s="684"/>
      <c r="BG37" s="660"/>
      <c r="BH37" s="901"/>
      <c r="BI37" s="902"/>
      <c r="BJ37" s="1508"/>
      <c r="BK37" s="901"/>
      <c r="BL37" s="902"/>
      <c r="BM37" s="1448"/>
      <c r="BN37" s="1449"/>
      <c r="BO37" s="1497" t="str">
        <f>IF(ISERROR(CU37),"",IF(CU37="","",IF(VLOOKUP(BG37,#REF!,10,FALSE)="","","X")))</f>
        <v/>
      </c>
      <c r="BP37" s="1440"/>
      <c r="BQ37" s="1441" t="str">
        <f t="shared" si="21"/>
        <v/>
      </c>
      <c r="BR37" s="1442"/>
      <c r="BS37" s="660"/>
      <c r="BT37" s="901"/>
      <c r="BU37" s="902"/>
      <c r="BV37" s="1508"/>
      <c r="BW37" s="901"/>
      <c r="BX37" s="902"/>
      <c r="BY37" s="1448"/>
      <c r="BZ37" s="1449"/>
      <c r="CA37" s="1497" t="str">
        <f>IF(ISERROR(DE37),"",IF(DE37="","",IF(VLOOKUP(BS37,#REF!,10,FALSE)="","","X")))</f>
        <v/>
      </c>
      <c r="CB37" s="1440"/>
      <c r="CC37" s="1441" t="str">
        <f t="shared" si="22"/>
        <v/>
      </c>
      <c r="CD37" s="1442"/>
      <c r="CE37" s="1453"/>
      <c r="CF37" s="685"/>
      <c r="CG37" s="686"/>
      <c r="CH37" s="586" t="str">
        <f t="shared" si="23"/>
        <v/>
      </c>
      <c r="CI37" s="587" t="str">
        <f t="shared" si="24"/>
        <v/>
      </c>
      <c r="CJ37" s="588" t="str">
        <f t="shared" si="25"/>
        <v/>
      </c>
      <c r="CK37" s="793" t="str">
        <f t="shared" si="26"/>
        <v/>
      </c>
      <c r="CL37" s="788" t="str">
        <f t="shared" si="27"/>
        <v/>
      </c>
      <c r="CM37" s="789" t="str">
        <f t="shared" si="28"/>
        <v/>
      </c>
      <c r="CN37" s="554" t="str">
        <f t="shared" si="29"/>
        <v/>
      </c>
      <c r="CO37" s="555" t="str">
        <f t="shared" si="30"/>
        <v/>
      </c>
      <c r="CP37" s="558" t="str">
        <f t="shared" si="31"/>
        <v/>
      </c>
      <c r="CQ37" s="559" t="str">
        <f t="shared" si="32"/>
        <v/>
      </c>
      <c r="CR37" s="699" t="str">
        <f t="shared" si="33"/>
        <v/>
      </c>
      <c r="CS37" s="700" t="str">
        <f t="shared" si="34"/>
        <v/>
      </c>
      <c r="CU37" s="37" t="str">
        <f>IF(BG37="","",VLOOKUP(BG37,#REF!,12,FALSE))</f>
        <v/>
      </c>
      <c r="CV37" s="38" t="str">
        <f>IF(BG37="","",IF(ISBLANK(BP37),VLOOKUP(BG37,#REF!,13,FALSE),BP37))</f>
        <v/>
      </c>
      <c r="CW37" s="38" t="str">
        <f>IF(BG37="","",IF(VLOOKUP(BG37,#REF!,5,FALSE)="","R",UPPER(VLOOKUP(BG37,#REF!,5,FALSE))))</f>
        <v/>
      </c>
      <c r="CX37" s="756" t="str">
        <f>IF(BG37="","",IF(ISBLANK(BR37),VLOOKUP(BG37,#REF!,6,FALSE),BR37))</f>
        <v/>
      </c>
      <c r="CY37" s="1203" t="str">
        <f>IF(BG37="","",IF(VLOOKUP(BG37,#REF!,10,FALSE)="","",(IF(BO37="X",VLOOKUP(BG37,#REF!,10,FALSE),VALUE(BO37))*-1)))</f>
        <v/>
      </c>
      <c r="CZ37" s="1042" t="str">
        <f>IF(BG37="","",IF(VLOOKUP(BG37,#REF!,11,FALSE)="","2",(VLOOKUP(BG37,#REF!,11,FALSE))))</f>
        <v/>
      </c>
      <c r="DA37" s="38" t="str">
        <f>IF(BG37="","",IF(VLOOKUP(BG37,#REF!,7,FALSE)="","",(VLOOKUP(BG37,#REF!,7,FALSE)*-1)))</f>
        <v/>
      </c>
      <c r="DB37" s="756" t="str">
        <f>IF(BG37="","",IF(VLOOKUP(BG37,#REF!,8,FALSE)="",VLOOKUP(AU37,$DF$2:$DN$9,6,FALSE),(VLOOKUP(BG37,#REF!,8,FALSE))))</f>
        <v/>
      </c>
      <c r="DC37" s="756" t="str">
        <f>IF(BG37="","",VLOOKUP(BG37,#REF!,9,FALSE))</f>
        <v/>
      </c>
      <c r="DD37" s="757">
        <f t="shared" si="35"/>
        <v>0</v>
      </c>
      <c r="DE37" s="758" t="str">
        <f>IF(BS37="","",VLOOKUP(BS37,#REF!,12,FALSE))</f>
        <v/>
      </c>
      <c r="DF37" s="756" t="str">
        <f>IF(BS37="","",IF(ISBLANK(CB37),VLOOKUP(BS37,#REF!,13,FALSE),CB37))</f>
        <v/>
      </c>
      <c r="DG37" s="756" t="str">
        <f>IF(BS37="","",IF(VLOOKUP(BS37,#REF!,5,FALSE)="","R",UPPER(VLOOKUP(BS37,#REF!,5,FALSE))))</f>
        <v/>
      </c>
      <c r="DH37" s="756" t="str">
        <f>IF(BS37="","",IF(ISBLANK(CD37),VLOOKUP(BS37,#REF!,6,FALSE),CD37))</f>
        <v/>
      </c>
      <c r="DI37" s="1203" t="str">
        <f>IF(BS37="","",IF(VLOOKUP(BS37,#REF!,10,FALSE)="","",(IF(CA37="X",VLOOKUP(BS37,#REF!,10,FALSE),VALUE(CA37))*-1)))</f>
        <v/>
      </c>
      <c r="DJ37" s="1042" t="str">
        <f>IF(BS37="","",IF(VLOOKUP(BS37,#REF!,11,FALSE)="","2",(VLOOKUP(BS37,#REF!,11,FALSE))))</f>
        <v/>
      </c>
      <c r="DK37" s="756" t="str">
        <f>IF(BS37="","",IF(VLOOKUP(BS37,#REF!,7,FALSE)="","",(VLOOKUP(BS37,#REF!,7,FALSE)*-1)))</f>
        <v/>
      </c>
      <c r="DL37" s="756" t="str">
        <f>IF(BS37="","",IF(VLOOKUP(BS37,#REF!,8,FALSE)="",VLOOKUP(AU37,$DF$2:$DN$9,6,FALSE),(VLOOKUP(BS37,#REF!,8,FALSE))))</f>
        <v/>
      </c>
      <c r="DM37" s="756" t="str">
        <f>IF(BS37="","",VLOOKUP(BS37,#REF!,9,FALSE))</f>
        <v/>
      </c>
      <c r="DN37" s="757">
        <f t="shared" si="36"/>
        <v>0</v>
      </c>
      <c r="DO37" s="759">
        <f t="shared" si="37"/>
        <v>0</v>
      </c>
      <c r="DP37" s="763" t="str">
        <f t="shared" si="38"/>
        <v/>
      </c>
      <c r="DQ37" s="763" t="str">
        <f t="shared" si="39"/>
        <v/>
      </c>
      <c r="DR37" s="763" t="str">
        <f t="shared" si="40"/>
        <v/>
      </c>
      <c r="DS37" s="762">
        <f t="shared" si="41"/>
        <v>0</v>
      </c>
      <c r="DT37" s="762" t="e">
        <f t="shared" si="42"/>
        <v>#REF!</v>
      </c>
      <c r="DU37" s="762" t="str">
        <f t="shared" si="43"/>
        <v/>
      </c>
      <c r="DV37" s="763" t="str">
        <f t="shared" si="44"/>
        <v/>
      </c>
      <c r="DW37" s="795" t="str">
        <f t="shared" si="45"/>
        <v/>
      </c>
      <c r="DX37" s="926">
        <f t="shared" si="118"/>
        <v>0</v>
      </c>
      <c r="DY37" s="763">
        <f t="shared" si="46"/>
        <v>0</v>
      </c>
      <c r="DZ37" s="762" t="e">
        <f t="shared" si="47"/>
        <v>#REF!</v>
      </c>
      <c r="EA37" s="762" t="str">
        <f t="shared" si="48"/>
        <v/>
      </c>
      <c r="EB37" s="763" t="str">
        <f t="shared" si="119"/>
        <v/>
      </c>
      <c r="EC37" s="795" t="str">
        <f t="shared" si="49"/>
        <v/>
      </c>
      <c r="ED37" s="926">
        <f t="shared" si="120"/>
        <v>0</v>
      </c>
      <c r="EE37" s="1210" t="str">
        <f t="shared" si="50"/>
        <v/>
      </c>
      <c r="EF37" s="763" t="str">
        <f t="shared" si="121"/>
        <v/>
      </c>
      <c r="EG37" s="763" t="str">
        <f t="shared" si="122"/>
        <v/>
      </c>
      <c r="EH37" s="795" t="e">
        <f t="shared" si="51"/>
        <v>#N/A</v>
      </c>
      <c r="EI37" s="795" t="e">
        <f t="shared" si="52"/>
        <v>#N/A</v>
      </c>
      <c r="EJ37" s="763" t="str">
        <f t="shared" si="123"/>
        <v/>
      </c>
      <c r="EK37" s="763" t="str">
        <f t="shared" si="124"/>
        <v/>
      </c>
      <c r="EL37" s="1210" t="str">
        <f t="shared" si="54"/>
        <v/>
      </c>
      <c r="EM37" s="763" t="str">
        <f t="shared" si="125"/>
        <v/>
      </c>
      <c r="EN37" s="763" t="str">
        <f t="shared" si="126"/>
        <v/>
      </c>
      <c r="EO37" s="795" t="e">
        <f t="shared" si="55"/>
        <v>#N/A</v>
      </c>
      <c r="EP37" s="795" t="e">
        <f t="shared" si="56"/>
        <v>#N/A</v>
      </c>
      <c r="EQ37" s="763" t="str">
        <f t="shared" si="57"/>
        <v/>
      </c>
      <c r="ER37" s="763" t="str">
        <f t="shared" si="57"/>
        <v/>
      </c>
      <c r="ES37" s="763" t="str">
        <f t="shared" si="58"/>
        <v/>
      </c>
      <c r="ET37" s="763" t="str">
        <f t="shared" si="59"/>
        <v/>
      </c>
      <c r="EU37" s="770" t="str">
        <f t="shared" si="60"/>
        <v/>
      </c>
      <c r="EV37" s="765" t="str">
        <f t="shared" si="127"/>
        <v/>
      </c>
      <c r="EW37" s="770"/>
      <c r="EX37" s="770" t="str">
        <f>IF(AND(CU37="G", ISBLANK(BK37), ISBLANK(BL37)),VLOOKUP(MIN(BH37:BI37),#REF!,2),IF(OR(CU37="B",CU37="G"),MIN(BK37:BL37),""))</f>
        <v/>
      </c>
      <c r="EY37" s="770" t="str">
        <f>IF(AND(CU37="G", ISBLANK(BK37), ISBLANK(BL37)),VLOOKUP(MAX(BH37:BI37),#REF!,2),IF(OR(CU37="B",CU37="G"),MAX(BK37:BL37),""))</f>
        <v/>
      </c>
      <c r="EZ37" s="770" t="str">
        <f t="shared" si="61"/>
        <v/>
      </c>
      <c r="FA37" s="770" t="str">
        <f>IF(AND(DE37="G", ISBLANK(BW37), ISBLANK(BX37)),VLOOKUP(MIN(BT37:BU37),#REF!,2),IF(OR(DE37="B", DE37="G"),MIN(BW37:BX37),""))</f>
        <v/>
      </c>
      <c r="FB37" s="770" t="str">
        <f>IF(AND(DE37="G", ISBLANK(BW37), ISBLANK(BX37)),VLOOKUP(MAX(BT37:BU37),#REF!,2),IF(OR(DE37="B", DE37="G"),MAX(BW37:BX37),""))</f>
        <v/>
      </c>
      <c r="FC37" s="770" t="str">
        <f t="shared" si="62"/>
        <v/>
      </c>
      <c r="FD37" s="763">
        <f t="shared" si="63"/>
        <v>0</v>
      </c>
      <c r="FE37" s="763">
        <f t="shared" si="64"/>
        <v>0</v>
      </c>
      <c r="FF37" s="762">
        <f t="shared" si="65"/>
        <v>0</v>
      </c>
      <c r="FG37" s="762" t="str">
        <f t="shared" si="66"/>
        <v/>
      </c>
      <c r="FH37" s="763" t="str">
        <f t="shared" si="67"/>
        <v/>
      </c>
      <c r="FI37" s="763">
        <f t="shared" si="68"/>
        <v>0</v>
      </c>
      <c r="FJ37" s="763">
        <f t="shared" si="69"/>
        <v>0</v>
      </c>
      <c r="FK37" s="762">
        <f t="shared" si="70"/>
        <v>0</v>
      </c>
      <c r="FL37" s="762" t="str">
        <f t="shared" si="71"/>
        <v/>
      </c>
      <c r="FM37" s="763" t="str">
        <f t="shared" si="72"/>
        <v/>
      </c>
      <c r="FN37" s="763" t="e">
        <f t="shared" si="73"/>
        <v>#VALUE!</v>
      </c>
      <c r="FO37" s="872" t="e">
        <f t="shared" si="74"/>
        <v>#VALUE!</v>
      </c>
      <c r="FP37" s="872" t="e">
        <f t="shared" si="75"/>
        <v>#VALUE!</v>
      </c>
      <c r="FQ37" s="771" t="e">
        <f t="shared" si="76"/>
        <v>#VALUE!</v>
      </c>
      <c r="FR37" s="772" t="e">
        <f t="shared" si="77"/>
        <v>#VALUE!</v>
      </c>
      <c r="FS37" s="773" t="str">
        <f t="shared" si="78"/>
        <v/>
      </c>
      <c r="FT37" s="774" t="str">
        <f t="shared" si="79"/>
        <v/>
      </c>
      <c r="FU37" s="809">
        <f t="shared" si="80"/>
        <v>0</v>
      </c>
      <c r="FV37" s="810">
        <f t="shared" si="81"/>
        <v>0</v>
      </c>
      <c r="GA37" s="542" t="str">
        <f t="shared" si="82"/>
        <v/>
      </c>
      <c r="GB37" s="562" t="str">
        <f t="shared" si="83"/>
        <v/>
      </c>
      <c r="GC37" s="564" t="str">
        <f t="shared" si="84"/>
        <v/>
      </c>
      <c r="GD37" s="565" t="str">
        <f t="shared" si="85"/>
        <v/>
      </c>
      <c r="GE37" s="563" t="str">
        <f t="shared" si="86"/>
        <v/>
      </c>
      <c r="GF37" s="543" t="str">
        <f t="shared" si="87"/>
        <v/>
      </c>
      <c r="GG37" s="1052"/>
      <c r="GH37" s="1053"/>
      <c r="GI37" s="1052"/>
      <c r="GJ37" s="1053"/>
      <c r="GK37" s="1519">
        <f t="shared" si="88"/>
        <v>0</v>
      </c>
      <c r="GL37" s="1519" t="e">
        <f t="shared" si="89"/>
        <v>#VALUE!</v>
      </c>
      <c r="GM37" s="1520" t="e">
        <f>IF(ABS(GK37-GL37)&gt;=#REF!,ABS(GK37-GL37),0)</f>
        <v>#VALUE!</v>
      </c>
      <c r="GZ37" s="346"/>
      <c r="HA37" s="1266"/>
      <c r="HB37" s="1267"/>
      <c r="HC37" s="1267"/>
      <c r="HD37" s="1268"/>
      <c r="HE37" s="1269"/>
      <c r="HF37" s="1267"/>
      <c r="HG37" s="1267"/>
      <c r="HH37" s="1267"/>
      <c r="HI37" s="1270"/>
      <c r="HJ37" s="1267"/>
      <c r="HK37" s="1267"/>
      <c r="HL37" s="1267"/>
      <c r="HM37" s="1267"/>
      <c r="HN37" s="1267"/>
      <c r="HO37" s="1267"/>
      <c r="HP37" s="1267"/>
      <c r="HQ37" s="1270"/>
      <c r="HR37" s="1267"/>
      <c r="HS37" s="1267"/>
      <c r="HT37" s="1267"/>
      <c r="HU37" s="1267"/>
      <c r="HV37" s="1267"/>
      <c r="HW37" s="1269"/>
      <c r="HX37" s="1269"/>
      <c r="HY37" s="1269"/>
      <c r="HZ37" s="1269"/>
      <c r="IA37" s="1269"/>
      <c r="IB37" s="1269"/>
      <c r="IC37" s="1269"/>
      <c r="ID37" s="1269"/>
      <c r="IE37" s="1269"/>
      <c r="IF37" s="1271"/>
    </row>
    <row r="38" spans="1:240" ht="12.6" customHeight="1" x14ac:dyDescent="0.25">
      <c r="A38" s="1132" t="str">
        <f t="shared" si="1"/>
        <v/>
      </c>
      <c r="B38" s="1586" t="str">
        <f t="shared" si="2"/>
        <v/>
      </c>
      <c r="C38" s="1133" t="str">
        <f t="shared" si="3"/>
        <v/>
      </c>
      <c r="D38" s="1134" t="str">
        <f t="shared" si="95"/>
        <v/>
      </c>
      <c r="E38" s="1644" t="str">
        <f t="shared" si="96"/>
        <v/>
      </c>
      <c r="F38" s="1137" t="str">
        <f t="shared" si="97"/>
        <v/>
      </c>
      <c r="G38" s="1138" t="str">
        <f t="shared" si="98"/>
        <v/>
      </c>
      <c r="H38" s="1645" t="str">
        <f t="shared" si="99"/>
        <v/>
      </c>
      <c r="I38" s="1134" t="str">
        <f t="shared" si="100"/>
        <v/>
      </c>
      <c r="J38" s="1138" t="str">
        <f t="shared" si="101"/>
        <v/>
      </c>
      <c r="K38" s="1646" t="str">
        <f t="shared" si="102"/>
        <v/>
      </c>
      <c r="L38" s="1141" t="str">
        <f t="shared" si="103"/>
        <v/>
      </c>
      <c r="M38" s="1142" t="str">
        <f t="shared" si="104"/>
        <v/>
      </c>
      <c r="N38" s="1137" t="str">
        <f t="shared" si="105"/>
        <v/>
      </c>
      <c r="O38" s="1138" t="str">
        <f t="shared" si="106"/>
        <v/>
      </c>
      <c r="P38" s="1139" t="str">
        <f t="shared" si="107"/>
        <v/>
      </c>
      <c r="Q38" s="1134" t="str">
        <f t="shared" si="108"/>
        <v/>
      </c>
      <c r="R38" s="1138" t="str">
        <f t="shared" si="109"/>
        <v/>
      </c>
      <c r="S38" s="1625" t="str">
        <f t="shared" si="110"/>
        <v/>
      </c>
      <c r="T38" s="1137" t="str">
        <f t="shared" si="111"/>
        <v/>
      </c>
      <c r="U38" s="1138" t="str">
        <f t="shared" si="112"/>
        <v/>
      </c>
      <c r="V38" s="1134" t="str">
        <f t="shared" si="113"/>
        <v/>
      </c>
      <c r="W38" s="1138" t="str">
        <f t="shared" si="114"/>
        <v/>
      </c>
      <c r="X38" s="1622">
        <f t="shared" si="115"/>
        <v>0</v>
      </c>
      <c r="Y38" s="1647" t="str">
        <f t="shared" si="116"/>
        <v/>
      </c>
      <c r="Z38" s="1648" t="str">
        <f t="shared" si="117"/>
        <v/>
      </c>
      <c r="AA38" s="1649" t="str">
        <f t="shared" si="5"/>
        <v/>
      </c>
      <c r="AB38" s="1288"/>
      <c r="AC38" s="898" t="b">
        <v>0</v>
      </c>
      <c r="AD38" s="374">
        <f t="shared" si="6"/>
        <v>0</v>
      </c>
      <c r="AE38" s="375">
        <f t="shared" si="7"/>
        <v>0</v>
      </c>
      <c r="AF38" s="375">
        <f t="shared" si="8"/>
        <v>0</v>
      </c>
      <c r="AG38" s="375">
        <f t="shared" si="9"/>
        <v>0</v>
      </c>
      <c r="AH38" s="376">
        <f t="shared" si="10"/>
        <v>0</v>
      </c>
      <c r="AI38" s="377" t="b">
        <v>0</v>
      </c>
      <c r="AJ38" s="143">
        <f t="shared" si="128"/>
        <v>0</v>
      </c>
      <c r="AK38" s="143" t="str">
        <f t="shared" si="11"/>
        <v/>
      </c>
      <c r="AL38" s="1207" t="str">
        <f t="shared" si="12"/>
        <v/>
      </c>
      <c r="AM38" s="143" t="str">
        <f t="shared" si="13"/>
        <v/>
      </c>
      <c r="AN38" s="143" t="str">
        <f t="shared" si="14"/>
        <v/>
      </c>
      <c r="AO38" s="143" t="str">
        <f t="shared" si="15"/>
        <v/>
      </c>
      <c r="AP38" s="771" t="b">
        <f>IF(ISERROR(AJ38),FALSE,IF(OR(AJ38=0,ISERROR(AL38),ISERROR(AM38),ISERROR(AN38),ISERROR(AO38)),FALSE,IF(AL38&lt;&gt;"",IF(ISERROR(VLOOKUP(SUBSTITUTE(SUBSTITUTE(C38,"R",""),"A",""),#REF!,1,FALSE)),FALSE,TRUE),TRUE)))</f>
        <v>0</v>
      </c>
      <c r="AQ38" s="945" t="e">
        <f t="shared" si="16"/>
        <v>#N/A</v>
      </c>
      <c r="AR38" s="877" t="b">
        <f t="shared" si="92"/>
        <v>0</v>
      </c>
      <c r="AS38" s="945" t="e">
        <f t="shared" si="17"/>
        <v>#N/A</v>
      </c>
      <c r="AT38" s="877" t="b">
        <f t="shared" si="93"/>
        <v>0</v>
      </c>
      <c r="AU38" s="1208" t="str">
        <f t="shared" si="18"/>
        <v/>
      </c>
      <c r="AV38" s="771" t="str">
        <f t="shared" si="19"/>
        <v/>
      </c>
      <c r="AW38" s="771" t="str">
        <f t="shared" si="90"/>
        <v/>
      </c>
      <c r="AX38" s="771" t="str">
        <f t="shared" si="94"/>
        <v/>
      </c>
      <c r="AY38" s="399" t="e">
        <f t="shared" si="20"/>
        <v>#REF!</v>
      </c>
      <c r="AZ38" s="795" t="str">
        <f t="shared" si="91"/>
        <v/>
      </c>
      <c r="BA38" s="496"/>
      <c r="BB38" s="616"/>
      <c r="BC38" s="1567"/>
      <c r="BD38" s="682"/>
      <c r="BE38" s="683"/>
      <c r="BF38" s="684"/>
      <c r="BG38" s="660"/>
      <c r="BH38" s="901"/>
      <c r="BI38" s="902"/>
      <c r="BJ38" s="1508"/>
      <c r="BK38" s="901"/>
      <c r="BL38" s="902"/>
      <c r="BM38" s="1448"/>
      <c r="BN38" s="1449"/>
      <c r="BO38" s="1497" t="str">
        <f>IF(ISERROR(CU38),"",IF(CU38="","",IF(VLOOKUP(BG38,#REF!,10,FALSE)="","","X")))</f>
        <v/>
      </c>
      <c r="BP38" s="1440"/>
      <c r="BQ38" s="1441" t="str">
        <f t="shared" si="21"/>
        <v/>
      </c>
      <c r="BR38" s="1442"/>
      <c r="BS38" s="660"/>
      <c r="BT38" s="901"/>
      <c r="BU38" s="902"/>
      <c r="BV38" s="1508"/>
      <c r="BW38" s="901"/>
      <c r="BX38" s="902"/>
      <c r="BY38" s="1448"/>
      <c r="BZ38" s="1449"/>
      <c r="CA38" s="1497" t="str">
        <f>IF(ISERROR(DE38),"",IF(DE38="","",IF(VLOOKUP(BS38,#REF!,10,FALSE)="","","X")))</f>
        <v/>
      </c>
      <c r="CB38" s="1440"/>
      <c r="CC38" s="1441" t="str">
        <f t="shared" si="22"/>
        <v/>
      </c>
      <c r="CD38" s="1442"/>
      <c r="CE38" s="1453"/>
      <c r="CF38" s="685"/>
      <c r="CG38" s="686"/>
      <c r="CH38" s="586" t="str">
        <f t="shared" si="23"/>
        <v/>
      </c>
      <c r="CI38" s="587" t="str">
        <f t="shared" si="24"/>
        <v/>
      </c>
      <c r="CJ38" s="588" t="str">
        <f t="shared" si="25"/>
        <v/>
      </c>
      <c r="CK38" s="793" t="str">
        <f t="shared" si="26"/>
        <v/>
      </c>
      <c r="CL38" s="788" t="str">
        <f t="shared" si="27"/>
        <v/>
      </c>
      <c r="CM38" s="789" t="str">
        <f t="shared" si="28"/>
        <v/>
      </c>
      <c r="CN38" s="554" t="str">
        <f t="shared" si="29"/>
        <v/>
      </c>
      <c r="CO38" s="555" t="str">
        <f t="shared" si="30"/>
        <v/>
      </c>
      <c r="CP38" s="558" t="str">
        <f t="shared" si="31"/>
        <v/>
      </c>
      <c r="CQ38" s="559" t="str">
        <f t="shared" si="32"/>
        <v/>
      </c>
      <c r="CR38" s="699" t="str">
        <f t="shared" si="33"/>
        <v/>
      </c>
      <c r="CS38" s="700" t="str">
        <f t="shared" si="34"/>
        <v/>
      </c>
      <c r="CU38" s="37" t="str">
        <f>IF(BG38="","",VLOOKUP(BG38,#REF!,12,FALSE))</f>
        <v/>
      </c>
      <c r="CV38" s="38" t="str">
        <f>IF(BG38="","",IF(ISBLANK(BP38),VLOOKUP(BG38,#REF!,13,FALSE),BP38))</f>
        <v/>
      </c>
      <c r="CW38" s="38" t="str">
        <f>IF(BG38="","",IF(VLOOKUP(BG38,#REF!,5,FALSE)="","R",UPPER(VLOOKUP(BG38,#REF!,5,FALSE))))</f>
        <v/>
      </c>
      <c r="CX38" s="756" t="str">
        <f>IF(BG38="","",IF(ISBLANK(BR38),VLOOKUP(BG38,#REF!,6,FALSE),BR38))</f>
        <v/>
      </c>
      <c r="CY38" s="1203" t="str">
        <f>IF(BG38="","",IF(VLOOKUP(BG38,#REF!,10,FALSE)="","",(IF(BO38="X",VLOOKUP(BG38,#REF!,10,FALSE),VALUE(BO38))*-1)))</f>
        <v/>
      </c>
      <c r="CZ38" s="1042" t="str">
        <f>IF(BG38="","",IF(VLOOKUP(BG38,#REF!,11,FALSE)="","2",(VLOOKUP(BG38,#REF!,11,FALSE))))</f>
        <v/>
      </c>
      <c r="DA38" s="38" t="str">
        <f>IF(BG38="","",IF(VLOOKUP(BG38,#REF!,7,FALSE)="","",(VLOOKUP(BG38,#REF!,7,FALSE)*-1)))</f>
        <v/>
      </c>
      <c r="DB38" s="756" t="str">
        <f>IF(BG38="","",IF(VLOOKUP(BG38,#REF!,8,FALSE)="",VLOOKUP(AU38,$DF$2:$DN$9,6,FALSE),(VLOOKUP(BG38,#REF!,8,FALSE))))</f>
        <v/>
      </c>
      <c r="DC38" s="756" t="str">
        <f>IF(BG38="","",VLOOKUP(BG38,#REF!,9,FALSE))</f>
        <v/>
      </c>
      <c r="DD38" s="757">
        <f t="shared" si="35"/>
        <v>0</v>
      </c>
      <c r="DE38" s="758" t="str">
        <f>IF(BS38="","",VLOOKUP(BS38,#REF!,12,FALSE))</f>
        <v/>
      </c>
      <c r="DF38" s="756" t="str">
        <f>IF(BS38="","",IF(ISBLANK(CB38),VLOOKUP(BS38,#REF!,13,FALSE),CB38))</f>
        <v/>
      </c>
      <c r="DG38" s="756" t="str">
        <f>IF(BS38="","",IF(VLOOKUP(BS38,#REF!,5,FALSE)="","R",UPPER(VLOOKUP(BS38,#REF!,5,FALSE))))</f>
        <v/>
      </c>
      <c r="DH38" s="756" t="str">
        <f>IF(BS38="","",IF(ISBLANK(CD38),VLOOKUP(BS38,#REF!,6,FALSE),CD38))</f>
        <v/>
      </c>
      <c r="DI38" s="1203" t="str">
        <f>IF(BS38="","",IF(VLOOKUP(BS38,#REF!,10,FALSE)="","",(IF(CA38="X",VLOOKUP(BS38,#REF!,10,FALSE),VALUE(CA38))*-1)))</f>
        <v/>
      </c>
      <c r="DJ38" s="1042" t="str">
        <f>IF(BS38="","",IF(VLOOKUP(BS38,#REF!,11,FALSE)="","2",(VLOOKUP(BS38,#REF!,11,FALSE))))</f>
        <v/>
      </c>
      <c r="DK38" s="756" t="str">
        <f>IF(BS38="","",IF(VLOOKUP(BS38,#REF!,7,FALSE)="","",(VLOOKUP(BS38,#REF!,7,FALSE)*-1)))</f>
        <v/>
      </c>
      <c r="DL38" s="756" t="str">
        <f>IF(BS38="","",IF(VLOOKUP(BS38,#REF!,8,FALSE)="",VLOOKUP(AU38,$DF$2:$DN$9,6,FALSE),(VLOOKUP(BS38,#REF!,8,FALSE))))</f>
        <v/>
      </c>
      <c r="DM38" s="756" t="str">
        <f>IF(BS38="","",VLOOKUP(BS38,#REF!,9,FALSE))</f>
        <v/>
      </c>
      <c r="DN38" s="757">
        <f t="shared" si="36"/>
        <v>0</v>
      </c>
      <c r="DO38" s="759">
        <f t="shared" si="37"/>
        <v>0</v>
      </c>
      <c r="DP38" s="763" t="str">
        <f t="shared" si="38"/>
        <v/>
      </c>
      <c r="DQ38" s="763" t="str">
        <f t="shared" si="39"/>
        <v/>
      </c>
      <c r="DR38" s="763" t="str">
        <f t="shared" si="40"/>
        <v/>
      </c>
      <c r="DS38" s="762">
        <f t="shared" si="41"/>
        <v>0</v>
      </c>
      <c r="DT38" s="762" t="e">
        <f t="shared" si="42"/>
        <v>#REF!</v>
      </c>
      <c r="DU38" s="762" t="str">
        <f t="shared" si="43"/>
        <v/>
      </c>
      <c r="DV38" s="763" t="str">
        <f t="shared" si="44"/>
        <v/>
      </c>
      <c r="DW38" s="795" t="str">
        <f t="shared" si="45"/>
        <v/>
      </c>
      <c r="DX38" s="926">
        <f t="shared" si="118"/>
        <v>0</v>
      </c>
      <c r="DY38" s="763">
        <f t="shared" si="46"/>
        <v>0</v>
      </c>
      <c r="DZ38" s="762" t="e">
        <f t="shared" si="47"/>
        <v>#REF!</v>
      </c>
      <c r="EA38" s="762" t="str">
        <f t="shared" si="48"/>
        <v/>
      </c>
      <c r="EB38" s="763" t="str">
        <f t="shared" si="119"/>
        <v/>
      </c>
      <c r="EC38" s="795" t="str">
        <f t="shared" si="49"/>
        <v/>
      </c>
      <c r="ED38" s="926">
        <f t="shared" si="120"/>
        <v>0</v>
      </c>
      <c r="EE38" s="1210" t="str">
        <f t="shared" si="50"/>
        <v/>
      </c>
      <c r="EF38" s="763" t="str">
        <f t="shared" si="121"/>
        <v/>
      </c>
      <c r="EG38" s="763" t="str">
        <f t="shared" si="122"/>
        <v/>
      </c>
      <c r="EH38" s="795" t="e">
        <f t="shared" si="51"/>
        <v>#N/A</v>
      </c>
      <c r="EI38" s="795" t="e">
        <f t="shared" si="52"/>
        <v>#N/A</v>
      </c>
      <c r="EJ38" s="763" t="str">
        <f t="shared" si="123"/>
        <v/>
      </c>
      <c r="EK38" s="763" t="str">
        <f t="shared" si="124"/>
        <v/>
      </c>
      <c r="EL38" s="1210" t="str">
        <f t="shared" si="54"/>
        <v/>
      </c>
      <c r="EM38" s="763" t="str">
        <f t="shared" si="125"/>
        <v/>
      </c>
      <c r="EN38" s="763" t="str">
        <f t="shared" si="126"/>
        <v/>
      </c>
      <c r="EO38" s="795" t="e">
        <f t="shared" si="55"/>
        <v>#N/A</v>
      </c>
      <c r="EP38" s="795" t="e">
        <f t="shared" si="56"/>
        <v>#N/A</v>
      </c>
      <c r="EQ38" s="763" t="str">
        <f t="shared" si="57"/>
        <v/>
      </c>
      <c r="ER38" s="763" t="str">
        <f t="shared" si="57"/>
        <v/>
      </c>
      <c r="ES38" s="763" t="str">
        <f t="shared" si="58"/>
        <v/>
      </c>
      <c r="ET38" s="763" t="str">
        <f t="shared" si="59"/>
        <v/>
      </c>
      <c r="EU38" s="770" t="str">
        <f t="shared" si="60"/>
        <v/>
      </c>
      <c r="EV38" s="765" t="str">
        <f t="shared" si="127"/>
        <v/>
      </c>
      <c r="EW38" s="770"/>
      <c r="EX38" s="770" t="str">
        <f>IF(AND(CU38="G", ISBLANK(BK38), ISBLANK(BL38)),VLOOKUP(MIN(BH38:BI38),#REF!,2),IF(OR(CU38="B",CU38="G"),MIN(BK38:BL38),""))</f>
        <v/>
      </c>
      <c r="EY38" s="770" t="str">
        <f>IF(AND(CU38="G", ISBLANK(BK38), ISBLANK(BL38)),VLOOKUP(MAX(BH38:BI38),#REF!,2),IF(OR(CU38="B",CU38="G"),MAX(BK38:BL38),""))</f>
        <v/>
      </c>
      <c r="EZ38" s="770" t="str">
        <f t="shared" si="61"/>
        <v/>
      </c>
      <c r="FA38" s="770" t="str">
        <f>IF(AND(DE38="G", ISBLANK(BW38), ISBLANK(BX38)),VLOOKUP(MIN(BT38:BU38),#REF!,2),IF(OR(DE38="B", DE38="G"),MIN(BW38:BX38),""))</f>
        <v/>
      </c>
      <c r="FB38" s="770" t="str">
        <f>IF(AND(DE38="G", ISBLANK(BW38), ISBLANK(BX38)),VLOOKUP(MAX(BT38:BU38),#REF!,2),IF(OR(DE38="B", DE38="G"),MAX(BW38:BX38),""))</f>
        <v/>
      </c>
      <c r="FC38" s="770" t="str">
        <f t="shared" si="62"/>
        <v/>
      </c>
      <c r="FD38" s="763">
        <f t="shared" si="63"/>
        <v>0</v>
      </c>
      <c r="FE38" s="763">
        <f t="shared" si="64"/>
        <v>0</v>
      </c>
      <c r="FF38" s="762">
        <f t="shared" si="65"/>
        <v>0</v>
      </c>
      <c r="FG38" s="762" t="str">
        <f t="shared" si="66"/>
        <v/>
      </c>
      <c r="FH38" s="763" t="str">
        <f t="shared" si="67"/>
        <v/>
      </c>
      <c r="FI38" s="763">
        <f t="shared" si="68"/>
        <v>0</v>
      </c>
      <c r="FJ38" s="763">
        <f t="shared" si="69"/>
        <v>0</v>
      </c>
      <c r="FK38" s="762">
        <f t="shared" si="70"/>
        <v>0</v>
      </c>
      <c r="FL38" s="762" t="str">
        <f t="shared" si="71"/>
        <v/>
      </c>
      <c r="FM38" s="763" t="str">
        <f t="shared" si="72"/>
        <v/>
      </c>
      <c r="FN38" s="763" t="e">
        <f t="shared" si="73"/>
        <v>#VALUE!</v>
      </c>
      <c r="FO38" s="872" t="e">
        <f t="shared" si="74"/>
        <v>#VALUE!</v>
      </c>
      <c r="FP38" s="872" t="e">
        <f t="shared" si="75"/>
        <v>#VALUE!</v>
      </c>
      <c r="FQ38" s="771" t="e">
        <f t="shared" si="76"/>
        <v>#VALUE!</v>
      </c>
      <c r="FR38" s="772" t="e">
        <f t="shared" si="77"/>
        <v>#VALUE!</v>
      </c>
      <c r="FS38" s="773" t="str">
        <f t="shared" si="78"/>
        <v/>
      </c>
      <c r="FT38" s="774" t="str">
        <f t="shared" si="79"/>
        <v/>
      </c>
      <c r="FU38" s="809">
        <f t="shared" si="80"/>
        <v>0</v>
      </c>
      <c r="FV38" s="810">
        <f t="shared" si="81"/>
        <v>0</v>
      </c>
      <c r="GA38" s="542" t="str">
        <f t="shared" si="82"/>
        <v/>
      </c>
      <c r="GB38" s="562" t="str">
        <f t="shared" si="83"/>
        <v/>
      </c>
      <c r="GC38" s="564" t="str">
        <f t="shared" si="84"/>
        <v/>
      </c>
      <c r="GD38" s="565" t="str">
        <f t="shared" si="85"/>
        <v/>
      </c>
      <c r="GE38" s="563" t="str">
        <f t="shared" si="86"/>
        <v/>
      </c>
      <c r="GF38" s="543" t="str">
        <f t="shared" si="87"/>
        <v/>
      </c>
      <c r="GG38" s="1052"/>
      <c r="GH38" s="1053"/>
      <c r="GI38" s="1052"/>
      <c r="GJ38" s="1053"/>
      <c r="GK38" s="1519">
        <f t="shared" si="88"/>
        <v>0</v>
      </c>
      <c r="GL38" s="1519" t="e">
        <f t="shared" si="89"/>
        <v>#VALUE!</v>
      </c>
      <c r="GM38" s="1520" t="e">
        <f>IF(ABS(GK38-GL38)&gt;=#REF!,ABS(GK38-GL38),0)</f>
        <v>#VALUE!</v>
      </c>
      <c r="GZ38" s="346"/>
      <c r="HA38" s="1266"/>
      <c r="HB38" s="1267"/>
      <c r="HC38" s="1267"/>
      <c r="HD38" s="1268"/>
      <c r="HE38" s="1269"/>
      <c r="HF38" s="1267"/>
      <c r="HG38" s="1267"/>
      <c r="HH38" s="1267"/>
      <c r="HI38" s="1270"/>
      <c r="HJ38" s="1267"/>
      <c r="HK38" s="1267"/>
      <c r="HL38" s="1267"/>
      <c r="HM38" s="1267"/>
      <c r="HN38" s="1267"/>
      <c r="HO38" s="1267"/>
      <c r="HP38" s="1267"/>
      <c r="HQ38" s="1270"/>
      <c r="HR38" s="1267"/>
      <c r="HS38" s="1267"/>
      <c r="HT38" s="1267"/>
      <c r="HU38" s="1267"/>
      <c r="HV38" s="1267"/>
      <c r="HW38" s="1269"/>
      <c r="HX38" s="1269"/>
      <c r="HY38" s="1269"/>
      <c r="HZ38" s="1269"/>
      <c r="IA38" s="1269"/>
      <c r="IB38" s="1269"/>
      <c r="IC38" s="1269"/>
      <c r="ID38" s="1269"/>
      <c r="IE38" s="1269"/>
      <c r="IF38" s="1271"/>
    </row>
    <row r="39" spans="1:240" ht="12.6" customHeight="1" x14ac:dyDescent="0.25">
      <c r="A39" s="1132" t="str">
        <f t="shared" si="1"/>
        <v/>
      </c>
      <c r="B39" s="1586" t="str">
        <f t="shared" si="2"/>
        <v/>
      </c>
      <c r="C39" s="1133" t="str">
        <f t="shared" si="3"/>
        <v/>
      </c>
      <c r="D39" s="1134" t="str">
        <f t="shared" si="95"/>
        <v/>
      </c>
      <c r="E39" s="1644" t="str">
        <f t="shared" si="96"/>
        <v/>
      </c>
      <c r="F39" s="1137" t="str">
        <f t="shared" si="97"/>
        <v/>
      </c>
      <c r="G39" s="1138" t="str">
        <f t="shared" si="98"/>
        <v/>
      </c>
      <c r="H39" s="1645" t="str">
        <f t="shared" si="99"/>
        <v/>
      </c>
      <c r="I39" s="1134" t="str">
        <f t="shared" si="100"/>
        <v/>
      </c>
      <c r="J39" s="1138" t="str">
        <f t="shared" si="101"/>
        <v/>
      </c>
      <c r="K39" s="1646" t="str">
        <f t="shared" si="102"/>
        <v/>
      </c>
      <c r="L39" s="1141" t="str">
        <f t="shared" si="103"/>
        <v/>
      </c>
      <c r="M39" s="1142" t="str">
        <f t="shared" si="104"/>
        <v/>
      </c>
      <c r="N39" s="1137" t="str">
        <f t="shared" si="105"/>
        <v/>
      </c>
      <c r="O39" s="1138" t="str">
        <f t="shared" si="106"/>
        <v/>
      </c>
      <c r="P39" s="1139" t="str">
        <f t="shared" si="107"/>
        <v/>
      </c>
      <c r="Q39" s="1134" t="str">
        <f t="shared" si="108"/>
        <v/>
      </c>
      <c r="R39" s="1138" t="str">
        <f t="shared" si="109"/>
        <v/>
      </c>
      <c r="S39" s="1625" t="str">
        <f t="shared" si="110"/>
        <v/>
      </c>
      <c r="T39" s="1137" t="str">
        <f t="shared" si="111"/>
        <v/>
      </c>
      <c r="U39" s="1138" t="str">
        <f t="shared" si="112"/>
        <v/>
      </c>
      <c r="V39" s="1134" t="str">
        <f t="shared" si="113"/>
        <v/>
      </c>
      <c r="W39" s="1138" t="str">
        <f t="shared" si="114"/>
        <v/>
      </c>
      <c r="X39" s="1622">
        <f t="shared" si="115"/>
        <v>0</v>
      </c>
      <c r="Y39" s="1647" t="str">
        <f t="shared" si="116"/>
        <v/>
      </c>
      <c r="Z39" s="1648" t="str">
        <f t="shared" si="117"/>
        <v/>
      </c>
      <c r="AA39" s="1649" t="str">
        <f t="shared" si="5"/>
        <v/>
      </c>
      <c r="AB39" s="1288"/>
      <c r="AC39" s="898" t="b">
        <v>0</v>
      </c>
      <c r="AD39" s="374">
        <f t="shared" si="6"/>
        <v>0</v>
      </c>
      <c r="AE39" s="375">
        <f t="shared" si="7"/>
        <v>0</v>
      </c>
      <c r="AF39" s="375">
        <f t="shared" si="8"/>
        <v>0</v>
      </c>
      <c r="AG39" s="375">
        <f t="shared" si="9"/>
        <v>0</v>
      </c>
      <c r="AH39" s="376">
        <f t="shared" si="10"/>
        <v>0</v>
      </c>
      <c r="AI39" s="377" t="b">
        <v>0</v>
      </c>
      <c r="AJ39" s="143">
        <f t="shared" si="128"/>
        <v>0</v>
      </c>
      <c r="AK39" s="143" t="str">
        <f t="shared" si="11"/>
        <v/>
      </c>
      <c r="AL39" s="1207" t="str">
        <f t="shared" si="12"/>
        <v/>
      </c>
      <c r="AM39" s="143" t="str">
        <f t="shared" si="13"/>
        <v/>
      </c>
      <c r="AN39" s="143" t="str">
        <f t="shared" si="14"/>
        <v/>
      </c>
      <c r="AO39" s="143" t="str">
        <f t="shared" si="15"/>
        <v/>
      </c>
      <c r="AP39" s="771" t="b">
        <f>IF(ISERROR(AJ39),FALSE,IF(OR(AJ39=0,ISERROR(AL39),ISERROR(AM39),ISERROR(AN39),ISERROR(AO39)),FALSE,IF(AL39&lt;&gt;"",IF(ISERROR(VLOOKUP(SUBSTITUTE(SUBSTITUTE(C39,"R",""),"A",""),#REF!,1,FALSE)),FALSE,TRUE),TRUE)))</f>
        <v>0</v>
      </c>
      <c r="AQ39" s="945" t="e">
        <f t="shared" si="16"/>
        <v>#N/A</v>
      </c>
      <c r="AR39" s="877" t="b">
        <f t="shared" si="92"/>
        <v>0</v>
      </c>
      <c r="AS39" s="945" t="e">
        <f t="shared" si="17"/>
        <v>#N/A</v>
      </c>
      <c r="AT39" s="877" t="b">
        <f t="shared" si="93"/>
        <v>0</v>
      </c>
      <c r="AU39" s="1208" t="str">
        <f t="shared" si="18"/>
        <v/>
      </c>
      <c r="AV39" s="771" t="str">
        <f t="shared" si="19"/>
        <v/>
      </c>
      <c r="AW39" s="771" t="str">
        <f t="shared" si="90"/>
        <v/>
      </c>
      <c r="AX39" s="771" t="str">
        <f t="shared" si="94"/>
        <v/>
      </c>
      <c r="AY39" s="399" t="e">
        <f t="shared" si="20"/>
        <v>#REF!</v>
      </c>
      <c r="AZ39" s="795" t="str">
        <f t="shared" si="91"/>
        <v/>
      </c>
      <c r="BA39" s="496"/>
      <c r="BB39" s="616"/>
      <c r="BC39" s="1567"/>
      <c r="BD39" s="682"/>
      <c r="BE39" s="683"/>
      <c r="BF39" s="684"/>
      <c r="BG39" s="660"/>
      <c r="BH39" s="901"/>
      <c r="BI39" s="902"/>
      <c r="BJ39" s="1508"/>
      <c r="BK39" s="901"/>
      <c r="BL39" s="902"/>
      <c r="BM39" s="1448"/>
      <c r="BN39" s="1449"/>
      <c r="BO39" s="1497" t="str">
        <f>IF(ISERROR(CU39),"",IF(CU39="","",IF(VLOOKUP(BG39,#REF!,10,FALSE)="","","X")))</f>
        <v/>
      </c>
      <c r="BP39" s="1440"/>
      <c r="BQ39" s="1441" t="str">
        <f t="shared" si="21"/>
        <v/>
      </c>
      <c r="BR39" s="1442"/>
      <c r="BS39" s="660"/>
      <c r="BT39" s="901"/>
      <c r="BU39" s="902"/>
      <c r="BV39" s="1508"/>
      <c r="BW39" s="901"/>
      <c r="BX39" s="902"/>
      <c r="BY39" s="1448"/>
      <c r="BZ39" s="1449"/>
      <c r="CA39" s="1497" t="str">
        <f>IF(ISERROR(DE39),"",IF(DE39="","",IF(VLOOKUP(BS39,#REF!,10,FALSE)="","","X")))</f>
        <v/>
      </c>
      <c r="CB39" s="1440"/>
      <c r="CC39" s="1441" t="str">
        <f t="shared" si="22"/>
        <v/>
      </c>
      <c r="CD39" s="1442"/>
      <c r="CE39" s="1453"/>
      <c r="CF39" s="685"/>
      <c r="CG39" s="686"/>
      <c r="CH39" s="586" t="str">
        <f t="shared" si="23"/>
        <v/>
      </c>
      <c r="CI39" s="587" t="str">
        <f t="shared" si="24"/>
        <v/>
      </c>
      <c r="CJ39" s="588" t="str">
        <f t="shared" si="25"/>
        <v/>
      </c>
      <c r="CK39" s="793" t="str">
        <f t="shared" si="26"/>
        <v/>
      </c>
      <c r="CL39" s="788" t="str">
        <f t="shared" si="27"/>
        <v/>
      </c>
      <c r="CM39" s="789" t="str">
        <f t="shared" si="28"/>
        <v/>
      </c>
      <c r="CN39" s="554" t="str">
        <f t="shared" si="29"/>
        <v/>
      </c>
      <c r="CO39" s="555" t="str">
        <f t="shared" si="30"/>
        <v/>
      </c>
      <c r="CP39" s="558" t="str">
        <f t="shared" si="31"/>
        <v/>
      </c>
      <c r="CQ39" s="559" t="str">
        <f t="shared" si="32"/>
        <v/>
      </c>
      <c r="CR39" s="699" t="str">
        <f t="shared" si="33"/>
        <v/>
      </c>
      <c r="CS39" s="700" t="str">
        <f t="shared" si="34"/>
        <v/>
      </c>
      <c r="CU39" s="37" t="str">
        <f>IF(BG39="","",VLOOKUP(BG39,#REF!,12,FALSE))</f>
        <v/>
      </c>
      <c r="CV39" s="38" t="str">
        <f>IF(BG39="","",IF(ISBLANK(BP39),VLOOKUP(BG39,#REF!,13,FALSE),BP39))</f>
        <v/>
      </c>
      <c r="CW39" s="38" t="str">
        <f>IF(BG39="","",IF(VLOOKUP(BG39,#REF!,5,FALSE)="","R",UPPER(VLOOKUP(BG39,#REF!,5,FALSE))))</f>
        <v/>
      </c>
      <c r="CX39" s="756" t="str">
        <f>IF(BG39="","",IF(ISBLANK(BR39),VLOOKUP(BG39,#REF!,6,FALSE),BR39))</f>
        <v/>
      </c>
      <c r="CY39" s="1203" t="str">
        <f>IF(BG39="","",IF(VLOOKUP(BG39,#REF!,10,FALSE)="","",(IF(BO39="X",VLOOKUP(BG39,#REF!,10,FALSE),VALUE(BO39))*-1)))</f>
        <v/>
      </c>
      <c r="CZ39" s="1042" t="str">
        <f>IF(BG39="","",IF(VLOOKUP(BG39,#REF!,11,FALSE)="","2",(VLOOKUP(BG39,#REF!,11,FALSE))))</f>
        <v/>
      </c>
      <c r="DA39" s="38" t="str">
        <f>IF(BG39="","",IF(VLOOKUP(BG39,#REF!,7,FALSE)="","",(VLOOKUP(BG39,#REF!,7,FALSE)*-1)))</f>
        <v/>
      </c>
      <c r="DB39" s="756" t="str">
        <f>IF(BG39="","",IF(VLOOKUP(BG39,#REF!,8,FALSE)="",VLOOKUP(AU39,$DF$2:$DN$9,6,FALSE),(VLOOKUP(BG39,#REF!,8,FALSE))))</f>
        <v/>
      </c>
      <c r="DC39" s="756" t="str">
        <f>IF(BG39="","",VLOOKUP(BG39,#REF!,9,FALSE))</f>
        <v/>
      </c>
      <c r="DD39" s="757">
        <f t="shared" si="35"/>
        <v>0</v>
      </c>
      <c r="DE39" s="758" t="str">
        <f>IF(BS39="","",VLOOKUP(BS39,#REF!,12,FALSE))</f>
        <v/>
      </c>
      <c r="DF39" s="756" t="str">
        <f>IF(BS39="","",IF(ISBLANK(CB39),VLOOKUP(BS39,#REF!,13,FALSE),CB39))</f>
        <v/>
      </c>
      <c r="DG39" s="756" t="str">
        <f>IF(BS39="","",IF(VLOOKUP(BS39,#REF!,5,FALSE)="","R",UPPER(VLOOKUP(BS39,#REF!,5,FALSE))))</f>
        <v/>
      </c>
      <c r="DH39" s="756" t="str">
        <f>IF(BS39="","",IF(ISBLANK(CD39),VLOOKUP(BS39,#REF!,6,FALSE),CD39))</f>
        <v/>
      </c>
      <c r="DI39" s="1203" t="str">
        <f>IF(BS39="","",IF(VLOOKUP(BS39,#REF!,10,FALSE)="","",(IF(CA39="X",VLOOKUP(BS39,#REF!,10,FALSE),VALUE(CA39))*-1)))</f>
        <v/>
      </c>
      <c r="DJ39" s="1042" t="str">
        <f>IF(BS39="","",IF(VLOOKUP(BS39,#REF!,11,FALSE)="","2",(VLOOKUP(BS39,#REF!,11,FALSE))))</f>
        <v/>
      </c>
      <c r="DK39" s="756" t="str">
        <f>IF(BS39="","",IF(VLOOKUP(BS39,#REF!,7,FALSE)="","",(VLOOKUP(BS39,#REF!,7,FALSE)*-1)))</f>
        <v/>
      </c>
      <c r="DL39" s="756" t="str">
        <f>IF(BS39="","",IF(VLOOKUP(BS39,#REF!,8,FALSE)="",VLOOKUP(AU39,$DF$2:$DN$9,6,FALSE),(VLOOKUP(BS39,#REF!,8,FALSE))))</f>
        <v/>
      </c>
      <c r="DM39" s="756" t="str">
        <f>IF(BS39="","",VLOOKUP(BS39,#REF!,9,FALSE))</f>
        <v/>
      </c>
      <c r="DN39" s="757">
        <f t="shared" si="36"/>
        <v>0</v>
      </c>
      <c r="DO39" s="759">
        <f t="shared" si="37"/>
        <v>0</v>
      </c>
      <c r="DP39" s="763" t="str">
        <f t="shared" si="38"/>
        <v/>
      </c>
      <c r="DQ39" s="763" t="str">
        <f t="shared" si="39"/>
        <v/>
      </c>
      <c r="DR39" s="763" t="str">
        <f t="shared" si="40"/>
        <v/>
      </c>
      <c r="DS39" s="762">
        <f t="shared" si="41"/>
        <v>0</v>
      </c>
      <c r="DT39" s="762" t="e">
        <f t="shared" si="42"/>
        <v>#REF!</v>
      </c>
      <c r="DU39" s="762" t="str">
        <f t="shared" si="43"/>
        <v/>
      </c>
      <c r="DV39" s="763" t="str">
        <f t="shared" si="44"/>
        <v/>
      </c>
      <c r="DW39" s="795" t="str">
        <f t="shared" si="45"/>
        <v/>
      </c>
      <c r="DX39" s="926">
        <f t="shared" si="118"/>
        <v>0</v>
      </c>
      <c r="DY39" s="763">
        <f t="shared" si="46"/>
        <v>0</v>
      </c>
      <c r="DZ39" s="762" t="e">
        <f t="shared" si="47"/>
        <v>#REF!</v>
      </c>
      <c r="EA39" s="762" t="str">
        <f t="shared" si="48"/>
        <v/>
      </c>
      <c r="EB39" s="763" t="str">
        <f t="shared" si="119"/>
        <v/>
      </c>
      <c r="EC39" s="795" t="str">
        <f t="shared" si="49"/>
        <v/>
      </c>
      <c r="ED39" s="926">
        <f t="shared" si="120"/>
        <v>0</v>
      </c>
      <c r="EE39" s="1210" t="str">
        <f t="shared" si="50"/>
        <v/>
      </c>
      <c r="EF39" s="763" t="str">
        <f t="shared" si="121"/>
        <v/>
      </c>
      <c r="EG39" s="763" t="str">
        <f t="shared" si="122"/>
        <v/>
      </c>
      <c r="EH39" s="795" t="e">
        <f t="shared" si="51"/>
        <v>#N/A</v>
      </c>
      <c r="EI39" s="795" t="e">
        <f t="shared" si="52"/>
        <v>#N/A</v>
      </c>
      <c r="EJ39" s="763" t="str">
        <f t="shared" si="123"/>
        <v/>
      </c>
      <c r="EK39" s="763" t="str">
        <f t="shared" si="124"/>
        <v/>
      </c>
      <c r="EL39" s="1210" t="str">
        <f t="shared" si="54"/>
        <v/>
      </c>
      <c r="EM39" s="763" t="str">
        <f t="shared" si="125"/>
        <v/>
      </c>
      <c r="EN39" s="763" t="str">
        <f t="shared" si="126"/>
        <v/>
      </c>
      <c r="EO39" s="795" t="e">
        <f t="shared" si="55"/>
        <v>#N/A</v>
      </c>
      <c r="EP39" s="795" t="e">
        <f t="shared" si="56"/>
        <v>#N/A</v>
      </c>
      <c r="EQ39" s="763" t="str">
        <f t="shared" si="57"/>
        <v/>
      </c>
      <c r="ER39" s="763" t="str">
        <f t="shared" si="57"/>
        <v/>
      </c>
      <c r="ES39" s="763" t="str">
        <f t="shared" si="58"/>
        <v/>
      </c>
      <c r="ET39" s="763" t="str">
        <f t="shared" si="59"/>
        <v/>
      </c>
      <c r="EU39" s="770" t="str">
        <f t="shared" si="60"/>
        <v/>
      </c>
      <c r="EV39" s="765" t="str">
        <f t="shared" si="127"/>
        <v/>
      </c>
      <c r="EW39" s="770"/>
      <c r="EX39" s="770" t="str">
        <f>IF(AND(CU39="G", ISBLANK(BK39), ISBLANK(BL39)),VLOOKUP(MIN(BH39:BI39),#REF!,2),IF(OR(CU39="B",CU39="G"),MIN(BK39:BL39),""))</f>
        <v/>
      </c>
      <c r="EY39" s="770" t="str">
        <f>IF(AND(CU39="G", ISBLANK(BK39), ISBLANK(BL39)),VLOOKUP(MAX(BH39:BI39),#REF!,2),IF(OR(CU39="B",CU39="G"),MAX(BK39:BL39),""))</f>
        <v/>
      </c>
      <c r="EZ39" s="770" t="str">
        <f t="shared" si="61"/>
        <v/>
      </c>
      <c r="FA39" s="770" t="str">
        <f>IF(AND(DE39="G", ISBLANK(BW39), ISBLANK(BX39)),VLOOKUP(MIN(BT39:BU39),#REF!,2),IF(OR(DE39="B", DE39="G"),MIN(BW39:BX39),""))</f>
        <v/>
      </c>
      <c r="FB39" s="770" t="str">
        <f>IF(AND(DE39="G", ISBLANK(BW39), ISBLANK(BX39)),VLOOKUP(MAX(BT39:BU39),#REF!,2),IF(OR(DE39="B", DE39="G"),MAX(BW39:BX39),""))</f>
        <v/>
      </c>
      <c r="FC39" s="770" t="str">
        <f t="shared" si="62"/>
        <v/>
      </c>
      <c r="FD39" s="763">
        <f t="shared" si="63"/>
        <v>0</v>
      </c>
      <c r="FE39" s="763">
        <f t="shared" si="64"/>
        <v>0</v>
      </c>
      <c r="FF39" s="762">
        <f t="shared" si="65"/>
        <v>0</v>
      </c>
      <c r="FG39" s="762" t="str">
        <f t="shared" si="66"/>
        <v/>
      </c>
      <c r="FH39" s="763" t="str">
        <f t="shared" si="67"/>
        <v/>
      </c>
      <c r="FI39" s="763">
        <f t="shared" si="68"/>
        <v>0</v>
      </c>
      <c r="FJ39" s="763">
        <f t="shared" si="69"/>
        <v>0</v>
      </c>
      <c r="FK39" s="762">
        <f t="shared" si="70"/>
        <v>0</v>
      </c>
      <c r="FL39" s="762" t="str">
        <f t="shared" si="71"/>
        <v/>
      </c>
      <c r="FM39" s="763" t="str">
        <f t="shared" si="72"/>
        <v/>
      </c>
      <c r="FN39" s="763" t="e">
        <f t="shared" si="73"/>
        <v>#VALUE!</v>
      </c>
      <c r="FO39" s="872" t="e">
        <f t="shared" si="74"/>
        <v>#VALUE!</v>
      </c>
      <c r="FP39" s="872" t="e">
        <f t="shared" si="75"/>
        <v>#VALUE!</v>
      </c>
      <c r="FQ39" s="771" t="e">
        <f t="shared" si="76"/>
        <v>#VALUE!</v>
      </c>
      <c r="FR39" s="772" t="e">
        <f t="shared" si="77"/>
        <v>#VALUE!</v>
      </c>
      <c r="FS39" s="773" t="str">
        <f t="shared" si="78"/>
        <v/>
      </c>
      <c r="FT39" s="774" t="str">
        <f t="shared" si="79"/>
        <v/>
      </c>
      <c r="FU39" s="809">
        <f t="shared" si="80"/>
        <v>0</v>
      </c>
      <c r="FV39" s="810">
        <f t="shared" si="81"/>
        <v>0</v>
      </c>
      <c r="GA39" s="542" t="str">
        <f t="shared" si="82"/>
        <v/>
      </c>
      <c r="GB39" s="562" t="str">
        <f t="shared" si="83"/>
        <v/>
      </c>
      <c r="GC39" s="564" t="str">
        <f t="shared" si="84"/>
        <v/>
      </c>
      <c r="GD39" s="565" t="str">
        <f t="shared" si="85"/>
        <v/>
      </c>
      <c r="GE39" s="563" t="str">
        <f t="shared" si="86"/>
        <v/>
      </c>
      <c r="GF39" s="543" t="str">
        <f t="shared" si="87"/>
        <v/>
      </c>
      <c r="GG39" s="1052"/>
      <c r="GH39" s="1053"/>
      <c r="GI39" s="1052"/>
      <c r="GJ39" s="1053"/>
      <c r="GK39" s="1519">
        <f t="shared" si="88"/>
        <v>0</v>
      </c>
      <c r="GL39" s="1519" t="e">
        <f t="shared" si="89"/>
        <v>#VALUE!</v>
      </c>
      <c r="GM39" s="1520" t="e">
        <f>IF(ABS(GK39-GL39)&gt;=#REF!,ABS(GK39-GL39),0)</f>
        <v>#VALUE!</v>
      </c>
      <c r="GZ39" s="346"/>
      <c r="HA39" s="1266"/>
      <c r="HB39" s="1267"/>
      <c r="HC39" s="1267"/>
      <c r="HD39" s="1268"/>
      <c r="HE39" s="1269"/>
      <c r="HF39" s="1267"/>
      <c r="HG39" s="1267"/>
      <c r="HH39" s="1267"/>
      <c r="HI39" s="1270"/>
      <c r="HJ39" s="1267"/>
      <c r="HK39" s="1267"/>
      <c r="HL39" s="1267"/>
      <c r="HM39" s="1267"/>
      <c r="HN39" s="1267"/>
      <c r="HO39" s="1267"/>
      <c r="HP39" s="1267"/>
      <c r="HQ39" s="1270"/>
      <c r="HR39" s="1267"/>
      <c r="HS39" s="1267"/>
      <c r="HT39" s="1267"/>
      <c r="HU39" s="1267"/>
      <c r="HV39" s="1267"/>
      <c r="HW39" s="1269"/>
      <c r="HX39" s="1269"/>
      <c r="HY39" s="1269"/>
      <c r="HZ39" s="1269"/>
      <c r="IA39" s="1269"/>
      <c r="IB39" s="1269"/>
      <c r="IC39" s="1269"/>
      <c r="ID39" s="1269"/>
      <c r="IE39" s="1269"/>
      <c r="IF39" s="1271"/>
    </row>
    <row r="40" spans="1:240" ht="12.6" customHeight="1" thickBot="1" x14ac:dyDescent="0.3">
      <c r="A40" s="1588" t="str">
        <f t="shared" si="1"/>
        <v/>
      </c>
      <c r="B40" s="1589" t="str">
        <f t="shared" si="2"/>
        <v/>
      </c>
      <c r="C40" s="1590" t="str">
        <f t="shared" si="3"/>
        <v/>
      </c>
      <c r="D40" s="1591" t="str">
        <f t="shared" si="95"/>
        <v/>
      </c>
      <c r="E40" s="1650" t="str">
        <f t="shared" si="96"/>
        <v/>
      </c>
      <c r="F40" s="1594" t="str">
        <f t="shared" si="97"/>
        <v/>
      </c>
      <c r="G40" s="1595" t="str">
        <f t="shared" si="98"/>
        <v/>
      </c>
      <c r="H40" s="1651" t="str">
        <f t="shared" si="99"/>
        <v/>
      </c>
      <c r="I40" s="1591" t="str">
        <f t="shared" si="100"/>
        <v/>
      </c>
      <c r="J40" s="1595" t="str">
        <f t="shared" si="101"/>
        <v/>
      </c>
      <c r="K40" s="1652" t="str">
        <f t="shared" si="102"/>
        <v/>
      </c>
      <c r="L40" s="1598" t="str">
        <f t="shared" si="103"/>
        <v/>
      </c>
      <c r="M40" s="1599" t="str">
        <f t="shared" si="104"/>
        <v/>
      </c>
      <c r="N40" s="1594" t="str">
        <f t="shared" si="105"/>
        <v/>
      </c>
      <c r="O40" s="1595" t="str">
        <f t="shared" si="106"/>
        <v/>
      </c>
      <c r="P40" s="1596" t="str">
        <f t="shared" si="107"/>
        <v/>
      </c>
      <c r="Q40" s="1591" t="str">
        <f t="shared" si="108"/>
        <v/>
      </c>
      <c r="R40" s="1595" t="str">
        <f t="shared" si="109"/>
        <v/>
      </c>
      <c r="S40" s="1632" t="str">
        <f t="shared" si="110"/>
        <v/>
      </c>
      <c r="T40" s="1594" t="str">
        <f t="shared" si="111"/>
        <v/>
      </c>
      <c r="U40" s="1595" t="str">
        <f t="shared" si="112"/>
        <v/>
      </c>
      <c r="V40" s="1591" t="str">
        <f t="shared" si="113"/>
        <v/>
      </c>
      <c r="W40" s="1595" t="str">
        <f t="shared" si="114"/>
        <v/>
      </c>
      <c r="X40" s="1629">
        <f t="shared" si="115"/>
        <v>0</v>
      </c>
      <c r="Y40" s="1653" t="str">
        <f t="shared" si="116"/>
        <v/>
      </c>
      <c r="Z40" s="1654" t="str">
        <f t="shared" si="117"/>
        <v/>
      </c>
      <c r="AA40" s="1655" t="str">
        <f t="shared" si="5"/>
        <v/>
      </c>
      <c r="AB40" s="1288"/>
      <c r="AC40" s="898" t="b">
        <v>0</v>
      </c>
      <c r="AD40" s="374">
        <f t="shared" si="6"/>
        <v>0</v>
      </c>
      <c r="AE40" s="375">
        <f t="shared" si="7"/>
        <v>0</v>
      </c>
      <c r="AF40" s="375">
        <f t="shared" si="8"/>
        <v>0</v>
      </c>
      <c r="AG40" s="375">
        <f t="shared" si="9"/>
        <v>0</v>
      </c>
      <c r="AH40" s="376">
        <f t="shared" si="10"/>
        <v>0</v>
      </c>
      <c r="AI40" s="377" t="b">
        <v>0</v>
      </c>
      <c r="AJ40" s="143">
        <f t="shared" si="128"/>
        <v>0</v>
      </c>
      <c r="AK40" s="143" t="str">
        <f t="shared" si="11"/>
        <v/>
      </c>
      <c r="AL40" s="1207" t="str">
        <f t="shared" si="12"/>
        <v/>
      </c>
      <c r="AM40" s="143" t="str">
        <f t="shared" si="13"/>
        <v/>
      </c>
      <c r="AN40" s="143" t="str">
        <f t="shared" si="14"/>
        <v/>
      </c>
      <c r="AO40" s="143" t="str">
        <f t="shared" si="15"/>
        <v/>
      </c>
      <c r="AP40" s="771" t="b">
        <f>IF(ISERROR(AJ40),FALSE,IF(OR(AJ40=0,ISERROR(AL40),ISERROR(AM40),ISERROR(AN40),ISERROR(AO40)),FALSE,IF(AL40&lt;&gt;"",IF(ISERROR(VLOOKUP(SUBSTITUTE(SUBSTITUTE(C40,"R",""),"A",""),#REF!,1,FALSE)),FALSE,TRUE),TRUE)))</f>
        <v>0</v>
      </c>
      <c r="AQ40" s="945" t="e">
        <f t="shared" si="16"/>
        <v>#N/A</v>
      </c>
      <c r="AR40" s="877" t="b">
        <f t="shared" si="92"/>
        <v>0</v>
      </c>
      <c r="AS40" s="945" t="e">
        <f t="shared" si="17"/>
        <v>#N/A</v>
      </c>
      <c r="AT40" s="877" t="b">
        <f t="shared" si="93"/>
        <v>0</v>
      </c>
      <c r="AU40" s="1208" t="str">
        <f t="shared" si="18"/>
        <v/>
      </c>
      <c r="AV40" s="771" t="str">
        <f t="shared" si="19"/>
        <v/>
      </c>
      <c r="AW40" s="771" t="str">
        <f t="shared" si="90"/>
        <v/>
      </c>
      <c r="AX40" s="771" t="str">
        <f t="shared" si="94"/>
        <v/>
      </c>
      <c r="AY40" s="399" t="e">
        <f t="shared" si="20"/>
        <v>#REF!</v>
      </c>
      <c r="AZ40" s="795" t="str">
        <f t="shared" si="91"/>
        <v/>
      </c>
      <c r="BA40" s="496"/>
      <c r="BB40" s="626"/>
      <c r="BC40" s="1568"/>
      <c r="BD40" s="748"/>
      <c r="BE40" s="749"/>
      <c r="BF40" s="750"/>
      <c r="BG40" s="666"/>
      <c r="BH40" s="904"/>
      <c r="BI40" s="905"/>
      <c r="BJ40" s="1509"/>
      <c r="BK40" s="904"/>
      <c r="BL40" s="905"/>
      <c r="BM40" s="1450"/>
      <c r="BN40" s="1451"/>
      <c r="BO40" s="1498" t="str">
        <f>IF(ISERROR(CU40),"",IF(CU40="","",IF(VLOOKUP(BG40,#REF!,10,FALSE)="","","X")))</f>
        <v/>
      </c>
      <c r="BP40" s="1443"/>
      <c r="BQ40" s="1444" t="str">
        <f t="shared" si="21"/>
        <v/>
      </c>
      <c r="BR40" s="1445"/>
      <c r="BS40" s="666"/>
      <c r="BT40" s="904"/>
      <c r="BU40" s="905"/>
      <c r="BV40" s="1509"/>
      <c r="BW40" s="904"/>
      <c r="BX40" s="905"/>
      <c r="BY40" s="1450"/>
      <c r="BZ40" s="1451"/>
      <c r="CA40" s="1498" t="str">
        <f>IF(ISERROR(DE40),"",IF(DE40="","",IF(VLOOKUP(BS40,#REF!,10,FALSE)="","","X")))</f>
        <v/>
      </c>
      <c r="CB40" s="1443"/>
      <c r="CC40" s="1444" t="str">
        <f t="shared" si="22"/>
        <v/>
      </c>
      <c r="CD40" s="1445"/>
      <c r="CE40" s="1454"/>
      <c r="CF40" s="688"/>
      <c r="CG40" s="689"/>
      <c r="CH40" s="743" t="str">
        <f t="shared" si="23"/>
        <v/>
      </c>
      <c r="CI40" s="744" t="str">
        <f t="shared" si="24"/>
        <v/>
      </c>
      <c r="CJ40" s="745" t="str">
        <f t="shared" si="25"/>
        <v/>
      </c>
      <c r="CK40" s="794" t="str">
        <f t="shared" si="26"/>
        <v/>
      </c>
      <c r="CL40" s="790" t="str">
        <f t="shared" si="27"/>
        <v/>
      </c>
      <c r="CM40" s="791" t="str">
        <f t="shared" si="28"/>
        <v/>
      </c>
      <c r="CN40" s="746" t="str">
        <f t="shared" si="29"/>
        <v/>
      </c>
      <c r="CO40" s="747" t="str">
        <f t="shared" si="30"/>
        <v/>
      </c>
      <c r="CP40" s="560" t="str">
        <f t="shared" si="31"/>
        <v/>
      </c>
      <c r="CQ40" s="561" t="str">
        <f t="shared" si="32"/>
        <v/>
      </c>
      <c r="CR40" s="701" t="str">
        <f t="shared" si="33"/>
        <v/>
      </c>
      <c r="CS40" s="702" t="str">
        <f t="shared" si="34"/>
        <v/>
      </c>
      <c r="CU40" s="118" t="str">
        <f>IF(BG40="","",VLOOKUP(BG40,#REF!,12,FALSE))</f>
        <v/>
      </c>
      <c r="CV40" s="119" t="str">
        <f>IF(BG40="","",IF(ISBLANK(BP40),VLOOKUP(BG40,#REF!,13,FALSE),BP40))</f>
        <v/>
      </c>
      <c r="CW40" s="119" t="str">
        <f>IF(BG40="","",IF(VLOOKUP(BG40,#REF!,5,FALSE)="","R",UPPER(VLOOKUP(BG40,#REF!,5,FALSE))))</f>
        <v/>
      </c>
      <c r="CX40" s="775" t="str">
        <f>IF(BG40="","",IF(ISBLANK(BR40),VLOOKUP(BG40,#REF!,6,FALSE),BR40))</f>
        <v/>
      </c>
      <c r="CY40" s="1204" t="str">
        <f>IF(BG40="","",IF(VLOOKUP(BG40,#REF!,10,FALSE)="","",(IF(BO40="X",VLOOKUP(BG40,#REF!,10,FALSE),VALUE(BO40))*-1)))</f>
        <v/>
      </c>
      <c r="CZ40" s="1043" t="str">
        <f>IF(BG40="","",IF(VLOOKUP(BG40,#REF!,11,FALSE)="","2",(VLOOKUP(BG40,#REF!,11,FALSE))))</f>
        <v/>
      </c>
      <c r="DA40" s="119" t="str">
        <f>IF(BG40="","",IF(VLOOKUP(BG40,#REF!,7,FALSE)="","",(VLOOKUP(BG40,#REF!,7,FALSE)*-1)))</f>
        <v/>
      </c>
      <c r="DB40" s="775" t="str">
        <f>IF(BG40="","",IF(VLOOKUP(BG40,#REF!,8,FALSE)="",VLOOKUP(AU40,$DF$2:$DN$9,6,FALSE),(VLOOKUP(BG40,#REF!,8,FALSE))))</f>
        <v/>
      </c>
      <c r="DC40" s="775" t="str">
        <f>IF(BG40="","",VLOOKUP(BG40,#REF!,9,FALSE))</f>
        <v/>
      </c>
      <c r="DD40" s="776">
        <f t="shared" si="35"/>
        <v>0</v>
      </c>
      <c r="DE40" s="777" t="str">
        <f>IF(BS40="","",VLOOKUP(BS40,#REF!,12,FALSE))</f>
        <v/>
      </c>
      <c r="DF40" s="775" t="str">
        <f>IF(BS40="","",IF(ISBLANK(CB40),VLOOKUP(BS40,#REF!,13,FALSE),CB40))</f>
        <v/>
      </c>
      <c r="DG40" s="775" t="str">
        <f>IF(BS40="","",IF(VLOOKUP(BS40,#REF!,5,FALSE)="","R",UPPER(VLOOKUP(BS40,#REF!,5,FALSE))))</f>
        <v/>
      </c>
      <c r="DH40" s="775" t="str">
        <f>IF(BS40="","",IF(ISBLANK(CD40),VLOOKUP(BS40,#REF!,6,FALSE),CD40))</f>
        <v/>
      </c>
      <c r="DI40" s="1204" t="str">
        <f>IF(BS40="","",IF(VLOOKUP(BS40,#REF!,10,FALSE)="","",(IF(CA40="X",VLOOKUP(BS40,#REF!,10,FALSE),VALUE(CA40))*-1)))</f>
        <v/>
      </c>
      <c r="DJ40" s="1043" t="str">
        <f>IF(BS40="","",IF(VLOOKUP(BS40,#REF!,11,FALSE)="","2",(VLOOKUP(BS40,#REF!,11,FALSE))))</f>
        <v/>
      </c>
      <c r="DK40" s="775" t="str">
        <f>IF(BS40="","",IF(VLOOKUP(BS40,#REF!,7,FALSE)="","",(VLOOKUP(BS40,#REF!,7,FALSE)*-1)))</f>
        <v/>
      </c>
      <c r="DL40" s="775" t="str">
        <f>IF(BS40="","",IF(VLOOKUP(BS40,#REF!,8,FALSE)="",VLOOKUP(AU40,$DF$2:$DN$9,6,FALSE),(VLOOKUP(BS40,#REF!,8,FALSE))))</f>
        <v/>
      </c>
      <c r="DM40" s="775" t="str">
        <f>IF(BS40="","",VLOOKUP(BS40,#REF!,9,FALSE))</f>
        <v/>
      </c>
      <c r="DN40" s="776">
        <f t="shared" si="36"/>
        <v>0</v>
      </c>
      <c r="DO40" s="778">
        <f t="shared" si="37"/>
        <v>0</v>
      </c>
      <c r="DP40" s="779" t="str">
        <f t="shared" si="38"/>
        <v/>
      </c>
      <c r="DQ40" s="779" t="str">
        <f t="shared" si="39"/>
        <v/>
      </c>
      <c r="DR40" s="779" t="str">
        <f t="shared" si="40"/>
        <v/>
      </c>
      <c r="DS40" s="780">
        <f t="shared" si="41"/>
        <v>0</v>
      </c>
      <c r="DT40" s="780" t="e">
        <f t="shared" si="42"/>
        <v>#REF!</v>
      </c>
      <c r="DU40" s="780" t="str">
        <f t="shared" si="43"/>
        <v/>
      </c>
      <c r="DV40" s="779" t="str">
        <f t="shared" si="44"/>
        <v/>
      </c>
      <c r="DW40" s="1049" t="str">
        <f t="shared" si="45"/>
        <v/>
      </c>
      <c r="DX40" s="927">
        <f t="shared" si="118"/>
        <v>0</v>
      </c>
      <c r="DY40" s="779">
        <f t="shared" si="46"/>
        <v>0</v>
      </c>
      <c r="DZ40" s="780" t="e">
        <f t="shared" si="47"/>
        <v>#REF!</v>
      </c>
      <c r="EA40" s="780" t="str">
        <f t="shared" si="48"/>
        <v/>
      </c>
      <c r="EB40" s="779" t="str">
        <f t="shared" si="119"/>
        <v/>
      </c>
      <c r="EC40" s="1049" t="str">
        <f t="shared" si="49"/>
        <v/>
      </c>
      <c r="ED40" s="927">
        <f t="shared" si="120"/>
        <v>0</v>
      </c>
      <c r="EE40" s="1211" t="str">
        <f t="shared" si="50"/>
        <v/>
      </c>
      <c r="EF40" s="779" t="str">
        <f t="shared" si="121"/>
        <v/>
      </c>
      <c r="EG40" s="779" t="str">
        <f t="shared" si="122"/>
        <v/>
      </c>
      <c r="EH40" s="795" t="e">
        <f t="shared" si="51"/>
        <v>#N/A</v>
      </c>
      <c r="EI40" s="795" t="e">
        <f t="shared" si="52"/>
        <v>#N/A</v>
      </c>
      <c r="EJ40" s="779" t="str">
        <f t="shared" si="123"/>
        <v/>
      </c>
      <c r="EK40" s="779" t="str">
        <f t="shared" si="124"/>
        <v/>
      </c>
      <c r="EL40" s="1211" t="str">
        <f t="shared" si="54"/>
        <v/>
      </c>
      <c r="EM40" s="779" t="str">
        <f t="shared" si="125"/>
        <v/>
      </c>
      <c r="EN40" s="779" t="str">
        <f t="shared" si="126"/>
        <v/>
      </c>
      <c r="EO40" s="795" t="e">
        <f t="shared" si="55"/>
        <v>#N/A</v>
      </c>
      <c r="EP40" s="795" t="e">
        <f t="shared" si="56"/>
        <v>#N/A</v>
      </c>
      <c r="EQ40" s="779" t="str">
        <f t="shared" si="57"/>
        <v/>
      </c>
      <c r="ER40" s="779" t="str">
        <f t="shared" si="57"/>
        <v/>
      </c>
      <c r="ES40" s="779" t="str">
        <f t="shared" si="58"/>
        <v/>
      </c>
      <c r="ET40" s="779" t="str">
        <f t="shared" si="59"/>
        <v/>
      </c>
      <c r="EU40" s="781" t="str">
        <f t="shared" si="60"/>
        <v/>
      </c>
      <c r="EV40" s="888" t="str">
        <f t="shared" si="127"/>
        <v/>
      </c>
      <c r="EW40" s="781"/>
      <c r="EX40" s="781" t="str">
        <f>IF(AND(CU40="G", ISBLANK(BK40), ISBLANK(BL40)),VLOOKUP(MIN(BH40:BI40),#REF!,2),IF(OR(CU40="B",CU40="G"),MIN(BK40:BL40),""))</f>
        <v/>
      </c>
      <c r="EY40" s="781" t="str">
        <f>IF(AND(CU40="G", ISBLANK(BK40), ISBLANK(BL40)),VLOOKUP(MAX(BH40:BI40),#REF!,2),IF(OR(CU40="B",CU40="G"),MAX(BK40:BL40),""))</f>
        <v/>
      </c>
      <c r="EZ40" s="781" t="str">
        <f t="shared" si="61"/>
        <v/>
      </c>
      <c r="FA40" s="781" t="str">
        <f>IF(AND(DE40="G", ISBLANK(BW40), ISBLANK(BX40)),VLOOKUP(MIN(BT40:BU40),#REF!,2),IF(OR(DE40="B", DE40="G"),MIN(BW40:BX40),""))</f>
        <v/>
      </c>
      <c r="FB40" s="781" t="str">
        <f>IF(AND(DE40="G", ISBLANK(BW40), ISBLANK(BX40)),VLOOKUP(MAX(BT40:BU40),#REF!,2),IF(OR(DE40="B", DE40="G"),MAX(BW40:BX40),""))</f>
        <v/>
      </c>
      <c r="FC40" s="781" t="str">
        <f t="shared" si="62"/>
        <v/>
      </c>
      <c r="FD40" s="779">
        <f t="shared" si="63"/>
        <v>0</v>
      </c>
      <c r="FE40" s="779">
        <f t="shared" si="64"/>
        <v>0</v>
      </c>
      <c r="FF40" s="780">
        <f t="shared" si="65"/>
        <v>0</v>
      </c>
      <c r="FG40" s="780" t="str">
        <f t="shared" si="66"/>
        <v/>
      </c>
      <c r="FH40" s="779" t="str">
        <f t="shared" si="67"/>
        <v/>
      </c>
      <c r="FI40" s="779">
        <f t="shared" si="68"/>
        <v>0</v>
      </c>
      <c r="FJ40" s="779">
        <f t="shared" si="69"/>
        <v>0</v>
      </c>
      <c r="FK40" s="780">
        <f t="shared" si="70"/>
        <v>0</v>
      </c>
      <c r="FL40" s="780" t="str">
        <f t="shared" si="71"/>
        <v/>
      </c>
      <c r="FM40" s="779" t="str">
        <f t="shared" si="72"/>
        <v/>
      </c>
      <c r="FN40" s="779" t="e">
        <f t="shared" si="73"/>
        <v>#VALUE!</v>
      </c>
      <c r="FO40" s="1261" t="e">
        <f t="shared" si="74"/>
        <v>#VALUE!</v>
      </c>
      <c r="FP40" s="1261" t="e">
        <f t="shared" si="75"/>
        <v>#VALUE!</v>
      </c>
      <c r="FQ40" s="782" t="e">
        <f t="shared" si="76"/>
        <v>#VALUE!</v>
      </c>
      <c r="FR40" s="783" t="e">
        <f t="shared" si="77"/>
        <v>#VALUE!</v>
      </c>
      <c r="FS40" s="784" t="str">
        <f t="shared" si="78"/>
        <v/>
      </c>
      <c r="FT40" s="785" t="str">
        <f t="shared" si="79"/>
        <v/>
      </c>
      <c r="FU40" s="931">
        <f t="shared" si="80"/>
        <v>0</v>
      </c>
      <c r="FV40" s="932">
        <f t="shared" si="81"/>
        <v>0</v>
      </c>
      <c r="GA40" s="542" t="str">
        <f t="shared" si="82"/>
        <v/>
      </c>
      <c r="GB40" s="562" t="str">
        <f t="shared" si="83"/>
        <v/>
      </c>
      <c r="GC40" s="564" t="str">
        <f t="shared" si="84"/>
        <v/>
      </c>
      <c r="GD40" s="565" t="str">
        <f t="shared" si="85"/>
        <v/>
      </c>
      <c r="GE40" s="563" t="str">
        <f t="shared" si="86"/>
        <v/>
      </c>
      <c r="GF40" s="543" t="str">
        <f t="shared" si="87"/>
        <v/>
      </c>
      <c r="GG40" s="1054"/>
      <c r="GH40" s="1055"/>
      <c r="GI40" s="1054"/>
      <c r="GJ40" s="1055"/>
      <c r="GK40" s="1519">
        <f t="shared" si="88"/>
        <v>0</v>
      </c>
      <c r="GL40" s="1519" t="e">
        <f t="shared" si="89"/>
        <v>#VALUE!</v>
      </c>
      <c r="GM40" s="1520" t="e">
        <f>IF(ABS(GK40-GL40)&gt;=#REF!,ABS(GK40-GL40),0)</f>
        <v>#VALUE!</v>
      </c>
      <c r="GZ40" s="346"/>
      <c r="HA40" s="1272"/>
      <c r="HB40" s="1273"/>
      <c r="HC40" s="1273"/>
      <c r="HD40" s="1274"/>
      <c r="HE40" s="1275"/>
      <c r="HF40" s="1273"/>
      <c r="HG40" s="1273"/>
      <c r="HH40" s="1273"/>
      <c r="HI40" s="1276"/>
      <c r="HJ40" s="1273"/>
      <c r="HK40" s="1273"/>
      <c r="HL40" s="1273"/>
      <c r="HM40" s="1273"/>
      <c r="HN40" s="1273"/>
      <c r="HO40" s="1273"/>
      <c r="HP40" s="1273"/>
      <c r="HQ40" s="1276"/>
      <c r="HR40" s="1273"/>
      <c r="HS40" s="1273"/>
      <c r="HT40" s="1273"/>
      <c r="HU40" s="1273"/>
      <c r="HV40" s="1273"/>
      <c r="HW40" s="1275"/>
      <c r="HX40" s="1275"/>
      <c r="HY40" s="1275"/>
      <c r="HZ40" s="1275"/>
      <c r="IA40" s="1275"/>
      <c r="IB40" s="1275"/>
      <c r="IC40" s="1275"/>
      <c r="ID40" s="1275"/>
      <c r="IE40" s="1275"/>
      <c r="IF40" s="1277"/>
    </row>
    <row r="41" spans="1:240" ht="15" customHeight="1" thickTop="1" thickBot="1" x14ac:dyDescent="0.25">
      <c r="A41" s="1066"/>
      <c r="B41" s="1066"/>
      <c r="C41" s="1066"/>
      <c r="D41" s="1066"/>
      <c r="E41" s="1066"/>
      <c r="F41" s="1066"/>
      <c r="G41" s="1066"/>
      <c r="H41" s="1066"/>
      <c r="I41" s="1066"/>
      <c r="J41" s="1066"/>
      <c r="K41" s="1066"/>
      <c r="L41" s="1066"/>
      <c r="M41" s="1066"/>
      <c r="N41" s="1066"/>
      <c r="O41" s="1066"/>
      <c r="P41" s="1066"/>
      <c r="Q41" s="1066"/>
      <c r="R41" s="1066"/>
      <c r="S41" s="1066"/>
      <c r="T41" s="1066"/>
      <c r="U41" s="1066"/>
      <c r="V41" s="1066"/>
      <c r="W41" s="1066"/>
      <c r="X41" s="1066"/>
      <c r="Y41" s="1066"/>
      <c r="Z41" s="1066"/>
      <c r="AA41" s="1066"/>
      <c r="AD41" s="385">
        <f>SUM(AD23:AD40)</f>
        <v>0</v>
      </c>
      <c r="AE41" s="386">
        <f>SUM(AE23:AE40)</f>
        <v>0</v>
      </c>
      <c r="AF41" s="386">
        <f>SUM(AF23:AF40)</f>
        <v>0</v>
      </c>
      <c r="AG41" s="386">
        <f>SUM(AG23:AG40)</f>
        <v>0</v>
      </c>
      <c r="AH41" s="387">
        <f>SUM(AH23:AH40)</f>
        <v>0</v>
      </c>
      <c r="BA41" s="303"/>
      <c r="CH41" s="303"/>
      <c r="CI41" s="303"/>
      <c r="CJ41" s="303"/>
      <c r="CK41" s="303"/>
      <c r="CL41" s="303"/>
      <c r="CM41" s="303"/>
      <c r="CN41" s="155"/>
      <c r="CO41" s="155"/>
      <c r="CP41" s="303"/>
      <c r="DK41" s="388"/>
      <c r="EO41" s="928"/>
      <c r="EP41" s="928"/>
      <c r="FU41" s="388"/>
      <c r="FV41" s="388"/>
      <c r="GA41" s="388"/>
      <c r="GB41" s="388"/>
      <c r="GC41" s="388"/>
      <c r="GD41" s="388"/>
      <c r="GE41" s="388"/>
      <c r="GF41" s="388"/>
      <c r="HA41" s="148"/>
      <c r="HB41" s="148"/>
      <c r="HC41" s="148"/>
      <c r="HD41" s="149"/>
      <c r="HE41" s="158"/>
      <c r="HF41" s="148"/>
      <c r="HG41" s="148"/>
      <c r="HH41" s="148"/>
      <c r="HI41" s="148"/>
      <c r="HJ41" s="148"/>
      <c r="HK41" s="148"/>
      <c r="HL41" s="148"/>
      <c r="HM41" s="148"/>
      <c r="HN41" s="148"/>
      <c r="HO41" s="148"/>
      <c r="HP41" s="148"/>
      <c r="HQ41" s="148"/>
      <c r="HR41" s="148"/>
      <c r="HS41" s="148"/>
      <c r="HT41" s="148"/>
      <c r="HU41" s="148"/>
      <c r="HV41" s="148"/>
      <c r="HW41" s="148"/>
      <c r="HX41" s="148"/>
    </row>
    <row r="42" spans="1:240" ht="15" customHeight="1" x14ac:dyDescent="0.2">
      <c r="EB42" s="935"/>
    </row>
    <row r="43" spans="1:240" ht="15" customHeight="1" x14ac:dyDescent="0.2">
      <c r="AZ43" s="707"/>
      <c r="CH43" s="447"/>
      <c r="EB43" s="935"/>
      <c r="EF43" s="795" t="str">
        <f>IF(EE43="ERR","ERR",IF(EE43="","",IF(DB43*TAN(DS43)&lt;=(VLOOKUP(AU43,$DF$2:$DN$9,8,FALSE)-(VLOOKUP(AU43,$DF$2:$DN$9,7,FALSE)-0.0625)),CV43-(EE43-FH43)/IF(OR(CU43="C",AND(CU43="M",$DD$1="N")),1,COS(DS43))-IF(OR(MID(CW43,1,1)="R",CW43="Q"),0,DW43),(ABS(EE43-FH43)/IF(OR(CU43="C",AND(CU43="M",$DD$1="N")),1,COS(DS43))+CV43)-((DB43/2)*TAN(DS43))-IF(OR(MID(CW43,1,1)="R",CW43="Q"),0,DW43))))</f>
        <v/>
      </c>
      <c r="EG43" s="795" t="str">
        <f>IF(EE43="ERR","ERR",IF(EE43="","",IF(DB43*TAN(DS43)&lt;=(VLOOKUP(AU43,$DF$2:$DN$9,8,FALSE)-(VLOOKUP(AU43,$DF$2:$DN$9,7,FALSE)-0.0625)),CV43-(EE43-FH43)/IF(OR(CU43="C",AND(CU43="M",$DD$1="N")),1,COS(DS43))-IF(OR(MID(CW43,1,1)="R",CW43="Q"),0,DW43),(ABS(EE43-FH43)/IF(OR(CU43="C",AND(CU43="M",$DD$1="N")),1,COS(DS43))+CV43)+((DB43/2)*TAN(DS43))-IF(OR(MID(CW43,1,1)="R",CW43="Q"),0,DW43))))</f>
        <v/>
      </c>
    </row>
    <row r="44" spans="1:240" ht="15" customHeight="1" x14ac:dyDescent="0.2">
      <c r="DP44" s="156"/>
      <c r="DQ44" s="505"/>
      <c r="DR44" s="324"/>
      <c r="DS44" s="324"/>
    </row>
    <row r="45" spans="1:240" ht="15" customHeight="1" x14ac:dyDescent="0.2">
      <c r="BI45" s="935"/>
      <c r="BP45" s="935"/>
      <c r="BQ45" s="707"/>
    </row>
    <row r="46" spans="1:240" ht="15" customHeight="1" x14ac:dyDescent="0.2"/>
    <row r="47" spans="1:240" ht="15" customHeight="1" thickBot="1" x14ac:dyDescent="0.25">
      <c r="A47" s="836" t="s">
        <v>373</v>
      </c>
      <c r="AD47" s="835">
        <f>SUM(AD41:AH41)</f>
        <v>0</v>
      </c>
      <c r="EK47" s="2362" t="s">
        <v>655</v>
      </c>
      <c r="EL47" s="2363"/>
      <c r="EM47" s="2363"/>
      <c r="EN47" s="2363"/>
      <c r="EO47" s="2363"/>
    </row>
    <row r="48" spans="1:240" s="928" customFormat="1" ht="15" hidden="1" customHeight="1" x14ac:dyDescent="0.2">
      <c r="AA48" s="1128"/>
      <c r="AI48" s="1129"/>
      <c r="HD48" s="1130"/>
      <c r="HE48" s="1131"/>
    </row>
    <row r="49" spans="1:192" ht="15" hidden="1" customHeight="1" x14ac:dyDescent="0.2"/>
    <row r="50" spans="1:192" ht="11.25" hidden="1" customHeight="1" x14ac:dyDescent="0.2">
      <c r="A50" s="1234"/>
      <c r="B50" s="1234"/>
      <c r="C50" s="1234"/>
      <c r="D50" s="1234"/>
      <c r="E50" s="1234"/>
      <c r="F50" s="1234"/>
      <c r="G50" s="1234"/>
      <c r="H50" s="1234"/>
      <c r="I50" s="1234"/>
      <c r="J50" s="1234"/>
      <c r="K50" s="1234"/>
      <c r="L50" s="1234"/>
      <c r="M50" s="1234"/>
      <c r="N50" s="1234"/>
      <c r="O50" s="1234"/>
      <c r="P50" s="1234"/>
      <c r="Q50" s="1234"/>
      <c r="R50" s="1234"/>
      <c r="S50" s="1234"/>
      <c r="T50" s="1234"/>
      <c r="U50" s="1234"/>
      <c r="V50" s="1234"/>
      <c r="W50" s="1234"/>
      <c r="X50" s="1234"/>
      <c r="Y50" s="1234"/>
      <c r="Z50" s="1234"/>
      <c r="AA50" s="1234"/>
    </row>
    <row r="51" spans="1:192" ht="11.25" hidden="1" customHeight="1" x14ac:dyDescent="0.2"/>
    <row r="52" spans="1:192" ht="15" hidden="1" customHeight="1" x14ac:dyDescent="0.2"/>
    <row r="53" spans="1:192" ht="15" hidden="1" customHeight="1" x14ac:dyDescent="0.2"/>
    <row r="54" spans="1:192" ht="15" hidden="1" customHeight="1" x14ac:dyDescent="0.2"/>
    <row r="55" spans="1:192" ht="15" hidden="1" customHeight="1" x14ac:dyDescent="0.2"/>
    <row r="56" spans="1:192" ht="15" hidden="1" customHeight="1" x14ac:dyDescent="0.2">
      <c r="AA56" s="1067"/>
    </row>
    <row r="57" spans="1:192" ht="15" hidden="1" customHeight="1" x14ac:dyDescent="0.25">
      <c r="A57" s="921" t="e">
        <f>IF(#REF!="","",UPPER(#REF!))</f>
        <v>#REF!</v>
      </c>
      <c r="B57" s="1562" t="e">
        <f>IF(#REF!="","",#REF!)</f>
        <v>#REF!</v>
      </c>
      <c r="C57" s="922" t="e">
        <f>IF(#REF!="","",UPPER(#REF!))</f>
        <v>#REF!</v>
      </c>
      <c r="D57" s="918" t="str">
        <f>IF(DP57="","",TRUNC(DP57/12))</f>
        <v/>
      </c>
      <c r="E57" s="1010" t="str">
        <f>IF(DP57="","",DP57-(D57*12))</f>
        <v/>
      </c>
      <c r="F57" s="920" t="str">
        <f>IF(DX57=0,"",TRUNC(DX57/12))</f>
        <v/>
      </c>
      <c r="G57" s="919" t="str">
        <f>IF(DX57=0,"",DX57-(F57*12))</f>
        <v/>
      </c>
      <c r="H57" s="923" t="str">
        <f>IF(DX57=0,"",CW57)</f>
        <v/>
      </c>
      <c r="I57" s="918" t="str">
        <f>IF(ED57=0,"",TRUNC(ED57/12))</f>
        <v/>
      </c>
      <c r="J57" s="919" t="str">
        <f>IF(ED57=0,"",ED57-(I57*12))</f>
        <v/>
      </c>
      <c r="K57" s="1011" t="str">
        <f>IF(ED57=0,"",DG57)</f>
        <v/>
      </c>
      <c r="L57" s="953">
        <f>DQ57</f>
        <v>0</v>
      </c>
      <c r="M57" s="955">
        <f>DR57</f>
        <v>0</v>
      </c>
      <c r="N57" s="920" t="str">
        <f>IF(ES57="","",IF(AND(ES57&lt;0,ES57&gt;-12),TRUNC(ES57/12)-0.0000001,TRUNC(ES57/12)))</f>
        <v/>
      </c>
      <c r="O57" s="919" t="str">
        <f>IF(ES57="","",IF(AND(ES57-(N57*12)=0,ES57&lt;0),-0.000001,ES57-(N57*12)))</f>
        <v/>
      </c>
      <c r="P57" s="1231" t="str">
        <f>IF(ES57="","",IF(OR(CW57="Q",CW57="C"),3,CZ57))</f>
        <v/>
      </c>
      <c r="Q57" s="918" t="str">
        <f>IF(ET57="","",IF(AND(ET57&lt;0,ET57&gt;-12),TRUNC(ET57/12)-0.0000001,TRUNC(ET57/12)))</f>
        <v/>
      </c>
      <c r="R57" s="919" t="str">
        <f>IF(ET57="","",IF(AND(ET57-(Q57*12)=0,ET57&lt;0),-0.000001,ET57-(Q57*12)))</f>
        <v/>
      </c>
      <c r="S57" s="1232" t="str">
        <f>IF(ET57="","",IF(OR(DG57="Q",DG57="C"),3,DJ57))</f>
        <v/>
      </c>
      <c r="T57" s="920" t="str">
        <f>IF(CH57="ERR","",IF(EK57="","",IF(EK57="ERR",TRUNC(EJ57/12),TRUNC(EK57/12))))</f>
        <v/>
      </c>
      <c r="U57" s="919" t="str">
        <f>IF(CH57="ERR","",IF(EK57="","",IF(EK57="ERR",EJ57-(T57*12),EK57-(T57*12))))</f>
        <v/>
      </c>
      <c r="V57" s="918" t="str">
        <f>IF(CI57="ERR","",IF(ER57="","",IF(ER57="ERR",TRUNC(EQ57/12),TRUNC(ER57/12))))</f>
        <v/>
      </c>
      <c r="W57" s="919" t="str">
        <f>IF(CI57="ERR","",IF(ER57="","",IF(ER57="ERR",EQ57-(V57*12),ER57-(V57*12))))</f>
        <v/>
      </c>
      <c r="X57" s="1008">
        <f>IF(EV57="",0,EV57)</f>
        <v>0</v>
      </c>
      <c r="Y57" s="980">
        <f>FG57</f>
        <v>0</v>
      </c>
      <c r="Z57" s="981">
        <f>FL57</f>
        <v>0</v>
      </c>
      <c r="AA57" s="979" t="e">
        <f>CONCATENATE(IF(#REF!="","",CONCATENATE("[",SUBSTITUTE(#REF!," ",""),"]")),IF(#REF!="","",CONCATENATE("(",SUBSTITUTE(#REF!," ",""),") ")))</f>
        <v>#REF!</v>
      </c>
      <c r="GA57" s="542" t="str">
        <f t="shared" ref="GA57" si="129">IF(GF57="","",BE57)</f>
        <v/>
      </c>
      <c r="GB57" s="562" t="str">
        <f t="shared" ref="GB57" si="130">IF(GF57="","",BF57)</f>
        <v/>
      </c>
      <c r="GC57" s="564" t="str">
        <f t="shared" ref="GC57" si="131">IF(GF57="","",IF(CV57="",0,CV57))</f>
        <v/>
      </c>
      <c r="GD57" s="565" t="str">
        <f t="shared" ref="GD57" si="132">IF(GF57="","",IF(DF57="",0,DF57))</f>
        <v/>
      </c>
      <c r="GE57" s="563"/>
      <c r="GF57" s="543"/>
      <c r="GG57" s="1529"/>
      <c r="GH57" s="1530"/>
      <c r="GI57" s="1529"/>
      <c r="GJ57" s="1530"/>
    </row>
    <row r="58" spans="1:192" ht="15" hidden="1" customHeight="1" x14ac:dyDescent="0.2">
      <c r="AA58" s="1068"/>
    </row>
    <row r="59" spans="1:192" ht="15" hidden="1" customHeight="1" x14ac:dyDescent="0.2"/>
    <row r="60" spans="1:192" ht="15" hidden="1" customHeight="1" x14ac:dyDescent="0.2">
      <c r="A60" s="831" t="s">
        <v>745</v>
      </c>
    </row>
    <row r="61" spans="1:192" ht="15" hidden="1" customHeight="1" x14ac:dyDescent="0.2">
      <c r="A61" s="833"/>
    </row>
    <row r="62" spans="1:192" ht="15" hidden="1" customHeight="1" x14ac:dyDescent="0.2"/>
    <row r="63" spans="1:192" ht="15" hidden="1" customHeight="1" x14ac:dyDescent="0.2"/>
    <row r="64" spans="1:192" ht="15" hidden="1" customHeight="1" x14ac:dyDescent="0.2"/>
    <row r="65" spans="1:213" ht="15" hidden="1" customHeight="1" x14ac:dyDescent="0.2"/>
    <row r="66" spans="1:213" ht="15" hidden="1" customHeight="1" x14ac:dyDescent="0.2"/>
    <row r="67" spans="1:213" ht="15" hidden="1" customHeight="1" x14ac:dyDescent="0.2">
      <c r="CB67" s="154" t="s">
        <v>410</v>
      </c>
    </row>
    <row r="68" spans="1:213" ht="15" hidden="1" customHeight="1" x14ac:dyDescent="0.2">
      <c r="CA68" s="154" t="s">
        <v>411</v>
      </c>
      <c r="CB68" s="510">
        <f>IF(ISBLANK(BD68),0,IF(CX68&gt;VLOOKUP($DF$2:$DN$9,AU68,3,FALSE),"X",0))</f>
        <v>0</v>
      </c>
      <c r="CC68" s="511">
        <f>IF(FV68&gt;0.0625,CEILING(FV68-0.0625,0.125),FV68)</f>
        <v>0</v>
      </c>
    </row>
    <row r="69" spans="1:213" ht="15" hidden="1" customHeight="1" x14ac:dyDescent="0.25">
      <c r="CA69" s="154" t="s">
        <v>412</v>
      </c>
      <c r="CB69" s="512" t="e">
        <f>IF(FU69&gt;0.0625,CEILING(FU69-0.0625,0.125),FU69)</f>
        <v>#REF!</v>
      </c>
      <c r="CC69" s="513" t="e">
        <f>IF(FV69&gt;0.0625,CEILING(FV69-0.0625,0.125),FV69)</f>
        <v>#REF!</v>
      </c>
      <c r="CS69" s="2349">
        <v>40961</v>
      </c>
      <c r="CT69" s="2350"/>
      <c r="CU69" s="38" t="e">
        <f>IF(#REF!="","",IF(VLOOKUP(#REF!,#REF!,5,FALSE)="","R",UPPER(VLOOKUP(#REF!,#REF!,5,FALSE))))</f>
        <v>#REF!</v>
      </c>
      <c r="CV69" s="38" t="e">
        <f>IF(#REF!="","",VLOOKUP(#REF!,#REF!,6,FALSE))</f>
        <v>#REF!</v>
      </c>
      <c r="CW69" s="38" t="e">
        <f>IF(#REF!="","",IF(VLOOKUP(#REF!,#REF!,10,FALSE)="","",(VLOOKUP(#REF!,#REF!,10,FALSE)*-1)))</f>
        <v>#REF!</v>
      </c>
      <c r="CX69" s="42" t="e">
        <f>IF(#REF!="","",IF(VLOOKUP(#REF!,#REF!,11,FALSE)="","",(VLOOKUP(#REF!,#REF!,11,FALSE))))</f>
        <v>#REF!</v>
      </c>
      <c r="CY69" s="38" t="e">
        <f>IF(#REF!="","",IF(VLOOKUP(#REF!,#REF!,7,FALSE)="","",(VLOOKUP(#REF!,#REF!,7,FALSE)*-1)))</f>
        <v>#REF!</v>
      </c>
      <c r="CZ69" s="38" t="e">
        <f>IF(#REF!="","",IF(VLOOKUP(#REF!,#REF!,8,FALSE)="",IF(OR(DM69="K",DM69="KCS",DM69="JS"),$CZ$4,$CZ$5),(VLOOKUP(#REF!,#REF!,8,FALSE))))</f>
        <v>#REF!</v>
      </c>
      <c r="DA69" s="38" t="e">
        <f>IF(#REF!="","",VLOOKUP(#REF!,#REF!,9,FALSE))</f>
        <v>#REF!</v>
      </c>
      <c r="DB69" s="30" t="e">
        <f>#REF!</f>
        <v>#REF!</v>
      </c>
      <c r="DC69" s="37" t="e">
        <f>IF(#REF!="","",VLOOKUP(#REF!,#REF!,12,FALSE))</f>
        <v>#REF!</v>
      </c>
      <c r="DD69" s="38" t="e">
        <f>IF(#REF!="","",IF(ISBLANK(#REF!),VLOOKUP(#REF!,#REF!,13,FALSE),#REF!))</f>
        <v>#REF!</v>
      </c>
      <c r="DE69" s="38" t="e">
        <f>IF(#REF!="","",IF(VLOOKUP(#REF!,#REF!,5,FALSE)="","R",UPPER(VLOOKUP(#REF!,#REF!,5,FALSE))))</f>
        <v>#REF!</v>
      </c>
      <c r="DF69" s="38" t="e">
        <f>IF(#REF!="","",VLOOKUP(#REF!,#REF!,6,FALSE))</f>
        <v>#REF!</v>
      </c>
      <c r="DG69" s="38" t="e">
        <f>IF(#REF!="","",IF(VLOOKUP(#REF!,#REF!,10,FALSE)="","",(VLOOKUP(#REF!,#REF!,10,FALSE)*-1)))</f>
        <v>#REF!</v>
      </c>
      <c r="DH69" s="42" t="e">
        <f>IF(#REF!="","",IF(VLOOKUP(#REF!,#REF!,11,FALSE)="","",(VLOOKUP(#REF!,#REF!,11,FALSE))))</f>
        <v>#REF!</v>
      </c>
      <c r="DI69" s="38" t="e">
        <f>IF(#REF!="","",IF(VLOOKUP(#REF!,#REF!,7,FALSE)="","",(VLOOKUP(#REF!,#REF!,7,FALSE)*-1)))</f>
        <v>#REF!</v>
      </c>
      <c r="DJ69" s="38" t="e">
        <f>IF(#REF!="","",IF(VLOOKUP(#REF!,#REF!,8,FALSE)="",IF(OR(DM69="K",DM69="KCS",DM69="JS"),$CZ$4,$CZ$5),(VLOOKUP(#REF!,#REF!,8,FALSE))))</f>
        <v>#REF!</v>
      </c>
      <c r="DK69" s="38" t="e">
        <f>IF(#REF!="","",VLOOKUP(#REF!,#REF!,9,FALSE))</f>
        <v>#REF!</v>
      </c>
      <c r="DL69" s="30" t="e">
        <f>#REF!</f>
        <v>#REF!</v>
      </c>
      <c r="DM69" s="39">
        <f>IF(IF(AX62="",AW62,AX62)="SLH","DLH",IF(IF(AX62="",AW62,AX62)="CJ","LH",IF(AX62="",AW62,AX62)))</f>
        <v>0</v>
      </c>
      <c r="DN69" s="43" t="e">
        <f>IF(#REF!="",0,ATAN(#REF!/12))</f>
        <v>#REF!</v>
      </c>
      <c r="DO69" s="32" t="e">
        <f>IF(OR(CT69="",#REF!="",DD69=""),"",CEILING(IF(AND(#REF!="",#REF!=""),"",((#REF!*12+#REF!)+CT69+DD69)/COS(FO69))-0.0625,0.125))</f>
        <v>#REF!</v>
      </c>
      <c r="DP69" s="32" t="e">
        <f>IF(OR(CV69="",#REF!="",DF69=""),"",CEILING(IF(AND(#REF!="",#REF!=""),"",((#REF!*12+#REF!)+CV69+DF69)/COS(FN69))-0.0625,0.125))</f>
        <v>#REF!</v>
      </c>
      <c r="DQ69" s="32" t="str">
        <f>IF(AU54="","",IF(ABS(FF69)&lt;ABS($CX$2),CX69,IF(FF69=0,CX69,CEILING((CX69+((DW69-CV69)/12)*FF69)-0.0625,0.125))))</f>
        <v/>
      </c>
      <c r="DR69" s="32" t="str">
        <f>IF(AU54="","",IF(ABS(FK69)&lt;ABS($CX$2),DH69,IF(FK69=0,DH69,CEILING((DH69+((EC69-DF69)/12)*FK69)-0.0625,0.125))))</f>
        <v/>
      </c>
      <c r="DS69" s="33" t="e">
        <f>IF(#REF!="",0,RADIANS(ABS(#REF!)))</f>
        <v>#REF!</v>
      </c>
      <c r="DT69" s="33" t="e">
        <f>MIN(IF(#REF!&gt;0,#REF!/2,MAX(#REF!/2,DC69)),IF(#REF!&gt;0,#REF!/2,MAX(#REF!/2,DC69)),IF(DC69&gt;0,DC69,MAX(#REF!/2,#REF!/2)))/COS(DS69)</f>
        <v>#REF!</v>
      </c>
      <c r="DU69" s="33" t="e">
        <f>IF(CV69="","",IF(DC69&gt;=0,MAX(#REF!/2,#REF!/2,DC69),DC69)/COS(DS69))</f>
        <v>#REF!</v>
      </c>
      <c r="DV69" s="32" t="e">
        <f>IF(CV69="","",CV69+DU69+IF(OR(AU54="K",AU54="KCS"),$CV$4/2,$CV$5/2)*TAN(DS69))</f>
        <v>#REF!</v>
      </c>
      <c r="DW69" s="444" t="e">
        <f>IF(CV69="","",IF(OR(AU54="JS",AU54="HDR"),MAX(IF(OR(CU69="M",DU69&lt;$CY$4),DV69-$CX$4,CV69),0),MAX(IF(AND(DT69&gt;=IF(OR(AU54="K",AU54="KCS"),$CY$4,$CY$5),DU69&lt;=IF(OR(AU54="K",AU54="KCS"),$CX$4,$CX$5),OR($CX$1=1,$CX$1=4)),CV69,IF(OR($CX$1=3,$CX$1=4),DV69-IF(OR(AU54="K",AU54="KCS"),$CX$4,$CX$5),DV69+MAX((IF(OR(AU54="K",AU54="KCS"),$CX$4,$CX$5)-IF(OR(AU54="K",AU54="KCS"),$CY$4,$CY$5))-(DU69-DT69)-IF(OR(AU54="K",AU54="KCS"),$CV$4,$CV$5)/2*TAN(DS69),0)-IF(OR(AU54="K",AU54="KCS"),$CX$4,$CX$5)))-FH69,0))-#REF!)</f>
        <v>#REF!</v>
      </c>
      <c r="DX69" s="34" t="e">
        <f>IF(CV69="",0,IF(DW69/COS(FN69)&lt;0.0625,0,CEILING(DW69/COS(FN69)-0.0625,0.125)))</f>
        <v>#REF!</v>
      </c>
      <c r="DY69" s="32" t="e">
        <f>RADIANS(ABS(#REF!))</f>
        <v>#REF!</v>
      </c>
      <c r="DZ69" s="33" t="e">
        <f>MIN(IF(#REF!&gt;0,#REF!/2,MAX(#REF!/2,DM69)),IF(#REF!&gt;0,#REF!/2,MAX(#REF!/2,DM69)),IF(DM69&gt;0,DM69,MAX(#REF!/2,#REF!/2)))/COS(DY69)</f>
        <v>#REF!</v>
      </c>
      <c r="EA69" s="33" t="e">
        <f>IF(DF69="","",IF(DM69&gt;=0,MAX(#REF!/2,#REF!/2,DM69),DM69)/COS(DY69))</f>
        <v>#REF!</v>
      </c>
      <c r="EB69" s="32" t="e">
        <f>IF(DF69="","",DF69+EA69+IF(OR(AU54="K",AU54="KCS"),$CV$4/2,$CV$5/2)*TAN(DY69))</f>
        <v>#REF!</v>
      </c>
      <c r="EC69" s="444" t="e">
        <f>IF(DF69="","",IF(OR(AU54="JS",AU54="HDR"),MAX(IF(OR(DE69="M",EA69&lt;$CY$4),EB69-$CX$4,DF69),0),MAX(IF(AND(DZ69&gt;=IF(OR(AU54="K",AU54="KCS"),$CY$4,$CY$5),EA69&lt;=IF(OR(AU54="K",AU54="KCS"),$CX$4,$CX$5),OR($CX$1=1,$CX$1=4)),DF69,IF(OR($CX$1=3,$CX$1=4),EB69-IF(OR(AU54="K",AU54="KCS"),$CX$4,$CX$5),EB69+MAX((IF(OR(AU54="K",AU54="KCS"),$CX$4,$CX$5)-IF(OR(AU54="K",AU54="KCS"),$CY$4,$CY$5))-(EA69-DZ69)-IF(OR(AU54="K",AU54="KCS"),$CV$4,$CV$5)/2*TAN(DY69),0)-IF(OR(AU54="K",AU54="KCS"),$CX$4,$CX$5)))-FM69,0))-#REF!)</f>
        <v>#REF!</v>
      </c>
      <c r="ED69" s="34" t="e">
        <f>IF(DF69="",0,IF(EC69/COS(FN69)&lt;0.0625,0,CEILING(EC69/COS(FN69)-0.0625,0.125)))</f>
        <v>#REF!</v>
      </c>
      <c r="EE69" s="32" t="e">
        <f>IF(AND(EZ69="",DA69=""),"",IF(EZ69="ERR","ERR",IF(ISNUMBER(EZ69),(EZ69/2)*-1,DA69)))</f>
        <v>#REF!</v>
      </c>
      <c r="EF69" s="32" t="e">
        <f>IF(EE69="ERR","ERR",IF(EE69="","",IF(OR(AND(OR(AU54="K",AU54="KCS"),(DB69*TAN(DS69)&lt;=($DB$4-($DA$4-0.0625)))),AND(OR(AU54="LH",AU54="DLH"),(DB69*TAN(DS69)&lt;=($DB$5-($DA$5-0.0625))))),CV69-(EE69-FH69)/COS(DS69)-IF(MID(CW69,1,1)="R",0,DW69),(ABS(EE69-FH69)/COS(DS69)+CV69)-((DB69/2)*TAN(DS69))-IF(MID(CW69,1,1)="R",0,DW69))))</f>
        <v>#REF!</v>
      </c>
      <c r="EG69" s="32" t="e">
        <f>IF(EE69="ERR","ERR",IF(EE69="","",IF(OR(AND(OR(AU54="K",AU54="KCS"),(DB69*TAN(DS69)&lt;=($DB$4-($DA$4-0.0625)))),AND(OR(AU54="LH",AU54="DLH"),(DB69*TAN(DS69)&lt;=($DB$5-($DA$5-0.0625))))),CV69-(EE69-FH69)/COS(DS69)-IF(MID(CW69,1,1)="R",0,DW69),(ABS(EE69-FH69)/COS(DS69)+CV69)+((DB69/2)*TAN(DS69))-IF(MID(CW69,1,1)="R",0,DW69))))</f>
        <v>#REF!</v>
      </c>
      <c r="EH69" s="32" t="e">
        <f>IF(OR(AU54="K",AU54="KCS",AU54="JS"),IF(EF69&lt;0.25+($DA$4-0.0625)/2,"ERR",IF(EF69&lt;0.25+$DB$4/2,1,IF(EF69&lt;$CX$4+IF(MID(CW69,1,1)="R",DW69,0)-$DB$4/2-0.25,EF69,IF(EF69&lt;=$CX$4+IF(MID(CW69,1,1)="R",DW69,0)-($DA$4-0.0625)/2-0.25,$CX$4+IF(MID(CW69,1,1)="R",DW69,0)-1,"ERR")))),IF(EF69&lt;0.25+($DA$5-0.0625)/2,"ERR",IF(EF69&lt;0.25+$DB$5/2,1,IF(EF69&lt;$CX$5+IF(MID(CW69,1,1)="R",DW69,0)-$DB$5/2-0.25,EF69,IF(EF69&lt;=$CX$5+IF(MID(CW69,1,1)="R",DW69,0)-($DA$5-0.0625)/2-0.25,$CX$5+IF(MID(CW69,1,1)="R",DW69,0)-1,"ERR")))))</f>
        <v>#REF!</v>
      </c>
      <c r="EI69" s="32" t="e">
        <f>IF(OR(AU54="K",AU54="KCS",AU54="JS"),IF(EG69&lt;0.25+($DA$4-0.0625)/2,"ERR",IF(EG69&lt;0.25+$DB$4/2,1,IF(EG69&lt;$CX$4+IF(MID(CW69,1,1)="R",DW69,0)-$DB$4/2-0.25,EG69,IF(EG69&lt;=$CX$4+IF(MID(CW69,1,1)="R",DW69,0)-($DA$4-0.0625)/2-0.25,$CX$4+IF(MID(CW69,1,1)="R",DW69,0)-1,"ERR")))),IF(EG69&lt;0.25+($DA$5-0.0625)/2,"ERR",IF(EG69&lt;0.25+$DB$5/2,1,IF(EG69&lt;$CX$5+IF(MID(CW69,1,1)="R",DW69,0)-$DB$5/2-0.25,EG69,IF(EG69&lt;=$CX$5+IF(MID(CW69,1,1)="R",DW69,0)-($DA$5-0.0625)/2-0.25,$CX$5+IF(MID(CW69,1,1)="R",DW69,0)-1,"ERR")))))</f>
        <v>#REF!</v>
      </c>
      <c r="EJ69" s="32" t="str">
        <f>IF(ISERROR(EF69),"ERR",IF(EF69="","",IF(EH69="ERR","ERR",CEILING(EH69-0.0625,0.125))))</f>
        <v>ERR</v>
      </c>
      <c r="EK69" s="32" t="str">
        <f>IF(ISERROR(EG69),"ERR",IF(EG69="","",IF(EI69="ERR","ERR",CEILING(EI69-0.0625,0.125))))</f>
        <v>ERR</v>
      </c>
      <c r="EL69" s="32" t="e">
        <f>IF(AND(FC69="",DK69=""),"",IF(FC69="ERR","ERR",IF(ISNUMBER(FC69),(FC69/2)*-1,DK69)))</f>
        <v>#REF!</v>
      </c>
      <c r="EM69" s="32" t="e">
        <f>IF(EL69="ERR","ERR",IF(EL69="","",IF(OR(AND(OR(AU54="K",AU54="KCS"),(DL69*TAN(DY69)&lt;=($DB$4-($DA$4-0.0625)))),AND(OR(AU54="LH",AU54="DLH"),(DL69*TAN(DY69)&lt;=($DB$5-($DA$5-0.0625))))),DF69-(EL69-FM69)/COS(DY69)-IF(MID(DG69,1,1)="R",0,EC69),(ABS(EL69-FM69)/COS(DY69)+DF69)-((DL69/2)*TAN(DY69))-IF(MID(DG69,1,1)="R",0,EC69))))</f>
        <v>#REF!</v>
      </c>
      <c r="EN69" s="32" t="e">
        <f>IF(EL69="ERR","ERR",IF(EL69="","",IF(OR(AND(OR(AU54="K",AU54="KCS"),(DL69*TAN(DY69)&lt;=($DB$4-($DA$4-0.0625)))),AND(OR(AU54="LH",AU54="DLH"),(DL69*TAN(DY69)&lt;=($DB$5-($DA$5-0.0625))))),DF69-(EL69-FM69)/COS(DY69)-IF(MID(DG69,1,1)="R",0,EC69),(ABS(EL69-FM69)/COS(DY69)+DF69)+((DL69/2)*TAN(DY69))-IF(MID(DG69,1,1)="R",0,EC69))))</f>
        <v>#REF!</v>
      </c>
      <c r="EO69" s="32" t="e">
        <f>IF(OR(AU54="K",AU54="KCS",AU54="JS"),IF(EM69&lt;0.25+($DA$4-0.0625)/2,"ERR",IF(EM69&lt;0.25+$DB$4/2,1,IF(EM69&lt;$CX$4+IF(MID(DG69,1,1)="R",EC69,0)-$DB$4/2-0.25,EM69,IF(EM69&lt;=$CX$4+IF(MID(DG69,1,1)="R",EC69,0)-($DA$4-0.0625)/2-0.25,$CX$4+IF(MID(DG69,1,1)="R",EC69,0)-1,"ERR")))),IF(EM69&lt;0.25+($DA$5-0.0625)/2,"ERR",IF(EM69&lt;0.25+$DB$5/2,1,IF(EM69&lt;$CX$5+IF(MID(DG69,1,1)="R",EC69,0)-$DB$5/2-0.25,EM69,IF(EM69&lt;=$CX$5+IF(MID(DG69,1,1)="R",EC69,0)-($DA$5-0.0625)/2-0.25,$CX$5+IF(MID(DG69,1,1)="R",EC69,0)-1,"ERR")))))</f>
        <v>#REF!</v>
      </c>
      <c r="EP69" s="32" t="e">
        <f>IF(OR(AU54="K",AU54="KCS",AU54="JS"),IF(EN69&lt;0.25+($DA$4-0.0625)/2,"ERR",IF(EN69&lt;0.25+$DB$4/2,1,IF(EN69&lt;$CX$4+IF(MID(DG69,1,1)="R",EC69,0)-$DB$4/2-0.25,EN69,IF(EN69&lt;=$CX$4+IF(MID(DG69,1,1)="R",EC69,0)-($DA$4-0.0625)/2-0.25,$CX$4+IF(MID(DG69,1,1)="R",EC69,0)-1,"ERR")))),IF(EN69&lt;0.25+($DA$5-0.0625)/2,"ERR",IF(EN69&lt;0.25+$DB$5/2,1,IF(EN69&lt;$CX$5+IF(MID(DG69,1,1)="R",EC69,0)-$DB$5/2-0.25,EN69,IF(EN69&lt;=$CX$5+IF(MID(DG69,1,1)="R",EC69,0)-($DA$5-0.0625)/2-0.25,$CX$5+IF(MID(DG69,1,1)="R",EC69,0)-1,"ERR")))))</f>
        <v>#REF!</v>
      </c>
      <c r="EQ69" s="32" t="str">
        <f>IF(ISERROR(EM69),"ERR",IF(EM69="","",IF(EO69="ERR","ERR",CEILING(EO69-0.0625,0.125))))</f>
        <v>ERR</v>
      </c>
      <c r="ER69" s="32" t="str">
        <f>IF(ISERROR(EN69),"ERR",IF(EN69="","",IF(EP69="ERR","ERR",CEILING(EP69-0.0625,0.125))))</f>
        <v>ERR</v>
      </c>
      <c r="ES69" s="444" t="e">
        <f>IF(OR(CY69="",AU54="JS",AU54="HDR",#REF!=""),"",IF((CV69-CY69)/COS(DO69)-FS69&lt;=-0.0625,CEILING((CV69-CY69)/COS(DO69)-FS69+0.0625,-0.125),IF((CV69-CY69)/COS(DO69)-FS69&gt;=0.0625,CEILING((CV69-CY69)/COS(DO69)-FS69-0.0625,0.125),0)))</f>
        <v>#REF!</v>
      </c>
      <c r="ET69" s="444" t="e">
        <f>IF(OR(DI69="",AU54="JS",AU54="HDR",#REF!=""),"",IF((DF69-DI69)/COS(DO69)-FT69&lt;=-0.0625,CEILING((DF69-DI69)/COS(DO69)-FT69+0.0625,-0.125),IF((DF69-DI69)/COS(DO69)-FT69&gt;=0.0625,CEILING((DF69-DI69)/COS(DO69)-FT69-0.0625,0.125),0)))</f>
        <v>#REF!</v>
      </c>
      <c r="EU69" s="35" t="str">
        <f>IF(AU54="","",IF(OR(AU54="K",AU54="KCS",AU54="JS"),$CZ$4,$CZ$5))</f>
        <v/>
      </c>
      <c r="EV69" s="36" t="e">
        <f>IF(AND(EK69="",ER69=""),"",IF(OR(IF(ISBLANK(#REF!),FALSE,DB69=EU69),IF(ISBLANK(#REF!),FALSE,DL69=EU69)),EU69,DB69))</f>
        <v>#REF!</v>
      </c>
      <c r="EW69" s="35" t="e">
        <f>IF(#REF!="","",CEILING(IF(OR(AU54="K",AU54="KCS"),2.5/COS(DO69)+$CX$4/12*ABS(#REF!)+0.5,IF(OR(AU54="LH",AU54="DLH"),5/COS(DO69)+$CX$5/12*ABS(#REF!)+0.5,0)),0.125))</f>
        <v>#REF!</v>
      </c>
      <c r="EX69" s="35" t="e">
        <f>(IF(CU69="G",VLOOKUP(MIN(#REF!),#REF!,2),IF(CU69="B",MIN(#REF!),"")))</f>
        <v>#REF!</v>
      </c>
      <c r="EY69" s="35" t="e">
        <f>(IF(CU69="G",VLOOKUP(MAX(#REF!),#REF!,2),IF(CU69="B",MAX(#REF!),"")))</f>
        <v>#REF!</v>
      </c>
      <c r="EZ69" s="35" t="e">
        <f>IF(#REF!="X",IF((EY69-EX69)/2&lt;=IF(OR(AU54="K",AU54="KCS",AU54="JS"),($DB$4-($DA$4-0.0625)),($DB$5-($DA$5-0.0625))),(EX69+EY69)/2,"ERR"),"")</f>
        <v>#REF!</v>
      </c>
      <c r="FA69" s="35" t="e">
        <f>(IF(DE69="G",VLOOKUP(MIN(#REF!),#REF!,2),IF(DE69="B",MIN(#REF!),"")))</f>
        <v>#REF!</v>
      </c>
      <c r="FB69" s="35" t="e">
        <f>(IF(DE69="G",VLOOKUP(MAX(#REF!),#REF!,2),IF(DE69="B",MAX(#REF!),"")))</f>
        <v>#REF!</v>
      </c>
      <c r="FC69" s="35" t="e">
        <f>IF(#REF!="X",IF((FB69-FA69)/2&lt;=IF(OR(AU54="K",AU54="KCS",AU54="JS"),($DB$4-($DA$4-0.0625)),($DB$5-($DA$5-0.0625))),(FA69+FB69)/2,"ERR"),"")</f>
        <v>#REF!</v>
      </c>
      <c r="FD69" s="33" t="e">
        <f>IF(DD69="",0,ATAN(DD69/12))</f>
        <v>#REF!</v>
      </c>
      <c r="FE69" s="33" t="e">
        <f>DO69-FD69</f>
        <v>#REF!</v>
      </c>
      <c r="FF69" s="33" t="e">
        <f>TAN(FE69)*12</f>
        <v>#REF!</v>
      </c>
      <c r="FG69" s="33" t="e">
        <f>IF(FF69=0,"",IF(ABS(FF69)&lt;$CX$2,IF(AND(ABS(MIN(DV69,FQ69)/12*FF69)&gt;$DD$2,FF69&gt;0),IF(FF69&gt;0,CEILING(FF69-0.0625,0.125),CEILING(FF69+0.0625,-0.125)),""),IF(FF69&gt;0,CEILING(FF69-0.0625,0.125),CEILING(FF69+0.0625,-0.125))))</f>
        <v>#REF!</v>
      </c>
      <c r="FH69" s="32" t="e">
        <f>IF(CX69="","",CX69*TAN(FD69))</f>
        <v>#REF!</v>
      </c>
      <c r="FI69" s="33" t="e">
        <f>IF(DN69="",0,ATAN(DN69/12))</f>
        <v>#REF!</v>
      </c>
      <c r="FJ69" s="33" t="e">
        <f>DO69+FI69</f>
        <v>#REF!</v>
      </c>
      <c r="FK69" s="33" t="e">
        <f>TAN(FJ69)*-12</f>
        <v>#REF!</v>
      </c>
      <c r="FL69" s="33" t="e">
        <f>IF(FK69=0,"",IF(ABS(FK69)&lt;$CX$2,IF(AND(ABS(MIN(EB69,FR69)/12*FK69)&gt;$DD$2,FK69&gt;0),IF(FK69&gt;0,CEILING(FK69-0.0625,0.125),CEILING(FK69+0.0625,-0.125)),""),IF(FK69&gt;0,CEILING(FK69-0.0625,0.125),CEILING(FK69+0.0625,-0.125))))</f>
        <v>#REF!</v>
      </c>
      <c r="FM69" s="32" t="e">
        <f>IF(DH69="","",DH69*TAN(FI69))</f>
        <v>#REF!</v>
      </c>
      <c r="FN69" s="32" t="e">
        <f>IF((#REF!*12+#REF!)/COS(DO69)-(#REF!*12+#REF!)&lt;$DB$2,0,DO69)</f>
        <v>#REF!</v>
      </c>
      <c r="FO69" s="50" t="e">
        <f>CEILING(MIN(IF(#REF!&gt;0,#REF!/2,MAX(#REF!/2,DC69)),IF(#REF!&gt;0,#REF!/2,MAX(#REF!/2,DC69)),IF(DC69&gt;0,DC69,MAX(#REF!/2,#REF!/2)))/COS(DS69)+CV69-DW69-0.0625,0.125)</f>
        <v>#REF!</v>
      </c>
      <c r="FP69" s="50" t="e">
        <f>CEILING(MIN(IF(#REF!&gt;0,#REF!/2,MAX(#REF!/2,DM69)),IF(#REF!&gt;0,#REF!/2,MAX(#REF!/2,DM69)),IF(DM69&gt;0,DM69,MAX(#REF!/2,#REF!/2)))/COS(DY69)+DF69-EC69-0.0625,0.125)</f>
        <v>#REF!</v>
      </c>
      <c r="FQ69" s="143" t="e">
        <f>IF(OR(CU69="M", CU69="B",CU69="G"),MAX(#REF!,#REF!),DC69+CY69)</f>
        <v>#REF!</v>
      </c>
      <c r="FR69" s="382" t="e">
        <f>IF(OR(DE69="M", DE69="B",DE69="G"),MAX(#REF!,#REF!),DM69+DI69)</f>
        <v>#REF!</v>
      </c>
      <c r="FS69" s="501" t="e">
        <f>IF(CY69="","",IF(ABS(#REF!*((AJ54-IF(#REF!&gt;0,VLOOKUP(AU54,$DF$2:$DN$9,9,FALSE),0))/12))&gt;$CZ$2,#REF!*((AJ54-IF(#REF!&gt;0,VLOOKUP(AU54,$DF$2:$DN$9,9,FALSE),0))/12),0))</f>
        <v>#REF!</v>
      </c>
      <c r="FT69" s="502" t="e">
        <f>IF(DI69="","",IF(ABS(#REF!*((AJ54-IF(#REF!&lt;0,VLOOKUP(AU54,$DF$2:$DN$9,9,FALSE),0))/12))&gt;$CZ$2,#REF!*((AJ54-IF(#REF!&lt;0,VLOOKUP(AU54,$DF$2:$DN$9,9,FALSE),0))/12)*-1,0))</f>
        <v>#REF!</v>
      </c>
      <c r="FU69" s="503" t="e">
        <f>IF(CX69="",0,MAX(0,MIN(DV69-VLOOKUP(AU54,DF$2:DN$9,4,FALSE),(MAX(0,CX69-VLOOKUP(AU54,DF$2:DN$9,3,FALSE))+VLOOKUP(AU54,DF$2:DN$9,4,FALSE))*COS(DO69)+((MAX(0,CX69-VLOOKUP(AU54,DF$2:DN$9,3,FALSE))+VLOOKUP(AU54,DF$2:DN$9,4,FALSE))*COS(PI()/2-DO69))/TAN(PI()/2-(DO69+PI()/4))-VLOOKUP(AU54,DF$2:DN$9,4,FALSE))))</f>
        <v>#REF!</v>
      </c>
      <c r="FV69" s="504" t="e">
        <f>IF(DH69="",0,MAX(0,MIN(EB69-VLOOKUP(AU54,DF$2:DN$9,4,FALSE),(MAX(0,DH69-VLOOKUP(AU54,DF$2:DN$9,3,FALSE))+VLOOKUP(AU54,DF$2:DN$9,4,FALSE))*COS(DO69)+((MAX(0,DH69-VLOOKUP(AU54,DF$2:DN$9,3,FALSE))+VLOOKUP(AU54,DF$2:DN$9,4,FALSE))*COS(PI()/2-DO69))/TAN(PI()/2-(DO69+PI()/4))-VLOOKUP(AU54,DF$2:DN$9,4,FALSE))))</f>
        <v>#REF!</v>
      </c>
    </row>
    <row r="70" spans="1:213" s="928" customFormat="1" ht="15" hidden="1" customHeight="1" thickBot="1" x14ac:dyDescent="0.25">
      <c r="AI70" s="1129"/>
      <c r="HD70" s="1130"/>
      <c r="HE70" s="1131"/>
    </row>
    <row r="71" spans="1:213" ht="15" customHeight="1" x14ac:dyDescent="0.2">
      <c r="A71" s="836" t="s">
        <v>374</v>
      </c>
      <c r="EL71" s="2352" t="s">
        <v>221</v>
      </c>
      <c r="EM71" s="2353"/>
      <c r="EN71" s="2353"/>
      <c r="EO71" s="2354"/>
    </row>
    <row r="73" spans="1:213" ht="12.75" customHeight="1" x14ac:dyDescent="0.2"/>
    <row r="74" spans="1:213" ht="12.75" customHeight="1" x14ac:dyDescent="0.2"/>
    <row r="75" spans="1:213" ht="12.75" customHeight="1" x14ac:dyDescent="0.2"/>
    <row r="76" spans="1:213" ht="13.5" customHeight="1" x14ac:dyDescent="0.2"/>
  </sheetData>
  <sheetProtection selectLockedCells="1"/>
  <dataConsolidate link="1"/>
  <mergeCells count="192">
    <mergeCell ref="EK47:EO47"/>
    <mergeCell ref="DK21:DK22"/>
    <mergeCell ref="DR21:DR22"/>
    <mergeCell ref="DS21:DS22"/>
    <mergeCell ref="DV21:DV22"/>
    <mergeCell ref="GZ17:GZ18"/>
    <mergeCell ref="HL21:HL22"/>
    <mergeCell ref="HN21:HN22"/>
    <mergeCell ref="HG21:HG22"/>
    <mergeCell ref="HH21:HH22"/>
    <mergeCell ref="HJ21:HJ22"/>
    <mergeCell ref="HK21:HK22"/>
    <mergeCell ref="HC21:HC22"/>
    <mergeCell ref="GC21:GD21"/>
    <mergeCell ref="GF21:GF22"/>
    <mergeCell ref="GE21:GE22"/>
    <mergeCell ref="GM21:GM22"/>
    <mergeCell ref="GG21:GH21"/>
    <mergeCell ref="GZ20:GZ22"/>
    <mergeCell ref="HF21:HF22"/>
    <mergeCell ref="GI21:GJ21"/>
    <mergeCell ref="GA20:GJ20"/>
    <mergeCell ref="HB21:HB22"/>
    <mergeCell ref="FQ19:FR20"/>
    <mergeCell ref="CS69:CT69"/>
    <mergeCell ref="CW21:CW22"/>
    <mergeCell ref="CV21:CV22"/>
    <mergeCell ref="CX21:CX22"/>
    <mergeCell ref="CY21:CY22"/>
    <mergeCell ref="DA21:DA22"/>
    <mergeCell ref="EL71:EO71"/>
    <mergeCell ref="EQ13:EQ14"/>
    <mergeCell ref="DD21:DD22"/>
    <mergeCell ref="DT21:DU21"/>
    <mergeCell ref="DQ21:DQ22"/>
    <mergeCell ref="DM21:DM22"/>
    <mergeCell ref="EB21:EB22"/>
    <mergeCell ref="ED21:ED22"/>
    <mergeCell ref="DO21:DO22"/>
    <mergeCell ref="EQ21:ER21"/>
    <mergeCell ref="DE21:DE22"/>
    <mergeCell ref="DF21:DF22"/>
    <mergeCell ref="DL21:DL22"/>
    <mergeCell ref="DG21:DG22"/>
    <mergeCell ref="DH21:DH22"/>
    <mergeCell ref="DX21:DX22"/>
    <mergeCell ref="DN21:DN22"/>
    <mergeCell ref="DI21:DI22"/>
    <mergeCell ref="EW13:EW14"/>
    <mergeCell ref="EX19:EX22"/>
    <mergeCell ref="DW21:DW22"/>
    <mergeCell ref="EV19:EV22"/>
    <mergeCell ref="DY21:DY22"/>
    <mergeCell ref="DZ21:EA21"/>
    <mergeCell ref="EM21:EN21"/>
    <mergeCell ref="EO21:EP21"/>
    <mergeCell ref="EL21:EL22"/>
    <mergeCell ref="EC21:EC22"/>
    <mergeCell ref="EH21:EI21"/>
    <mergeCell ref="EJ21:EK21"/>
    <mergeCell ref="EE21:EE22"/>
    <mergeCell ref="EF21:EG21"/>
    <mergeCell ref="EU13:EU14"/>
    <mergeCell ref="EW19:EW22"/>
    <mergeCell ref="ES21:ES22"/>
    <mergeCell ref="EV13:EV14"/>
    <mergeCell ref="ET21:ET22"/>
    <mergeCell ref="EU21:EU22"/>
    <mergeCell ref="BB18:CB19"/>
    <mergeCell ref="CD18:CG19"/>
    <mergeCell ref="BJ21:BJ22"/>
    <mergeCell ref="BK21:BL22"/>
    <mergeCell ref="BM21:BM22"/>
    <mergeCell ref="BN21:BN22"/>
    <mergeCell ref="BO21:BO22"/>
    <mergeCell ref="BP21:BR21"/>
    <mergeCell ref="BB20:BF20"/>
    <mergeCell ref="BZ21:BZ22"/>
    <mergeCell ref="CA21:CA22"/>
    <mergeCell ref="CB21:CD21"/>
    <mergeCell ref="Y6:Z6"/>
    <mergeCell ref="C21:C22"/>
    <mergeCell ref="N21:P21"/>
    <mergeCell ref="N22:O22"/>
    <mergeCell ref="F22:G22"/>
    <mergeCell ref="DC21:DC22"/>
    <mergeCell ref="CZ21:CZ22"/>
    <mergeCell ref="DB21:DB22"/>
    <mergeCell ref="CS19:CS22"/>
    <mergeCell ref="CU21:CU22"/>
    <mergeCell ref="CH21:CJ21"/>
    <mergeCell ref="CK21:CK22"/>
    <mergeCell ref="AV20:AW22"/>
    <mergeCell ref="Y21:Z21"/>
    <mergeCell ref="AU20:AU22"/>
    <mergeCell ref="CR19:CR22"/>
    <mergeCell ref="CU20:DD20"/>
    <mergeCell ref="BC21:BC22"/>
    <mergeCell ref="BD21:BD22"/>
    <mergeCell ref="BE21:BF22"/>
    <mergeCell ref="BG21:BG22"/>
    <mergeCell ref="BH21:BI22"/>
    <mergeCell ref="M6:T6"/>
    <mergeCell ref="CC15:CF15"/>
    <mergeCell ref="V22:W22"/>
    <mergeCell ref="P1:S1"/>
    <mergeCell ref="Q22:R22"/>
    <mergeCell ref="Q21:S21"/>
    <mergeCell ref="A5:M5"/>
    <mergeCell ref="T21:X21"/>
    <mergeCell ref="C9:O9"/>
    <mergeCell ref="D21:E22"/>
    <mergeCell ref="F21:H21"/>
    <mergeCell ref="I22:J22"/>
    <mergeCell ref="I21:K21"/>
    <mergeCell ref="P2:S3"/>
    <mergeCell ref="P4:S4"/>
    <mergeCell ref="C10:O10"/>
    <mergeCell ref="S10:W10"/>
    <mergeCell ref="L21:M21"/>
    <mergeCell ref="A21:A22"/>
    <mergeCell ref="B21:B22"/>
    <mergeCell ref="IB21:IB22"/>
    <mergeCell ref="AZ21:AZ22"/>
    <mergeCell ref="BS21:BS22"/>
    <mergeCell ref="BG20:BR20"/>
    <mergeCell ref="BS20:CD20"/>
    <mergeCell ref="BB21:BB22"/>
    <mergeCell ref="M7:S7"/>
    <mergeCell ref="EZ19:EZ22"/>
    <mergeCell ref="HV21:HV22"/>
    <mergeCell ref="FE19:FE22"/>
    <mergeCell ref="HQ21:HQ22"/>
    <mergeCell ref="HT21:HT22"/>
    <mergeCell ref="HU21:HU22"/>
    <mergeCell ref="FI19:FI22"/>
    <mergeCell ref="HD21:HE22"/>
    <mergeCell ref="GK21:GK22"/>
    <mergeCell ref="HM21:HM22"/>
    <mergeCell ref="HI21:HI22"/>
    <mergeCell ref="CP19:CQ21"/>
    <mergeCell ref="CN19:CO21"/>
    <mergeCell ref="CL21:CM21"/>
    <mergeCell ref="S9:AA9"/>
    <mergeCell ref="Z10:AA10"/>
    <mergeCell ref="T22:U22"/>
    <mergeCell ref="FS21:FS22"/>
    <mergeCell ref="HY21:HY22"/>
    <mergeCell ref="HZ21:HZ22"/>
    <mergeCell ref="IA21:IA22"/>
    <mergeCell ref="FQ21:FQ22"/>
    <mergeCell ref="BT21:BU22"/>
    <mergeCell ref="BV21:BV22"/>
    <mergeCell ref="BW21:BX22"/>
    <mergeCell ref="HA21:HA22"/>
    <mergeCell ref="GA21:GB21"/>
    <mergeCell ref="FR21:FR22"/>
    <mergeCell ref="GL21:GL22"/>
    <mergeCell ref="CE20:CE22"/>
    <mergeCell ref="CF20:CG21"/>
    <mergeCell ref="BY21:BY22"/>
    <mergeCell ref="HP21:HP22"/>
    <mergeCell ref="FT21:FT22"/>
    <mergeCell ref="FU21:FV21"/>
    <mergeCell ref="HO21:HO22"/>
    <mergeCell ref="DP21:DP22"/>
    <mergeCell ref="DJ21:DJ22"/>
    <mergeCell ref="DE20:DN20"/>
    <mergeCell ref="IC21:IC22"/>
    <mergeCell ref="ID21:ID22"/>
    <mergeCell ref="IE21:IE22"/>
    <mergeCell ref="IF21:IF22"/>
    <mergeCell ref="EY19:EY22"/>
    <mergeCell ref="FF19:FF22"/>
    <mergeCell ref="FB19:FB22"/>
    <mergeCell ref="FO21:FO22"/>
    <mergeCell ref="FP21:FP22"/>
    <mergeCell ref="FK19:FK22"/>
    <mergeCell ref="FC19:FC22"/>
    <mergeCell ref="FD19:FD22"/>
    <mergeCell ref="FJ19:FJ22"/>
    <mergeCell ref="FH19:FH22"/>
    <mergeCell ref="FM19:FM22"/>
    <mergeCell ref="FN19:FN22"/>
    <mergeCell ref="FG19:FG22"/>
    <mergeCell ref="FL19:FL22"/>
    <mergeCell ref="FA19:FA22"/>
    <mergeCell ref="HR21:HR22"/>
    <mergeCell ref="HS21:HS22"/>
    <mergeCell ref="HW21:HW22"/>
    <mergeCell ref="HX21:HX22"/>
    <mergeCell ref="HA19:IF20"/>
  </mergeCells>
  <phoneticPr fontId="0" type="noConversion"/>
  <conditionalFormatting sqref="BD23:BD40">
    <cfRule type="expression" dxfId="408" priority="363">
      <formula>AND(NOT($AY23),NOT($AP23))</formula>
    </cfRule>
  </conditionalFormatting>
  <conditionalFormatting sqref="EF69 EF23:EF40">
    <cfRule type="cellIs" dxfId="407" priority="677" stopIfTrue="1" operator="notEqual">
      <formula>$EG23</formula>
    </cfRule>
  </conditionalFormatting>
  <conditionalFormatting sqref="EM69 EM23:EM40">
    <cfRule type="cellIs" dxfId="406" priority="678" stopIfTrue="1" operator="notEqual">
      <formula>$EN23</formula>
    </cfRule>
  </conditionalFormatting>
  <conditionalFormatting sqref="CB69:CC69">
    <cfRule type="cellIs" dxfId="405" priority="712" stopIfTrue="1" operator="equal">
      <formula>0</formula>
    </cfRule>
    <cfRule type="expression" dxfId="404" priority="713" stopIfTrue="1">
      <formula>OR(CB69&lt;0,CB69&gt;FU69)</formula>
    </cfRule>
  </conditionalFormatting>
  <conditionalFormatting sqref="P2:S4">
    <cfRule type="cellIs" dxfId="403" priority="714" stopIfTrue="1" operator="equal">
      <formula>""</formula>
    </cfRule>
  </conditionalFormatting>
  <conditionalFormatting sqref="CC16">
    <cfRule type="expression" dxfId="402" priority="715" stopIfTrue="1">
      <formula>ISBLANK($CC$16)</formula>
    </cfRule>
  </conditionalFormatting>
  <conditionalFormatting sqref="CC15">
    <cfRule type="expression" dxfId="401" priority="716" stopIfTrue="1">
      <formula>ISBLANK($CC$15)</formula>
    </cfRule>
  </conditionalFormatting>
  <conditionalFormatting sqref="M7">
    <cfRule type="expression" dxfId="400" priority="718" stopIfTrue="1">
      <formula>AND(LOWER($M$7)&lt;&gt;"std gray primer: one shop coat",LOWER($M$7)&lt;&gt;"gray",$M$7&lt;&gt;"")</formula>
    </cfRule>
  </conditionalFormatting>
  <conditionalFormatting sqref="U23:U40">
    <cfRule type="expression" dxfId="399" priority="327">
      <formula>AND(NOT($AY23),NOT(AR23),$P23&lt;&gt;3)</formula>
    </cfRule>
  </conditionalFormatting>
  <conditionalFormatting sqref="W23:W40">
    <cfRule type="expression" dxfId="398" priority="335">
      <formula>AND(NOT($AY23),NOT(AT23),$S23&lt;&gt;3)</formula>
    </cfRule>
  </conditionalFormatting>
  <conditionalFormatting sqref="A23:B40">
    <cfRule type="expression" dxfId="397" priority="36">
      <formula>AND(NOT($AE$1),$B23=0,$AD$1="M")</formula>
    </cfRule>
  </conditionalFormatting>
  <conditionalFormatting sqref="T23:T40">
    <cfRule type="expression" dxfId="396" priority="324">
      <formula>AND(NOT($AY23),NOT(AR23),$P23&lt;&gt;3)</formula>
    </cfRule>
  </conditionalFormatting>
  <conditionalFormatting sqref="V23:V40">
    <cfRule type="expression" dxfId="395" priority="332">
      <formula>AND(NOT($AY23),NOT(AT23),$S23&lt;&gt;3)</formula>
    </cfRule>
  </conditionalFormatting>
  <conditionalFormatting sqref="C23:C40">
    <cfRule type="expression" dxfId="394" priority="106">
      <formula>AND(NOT($AY23),NOT($AP23))</formula>
    </cfRule>
  </conditionalFormatting>
  <conditionalFormatting sqref="M7:S7">
    <cfRule type="expression" dxfId="393" priority="241">
      <formula>OR(ISBLANK($M$7),$M$7="")</formula>
    </cfRule>
  </conditionalFormatting>
  <conditionalFormatting sqref="X23:X40">
    <cfRule type="expression" dxfId="392" priority="19">
      <formula>$X23=0</formula>
    </cfRule>
  </conditionalFormatting>
  <conditionalFormatting sqref="BO23:BO40">
    <cfRule type="expression" dxfId="391" priority="143">
      <formula>AND(BO23="X",CY23="")</formula>
    </cfRule>
    <cfRule type="expression" dxfId="390" priority="144">
      <formula>AND(BO23="",CY23&lt;&gt;"")</formula>
    </cfRule>
  </conditionalFormatting>
  <conditionalFormatting sqref="CA23:CA40">
    <cfRule type="expression" dxfId="389" priority="145">
      <formula>AND(CA23="X",DI23="")</formula>
    </cfRule>
    <cfRule type="expression" dxfId="388" priority="146">
      <formula>AND(CA23="",DI23&lt;&gt;"")</formula>
    </cfRule>
  </conditionalFormatting>
  <conditionalFormatting sqref="BQ23:BQ40">
    <cfRule type="expression" dxfId="387" priority="126">
      <formula>CP23&lt;&gt;""</formula>
    </cfRule>
  </conditionalFormatting>
  <conditionalFormatting sqref="CC23:CC40">
    <cfRule type="expression" dxfId="386" priority="125">
      <formula>CQ23&lt;&gt;""</formula>
    </cfRule>
  </conditionalFormatting>
  <conditionalFormatting sqref="CG23:CG40">
    <cfRule type="expression" dxfId="385" priority="749">
      <formula>OR(CH23&lt;&gt;"",CI23&lt;&gt;"",CJ23&lt;&gt;"",CK23&lt;&gt;"",CL23&lt;&gt;"",CM23&lt;&gt;"",CP23&lt;&gt;"",CQ23&lt;&gt;"")</formula>
    </cfRule>
  </conditionalFormatting>
  <conditionalFormatting sqref="BE23:BF40">
    <cfRule type="expression" dxfId="384" priority="750">
      <formula>AND(NOT($AY23),AND($AZ23,AND($AK23&lt;&gt;"HDR",$AK23&lt;&gt;"JS",$AJ23&gt;=8)))</formula>
    </cfRule>
  </conditionalFormatting>
  <conditionalFormatting sqref="D23:E40">
    <cfRule type="expression" dxfId="383" priority="115">
      <formula>AND(NOT($AY23),AND($AZ23,AND($AK23&lt;&gt;"HDR",$AK23&lt;&gt;"JS",$AJ23&gt;=8)))</formula>
    </cfRule>
  </conditionalFormatting>
  <conditionalFormatting sqref="CF23:CG40">
    <cfRule type="expression" dxfId="382" priority="112">
      <formula>LEN($AA23)&gt;31</formula>
    </cfRule>
  </conditionalFormatting>
  <conditionalFormatting sqref="AA12">
    <cfRule type="expression" dxfId="381" priority="109">
      <formula>OR(ISBLANK(AA12),AA12="")</formula>
    </cfRule>
  </conditionalFormatting>
  <conditionalFormatting sqref="A23:AA40">
    <cfRule type="expression" dxfId="380" priority="825">
      <formula>$AC23</formula>
    </cfRule>
  </conditionalFormatting>
  <conditionalFormatting sqref="AA23:AA40">
    <cfRule type="expression" dxfId="379" priority="20">
      <formula>AND(NOT($AY23),LEN(AA23)&gt;31)</formula>
    </cfRule>
  </conditionalFormatting>
  <conditionalFormatting sqref="GA23:GB40">
    <cfRule type="expression" dxfId="378" priority="18" stopIfTrue="1">
      <formula>$GM23&gt;=0.125</formula>
    </cfRule>
  </conditionalFormatting>
  <conditionalFormatting sqref="EF43">
    <cfRule type="cellIs" dxfId="377" priority="12" stopIfTrue="1" operator="notEqual">
      <formula>$EG43</formula>
    </cfRule>
  </conditionalFormatting>
  <conditionalFormatting sqref="U57">
    <cfRule type="expression" dxfId="376" priority="8">
      <formula>AND(NOT($AY57),NOT(AR57),$P57&lt;&gt;3)</formula>
    </cfRule>
  </conditionalFormatting>
  <conditionalFormatting sqref="W57">
    <cfRule type="expression" dxfId="375" priority="10">
      <formula>AND(NOT($AY57),NOT(AT57),$S57&lt;&gt;3)</formula>
    </cfRule>
  </conditionalFormatting>
  <conditionalFormatting sqref="A57:B57">
    <cfRule type="expression" dxfId="374" priority="4">
      <formula>AND(NOT($AE$1),$B57=0,$AD$1="M")</formula>
    </cfRule>
  </conditionalFormatting>
  <conditionalFormatting sqref="T57">
    <cfRule type="expression" dxfId="373" priority="7">
      <formula>AND(NOT($AY57),NOT(AR57),$P57&lt;&gt;3)</formula>
    </cfRule>
  </conditionalFormatting>
  <conditionalFormatting sqref="V57">
    <cfRule type="expression" dxfId="372" priority="9">
      <formula>AND(NOT($AY57),NOT(AT57),$S57&lt;&gt;3)</formula>
    </cfRule>
  </conditionalFormatting>
  <conditionalFormatting sqref="C57">
    <cfRule type="expression" dxfId="371" priority="5">
      <formula>AND(NOT($AY57),NOT($AP57))</formula>
    </cfRule>
  </conditionalFormatting>
  <conditionalFormatting sqref="X57">
    <cfRule type="expression" dxfId="370" priority="2">
      <formula>$X57=0</formula>
    </cfRule>
  </conditionalFormatting>
  <conditionalFormatting sqref="D57:E57">
    <cfRule type="expression" dxfId="369" priority="6">
      <formula>AND(NOT($AY57),AND($AZ57,AND($AK57&lt;&gt;"HDR",$AK57&lt;&gt;"JS",$AJ57&gt;=8)))</formula>
    </cfRule>
  </conditionalFormatting>
  <conditionalFormatting sqref="A57:AA57">
    <cfRule type="expression" dxfId="368" priority="11">
      <formula>$AC57</formula>
    </cfRule>
  </conditionalFormatting>
  <conditionalFormatting sqref="AA57">
    <cfRule type="expression" dxfId="367" priority="3">
      <formula>AND(NOT($AY57),LEN(AA57)&gt;31)</formula>
    </cfRule>
  </conditionalFormatting>
  <conditionalFormatting sqref="BB23:BC40">
    <cfRule type="expression" dxfId="366" priority="1251">
      <formula>AND(NOT($AE$1),$B23=0,$AD$1="M")</formula>
    </cfRule>
  </conditionalFormatting>
  <conditionalFormatting sqref="CE23:CG40">
    <cfRule type="expression" dxfId="365" priority="1284">
      <formula>$AC23</formula>
    </cfRule>
  </conditionalFormatting>
  <conditionalFormatting sqref="BB23:CD40">
    <cfRule type="expression" dxfId="364" priority="1320">
      <formula>$AC23</formula>
    </cfRule>
  </conditionalFormatting>
  <conditionalFormatting sqref="BS23:BS40">
    <cfRule type="expression" dxfId="363" priority="1393">
      <formula>AND(NOT($AY23),ISERROR(DE23))</formula>
    </cfRule>
    <cfRule type="expression" dxfId="362" priority="1394">
      <formula>AND(NOT($AY23),OR(DE23="", CQ23&lt;&gt;""))</formula>
    </cfRule>
  </conditionalFormatting>
  <conditionalFormatting sqref="BG23:BG40">
    <cfRule type="expression" dxfId="361" priority="1395">
      <formula>AND(NOT($AY23),ISERROR(CU23))</formula>
    </cfRule>
    <cfRule type="expression" dxfId="360" priority="1396">
      <formula>AND(NOT($AY23),OR(CP23&lt;&gt;"", CU23=""))</formula>
    </cfRule>
  </conditionalFormatting>
  <conditionalFormatting sqref="BH23:BH40">
    <cfRule type="expression" dxfId="359" priority="1429">
      <formula>AND(NOT($AY23),OR($CU23="M",$CU23="C",AND($CU23="B",$DC23&gt;0)))</formula>
    </cfRule>
    <cfRule type="expression" dxfId="358" priority="1430">
      <formula>AND(NOT($AY23),AND(BH23="",BI23="",OR($CU23="B",$CU23="G")))</formula>
    </cfRule>
    <cfRule type="expression" dxfId="357" priority="1431">
      <formula>AND(NOT($AY23),(BH23/2)/COS(RADIANS(BM23))+CV23-DW23&lt;VLOOKUP(AU23,$DF$2:$DJ$9,5,FALSE))</formula>
    </cfRule>
  </conditionalFormatting>
  <conditionalFormatting sqref="BI23:BI40">
    <cfRule type="expression" dxfId="356" priority="1432">
      <formula>AND(NOT($AY23),OR($CU23="M",$CU23="C",AND($CU23="B",$DC23&gt;0)))</formula>
    </cfRule>
    <cfRule type="expression" dxfId="355" priority="1433">
      <formula>AND(NOT($AY23),AND(BH23="",BI23="",OR($CU23="B",$CU23="G")))</formula>
    </cfRule>
    <cfRule type="expression" dxfId="354" priority="1434">
      <formula>AND(NOT($AY23),(BI23/2)/COS(RADIANS(BM23))+CV23-DW23&lt;VLOOKUP(AU23,$DF$2:$DJ$9,5,FALSE))</formula>
    </cfRule>
  </conditionalFormatting>
  <conditionalFormatting sqref="BK23:BK40">
    <cfRule type="expression" dxfId="353" priority="1435">
      <formula>AND(NOT($AY23),OR($CU23="M",$CU23="C",AND($CU23="B",$DA23&lt;&gt;"")))</formula>
    </cfRule>
    <cfRule type="expression" dxfId="352" priority="1436">
      <formula>AND(NOT($AY23),AND(BJ23="X",BK23="",BL23=""))</formula>
    </cfRule>
    <cfRule type="expression" dxfId="351" priority="1437">
      <formula>AND(NOT($AY23),EZ23="ERR")</formula>
    </cfRule>
  </conditionalFormatting>
  <conditionalFormatting sqref="BL23:BL40">
    <cfRule type="expression" dxfId="350" priority="1438">
      <formula>AND(NOT($AY23),OR($CU23="M",$CU23="C",AND($CU23="B",$DA23&lt;&gt;"")))</formula>
    </cfRule>
    <cfRule type="expression" dxfId="349" priority="1439">
      <formula>AND(NOT($AY23),AND(BJ23="X",BK23="",BL23=""))</formula>
    </cfRule>
    <cfRule type="expression" dxfId="348" priority="1440">
      <formula>AND(NOT($AY23),EZ23="ERR")</formula>
    </cfRule>
  </conditionalFormatting>
  <conditionalFormatting sqref="BW23:BW40">
    <cfRule type="expression" dxfId="347" priority="1441">
      <formula>AND(NOT($AY23),OR($DE23="M",$DE23="C",AND($DE23="B",$DK23&lt;&gt;"")))</formula>
    </cfRule>
    <cfRule type="expression" dxfId="346" priority="1442">
      <formula>AND(NOT($AY23),AND(BV23="X",BW23="",BX23=""))</formula>
    </cfRule>
    <cfRule type="expression" dxfId="345" priority="1443">
      <formula>AND(NOT($AY23),FC23="ERR")</formula>
    </cfRule>
  </conditionalFormatting>
  <conditionalFormatting sqref="BX23:BX40">
    <cfRule type="expression" dxfId="344" priority="1444">
      <formula>AND(NOT($AY23),OR($DE23="M",$DE23="C",AND($DE23="B",$DK23&lt;&gt;"")))</formula>
    </cfRule>
    <cfRule type="expression" dxfId="343" priority="1445">
      <formula>AND(NOT($AY23),AND(BV23="X",BW23="",BX23=""))</formula>
    </cfRule>
    <cfRule type="expression" dxfId="342" priority="1446">
      <formula>AND(NOT($AY23),FC23="ERR")</formula>
    </cfRule>
  </conditionalFormatting>
  <conditionalFormatting sqref="BT23:BT40">
    <cfRule type="expression" dxfId="341" priority="1447">
      <formula>AND(NOT($AY23),OR($DE23="M",$DE23="C",AND($DE23="B",$DM23&gt;0)))</formula>
    </cfRule>
    <cfRule type="expression" dxfId="340" priority="1448">
      <formula>AND(NOT($AY23),AND(BT23="",BU23="",OR($DE23="B",$DE23="G")))</formula>
    </cfRule>
    <cfRule type="expression" dxfId="339" priority="1449">
      <formula>AND(NOT($AY23),(BT23/2)/COS(RADIANS(BY23))+DF23-EC23&lt;VLOOKUP(AU23,$DF$2:$DJ$9,5,FALSE))</formula>
    </cfRule>
  </conditionalFormatting>
  <conditionalFormatting sqref="BU23:BU40">
    <cfRule type="expression" dxfId="338" priority="1450">
      <formula>AND(NOT($AY23),OR($DE23="M",$DE23="C",AND($DE23="B",$DM23&gt;0)))</formula>
    </cfRule>
    <cfRule type="expression" dxfId="337" priority="1451">
      <formula>AND(NOT($AY23),AND(BT23="",BU23="",OR($DE23="B",$DE23="G")))</formula>
    </cfRule>
    <cfRule type="expression" dxfId="336" priority="1452">
      <formula>AND(NOT($AY23),(BU23/2)/COS(RADIANS(BY23))+DF23-EC23&lt;VLOOKUP(AU23,$DF$2:$DJ$9,5,FALSE))</formula>
    </cfRule>
  </conditionalFormatting>
  <conditionalFormatting sqref="BZ23:BZ40 BN23:BN40">
    <cfRule type="expression" dxfId="335" priority="1453">
      <formula>AND(NOT($AY23),AND(ISBLANK(BN23),AND(NOT(ISBLANK(BM23)),$CE23&lt;&gt;0)))</formula>
    </cfRule>
  </conditionalFormatting>
  <conditionalFormatting sqref="BJ23:BJ40">
    <cfRule type="expression" dxfId="334" priority="1455">
      <formula>AND(NOT($AY23),OR($CU23="C",AND($CU23="M",$DA23&gt;0)))</formula>
    </cfRule>
    <cfRule type="expression" dxfId="333" priority="1456">
      <formula>AND(NOT($AY23),OR(NOT(IF(AND(OR(MID($BB23,1,1)="T",($BE23+$BF23/12)/IF(ABS($CE23)&gt;$DQ$1,COS($DO23),1)&gt;=40),OR($CU23="B",$CU23="G")),"X","")="X"),$EZ23="ERR"))</formula>
    </cfRule>
    <cfRule type="expression" dxfId="332" priority="1457">
      <formula>AND(NOT($AY23),$BJ23&lt;&gt;"X",$BJ23&lt;&gt;IF(AND(OR(MID(BB23,1,1)="T",($BE23+$BF23/12)/IF(ABS($CE23)&gt;$DQ$1,COS($DO23),1)&gt;=40),OR($CU23="B",$CU23="G")),"X",""))</formula>
    </cfRule>
  </conditionalFormatting>
  <conditionalFormatting sqref="BV23:BV40">
    <cfRule type="expression" dxfId="331" priority="1458">
      <formula>AND(NOT($AY23),OR($DE23="C",AND($DE23="M",$DK23&gt;0)))</formula>
    </cfRule>
    <cfRule type="expression" dxfId="330" priority="1459">
      <formula>AND(NOT($AY23),OR(NOT(IF(AND(OR(MID($BB23,1,1)="T",($BE23+$BF23/12)/IF(ABS($CE23)&gt;$DQ$1,COS($DO23),1)&gt;=40),OR($DE23="B",$DE23="G")),"X","")="X"),$FC23="ERR"))</formula>
    </cfRule>
    <cfRule type="expression" dxfId="329" priority="1460">
      <formula>AND(NOT($AY23),$BV23&lt;&gt;"X",$BV23&lt;&gt;IF(AND(OR(MID(BB23,1,1)="T",($BE23+$BF23/12)/IF(ABS($CE23)&gt;$DQ$1,COS($DO23),1)&gt;=40),OR($DE23="B",$DE23="G")),"X",""))</formula>
    </cfRule>
  </conditionalFormatting>
  <conditionalFormatting sqref="GA57:GB57">
    <cfRule type="expression" dxfId="328" priority="1" stopIfTrue="1">
      <formula>$GM57&gt;=0.125</formula>
    </cfRule>
  </conditionalFormatting>
  <dataValidations count="15">
    <dataValidation type="list" allowBlank="1" showInputMessage="1" sqref="M7:S7 CC15:CF15" xr:uid="{00000000-0002-0000-0C00-000000000000}">
      <formula1>"Std Gray Primer: One Shop Coat,NO Shop Primer,NO Shop Primer - GALV,Std Gray Primer: xx Shop Coats"</formula1>
    </dataValidation>
    <dataValidation type="whole" operator="greaterThanOrEqual" allowBlank="1" showErrorMessage="1" errorTitle="Dimensional Error" error="&quot;Feet&quot; can only be whole numbers." sqref="D23:D40 F23:F40 I23:I40 T23:T40 V23:V40 BE23:BE40 D57 F57 I57 T57 V57" xr:uid="{00000000-0002-0000-0C00-000001000000}">
      <formula1>0</formula1>
    </dataValidation>
    <dataValidation type="decimal" allowBlank="1" showInputMessage="1" showErrorMessage="1" errorTitle="Dimensional Error" error="&quot;Inches&quot; must be a number from 0 to 11.875." sqref="BF23:BF40 E23:E40 W23:W40 G23:G40 J23:J40 U23:U40 E57 W57 G57 J57 U57" xr:uid="{00000000-0002-0000-0C00-000002000000}">
      <formula1>0</formula1>
      <formula2>11.875</formula2>
    </dataValidation>
    <dataValidation type="decimal" operator="greaterThanOrEqual" allowBlank="1" showInputMessage="1" showErrorMessage="1" errorTitle="Dimensional Error" error="&quot;Inches&quot; must be a number." sqref="BH23:BI40 BK23:BL40 BT23:BU40 BW23:BX40" xr:uid="{00000000-0002-0000-0C00-000003000000}">
      <formula1>0</formula1>
    </dataValidation>
    <dataValidation type="decimal" operator="notEqual" allowBlank="1" showInputMessage="1" showErrorMessage="1" errorTitle="Input Error" error="Enter + or - Numbers Only._x000a_Do NOT use &quot;&lt;&quot; or &quot;&gt;&quot;." sqref="Y23:Z40 Y57:Z57" xr:uid="{00000000-0002-0000-0C00-000004000000}">
      <formula1>0</formula1>
    </dataValidation>
    <dataValidation type="whole" operator="notBetween" allowBlank="1" showInputMessage="1" showErrorMessage="1" sqref="B57" xr:uid="{00000000-0002-0000-0C00-000005000000}">
      <formula1>-10001</formula1>
      <formula2>-10000</formula2>
    </dataValidation>
    <dataValidation type="decimal" operator="greaterThan" allowBlank="1" showInputMessage="1" showErrorMessage="1" errorTitle="Dimensional Error" error="Only positive numeric values permitted here." sqref="L23:M40 L57:M57" xr:uid="{00000000-0002-0000-0C00-000006000000}">
      <formula1>0</formula1>
    </dataValidation>
    <dataValidation type="decimal" operator="lessThanOrEqual" allowBlank="1" showInputMessage="1" errorTitle="BL Over-Ride Error!" error="Base Length can't be past Joist Overall Length!  See section for Maximum Over-Ride Dimension." sqref="BQ23:BQ40" xr:uid="{00000000-0002-0000-0C00-000007000000}">
      <formula1>$CV23</formula1>
    </dataValidation>
    <dataValidation type="decimal" operator="lessThanOrEqual" allowBlank="1" showInputMessage="1" errorTitle="BL Over-Ride Error!" error="Base Length can't be past Joist Overall Length!  See section for Maximum Over-Ride Dimension." sqref="CC23:CC40" xr:uid="{00000000-0002-0000-0C00-000008000000}">
      <formula1>$DF23</formula1>
    </dataValidation>
    <dataValidation type="custom" allowBlank="1" showInputMessage="1" showErrorMessage="1" errorTitle="Input Error:" error="Value must be &quot;X&quot; or a Number that Over-rides the BCX Dimension in the Section." sqref="BO23:BO40 CA23:CA40" xr:uid="{EB6B120B-D0AA-4EB1-BE7B-890F316BA579}">
      <formula1>IF(ISTEXT(BO23),BO23="X",ISNUMBER(BO23))</formula1>
    </dataValidation>
    <dataValidation type="decimal" allowBlank="1" showInputMessage="1" showErrorMessage="1" errorTitle="Input Error" error="Numeric Values Only!" sqref="GC23:GD40 GC57:GD57 BP23:BP40 CB23:CB40" xr:uid="{130FE3E0-08C5-4F30-BB0B-32BF891752DB}">
      <formula1>-1200</formula1>
      <formula2>1200</formula2>
    </dataValidation>
    <dataValidation type="decimal" allowBlank="1" showInputMessage="1" showErrorMessage="1" errorTitle="Input Error" error="Numbers from 0&quot; to 11 7/8&quot; only!" sqref="GB23:GB40 GB57" xr:uid="{D53A0F0A-E86B-4BA9-9222-2CD5E6FECFAD}">
      <formula1>0</formula1>
      <formula2>11.875</formula2>
    </dataValidation>
    <dataValidation type="whole" operator="greaterThanOrEqual" allowBlank="1" showInputMessage="1" showErrorMessage="1" errorTitle="Input Error" error="Positive Integers Only!" sqref="GA23:GA40 GA57" xr:uid="{33A3FF89-91E1-4A86-AFFA-9B958DF49DCD}">
      <formula1>0</formula1>
    </dataValidation>
    <dataValidation type="decimal" operator="greaterThan" allowBlank="1" showInputMessage="1" showErrorMessage="1" errorTitle="Input Error" error="Positive Numeric Values Only!" sqref="BR23:BR40 CD23:CD40" xr:uid="{4A6CCAD8-3209-4FA9-A368-18FC41A82EE1}">
      <formula1>0</formula1>
    </dataValidation>
    <dataValidation type="whole" operator="greaterThan" allowBlank="1" showInputMessage="1" showErrorMessage="1" errorTitle="Quantity Error" error="Value must be an integer greater than -1000." sqref="B23:B40 BC23:BC40" xr:uid="{15905C63-304B-4F85-A4D4-58231A05F1BA}">
      <formula1>-1001</formula1>
    </dataValidation>
  </dataValidations>
  <printOptions horizontalCentered="1"/>
  <pageMargins left="0.3" right="0.3" top="0.5" bottom="0.5" header="0" footer="0.25"/>
  <pageSetup pageOrder="overThenDown" orientation="landscape" r:id="rId1"/>
  <headerFooter alignWithMargins="0">
    <oddFooter>&amp;R&amp;7Printed: &amp;D &amp;T&amp;L&amp;7Version: 21.0428
File: &amp;F</oddFooter>
  </headerFooter>
  <colBreaks count="1" manualBreakCount="1">
    <brk id="85" max="39" man="1"/>
  </colBreaks>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0">
    <tabColor indexed="43"/>
  </sheetPr>
  <dimension ref="A1:IG104"/>
  <sheetViews>
    <sheetView showGridLines="0" topLeftCell="BB1" zoomScaleNormal="100" zoomScaleSheetLayoutView="75" workbookViewId="0">
      <selection activeCell="BB16" sqref="BB16"/>
    </sheetView>
  </sheetViews>
  <sheetFormatPr defaultColWidth="4.7109375" defaultRowHeight="11.25" x14ac:dyDescent="0.2"/>
  <cols>
    <col min="1" max="1" width="5.7109375" style="154" customWidth="1"/>
    <col min="2" max="2" width="4.28515625" style="154" customWidth="1"/>
    <col min="3" max="3" width="15.7109375" style="154" customWidth="1"/>
    <col min="4" max="4" width="3.7109375" style="154" customWidth="1"/>
    <col min="5" max="5" width="4.42578125" style="154" customWidth="1"/>
    <col min="6" max="6" width="3" style="154" customWidth="1"/>
    <col min="7" max="7" width="4.42578125" style="154" customWidth="1"/>
    <col min="8" max="9" width="3" style="154" customWidth="1"/>
    <col min="10" max="10" width="4.42578125" style="154" customWidth="1"/>
    <col min="11" max="11" width="3" style="154" customWidth="1"/>
    <col min="12" max="13" width="4.42578125" style="154" customWidth="1"/>
    <col min="14" max="14" width="3.28515625" style="154" customWidth="1"/>
    <col min="15" max="15" width="5" style="154" customWidth="1"/>
    <col min="16" max="16" width="2.7109375" style="154" customWidth="1"/>
    <col min="17" max="17" width="3.28515625" style="154" customWidth="1"/>
    <col min="18" max="18" width="5" style="154" customWidth="1"/>
    <col min="19" max="19" width="2.7109375" style="154" customWidth="1"/>
    <col min="20" max="20" width="2.85546875" style="154" customWidth="1"/>
    <col min="21" max="21" width="4.42578125" style="154" customWidth="1"/>
    <col min="22" max="22" width="2.85546875" style="154" customWidth="1"/>
    <col min="23" max="23" width="4.42578125" style="154" customWidth="1"/>
    <col min="24" max="24" width="4.28515625" style="154" customWidth="1"/>
    <col min="25" max="26" width="4.7109375" style="154" customWidth="1"/>
    <col min="27" max="27" width="21" style="154" customWidth="1"/>
    <col min="28" max="28" width="3.7109375" style="154" customWidth="1"/>
    <col min="29" max="29" width="5.7109375" style="154" hidden="1" customWidth="1"/>
    <col min="30" max="30" width="3.7109375" style="154" hidden="1" customWidth="1"/>
    <col min="31" max="31" width="6.7109375" style="154" hidden="1" customWidth="1"/>
    <col min="32" max="34" width="3.7109375" style="154" hidden="1" customWidth="1"/>
    <col min="35" max="35" width="3.7109375" style="324" hidden="1" customWidth="1"/>
    <col min="36" max="43" width="3.7109375" style="154" hidden="1" customWidth="1"/>
    <col min="44" max="44" width="6.7109375" style="154" hidden="1" customWidth="1"/>
    <col min="45" max="45" width="3.7109375" style="154" hidden="1" customWidth="1"/>
    <col min="46" max="46" width="6.7109375" style="154" hidden="1" customWidth="1"/>
    <col min="47" max="49" width="4.7109375" style="154" hidden="1" customWidth="1"/>
    <col min="50" max="51" width="5.7109375" style="154" hidden="1" customWidth="1"/>
    <col min="52" max="52" width="10.7109375" style="154" hidden="1" customWidth="1"/>
    <col min="53" max="53" width="3.7109375" style="154" customWidth="1"/>
    <col min="54" max="54" width="6.7109375" style="154" customWidth="1"/>
    <col min="55" max="55" width="4.7109375" style="154" customWidth="1"/>
    <col min="56" max="56" width="13.7109375" style="154" customWidth="1"/>
    <col min="57" max="57" width="4.7109375" style="154" customWidth="1"/>
    <col min="58" max="58" width="5.7109375" style="154" customWidth="1"/>
    <col min="59" max="59" width="3.7109375" style="154" customWidth="1"/>
    <col min="60" max="61" width="5.28515625" style="154" customWidth="1"/>
    <col min="62" max="62" width="3.42578125" style="154" customWidth="1"/>
    <col min="63" max="64" width="5.28515625" style="154" customWidth="1"/>
    <col min="65" max="65" width="4.7109375" style="154" customWidth="1"/>
    <col min="66" max="66" width="5.7109375" style="154" customWidth="1"/>
    <col min="67" max="67" width="3.42578125" style="154" customWidth="1"/>
    <col min="68" max="69" width="6" style="154" customWidth="1"/>
    <col min="70" max="70" width="4.7109375" style="154" customWidth="1"/>
    <col min="71" max="71" width="3.7109375" style="154" customWidth="1"/>
    <col min="72" max="73" width="5.28515625" style="154" customWidth="1"/>
    <col min="74" max="74" width="3.42578125" style="154" customWidth="1"/>
    <col min="75" max="76" width="5.28515625" style="154" customWidth="1"/>
    <col min="77" max="77" width="4.7109375" style="154" customWidth="1"/>
    <col min="78" max="78" width="5.7109375" style="154" customWidth="1"/>
    <col min="79" max="79" width="3.42578125" style="154" customWidth="1"/>
    <col min="80" max="81" width="6" style="154" customWidth="1"/>
    <col min="82" max="82" width="4.7109375" style="154" customWidth="1"/>
    <col min="83" max="83" width="5.7109375" style="154" customWidth="1"/>
    <col min="84" max="85" width="17.85546875" style="154" customWidth="1"/>
    <col min="86" max="88" width="10.7109375" style="154" customWidth="1"/>
    <col min="89" max="89" width="8.7109375" style="154" customWidth="1"/>
    <col min="90" max="93" width="8.28515625" style="154" customWidth="1"/>
    <col min="94" max="95" width="4.7109375" style="154" customWidth="1"/>
    <col min="96" max="97" width="6.42578125" style="154" customWidth="1"/>
    <col min="98" max="98" width="4.7109375" style="154" customWidth="1"/>
    <col min="99" max="117" width="6.7109375" style="154" hidden="1" customWidth="1"/>
    <col min="118" max="118" width="8.7109375" style="154" hidden="1" customWidth="1"/>
    <col min="119" max="133" width="6.7109375" style="154" hidden="1" customWidth="1"/>
    <col min="134" max="135" width="8.7109375" style="154" hidden="1" customWidth="1"/>
    <col min="136" max="141" width="6.7109375" style="154" hidden="1" customWidth="1"/>
    <col min="142" max="142" width="8.7109375" style="154" hidden="1" customWidth="1"/>
    <col min="143" max="178" width="6.7109375" style="154" hidden="1" customWidth="1"/>
    <col min="179" max="179" width="4.7109375" style="154" customWidth="1"/>
    <col min="180" max="180" width="6.7109375" style="154" hidden="1" customWidth="1"/>
    <col min="181" max="181" width="8.7109375" style="154" hidden="1" customWidth="1"/>
    <col min="182" max="182" width="4.7109375" style="154" customWidth="1"/>
    <col min="183" max="183" width="5.28515625" style="154" customWidth="1"/>
    <col min="184" max="184" width="6.28515625" style="154" customWidth="1"/>
    <col min="185" max="187" width="8.7109375" style="154" customWidth="1"/>
    <col min="188" max="188" width="5.7109375" style="154" customWidth="1"/>
    <col min="189" max="189" width="5.28515625" style="154" customWidth="1"/>
    <col min="190" max="190" width="6.28515625" style="154" customWidth="1"/>
    <col min="191" max="191" width="5.28515625" style="154" hidden="1" customWidth="1"/>
    <col min="192" max="192" width="6.28515625" style="154" hidden="1" customWidth="1"/>
    <col min="193" max="195" width="8.7109375" style="154" hidden="1" customWidth="1"/>
    <col min="196" max="196" width="4.7109375" style="154" customWidth="1"/>
    <col min="197" max="206" width="8.7109375" style="154" hidden="1" customWidth="1"/>
    <col min="207" max="207" width="8.7109375" style="154" customWidth="1"/>
    <col min="208" max="208" width="8.7109375" style="154" hidden="1" customWidth="1"/>
    <col min="209" max="211" width="6.7109375" style="154" hidden="1" customWidth="1"/>
    <col min="212" max="212" width="6.7109375" style="156" hidden="1" customWidth="1"/>
    <col min="213" max="213" width="6.7109375" style="307" hidden="1" customWidth="1"/>
    <col min="214" max="236" width="6.7109375" style="154" hidden="1" customWidth="1"/>
    <col min="237" max="237" width="4.7109375" style="154" hidden="1" customWidth="1"/>
    <col min="238" max="240" width="6.7109375" style="154" hidden="1" customWidth="1"/>
    <col min="241" max="241" width="8.7109375" style="154" customWidth="1"/>
    <col min="242" max="16384" width="4.7109375" style="154"/>
  </cols>
  <sheetData>
    <row r="1" spans="1:241" s="303" customFormat="1" ht="14.45" customHeight="1" thickBot="1" x14ac:dyDescent="0.25">
      <c r="A1" s="297"/>
      <c r="B1" s="297"/>
      <c r="C1" s="297"/>
      <c r="D1" s="297"/>
      <c r="E1" s="297"/>
      <c r="F1" s="297"/>
      <c r="G1" s="297"/>
      <c r="H1" s="297"/>
      <c r="I1" s="298"/>
      <c r="J1" s="298"/>
      <c r="K1" s="298"/>
      <c r="L1" s="298"/>
      <c r="M1" s="298"/>
      <c r="N1" s="297"/>
      <c r="O1" s="298"/>
      <c r="P1" s="1705" t="e">
        <f>IF(AD1="","",VLOOKUP(AD1,#REF!,4,FALSE))</f>
        <v>#REF!</v>
      </c>
      <c r="Q1" s="1705"/>
      <c r="R1" s="1705"/>
      <c r="S1" s="1705"/>
      <c r="T1" s="298"/>
      <c r="U1" s="298"/>
      <c r="V1" s="299"/>
      <c r="W1" s="299"/>
      <c r="X1" s="1020" t="s">
        <v>77</v>
      </c>
      <c r="Y1" s="299"/>
      <c r="Z1" s="299"/>
      <c r="AA1" s="1013" t="e">
        <f>#REF!</f>
        <v>#REF!</v>
      </c>
      <c r="AB1" s="432" t="s">
        <v>375</v>
      </c>
      <c r="AD1" s="302" t="e">
        <f>#REF!</f>
        <v>#REF!</v>
      </c>
      <c r="AE1" s="303" t="e">
        <f>#REF!</f>
        <v>#REF!</v>
      </c>
      <c r="AF1" s="708" t="s">
        <v>559</v>
      </c>
      <c r="AI1" s="302"/>
      <c r="AW1" s="160"/>
      <c r="AX1" s="160"/>
      <c r="BA1" s="433" t="s">
        <v>376</v>
      </c>
      <c r="BB1" s="152"/>
      <c r="BC1" s="152"/>
      <c r="BD1" s="152"/>
      <c r="BE1" s="152"/>
      <c r="BF1" s="152"/>
      <c r="BG1" s="152"/>
      <c r="BH1" s="152"/>
      <c r="BI1" s="152"/>
      <c r="BJ1" s="152"/>
      <c r="BK1" s="152"/>
      <c r="BL1" s="152"/>
      <c r="BM1" s="152"/>
      <c r="BN1" s="152"/>
      <c r="BO1" s="152"/>
      <c r="BP1" s="152"/>
      <c r="BQ1" s="152"/>
      <c r="BR1" s="152"/>
      <c r="BS1" s="152"/>
      <c r="BT1" s="152"/>
      <c r="BU1" s="152"/>
      <c r="BV1" s="152"/>
      <c r="BW1" s="152"/>
      <c r="BX1" s="152"/>
      <c r="BY1" s="152"/>
      <c r="BZ1" s="152"/>
      <c r="CA1" s="152"/>
      <c r="CB1" s="152"/>
      <c r="CC1" s="110"/>
      <c r="CD1" s="152"/>
      <c r="CE1" s="152"/>
      <c r="CF1" s="298"/>
      <c r="CG1" s="151"/>
      <c r="CH1" s="151"/>
      <c r="CI1" s="151"/>
      <c r="CJ1" s="151"/>
      <c r="CK1" s="151"/>
      <c r="CL1" s="151"/>
      <c r="CM1" s="151"/>
      <c r="CN1" s="151"/>
      <c r="CO1" s="151"/>
      <c r="CP1" s="151"/>
      <c r="CQ1" s="298"/>
      <c r="CR1" s="298"/>
      <c r="CS1" s="298"/>
      <c r="CT1" s="432" t="s">
        <v>372</v>
      </c>
      <c r="CW1" s="301" t="s">
        <v>164</v>
      </c>
      <c r="CX1" s="305" t="e">
        <f>#REF!</f>
        <v>#REF!</v>
      </c>
      <c r="CY1" s="306" t="e">
        <f>IF(CX1=1,"Joist BL @ CL of Steel Support (if possible), minimize BL",IF(CX1=2,"Minimize Joist Base Length",IF(CX1=3,"Minimize TCX (Maximize Joist BL)",IF(CX1=4,"Joist BL @ CL of Steel Support (if possible), minimize TCX"))))</f>
        <v>#REF!</v>
      </c>
      <c r="CZ1" s="306"/>
      <c r="DA1" s="155"/>
      <c r="DB1" s="155"/>
      <c r="DC1" s="155" t="s">
        <v>549</v>
      </c>
      <c r="DD1" s="303" t="e">
        <f>#REF!</f>
        <v>#REF!</v>
      </c>
      <c r="DE1" s="155"/>
      <c r="DF1" s="155"/>
      <c r="DG1" s="899" t="s">
        <v>690</v>
      </c>
      <c r="DH1" s="312" t="s">
        <v>139</v>
      </c>
      <c r="DI1" s="313" t="s">
        <v>159</v>
      </c>
      <c r="DJ1" s="314" t="s">
        <v>160</v>
      </c>
      <c r="DK1" s="313" t="s">
        <v>161</v>
      </c>
      <c r="DL1" s="313" t="s">
        <v>162</v>
      </c>
      <c r="DM1" s="313" t="s">
        <v>163</v>
      </c>
      <c r="DN1" s="315" t="s">
        <v>350</v>
      </c>
      <c r="DO1" s="155"/>
      <c r="DP1" s="301" t="s">
        <v>696</v>
      </c>
      <c r="DQ1" s="900" t="e">
        <f>#REF!</f>
        <v>#REF!</v>
      </c>
      <c r="DR1" s="155"/>
      <c r="DS1" s="155"/>
      <c r="DT1" s="155"/>
      <c r="DX1" s="155"/>
      <c r="DY1" s="155"/>
      <c r="DZ1" s="155"/>
      <c r="EA1" s="155"/>
      <c r="EB1" s="155"/>
      <c r="EC1" s="155"/>
      <c r="ED1" s="155"/>
      <c r="EE1" s="155"/>
      <c r="EF1" s="155"/>
      <c r="EG1" s="155"/>
      <c r="EH1" s="155"/>
      <c r="EI1" s="155"/>
      <c r="EJ1" s="155"/>
      <c r="EK1" s="155"/>
      <c r="EL1" s="155"/>
      <c r="EM1" s="155"/>
      <c r="EN1" s="155"/>
      <c r="EO1" s="155"/>
      <c r="EP1" s="155"/>
      <c r="EQ1" s="155"/>
      <c r="ER1" s="155"/>
      <c r="ES1" s="155"/>
      <c r="ET1" s="155"/>
      <c r="EU1" s="155"/>
      <c r="EV1" s="155"/>
      <c r="EW1" s="155"/>
      <c r="EX1" s="162"/>
      <c r="EY1" s="162"/>
      <c r="EZ1" s="162"/>
      <c r="FA1" s="162"/>
      <c r="FB1" s="155"/>
      <c r="FC1" s="155"/>
      <c r="FD1" s="155"/>
      <c r="FE1" s="155"/>
      <c r="FF1" s="155"/>
      <c r="FG1" s="155"/>
      <c r="FH1" s="155"/>
      <c r="FI1" s="155"/>
      <c r="FJ1" s="154"/>
      <c r="FK1" s="154"/>
      <c r="FL1" s="154"/>
      <c r="FM1" s="154"/>
      <c r="FN1" s="154"/>
      <c r="FO1" s="154"/>
      <c r="FP1" s="154"/>
      <c r="FQ1" s="154"/>
      <c r="FT1" s="154"/>
      <c r="FW1" s="435" t="s">
        <v>368</v>
      </c>
      <c r="FX1" s="154"/>
      <c r="GA1" s="322"/>
      <c r="GB1" s="322"/>
      <c r="GC1" s="322"/>
      <c r="GD1" s="322"/>
      <c r="GE1" s="322"/>
      <c r="GF1" s="322"/>
      <c r="GG1" s="322"/>
      <c r="GH1" s="322"/>
      <c r="GI1" s="322"/>
      <c r="GJ1" s="322"/>
      <c r="GL1" s="154"/>
      <c r="GM1" s="154"/>
      <c r="GN1" s="154"/>
      <c r="GO1" s="154"/>
      <c r="GP1" s="154"/>
      <c r="GQ1" s="154"/>
      <c r="GR1" s="154"/>
      <c r="GS1" s="154"/>
      <c r="GT1" s="154"/>
      <c r="GU1" s="154"/>
      <c r="GV1" s="154"/>
      <c r="GW1" s="154"/>
      <c r="GX1" s="154"/>
      <c r="GY1" s="436" t="s">
        <v>371</v>
      </c>
      <c r="GZ1" s="716" t="s">
        <v>731</v>
      </c>
      <c r="HA1" s="154" t="e">
        <f>#REF!</f>
        <v>#REF!</v>
      </c>
      <c r="HB1" s="154"/>
      <c r="HC1" s="154"/>
      <c r="HD1" s="156"/>
      <c r="HE1" s="307"/>
      <c r="HF1" s="154"/>
      <c r="HG1" s="154"/>
      <c r="HH1" s="154"/>
      <c r="HI1" s="154"/>
      <c r="HJ1" s="154"/>
      <c r="HK1" s="154"/>
      <c r="HL1" s="154"/>
      <c r="HM1" s="154"/>
      <c r="HN1" s="154"/>
      <c r="HO1" s="154"/>
      <c r="HP1" s="154"/>
      <c r="HQ1" s="154"/>
      <c r="HR1" s="154"/>
      <c r="HS1" s="154"/>
      <c r="HT1" s="154"/>
      <c r="HU1" s="154"/>
      <c r="HV1" s="154"/>
      <c r="HW1" s="154"/>
      <c r="HX1" s="154"/>
      <c r="IG1" s="424" t="s">
        <v>716</v>
      </c>
    </row>
    <row r="2" spans="1:241" s="303" customFormat="1" ht="12.95" customHeight="1" thickTop="1" thickBot="1" x14ac:dyDescent="0.3">
      <c r="A2" s="308"/>
      <c r="B2" s="308"/>
      <c r="C2" s="308"/>
      <c r="D2" s="308"/>
      <c r="E2" s="308"/>
      <c r="F2" s="308"/>
      <c r="G2" s="308"/>
      <c r="H2" s="308"/>
      <c r="I2" s="298"/>
      <c r="J2" s="298"/>
      <c r="K2" s="298"/>
      <c r="L2" s="298"/>
      <c r="M2" s="298"/>
      <c r="N2" s="308"/>
      <c r="O2" s="298"/>
      <c r="P2" s="1711" t="e">
        <f>IF(AD1="","",IF(VLOOKUP(AD1,#REF!,2,FALSE),"Released for Fabrication",""))</f>
        <v>#REF!</v>
      </c>
      <c r="Q2" s="1750"/>
      <c r="R2" s="1750"/>
      <c r="S2" s="1751"/>
      <c r="T2" s="298"/>
      <c r="U2" s="298"/>
      <c r="V2" s="299"/>
      <c r="W2" s="299"/>
      <c r="X2" s="1020" t="s">
        <v>78</v>
      </c>
      <c r="Y2" s="299"/>
      <c r="Z2" s="299"/>
      <c r="AA2" s="1013" t="e">
        <f>#REF!</f>
        <v>#REF!</v>
      </c>
      <c r="AB2" s="309"/>
      <c r="AI2" s="302"/>
      <c r="BA2" s="210" t="s">
        <v>383</v>
      </c>
      <c r="BB2" s="152"/>
      <c r="BC2" s="152"/>
      <c r="BD2" s="152"/>
      <c r="BE2" s="152"/>
      <c r="BF2" s="152"/>
      <c r="BG2" s="152"/>
      <c r="BH2" s="152"/>
      <c r="BI2" s="152"/>
      <c r="BJ2" s="152"/>
      <c r="BK2" s="152"/>
      <c r="BL2" s="152"/>
      <c r="BM2" s="152"/>
      <c r="BN2" s="152"/>
      <c r="BO2" s="152"/>
      <c r="BP2" s="152"/>
      <c r="BQ2" s="152"/>
      <c r="BR2" s="152"/>
      <c r="BS2" s="152"/>
      <c r="BT2" s="152"/>
      <c r="BU2" s="152"/>
      <c r="BV2" s="152"/>
      <c r="BW2" s="152"/>
      <c r="BX2" s="152"/>
      <c r="BY2" s="152"/>
      <c r="BZ2" s="152"/>
      <c r="CA2" s="152"/>
      <c r="CB2" s="152"/>
      <c r="CC2" s="110"/>
      <c r="CD2" s="152"/>
      <c r="CE2" s="152"/>
      <c r="CF2" s="151"/>
      <c r="CG2" s="151"/>
      <c r="CH2" s="151"/>
      <c r="CI2" s="298"/>
      <c r="CJ2" s="298"/>
      <c r="CK2" s="298"/>
      <c r="CL2" s="298"/>
      <c r="CM2" s="298"/>
      <c r="CN2" s="298"/>
      <c r="CO2" s="298"/>
      <c r="CP2" s="151"/>
      <c r="CQ2" s="151"/>
      <c r="CR2" s="298"/>
      <c r="CS2" s="298"/>
      <c r="CT2" s="434" t="s">
        <v>384</v>
      </c>
      <c r="CU2" s="155"/>
      <c r="CW2" s="301" t="s">
        <v>165</v>
      </c>
      <c r="CX2" s="310" t="e">
        <f>#REF!</f>
        <v>#REF!</v>
      </c>
      <c r="CY2" s="301" t="s">
        <v>322</v>
      </c>
      <c r="CZ2" s="310" t="e">
        <f>#REF!</f>
        <v>#REF!</v>
      </c>
      <c r="DA2" s="301" t="s">
        <v>323</v>
      </c>
      <c r="DB2" s="310" t="e">
        <f>#REF!</f>
        <v>#REF!</v>
      </c>
      <c r="DC2" s="155" t="s">
        <v>220</v>
      </c>
      <c r="DD2" s="311" t="e">
        <f>#REF!</f>
        <v>#REF!</v>
      </c>
      <c r="DE2" s="155"/>
      <c r="DF2" s="318" t="s">
        <v>64</v>
      </c>
      <c r="DG2" s="1531" t="e">
        <f>#REF!/2</f>
        <v>#REF!</v>
      </c>
      <c r="DH2" s="1532" t="e">
        <f>#REF!</f>
        <v>#REF!</v>
      </c>
      <c r="DI2" s="1533" t="e">
        <f>#REF!</f>
        <v>#REF!</v>
      </c>
      <c r="DJ2" s="1533" t="e">
        <f>#REF!</f>
        <v>#REF!</v>
      </c>
      <c r="DK2" s="1533" t="e">
        <f>#REF!</f>
        <v>#REF!</v>
      </c>
      <c r="DL2" s="1534" t="e">
        <f>#REF!</f>
        <v>#REF!</v>
      </c>
      <c r="DM2" s="1533" t="e">
        <f>#REF!</f>
        <v>#REF!</v>
      </c>
      <c r="DN2" s="1536" t="e">
        <f>#REF!</f>
        <v>#REF!</v>
      </c>
      <c r="DO2" s="155"/>
      <c r="DP2" s="301" t="s">
        <v>751</v>
      </c>
      <c r="DQ2" s="900">
        <v>0.25</v>
      </c>
      <c r="DR2" s="155"/>
      <c r="DS2" s="155"/>
      <c r="DT2" s="155"/>
      <c r="DX2" s="155"/>
      <c r="DY2" s="155"/>
      <c r="DZ2" s="155"/>
      <c r="EA2" s="155"/>
      <c r="EB2" s="155"/>
      <c r="EC2" s="155"/>
      <c r="ED2" s="155"/>
      <c r="EE2" s="155"/>
      <c r="EF2" s="155"/>
      <c r="EG2" s="155"/>
      <c r="EH2" s="155"/>
      <c r="EI2" s="155"/>
      <c r="EJ2" s="155"/>
      <c r="EK2" s="155"/>
      <c r="EL2" s="155"/>
      <c r="EM2" s="155"/>
      <c r="EN2" s="155"/>
      <c r="EO2" s="155"/>
      <c r="EP2" s="155"/>
      <c r="EQ2" s="155"/>
      <c r="ER2" s="155"/>
      <c r="ES2" s="155"/>
      <c r="ET2" s="155"/>
      <c r="EU2" s="155"/>
      <c r="EV2" s="155"/>
      <c r="EW2" s="155"/>
      <c r="EX2" s="162"/>
      <c r="EY2" s="162"/>
      <c r="EZ2" s="162"/>
      <c r="FA2" s="162"/>
      <c r="FB2" s="155"/>
      <c r="FC2" s="155"/>
      <c r="FD2" s="155"/>
      <c r="FE2" s="155"/>
      <c r="FF2" s="155"/>
      <c r="FG2" s="155"/>
      <c r="FH2" s="155"/>
      <c r="FI2" s="155"/>
      <c r="FJ2" s="154"/>
      <c r="FK2" s="154"/>
      <c r="FL2" s="154"/>
      <c r="FM2" s="154"/>
      <c r="FN2" s="154"/>
      <c r="FO2" s="154"/>
      <c r="FP2" s="154"/>
      <c r="FQ2" s="154"/>
      <c r="FR2" s="154"/>
      <c r="FS2" s="154"/>
      <c r="FT2" s="154"/>
      <c r="FU2" s="154"/>
      <c r="FV2" s="154"/>
      <c r="FX2" s="154"/>
      <c r="FY2" s="154"/>
      <c r="FZ2" s="436" t="s">
        <v>369</v>
      </c>
      <c r="GA2" s="322"/>
      <c r="GB2" s="322"/>
      <c r="GC2" s="322"/>
      <c r="GD2" s="322"/>
      <c r="GE2" s="322"/>
      <c r="GF2" s="322"/>
      <c r="GG2" s="322"/>
      <c r="GH2" s="322"/>
      <c r="GI2" s="322"/>
      <c r="GJ2" s="322"/>
      <c r="GM2" s="154"/>
      <c r="GN2" s="437" t="s">
        <v>370</v>
      </c>
      <c r="GO2" s="154"/>
      <c r="GP2" s="154"/>
      <c r="GQ2" s="154"/>
      <c r="GR2" s="154"/>
      <c r="GS2" s="154"/>
      <c r="GT2" s="154"/>
      <c r="GU2" s="154"/>
      <c r="GV2" s="154"/>
      <c r="GW2" s="154"/>
      <c r="GX2" s="154"/>
      <c r="GY2" s="154"/>
      <c r="HA2" s="154"/>
      <c r="HB2" s="154"/>
      <c r="HC2" s="154"/>
      <c r="HD2" s="156"/>
      <c r="HE2" s="307"/>
      <c r="HF2" s="154"/>
      <c r="HG2" s="154"/>
      <c r="HH2" s="154"/>
      <c r="HI2" s="154"/>
      <c r="HJ2" s="154"/>
      <c r="HK2" s="154"/>
      <c r="HL2" s="154"/>
      <c r="HM2" s="154"/>
      <c r="HN2" s="154"/>
      <c r="HO2" s="154"/>
      <c r="HP2" s="154"/>
      <c r="HQ2" s="154"/>
      <c r="HR2" s="154"/>
      <c r="HS2" s="154"/>
      <c r="HT2" s="154"/>
      <c r="HU2" s="154"/>
      <c r="HV2" s="154"/>
      <c r="HW2" s="154"/>
      <c r="HX2" s="154"/>
    </row>
    <row r="3" spans="1:241" s="303" customFormat="1" ht="12.95" customHeight="1" thickBot="1" x14ac:dyDescent="0.3">
      <c r="A3" s="298"/>
      <c r="B3" s="298"/>
      <c r="C3" s="298"/>
      <c r="D3" s="298"/>
      <c r="E3" s="298"/>
      <c r="F3" s="298"/>
      <c r="G3" s="298"/>
      <c r="H3" s="298"/>
      <c r="I3" s="298"/>
      <c r="J3" s="298"/>
      <c r="K3" s="298"/>
      <c r="L3" s="298"/>
      <c r="M3" s="298"/>
      <c r="N3" s="298"/>
      <c r="O3" s="298"/>
      <c r="P3" s="1752"/>
      <c r="Q3" s="1753"/>
      <c r="R3" s="1753"/>
      <c r="S3" s="1754"/>
      <c r="T3" s="298"/>
      <c r="U3" s="298"/>
      <c r="V3" s="299"/>
      <c r="W3" s="299"/>
      <c r="X3" s="1020" t="s">
        <v>80</v>
      </c>
      <c r="Y3" s="299"/>
      <c r="Z3" s="299"/>
      <c r="AA3" s="1013" t="e">
        <f>#REF!</f>
        <v>#REF!</v>
      </c>
      <c r="AB3" s="309"/>
      <c r="AI3" s="302"/>
      <c r="BA3" s="166"/>
      <c r="BB3" s="152"/>
      <c r="BC3" s="152"/>
      <c r="BD3" s="152"/>
      <c r="BE3" s="152"/>
      <c r="BF3" s="152"/>
      <c r="BG3" s="152"/>
      <c r="BH3" s="152"/>
      <c r="BI3" s="152"/>
      <c r="BJ3" s="152"/>
      <c r="BK3" s="152"/>
      <c r="BL3" s="152"/>
      <c r="BM3" s="152"/>
      <c r="BN3" s="152"/>
      <c r="BO3" s="152"/>
      <c r="BP3" s="152"/>
      <c r="BQ3" s="152"/>
      <c r="BR3" s="152"/>
      <c r="BS3" s="152"/>
      <c r="BT3" s="152"/>
      <c r="BU3" s="152"/>
      <c r="BV3" s="152"/>
      <c r="BW3" s="152"/>
      <c r="BX3" s="152"/>
      <c r="BY3" s="152"/>
      <c r="BZ3" s="152"/>
      <c r="CA3" s="152"/>
      <c r="CB3" s="152"/>
      <c r="CC3" s="110"/>
      <c r="CD3" s="152"/>
      <c r="CE3" s="152"/>
      <c r="CF3" s="151"/>
      <c r="CG3" s="151"/>
      <c r="CH3" s="151"/>
      <c r="CI3" s="298"/>
      <c r="CJ3" s="298"/>
      <c r="CK3" s="298"/>
      <c r="CL3" s="298"/>
      <c r="CM3" s="298"/>
      <c r="CN3" s="298"/>
      <c r="CO3" s="298"/>
      <c r="CP3" s="151"/>
      <c r="CQ3" s="151"/>
      <c r="CR3" s="298"/>
      <c r="CS3" s="298"/>
      <c r="CU3" s="514"/>
      <c r="CV3" s="515" t="s">
        <v>220</v>
      </c>
      <c r="CW3" s="516" t="s">
        <v>139</v>
      </c>
      <c r="CX3" s="517" t="s">
        <v>159</v>
      </c>
      <c r="CY3" s="518" t="s">
        <v>160</v>
      </c>
      <c r="CZ3" s="517" t="s">
        <v>161</v>
      </c>
      <c r="DA3" s="517" t="s">
        <v>162</v>
      </c>
      <c r="DB3" s="517" t="s">
        <v>163</v>
      </c>
      <c r="DC3" s="519" t="s">
        <v>350</v>
      </c>
      <c r="DE3" s="155"/>
      <c r="DF3" s="448" t="s">
        <v>147</v>
      </c>
      <c r="DG3" s="1537" t="e">
        <f>#REF!/2</f>
        <v>#REF!</v>
      </c>
      <c r="DH3" s="1538" t="e">
        <f>#REF!</f>
        <v>#REF!</v>
      </c>
      <c r="DI3" s="1539" t="e">
        <f>#REF!</f>
        <v>#REF!</v>
      </c>
      <c r="DJ3" s="1539" t="e">
        <f>#REF!</f>
        <v>#REF!</v>
      </c>
      <c r="DK3" s="1539" t="e">
        <f>#REF!</f>
        <v>#REF!</v>
      </c>
      <c r="DL3" s="1540" t="e">
        <f>#REF!</f>
        <v>#REF!</v>
      </c>
      <c r="DM3" s="1539" t="e">
        <f>#REF!</f>
        <v>#REF!</v>
      </c>
      <c r="DN3" s="1542" t="e">
        <f>#REF!</f>
        <v>#REF!</v>
      </c>
      <c r="DO3" s="155"/>
      <c r="DP3" s="155"/>
      <c r="DQ3" s="155"/>
      <c r="DR3" s="155"/>
      <c r="DS3" s="155"/>
      <c r="DT3" s="155"/>
      <c r="DU3" s="155"/>
      <c r="DV3" s="155"/>
      <c r="DW3" s="155"/>
      <c r="DX3" s="155"/>
      <c r="DY3" s="155"/>
      <c r="DZ3" s="155"/>
      <c r="EA3" s="155"/>
      <c r="EB3" s="155"/>
      <c r="EC3" s="155"/>
      <c r="ED3" s="155"/>
      <c r="EE3" s="155"/>
      <c r="EF3" s="155"/>
      <c r="EG3" s="155"/>
      <c r="EH3" s="155"/>
      <c r="EI3" s="155"/>
      <c r="EJ3" s="155"/>
      <c r="EK3" s="155"/>
      <c r="EL3" s="155"/>
      <c r="EM3" s="155"/>
      <c r="EN3" s="155"/>
      <c r="EO3" s="155"/>
      <c r="EP3" s="155"/>
      <c r="EQ3" s="155"/>
      <c r="ER3" s="155"/>
      <c r="ES3" s="155"/>
      <c r="ET3" s="155"/>
      <c r="EU3" s="155"/>
      <c r="EV3" s="155"/>
      <c r="EW3" s="155"/>
      <c r="EX3" s="162"/>
      <c r="EY3" s="162"/>
      <c r="EZ3" s="162"/>
      <c r="FA3" s="162"/>
      <c r="FB3" s="155"/>
      <c r="FC3" s="155"/>
      <c r="FD3" s="155"/>
      <c r="FE3" s="155"/>
      <c r="FF3" s="155"/>
      <c r="FG3" s="155"/>
      <c r="FH3" s="155"/>
      <c r="FI3" s="155"/>
      <c r="FJ3" s="154"/>
      <c r="FK3" s="154"/>
      <c r="FL3" s="154"/>
      <c r="FM3" s="154"/>
      <c r="FN3" s="154"/>
      <c r="FO3" s="154"/>
      <c r="FP3" s="154"/>
      <c r="FQ3" s="154"/>
      <c r="FR3" s="154"/>
      <c r="FS3" s="154"/>
      <c r="FT3" s="154"/>
      <c r="FU3" s="154"/>
      <c r="FV3" s="154"/>
      <c r="FW3" s="154"/>
      <c r="FX3" s="154"/>
      <c r="FY3" s="154"/>
      <c r="FZ3" s="154"/>
      <c r="GA3" s="322"/>
      <c r="GB3" s="322"/>
      <c r="GC3" s="322"/>
      <c r="GD3" s="322"/>
      <c r="GE3" s="322"/>
      <c r="GF3" s="322"/>
      <c r="GG3" s="322"/>
      <c r="GH3" s="322"/>
      <c r="GI3" s="322"/>
      <c r="GJ3" s="322"/>
      <c r="GK3" s="154"/>
      <c r="GL3" s="154"/>
      <c r="GM3" s="154"/>
      <c r="GN3" s="154"/>
      <c r="GO3" s="154"/>
      <c r="GP3" s="154"/>
      <c r="GQ3" s="154"/>
      <c r="GR3" s="154"/>
      <c r="GS3" s="154"/>
      <c r="GT3" s="154"/>
      <c r="GU3" s="154"/>
      <c r="GV3" s="154"/>
      <c r="GW3" s="154"/>
      <c r="GX3" s="154"/>
      <c r="GY3" s="154"/>
      <c r="GZ3" s="154"/>
      <c r="HA3" s="154"/>
      <c r="HB3" s="154"/>
      <c r="HC3" s="154"/>
      <c r="HD3" s="156"/>
      <c r="HE3" s="307"/>
      <c r="HF3" s="154"/>
      <c r="HG3" s="154"/>
      <c r="HH3" s="154"/>
      <c r="HI3" s="154"/>
      <c r="HJ3" s="154"/>
      <c r="HK3" s="154"/>
      <c r="HL3" s="154"/>
      <c r="HM3" s="154"/>
      <c r="HN3" s="154"/>
      <c r="HO3" s="154"/>
      <c r="HP3" s="154"/>
      <c r="HQ3" s="154"/>
      <c r="HR3" s="154"/>
      <c r="HS3" s="154"/>
      <c r="HT3" s="154"/>
      <c r="HU3" s="154"/>
      <c r="HV3" s="154"/>
      <c r="HW3" s="154"/>
      <c r="HX3" s="154"/>
    </row>
    <row r="4" spans="1:241" s="303" customFormat="1" ht="12.95" customHeight="1" thickTop="1" thickBot="1" x14ac:dyDescent="0.3">
      <c r="A4" s="298"/>
      <c r="B4" s="298"/>
      <c r="C4" s="298"/>
      <c r="D4" s="298"/>
      <c r="E4" s="298"/>
      <c r="F4" s="298"/>
      <c r="G4" s="298"/>
      <c r="H4" s="298"/>
      <c r="I4" s="298"/>
      <c r="J4" s="298"/>
      <c r="K4" s="298"/>
      <c r="L4" s="298"/>
      <c r="M4" s="298"/>
      <c r="N4" s="298"/>
      <c r="O4" s="298"/>
      <c r="P4" s="1717" t="e">
        <f>IF(AD1="","",IF(VLOOKUP(AD1,#REF!,2,FALSE),VLOOKUP(AD1,#REF!,3,FALSE),""))</f>
        <v>#REF!</v>
      </c>
      <c r="Q4" s="1755"/>
      <c r="R4" s="1755"/>
      <c r="S4" s="1756"/>
      <c r="T4" s="298"/>
      <c r="U4" s="298"/>
      <c r="V4" s="299"/>
      <c r="W4" s="299"/>
      <c r="X4" s="1020" t="s">
        <v>79</v>
      </c>
      <c r="Y4" s="299"/>
      <c r="Z4" s="299"/>
      <c r="AA4" s="1013" t="e">
        <f>#REF!</f>
        <v>#REF!</v>
      </c>
      <c r="AB4" s="309"/>
      <c r="AI4" s="302"/>
      <c r="BA4" s="166"/>
      <c r="BB4" s="152"/>
      <c r="BC4" s="152"/>
      <c r="BD4" s="152"/>
      <c r="BE4" s="152"/>
      <c r="BF4" s="152"/>
      <c r="BG4" s="152"/>
      <c r="BH4" s="152"/>
      <c r="BI4" s="152"/>
      <c r="BJ4" s="152"/>
      <c r="BK4" s="152"/>
      <c r="BL4" s="152"/>
      <c r="BM4" s="164"/>
      <c r="BN4" s="152"/>
      <c r="BO4" s="152"/>
      <c r="BP4" s="152"/>
      <c r="BQ4" s="152"/>
      <c r="BR4" s="152"/>
      <c r="BS4" s="152"/>
      <c r="BT4" s="152"/>
      <c r="BU4" s="152"/>
      <c r="BV4" s="152"/>
      <c r="BW4" s="152"/>
      <c r="BX4" s="152"/>
      <c r="BY4" s="152"/>
      <c r="BZ4" s="152"/>
      <c r="CA4" s="152"/>
      <c r="CB4" s="152"/>
      <c r="CC4" s="110"/>
      <c r="CD4" s="316"/>
      <c r="CE4" s="317"/>
      <c r="CF4" s="151"/>
      <c r="CG4" s="151"/>
      <c r="CH4" s="151"/>
      <c r="CI4" s="151"/>
      <c r="CJ4" s="153"/>
      <c r="CK4" s="298"/>
      <c r="CL4" s="298"/>
      <c r="CM4" s="298"/>
      <c r="CN4" s="298"/>
      <c r="CO4" s="298"/>
      <c r="CP4" s="151"/>
      <c r="CQ4" s="151"/>
      <c r="CR4" s="298"/>
      <c r="CS4" s="298"/>
      <c r="CU4" s="520" t="s">
        <v>64</v>
      </c>
      <c r="CV4" s="1543" t="e">
        <f>#REF!</f>
        <v>#REF!</v>
      </c>
      <c r="CW4" s="1544" t="e">
        <f>#REF!</f>
        <v>#REF!</v>
      </c>
      <c r="CX4" s="1545" t="e">
        <f>#REF!</f>
        <v>#REF!</v>
      </c>
      <c r="CY4" s="1545" t="e">
        <f>#REF!</f>
        <v>#REF!</v>
      </c>
      <c r="CZ4" s="1545" t="e">
        <f>#REF!</f>
        <v>#REF!</v>
      </c>
      <c r="DA4" s="1546" t="e">
        <f>#REF!</f>
        <v>#REF!</v>
      </c>
      <c r="DB4" s="1545" t="e">
        <f>#REF!</f>
        <v>#REF!</v>
      </c>
      <c r="DC4" s="1547" t="e">
        <f>#REF!</f>
        <v>#REF!</v>
      </c>
      <c r="DE4" s="155"/>
      <c r="DF4" s="448" t="s">
        <v>66</v>
      </c>
      <c r="DG4" s="1537" t="e">
        <f>#REF!/2</f>
        <v>#REF!</v>
      </c>
      <c r="DH4" s="1538" t="e">
        <f>#REF!</f>
        <v>#REF!</v>
      </c>
      <c r="DI4" s="1539" t="e">
        <f>#REF!</f>
        <v>#REF!</v>
      </c>
      <c r="DJ4" s="1539" t="e">
        <f>#REF!</f>
        <v>#REF!</v>
      </c>
      <c r="DK4" s="1539" t="e">
        <f>#REF!</f>
        <v>#REF!</v>
      </c>
      <c r="DL4" s="1540" t="e">
        <f>#REF!</f>
        <v>#REF!</v>
      </c>
      <c r="DM4" s="1539" t="e">
        <f>#REF!</f>
        <v>#REF!</v>
      </c>
      <c r="DN4" s="1542" t="e">
        <f>#REF!</f>
        <v>#REF!</v>
      </c>
      <c r="DO4" s="155"/>
      <c r="DP4" s="155"/>
      <c r="DQ4" s="155"/>
      <c r="DR4" s="155"/>
      <c r="DS4" s="155"/>
      <c r="DT4" s="155"/>
      <c r="DU4" s="155"/>
      <c r="DV4" s="155"/>
      <c r="DW4" s="155"/>
      <c r="DX4" s="155"/>
      <c r="DY4" s="155"/>
      <c r="DZ4" s="155"/>
      <c r="EA4" s="155"/>
      <c r="EB4" s="155"/>
      <c r="EC4" s="155"/>
      <c r="ED4" s="155"/>
      <c r="EE4" s="155"/>
      <c r="EF4" s="155"/>
      <c r="EG4" s="155"/>
      <c r="EH4" s="155"/>
      <c r="EI4" s="155"/>
      <c r="EJ4" s="155"/>
      <c r="EK4" s="155"/>
      <c r="EL4" s="155"/>
      <c r="EM4" s="155"/>
      <c r="EN4" s="155"/>
      <c r="EO4" s="155"/>
      <c r="EP4" s="155"/>
      <c r="EQ4" s="155"/>
      <c r="ER4" s="155"/>
      <c r="ES4" s="155"/>
      <c r="ET4" s="155"/>
      <c r="EU4" s="155"/>
      <c r="EV4" s="155"/>
      <c r="EW4" s="155"/>
      <c r="EX4" s="162"/>
      <c r="EY4" s="162"/>
      <c r="EZ4" s="162"/>
      <c r="FA4" s="162"/>
      <c r="FB4" s="155"/>
      <c r="FC4" s="155"/>
      <c r="FD4" s="155"/>
      <c r="FE4" s="155"/>
      <c r="FF4" s="155"/>
      <c r="FG4" s="155"/>
      <c r="FH4" s="155"/>
      <c r="FI4" s="155"/>
      <c r="FJ4" s="154"/>
      <c r="FK4" s="154"/>
      <c r="FL4" s="154"/>
      <c r="FM4" s="154"/>
      <c r="FN4" s="154"/>
      <c r="FO4" s="154"/>
      <c r="FP4" s="154"/>
      <c r="FQ4" s="154"/>
      <c r="FR4" s="154"/>
      <c r="FS4" s="154"/>
      <c r="FT4" s="154"/>
      <c r="FU4" s="154"/>
      <c r="FV4" s="154"/>
      <c r="FW4" s="154"/>
      <c r="FX4" s="154"/>
      <c r="FY4" s="154"/>
      <c r="FZ4" s="154"/>
      <c r="GA4" s="322"/>
      <c r="GB4" s="322"/>
      <c r="GC4" s="322"/>
      <c r="GD4" s="322"/>
      <c r="GE4" s="322"/>
      <c r="GF4" s="322"/>
      <c r="GG4" s="322"/>
      <c r="GH4" s="322"/>
      <c r="GI4" s="322"/>
      <c r="GJ4" s="322"/>
      <c r="GK4" s="154"/>
      <c r="GL4" s="154"/>
      <c r="GM4" s="154"/>
      <c r="GN4" s="154"/>
      <c r="GO4" s="154"/>
      <c r="GP4" s="154"/>
      <c r="GQ4" s="154"/>
      <c r="GR4" s="154"/>
      <c r="GS4" s="154"/>
      <c r="GT4" s="154"/>
      <c r="GU4" s="154"/>
      <c r="GV4" s="154"/>
      <c r="GW4" s="154"/>
      <c r="GX4" s="154"/>
      <c r="GY4" s="154"/>
      <c r="GZ4" s="154"/>
      <c r="HA4" s="154"/>
      <c r="HB4" s="154"/>
      <c r="HC4" s="154"/>
      <c r="HD4" s="156"/>
      <c r="HE4" s="307"/>
      <c r="HF4" s="154"/>
      <c r="HG4" s="154"/>
      <c r="HH4" s="154"/>
      <c r="HI4" s="154"/>
      <c r="HJ4" s="154"/>
      <c r="HK4" s="154"/>
      <c r="HL4" s="154"/>
      <c r="HM4" s="154"/>
      <c r="HN4" s="154"/>
      <c r="HO4" s="154"/>
      <c r="HP4" s="154"/>
      <c r="HQ4" s="154"/>
      <c r="HR4" s="154"/>
      <c r="HS4" s="154"/>
      <c r="HT4" s="154"/>
      <c r="HU4" s="154"/>
      <c r="HV4" s="154"/>
      <c r="HW4" s="154"/>
      <c r="HX4" s="154"/>
    </row>
    <row r="5" spans="1:241" s="303" customFormat="1" ht="12.95" customHeight="1" thickTop="1" x14ac:dyDescent="0.25">
      <c r="A5" s="2033" t="e">
        <f>#REF!</f>
        <v>#REF!</v>
      </c>
      <c r="B5" s="2280"/>
      <c r="C5" s="2280"/>
      <c r="D5" s="2280"/>
      <c r="E5" s="2280"/>
      <c r="F5" s="2280"/>
      <c r="G5" s="2280"/>
      <c r="H5" s="2280"/>
      <c r="I5" s="2280"/>
      <c r="J5" s="2280"/>
      <c r="K5" s="2280"/>
      <c r="L5" s="2280"/>
      <c r="M5" s="2280"/>
      <c r="N5" s="298"/>
      <c r="O5" s="298"/>
      <c r="P5" s="298"/>
      <c r="Q5" s="298"/>
      <c r="R5" s="298"/>
      <c r="S5" s="298"/>
      <c r="T5" s="298"/>
      <c r="U5" s="298"/>
      <c r="V5" s="298"/>
      <c r="W5" s="298"/>
      <c r="X5" s="298"/>
      <c r="Y5" s="298"/>
      <c r="Z5" s="298"/>
      <c r="AA5" s="298"/>
      <c r="AI5" s="302"/>
      <c r="BA5" s="166"/>
      <c r="BB5" s="152"/>
      <c r="BC5" s="152"/>
      <c r="BD5" s="152"/>
      <c r="BE5" s="152"/>
      <c r="BF5" s="152"/>
      <c r="BG5" s="152"/>
      <c r="BH5" s="152"/>
      <c r="BI5" s="152"/>
      <c r="BJ5" s="152"/>
      <c r="BK5" s="152"/>
      <c r="BL5" s="152"/>
      <c r="BM5" s="165"/>
      <c r="BN5" s="152"/>
      <c r="BO5" s="152"/>
      <c r="BP5" s="152"/>
      <c r="BQ5" s="152"/>
      <c r="BR5" s="152"/>
      <c r="BS5" s="152"/>
      <c r="BT5" s="152"/>
      <c r="BU5" s="152"/>
      <c r="BV5" s="152"/>
      <c r="BW5" s="152"/>
      <c r="BX5" s="152"/>
      <c r="BY5" s="152"/>
      <c r="BZ5" s="152"/>
      <c r="CA5" s="152"/>
      <c r="CB5" s="152"/>
      <c r="CC5" s="110"/>
      <c r="CD5" s="152"/>
      <c r="CE5" s="152"/>
      <c r="CF5" s="151"/>
      <c r="CG5" s="151"/>
      <c r="CH5" s="151"/>
      <c r="CI5" s="151"/>
      <c r="CJ5" s="153"/>
      <c r="CK5" s="153"/>
      <c r="CL5" s="153"/>
      <c r="CM5" s="153"/>
      <c r="CN5" s="153"/>
      <c r="CO5" s="153"/>
      <c r="CP5" s="151"/>
      <c r="CQ5" s="151"/>
      <c r="CR5" s="298"/>
      <c r="CS5" s="298"/>
      <c r="CU5" s="521" t="s">
        <v>65</v>
      </c>
      <c r="CV5" s="1548" t="e">
        <f>#REF!</f>
        <v>#REF!</v>
      </c>
      <c r="CW5" s="1549" t="e">
        <f>#REF!</f>
        <v>#REF!</v>
      </c>
      <c r="CX5" s="1549" t="e">
        <f>#REF!</f>
        <v>#REF!</v>
      </c>
      <c r="CY5" s="1549" t="e">
        <f>#REF!</f>
        <v>#REF!</v>
      </c>
      <c r="CZ5" s="1549" t="e">
        <f>#REF!</f>
        <v>#REF!</v>
      </c>
      <c r="DA5" s="1550" t="e">
        <f>#REF!</f>
        <v>#REF!</v>
      </c>
      <c r="DB5" s="1549" t="e">
        <f>#REF!</f>
        <v>#REF!</v>
      </c>
      <c r="DC5" s="1551" t="e">
        <f>#REF!</f>
        <v>#REF!</v>
      </c>
      <c r="DE5" s="155"/>
      <c r="DF5" s="448" t="s">
        <v>697</v>
      </c>
      <c r="DG5" s="1537" t="e">
        <f>#REF!/2</f>
        <v>#REF!</v>
      </c>
      <c r="DH5" s="1539" t="e">
        <f>#REF!</f>
        <v>#REF!</v>
      </c>
      <c r="DI5" s="1539" t="e">
        <f>#REF!</f>
        <v>#REF!</v>
      </c>
      <c r="DJ5" s="1539" t="e">
        <f>#REF!</f>
        <v>#REF!</v>
      </c>
      <c r="DK5" s="1539" t="e">
        <f>#REF!</f>
        <v>#REF!</v>
      </c>
      <c r="DL5" s="1540" t="e">
        <f>#REF!</f>
        <v>#REF!</v>
      </c>
      <c r="DM5" s="1539" t="e">
        <f>#REF!</f>
        <v>#REF!</v>
      </c>
      <c r="DN5" s="1542" t="e">
        <f>#REF!</f>
        <v>#REF!</v>
      </c>
      <c r="DO5" s="155"/>
      <c r="DP5" s="155"/>
      <c r="DQ5" s="155"/>
      <c r="DR5" s="155"/>
      <c r="DS5" s="155"/>
      <c r="DT5" s="155"/>
      <c r="DU5" s="155"/>
      <c r="DV5" s="155"/>
      <c r="DW5" s="155"/>
      <c r="DX5" s="155"/>
      <c r="DY5" s="155"/>
      <c r="DZ5" s="155"/>
      <c r="EA5" s="155"/>
      <c r="EB5" s="155"/>
      <c r="EC5" s="155"/>
      <c r="ED5" s="155"/>
      <c r="EE5" s="155"/>
      <c r="EF5" s="155"/>
      <c r="EG5" s="155"/>
      <c r="EH5" s="155"/>
      <c r="EI5" s="155"/>
      <c r="EJ5" s="155"/>
      <c r="EK5" s="155"/>
      <c r="EL5" s="155"/>
      <c r="EM5" s="155"/>
      <c r="EN5" s="155"/>
      <c r="EO5" s="155"/>
      <c r="EP5" s="155"/>
      <c r="EQ5" s="155"/>
      <c r="ER5" s="155"/>
      <c r="ES5" s="155"/>
      <c r="ET5" s="155"/>
      <c r="EU5" s="155"/>
      <c r="EV5" s="155"/>
      <c r="EW5" s="155"/>
      <c r="EX5" s="162"/>
      <c r="EY5" s="162"/>
      <c r="EZ5" s="162"/>
      <c r="FA5" s="162"/>
      <c r="FB5" s="155"/>
      <c r="FC5" s="155"/>
      <c r="FD5" s="155"/>
      <c r="FE5" s="155"/>
      <c r="FF5" s="155"/>
      <c r="FG5" s="155"/>
      <c r="FH5" s="155"/>
      <c r="FI5" s="155"/>
      <c r="FJ5" s="154"/>
      <c r="FK5" s="154"/>
      <c r="FL5" s="154"/>
      <c r="FM5" s="154"/>
      <c r="FN5" s="154"/>
      <c r="FO5" s="154"/>
      <c r="FP5" s="154"/>
      <c r="FQ5" s="154"/>
      <c r="FR5" s="154"/>
      <c r="FS5" s="154"/>
      <c r="FT5" s="154"/>
      <c r="FU5" s="154"/>
      <c r="FV5" s="154"/>
      <c r="FW5" s="154"/>
      <c r="FX5" s="154"/>
      <c r="FY5" s="154"/>
      <c r="FZ5" s="154"/>
      <c r="GA5" s="322"/>
      <c r="GB5" s="322"/>
      <c r="GC5" s="322"/>
      <c r="GD5" s="322"/>
      <c r="GE5" s="322"/>
      <c r="GF5" s="322"/>
      <c r="GG5" s="322"/>
      <c r="GH5" s="322"/>
      <c r="GI5" s="322"/>
      <c r="GJ5" s="322"/>
      <c r="GK5" s="154"/>
      <c r="GL5" s="154"/>
      <c r="GM5" s="154"/>
      <c r="GN5" s="154"/>
      <c r="GO5" s="154"/>
      <c r="GP5" s="154"/>
      <c r="GQ5" s="154"/>
      <c r="GR5" s="154"/>
      <c r="GS5" s="154"/>
      <c r="GT5" s="154"/>
      <c r="GU5" s="154"/>
      <c r="GV5" s="154"/>
      <c r="GW5" s="154"/>
      <c r="GX5" s="154"/>
      <c r="GY5" s="154"/>
      <c r="GZ5" s="154"/>
      <c r="HA5" s="154"/>
      <c r="HB5" s="154"/>
      <c r="HC5" s="154"/>
      <c r="HD5" s="156"/>
      <c r="HE5" s="307"/>
      <c r="HF5" s="154"/>
      <c r="HG5" s="154"/>
      <c r="HH5" s="154"/>
      <c r="HI5" s="154"/>
      <c r="HJ5" s="154"/>
      <c r="HK5" s="154"/>
      <c r="HL5" s="154"/>
      <c r="HM5" s="154"/>
      <c r="HN5" s="154"/>
      <c r="HO5" s="154"/>
      <c r="HP5" s="154"/>
      <c r="HQ5" s="154"/>
      <c r="HR5" s="154"/>
      <c r="HS5" s="154"/>
      <c r="HT5" s="154"/>
      <c r="HU5" s="154"/>
      <c r="HV5" s="154"/>
      <c r="HW5" s="154"/>
      <c r="HX5" s="154"/>
    </row>
    <row r="6" spans="1:241" s="303" customFormat="1" ht="12.95" customHeight="1" thickBot="1" x14ac:dyDescent="0.3">
      <c r="A6" s="298"/>
      <c r="B6" s="298"/>
      <c r="C6" s="298"/>
      <c r="D6" s="298"/>
      <c r="E6" s="298"/>
      <c r="F6" s="298"/>
      <c r="G6" s="298"/>
      <c r="H6" s="298"/>
      <c r="I6" s="298"/>
      <c r="J6" s="298"/>
      <c r="K6" s="298"/>
      <c r="L6" s="298"/>
      <c r="M6" s="2044" t="str">
        <f>IF(NOT(ISERROR(FIND("galv",LOWER($M$7)))),"**USE STEEL TAGS**  **NO A490 BOLTS**","")</f>
        <v/>
      </c>
      <c r="N6" s="1885"/>
      <c r="O6" s="1885"/>
      <c r="P6" s="1885"/>
      <c r="Q6" s="1885"/>
      <c r="R6" s="1885"/>
      <c r="S6" s="1885"/>
      <c r="T6" s="1885"/>
      <c r="U6" s="1005"/>
      <c r="V6" s="298"/>
      <c r="W6" s="298"/>
      <c r="X6" s="1016" t="s">
        <v>20</v>
      </c>
      <c r="Y6" s="1702" t="e">
        <f>IF(ISBLANK(#REF!),"",#REF!)</f>
        <v>#REF!</v>
      </c>
      <c r="Z6" s="1702"/>
      <c r="AA6" s="320"/>
      <c r="AB6" s="300"/>
      <c r="AC6" s="995" t="s">
        <v>705</v>
      </c>
      <c r="AI6" s="302"/>
      <c r="AZ6" s="304"/>
      <c r="BA6" s="166"/>
      <c r="BB6" s="152"/>
      <c r="BC6" s="152"/>
      <c r="BD6" s="152"/>
      <c r="BE6" s="152"/>
      <c r="BF6" s="152"/>
      <c r="BG6" s="152"/>
      <c r="BH6" s="152"/>
      <c r="BI6" s="152"/>
      <c r="BJ6" s="152"/>
      <c r="BK6" s="152"/>
      <c r="BL6" s="152"/>
      <c r="BM6" s="152"/>
      <c r="BN6" s="152"/>
      <c r="BO6" s="152"/>
      <c r="BP6" s="152"/>
      <c r="BQ6" s="152"/>
      <c r="BR6" s="152"/>
      <c r="BS6" s="152"/>
      <c r="BT6" s="152"/>
      <c r="BU6" s="152"/>
      <c r="BV6" s="152"/>
      <c r="BW6" s="152"/>
      <c r="BX6" s="152"/>
      <c r="BY6" s="152"/>
      <c r="BZ6" s="152"/>
      <c r="CA6" s="152"/>
      <c r="CB6" s="319" t="s">
        <v>348</v>
      </c>
      <c r="CC6" s="2310"/>
      <c r="CD6" s="2132"/>
      <c r="CE6" s="2132"/>
      <c r="CF6" s="2132"/>
      <c r="CG6" s="151"/>
      <c r="CH6" s="151"/>
      <c r="CI6" s="151"/>
      <c r="CJ6" s="490"/>
      <c r="CK6" s="490"/>
      <c r="CL6" s="490"/>
      <c r="CM6" s="490"/>
      <c r="CN6" s="490"/>
      <c r="CO6" s="490"/>
      <c r="CP6" s="151"/>
      <c r="CQ6" s="151"/>
      <c r="CR6" s="298"/>
      <c r="CS6" s="151"/>
      <c r="CU6" s="522" t="s">
        <v>148</v>
      </c>
      <c r="CV6" s="1552" t="e">
        <f>#REF!</f>
        <v>#REF!</v>
      </c>
      <c r="CW6" s="1553" t="e">
        <f>#REF!</f>
        <v>#REF!</v>
      </c>
      <c r="CX6" s="1553" t="e">
        <f>#REF!</f>
        <v>#REF!</v>
      </c>
      <c r="CY6" s="1553" t="e">
        <f>#REF!</f>
        <v>#REF!</v>
      </c>
      <c r="CZ6" s="1553" t="e">
        <f>#REF!</f>
        <v>#REF!</v>
      </c>
      <c r="DA6" s="1554" t="e">
        <f>#REF!</f>
        <v>#REF!</v>
      </c>
      <c r="DB6" s="1553" t="e">
        <f>#REF!</f>
        <v>#REF!</v>
      </c>
      <c r="DC6" s="1555" t="e">
        <f>#REF!</f>
        <v>#REF!</v>
      </c>
      <c r="DD6" s="155"/>
      <c r="DE6" s="155"/>
      <c r="DF6" s="448" t="s">
        <v>65</v>
      </c>
      <c r="DG6" s="1537" t="e">
        <f>#REF!/2</f>
        <v>#REF!</v>
      </c>
      <c r="DH6" s="1539" t="e">
        <f>#REF!</f>
        <v>#REF!</v>
      </c>
      <c r="DI6" s="1539" t="e">
        <f>#REF!</f>
        <v>#REF!</v>
      </c>
      <c r="DJ6" s="1539" t="e">
        <f>#REF!</f>
        <v>#REF!</v>
      </c>
      <c r="DK6" s="1539" t="e">
        <f>#REF!</f>
        <v>#REF!</v>
      </c>
      <c r="DL6" s="1540" t="e">
        <f>#REF!</f>
        <v>#REF!</v>
      </c>
      <c r="DM6" s="1539" t="e">
        <f>#REF!</f>
        <v>#REF!</v>
      </c>
      <c r="DN6" s="1542" t="e">
        <f>#REF!</f>
        <v>#REF!</v>
      </c>
      <c r="DO6" s="155"/>
      <c r="DP6" s="155"/>
      <c r="DQ6" s="155"/>
      <c r="DR6" s="155"/>
      <c r="DS6" s="155"/>
      <c r="DT6" s="155"/>
      <c r="DU6" s="155"/>
      <c r="DV6" s="155"/>
      <c r="DW6" s="155"/>
      <c r="DX6" s="155"/>
      <c r="DY6" s="155"/>
      <c r="DZ6" s="155"/>
      <c r="EA6" s="155"/>
      <c r="EB6" s="155"/>
      <c r="EC6" s="155"/>
      <c r="ED6" s="155"/>
      <c r="EE6" s="155"/>
      <c r="EF6" s="155"/>
      <c r="EG6" s="155"/>
      <c r="EH6" s="155"/>
      <c r="EI6" s="155"/>
      <c r="EJ6" s="155"/>
      <c r="EK6" s="155"/>
      <c r="EL6" s="155"/>
      <c r="EM6" s="155"/>
      <c r="EN6" s="155"/>
      <c r="EO6" s="155"/>
      <c r="EP6" s="155"/>
      <c r="EQ6" s="155"/>
      <c r="ER6" s="155"/>
      <c r="ES6" s="155"/>
      <c r="ET6" s="155"/>
      <c r="EU6" s="155"/>
      <c r="EV6" s="155"/>
      <c r="EW6" s="155"/>
      <c r="EX6" s="570"/>
      <c r="EY6" s="162"/>
      <c r="EZ6" s="162"/>
      <c r="FA6" s="162"/>
      <c r="FB6" s="155"/>
      <c r="FC6" s="155"/>
      <c r="FD6" s="155"/>
      <c r="FE6" s="155"/>
      <c r="FF6" s="155"/>
      <c r="FG6" s="155"/>
      <c r="FH6" s="155"/>
      <c r="FI6" s="155"/>
      <c r="FJ6" s="154"/>
      <c r="FK6" s="154"/>
      <c r="FL6" s="154"/>
      <c r="FM6" s="154"/>
      <c r="FN6" s="154"/>
      <c r="FO6" s="154"/>
      <c r="FP6" s="154"/>
      <c r="FQ6" s="154"/>
      <c r="FR6" s="154"/>
      <c r="FS6" s="154"/>
      <c r="FT6" s="154"/>
      <c r="FU6" s="154"/>
      <c r="FV6" s="154"/>
      <c r="FW6" s="154"/>
      <c r="FX6" s="154"/>
      <c r="FY6" s="154"/>
      <c r="FZ6" s="154"/>
      <c r="GA6" s="322"/>
      <c r="GB6" s="322"/>
      <c r="GC6" s="322"/>
      <c r="GD6" s="322"/>
      <c r="GE6" s="322"/>
      <c r="GF6" s="322"/>
      <c r="GG6" s="322"/>
      <c r="GH6" s="322"/>
      <c r="GI6" s="322"/>
      <c r="GJ6" s="322"/>
      <c r="GK6" s="154"/>
      <c r="GL6" s="154"/>
      <c r="GM6" s="154"/>
      <c r="GN6" s="154"/>
      <c r="GO6" s="154"/>
      <c r="GP6" s="154"/>
      <c r="GQ6" s="154"/>
      <c r="GR6" s="154"/>
      <c r="GS6" s="154"/>
      <c r="GT6" s="154"/>
      <c r="GU6" s="154"/>
      <c r="GV6" s="154"/>
      <c r="GW6" s="154"/>
      <c r="GX6" s="154"/>
      <c r="GY6" s="154"/>
      <c r="GZ6" s="154"/>
      <c r="HA6" s="154"/>
      <c r="HB6" s="154"/>
      <c r="HC6" s="154"/>
      <c r="HD6" s="156"/>
      <c r="HE6" s="307"/>
      <c r="HF6" s="154"/>
      <c r="HG6" s="154"/>
      <c r="HH6" s="154"/>
      <c r="HI6" s="154"/>
      <c r="HJ6" s="154"/>
      <c r="HK6" s="154"/>
      <c r="HL6" s="154"/>
      <c r="HM6" s="154"/>
      <c r="HN6" s="154"/>
      <c r="HO6" s="154"/>
      <c r="HP6" s="154"/>
      <c r="HQ6" s="154"/>
      <c r="HR6" s="154"/>
      <c r="HS6" s="154"/>
      <c r="HT6" s="154"/>
      <c r="HU6" s="154"/>
      <c r="HV6" s="154"/>
      <c r="HW6" s="154"/>
      <c r="HX6" s="154"/>
    </row>
    <row r="7" spans="1:241" ht="12.95" customHeight="1" x14ac:dyDescent="0.25">
      <c r="A7" s="321" t="s">
        <v>0</v>
      </c>
      <c r="B7" s="322"/>
      <c r="C7" s="322"/>
      <c r="D7" s="322"/>
      <c r="E7" s="322"/>
      <c r="F7" s="322"/>
      <c r="G7" s="322"/>
      <c r="H7" s="322"/>
      <c r="I7" s="322"/>
      <c r="J7" s="322"/>
      <c r="K7" s="298"/>
      <c r="L7" s="1016" t="s">
        <v>26</v>
      </c>
      <c r="M7" s="2263" t="str">
        <f>IF(ISBLANK(CC6),"",CC6)</f>
        <v/>
      </c>
      <c r="N7" s="1885"/>
      <c r="O7" s="1885"/>
      <c r="P7" s="1885"/>
      <c r="Q7" s="1885"/>
      <c r="R7" s="1885"/>
      <c r="S7" s="1885"/>
      <c r="T7" s="1019"/>
      <c r="U7" s="1005"/>
      <c r="V7" s="298"/>
      <c r="W7" s="298"/>
      <c r="X7" s="1017" t="s">
        <v>21</v>
      </c>
      <c r="Y7" s="1107" t="e">
        <f>CONCATENATE(AC7, " of ",IF(ISBLANK(#REF!),"",#REF!))</f>
        <v>#REF!</v>
      </c>
      <c r="Z7" s="601"/>
      <c r="AA7" s="298"/>
      <c r="AB7" s="303"/>
      <c r="AC7" s="996"/>
      <c r="AL7" s="303"/>
      <c r="AM7" s="303"/>
      <c r="AN7" s="303"/>
      <c r="AO7" s="303"/>
      <c r="AP7" s="303"/>
      <c r="AQ7" s="303"/>
      <c r="AR7" s="303"/>
      <c r="BA7" s="166"/>
      <c r="BB7" s="152"/>
      <c r="BC7" s="152"/>
      <c r="BD7" s="152"/>
      <c r="BE7" s="152"/>
      <c r="BF7" s="152"/>
      <c r="BG7" s="152"/>
      <c r="BH7" s="152"/>
      <c r="BI7" s="152"/>
      <c r="BJ7" s="152"/>
      <c r="BK7" s="152"/>
      <c r="BL7" s="152"/>
      <c r="BM7" s="152"/>
      <c r="BN7" s="152"/>
      <c r="BO7" s="152"/>
      <c r="BP7" s="152"/>
      <c r="BQ7" s="152"/>
      <c r="BR7" s="152"/>
      <c r="BS7" s="152"/>
      <c r="BT7" s="152"/>
      <c r="BU7" s="152"/>
      <c r="BV7" s="152"/>
      <c r="BW7" s="152"/>
      <c r="BX7" s="152"/>
      <c r="BY7" s="152"/>
      <c r="BZ7" s="152"/>
      <c r="CA7" s="152"/>
      <c r="CB7" s="323" t="s">
        <v>327</v>
      </c>
      <c r="CC7" s="721"/>
      <c r="CD7" s="316"/>
      <c r="CE7" s="152"/>
      <c r="CF7" s="151"/>
      <c r="CG7" s="151"/>
      <c r="CH7" s="151"/>
      <c r="CI7" s="151"/>
      <c r="CJ7" s="151"/>
      <c r="CK7" s="151"/>
      <c r="CL7" s="151"/>
      <c r="CM7" s="151"/>
      <c r="CN7" s="151"/>
      <c r="CO7" s="151"/>
      <c r="CP7" s="151"/>
      <c r="CQ7" s="151"/>
      <c r="CR7" s="151"/>
      <c r="CS7" s="151"/>
      <c r="CT7" s="155"/>
      <c r="CU7" s="155"/>
      <c r="CV7" s="155"/>
      <c r="CW7" s="155"/>
      <c r="CX7" s="155"/>
      <c r="CY7" s="155"/>
      <c r="CZ7" s="155"/>
      <c r="DA7" s="155"/>
      <c r="DB7" s="155"/>
      <c r="DC7" s="155"/>
      <c r="DD7" s="155"/>
      <c r="DE7" s="155"/>
      <c r="DF7" s="448" t="s">
        <v>88</v>
      </c>
      <c r="DG7" s="1537" t="e">
        <f>#REF!/2</f>
        <v>#REF!</v>
      </c>
      <c r="DH7" s="1539" t="e">
        <f>#REF!</f>
        <v>#REF!</v>
      </c>
      <c r="DI7" s="1539" t="e">
        <f>#REF!</f>
        <v>#REF!</v>
      </c>
      <c r="DJ7" s="1539" t="e">
        <f>#REF!</f>
        <v>#REF!</v>
      </c>
      <c r="DK7" s="1539" t="e">
        <f>#REF!</f>
        <v>#REF!</v>
      </c>
      <c r="DL7" s="1540" t="e">
        <f>#REF!</f>
        <v>#REF!</v>
      </c>
      <c r="DM7" s="1539" t="e">
        <f>#REF!</f>
        <v>#REF!</v>
      </c>
      <c r="DN7" s="1542" t="e">
        <f>#REF!</f>
        <v>#REF!</v>
      </c>
      <c r="DO7" s="155"/>
      <c r="DP7" s="155"/>
      <c r="DQ7" s="155"/>
      <c r="DR7" s="155"/>
      <c r="DS7" s="155"/>
      <c r="DT7" s="155"/>
      <c r="DU7" s="155"/>
      <c r="DV7" s="155"/>
      <c r="DW7" s="155"/>
      <c r="DX7" s="155"/>
      <c r="DY7" s="155"/>
      <c r="DZ7" s="155"/>
      <c r="EA7" s="155"/>
      <c r="EB7" s="155"/>
      <c r="EC7" s="155"/>
      <c r="ED7" s="155"/>
      <c r="EE7" s="155"/>
      <c r="EF7" s="155"/>
      <c r="EG7" s="155"/>
      <c r="EH7" s="155"/>
      <c r="EI7" s="155"/>
      <c r="EJ7" s="155"/>
      <c r="EK7" s="155"/>
      <c r="EL7" s="155"/>
      <c r="EM7" s="155"/>
      <c r="EN7" s="155"/>
      <c r="EO7" s="155"/>
      <c r="EP7" s="155"/>
      <c r="EQ7" s="155"/>
      <c r="ER7" s="155"/>
      <c r="ES7" s="155"/>
      <c r="ET7" s="155"/>
      <c r="EU7" s="155"/>
      <c r="EV7" s="155"/>
      <c r="EW7" s="155"/>
      <c r="EX7" s="162"/>
      <c r="EY7" s="162"/>
      <c r="EZ7" s="162"/>
      <c r="FA7" s="162"/>
      <c r="FB7" s="155"/>
      <c r="FC7" s="155"/>
      <c r="FD7" s="155"/>
      <c r="FE7" s="155"/>
      <c r="FF7" s="155"/>
      <c r="FG7" s="155"/>
      <c r="FH7" s="155"/>
      <c r="FI7" s="155"/>
      <c r="GA7" s="322"/>
      <c r="GB7" s="322"/>
      <c r="GC7" s="322"/>
      <c r="GD7" s="322"/>
      <c r="GE7" s="322"/>
      <c r="GF7" s="322"/>
      <c r="GG7" s="322"/>
      <c r="GH7" s="322"/>
      <c r="GI7" s="322"/>
      <c r="GJ7" s="322"/>
    </row>
    <row r="8" spans="1:241" ht="2.85" customHeight="1" x14ac:dyDescent="0.25">
      <c r="A8" s="322"/>
      <c r="B8" s="322"/>
      <c r="C8" s="322"/>
      <c r="D8" s="322"/>
      <c r="E8" s="322"/>
      <c r="F8" s="322"/>
      <c r="G8" s="322"/>
      <c r="H8" s="322"/>
      <c r="I8" s="322"/>
      <c r="J8" s="322"/>
      <c r="K8" s="322"/>
      <c r="L8" s="322"/>
      <c r="M8" s="322"/>
      <c r="N8" s="322"/>
      <c r="O8" s="298"/>
      <c r="P8" s="298"/>
      <c r="Q8" s="322"/>
      <c r="R8" s="298"/>
      <c r="S8" s="298"/>
      <c r="T8" s="322"/>
      <c r="U8" s="298"/>
      <c r="V8" s="298"/>
      <c r="W8" s="298"/>
      <c r="X8" s="298"/>
      <c r="Y8" s="298"/>
      <c r="Z8" s="298"/>
      <c r="AA8" s="298"/>
      <c r="AB8" s="303"/>
      <c r="AL8" s="303"/>
      <c r="AM8" s="303"/>
      <c r="AN8" s="303"/>
      <c r="AO8" s="303"/>
      <c r="AP8" s="303"/>
      <c r="AQ8" s="303"/>
      <c r="AR8" s="303"/>
      <c r="BA8" s="166"/>
      <c r="BB8" s="152"/>
      <c r="BC8" s="152"/>
      <c r="BD8" s="152"/>
      <c r="BE8" s="152"/>
      <c r="BF8" s="152"/>
      <c r="BG8" s="152"/>
      <c r="BH8" s="152"/>
      <c r="BI8" s="152"/>
      <c r="BJ8" s="152"/>
      <c r="BK8" s="152"/>
      <c r="BL8" s="152"/>
      <c r="BM8" s="152"/>
      <c r="BN8" s="152"/>
      <c r="BO8" s="152"/>
      <c r="BP8" s="152"/>
      <c r="BQ8" s="152"/>
      <c r="BR8" s="152"/>
      <c r="BS8" s="152"/>
      <c r="BT8" s="152"/>
      <c r="BU8" s="152"/>
      <c r="BV8" s="152"/>
      <c r="BW8" s="152"/>
      <c r="BX8" s="152"/>
      <c r="BY8" s="152"/>
      <c r="BZ8" s="152"/>
      <c r="CA8" s="152"/>
      <c r="CB8" s="152"/>
      <c r="CC8" s="152"/>
      <c r="CD8" s="152"/>
      <c r="CE8" s="152"/>
      <c r="CF8" s="151"/>
      <c r="CG8" s="151"/>
      <c r="CH8" s="151"/>
      <c r="CI8" s="151"/>
      <c r="CJ8" s="151"/>
      <c r="CK8" s="151"/>
      <c r="CL8" s="151"/>
      <c r="CM8" s="151"/>
      <c r="CN8" s="151"/>
      <c r="CO8" s="151"/>
      <c r="CP8" s="151"/>
      <c r="CQ8" s="151"/>
      <c r="CR8" s="151"/>
      <c r="CS8" s="151"/>
      <c r="CT8" s="155"/>
      <c r="CU8" s="155"/>
      <c r="CV8" s="155"/>
      <c r="CW8" s="155"/>
      <c r="CX8" s="155"/>
      <c r="CY8" s="155"/>
      <c r="CZ8" s="155"/>
      <c r="DA8" s="155"/>
      <c r="DB8" s="155"/>
      <c r="DC8" s="155"/>
      <c r="DD8" s="155"/>
      <c r="DE8" s="155"/>
      <c r="DF8" s="448" t="s">
        <v>148</v>
      </c>
      <c r="DG8" s="1537" t="e">
        <f>#REF!/2</f>
        <v>#REF!</v>
      </c>
      <c r="DH8" s="1539" t="e">
        <f>#REF!</f>
        <v>#REF!</v>
      </c>
      <c r="DI8" s="1539" t="e">
        <f>#REF!</f>
        <v>#REF!</v>
      </c>
      <c r="DJ8" s="1539" t="e">
        <f>#REF!</f>
        <v>#REF!</v>
      </c>
      <c r="DK8" s="1539" t="e">
        <f>#REF!</f>
        <v>#REF!</v>
      </c>
      <c r="DL8" s="1540" t="e">
        <f>#REF!</f>
        <v>#REF!</v>
      </c>
      <c r="DM8" s="1539" t="e">
        <f>#REF!</f>
        <v>#REF!</v>
      </c>
      <c r="DN8" s="1542" t="e">
        <f>#REF!</f>
        <v>#REF!</v>
      </c>
      <c r="DO8" s="155"/>
      <c r="DP8" s="155"/>
      <c r="DQ8" s="155"/>
      <c r="DR8" s="155"/>
      <c r="DS8" s="155"/>
      <c r="DT8" s="155"/>
      <c r="DU8" s="155"/>
      <c r="DV8" s="155"/>
      <c r="DW8" s="155"/>
      <c r="DX8" s="155"/>
      <c r="DY8" s="155"/>
      <c r="DZ8" s="155"/>
      <c r="EA8" s="155"/>
      <c r="EB8" s="155"/>
      <c r="EC8" s="155"/>
      <c r="ED8" s="155"/>
      <c r="EE8" s="155"/>
      <c r="EF8" s="155"/>
      <c r="EG8" s="155"/>
      <c r="EH8" s="155"/>
      <c r="EI8" s="155"/>
      <c r="EJ8" s="155"/>
      <c r="EK8" s="155"/>
      <c r="EL8" s="155"/>
      <c r="EM8" s="155"/>
      <c r="EN8" s="155"/>
      <c r="EO8" s="155"/>
      <c r="EP8" s="155"/>
      <c r="EQ8" s="155"/>
      <c r="ER8" s="155"/>
      <c r="ES8" s="155"/>
      <c r="ET8" s="155"/>
      <c r="EU8" s="155"/>
      <c r="EV8" s="155"/>
      <c r="EW8" s="155"/>
      <c r="EX8" s="162"/>
      <c r="EY8" s="162"/>
      <c r="EZ8" s="162"/>
      <c r="FA8" s="162"/>
      <c r="FB8" s="155"/>
      <c r="FC8" s="155"/>
      <c r="FD8" s="155"/>
      <c r="FE8" s="155"/>
      <c r="FF8" s="155"/>
      <c r="FG8" s="155"/>
      <c r="FH8" s="155"/>
      <c r="FI8" s="155"/>
      <c r="GA8" s="322"/>
      <c r="GB8" s="322"/>
      <c r="GC8" s="322"/>
      <c r="GD8" s="322"/>
      <c r="GE8" s="322"/>
      <c r="GF8" s="322"/>
      <c r="GG8" s="322"/>
      <c r="GH8" s="322"/>
      <c r="GI8" s="322"/>
      <c r="GJ8" s="322"/>
    </row>
    <row r="9" spans="1:241" ht="12.2" customHeight="1" thickBot="1" x14ac:dyDescent="0.3">
      <c r="A9" s="325"/>
      <c r="B9" s="1012" t="s">
        <v>1</v>
      </c>
      <c r="C9" s="1699" t="e">
        <f>IF(ISBLANK(#REF!),"",#REF!)</f>
        <v>#REF!</v>
      </c>
      <c r="D9" s="1699"/>
      <c r="E9" s="1699"/>
      <c r="F9" s="1699"/>
      <c r="G9" s="1699"/>
      <c r="H9" s="1699"/>
      <c r="I9" s="1699"/>
      <c r="J9" s="1699"/>
      <c r="K9" s="1699"/>
      <c r="L9" s="1699"/>
      <c r="M9" s="1699"/>
      <c r="N9" s="1699"/>
      <c r="O9" s="1700"/>
      <c r="P9" s="326"/>
      <c r="Q9" s="327"/>
      <c r="R9" s="1012" t="s">
        <v>2</v>
      </c>
      <c r="S9" s="1700" t="e">
        <f>IF(ISBLANK(#REF!),"",#REF!)</f>
        <v>#REF!</v>
      </c>
      <c r="T9" s="2034"/>
      <c r="U9" s="2034"/>
      <c r="V9" s="2034"/>
      <c r="W9" s="2034"/>
      <c r="X9" s="2034"/>
      <c r="Y9" s="2034"/>
      <c r="Z9" s="2034"/>
      <c r="AA9" s="2034"/>
      <c r="AB9" s="328"/>
      <c r="AL9" s="303"/>
      <c r="AM9" s="303"/>
      <c r="AN9" s="303"/>
      <c r="AO9" s="303"/>
      <c r="AP9" s="303"/>
      <c r="AQ9" s="303"/>
      <c r="AR9" s="303"/>
      <c r="BA9" s="166"/>
      <c r="BB9" s="329"/>
      <c r="BC9" s="152"/>
      <c r="BD9" s="152"/>
      <c r="BE9" s="881">
        <v>4.5</v>
      </c>
      <c r="BF9" s="881">
        <v>5.5</v>
      </c>
      <c r="BG9" s="882">
        <v>5</v>
      </c>
      <c r="BH9" s="882">
        <v>5</v>
      </c>
      <c r="BI9" s="882">
        <v>5</v>
      </c>
      <c r="BJ9" s="882">
        <v>3</v>
      </c>
      <c r="BK9" s="882">
        <v>5</v>
      </c>
      <c r="BL9" s="882">
        <v>5</v>
      </c>
      <c r="BM9" s="882">
        <v>5</v>
      </c>
      <c r="BN9" s="882">
        <v>6</v>
      </c>
      <c r="BO9" s="882">
        <v>5</v>
      </c>
      <c r="BP9" s="882">
        <v>5</v>
      </c>
      <c r="BQ9" s="882">
        <v>5</v>
      </c>
      <c r="BR9" s="882">
        <v>3</v>
      </c>
      <c r="BS9" s="882">
        <v>5</v>
      </c>
      <c r="BT9" s="882">
        <v>5</v>
      </c>
      <c r="BU9" s="882">
        <v>5</v>
      </c>
      <c r="BV9" s="882">
        <v>6</v>
      </c>
      <c r="BW9" s="883"/>
      <c r="BX9" s="881">
        <v>24</v>
      </c>
      <c r="BY9" s="881">
        <v>24</v>
      </c>
      <c r="BZ9" s="152"/>
      <c r="CA9" s="152"/>
      <c r="CB9" s="152"/>
      <c r="CC9" s="152"/>
      <c r="CD9" s="152"/>
      <c r="CE9" s="152"/>
      <c r="CF9" s="151"/>
      <c r="CG9" s="151"/>
      <c r="CH9" s="151"/>
      <c r="CI9" s="151"/>
      <c r="CJ9" s="151"/>
      <c r="CK9" s="151"/>
      <c r="CL9" s="151"/>
      <c r="CM9" s="151"/>
      <c r="CN9" s="151"/>
      <c r="CO9" s="151"/>
      <c r="CP9" s="151"/>
      <c r="CQ9" s="151"/>
      <c r="CR9" s="151"/>
      <c r="CS9" s="151"/>
      <c r="CT9" s="155"/>
      <c r="CU9" s="155"/>
      <c r="CV9" s="155"/>
      <c r="CW9" s="155"/>
      <c r="CX9" s="155"/>
      <c r="CY9" s="155"/>
      <c r="CZ9" s="155"/>
      <c r="DA9" s="155"/>
      <c r="DB9" s="155"/>
      <c r="DC9" s="155"/>
      <c r="DD9" s="155"/>
      <c r="DE9" s="155"/>
      <c r="DF9" s="449" t="s">
        <v>149</v>
      </c>
      <c r="DG9" s="1556" t="e">
        <f>#REF!/2</f>
        <v>#REF!</v>
      </c>
      <c r="DH9" s="1557" t="e">
        <f>#REF!</f>
        <v>#REF!</v>
      </c>
      <c r="DI9" s="1557" t="e">
        <f>#REF!</f>
        <v>#REF!</v>
      </c>
      <c r="DJ9" s="1557" t="e">
        <f>#REF!</f>
        <v>#REF!</v>
      </c>
      <c r="DK9" s="1557" t="e">
        <f>#REF!</f>
        <v>#REF!</v>
      </c>
      <c r="DL9" s="1558" t="e">
        <f>#REF!</f>
        <v>#REF!</v>
      </c>
      <c r="DM9" s="1557" t="e">
        <f>#REF!</f>
        <v>#REF!</v>
      </c>
      <c r="DN9" s="1560" t="e">
        <f>#REF!</f>
        <v>#REF!</v>
      </c>
      <c r="DO9" s="155"/>
      <c r="DP9" s="155"/>
      <c r="DQ9" s="155"/>
      <c r="DR9" s="155"/>
      <c r="DS9" s="155"/>
      <c r="DT9" s="155"/>
      <c r="DU9" s="155"/>
      <c r="DV9" s="155"/>
      <c r="DW9" s="155"/>
      <c r="DX9" s="155"/>
      <c r="DY9" s="155"/>
      <c r="DZ9" s="155"/>
      <c r="EA9" s="155"/>
      <c r="EB9" s="155"/>
      <c r="EC9" s="155"/>
      <c r="ED9" s="155"/>
      <c r="EE9" s="155"/>
      <c r="EF9" s="155"/>
      <c r="EG9" s="155"/>
      <c r="EH9" s="155"/>
      <c r="EI9" s="155"/>
      <c r="EJ9" s="155"/>
      <c r="EK9" s="155"/>
      <c r="EL9" s="155"/>
      <c r="EM9" s="155"/>
      <c r="EN9" s="155"/>
      <c r="EO9" s="155"/>
      <c r="EP9" s="155"/>
      <c r="EQ9" s="155"/>
      <c r="ER9" s="155"/>
      <c r="ES9" s="155"/>
      <c r="ET9" s="155"/>
      <c r="EU9" s="155"/>
      <c r="EV9" s="155"/>
      <c r="EW9" s="155"/>
      <c r="EX9" s="162"/>
      <c r="EY9" s="162"/>
      <c r="EZ9" s="162"/>
      <c r="FA9" s="162"/>
      <c r="FB9" s="155"/>
      <c r="FC9" s="155"/>
      <c r="FD9" s="155"/>
      <c r="FE9" s="155"/>
      <c r="FF9" s="155"/>
      <c r="FG9" s="155"/>
      <c r="FH9" s="155"/>
      <c r="FI9" s="155"/>
      <c r="GA9" s="322"/>
      <c r="GB9" s="322"/>
      <c r="GC9" s="322"/>
      <c r="GD9" s="322"/>
      <c r="GE9" s="322"/>
      <c r="GF9" s="322"/>
      <c r="GG9" s="322"/>
      <c r="GH9" s="322"/>
      <c r="GI9" s="322"/>
      <c r="GJ9" s="322"/>
    </row>
    <row r="10" spans="1:241" ht="12.2" customHeight="1" thickBot="1" x14ac:dyDescent="0.25">
      <c r="A10" s="330"/>
      <c r="B10" s="392" t="s">
        <v>3</v>
      </c>
      <c r="C10" s="1699" t="e">
        <f>IF(ISBLANK(#REF!),"",#REF!)</f>
        <v>#REF!</v>
      </c>
      <c r="D10" s="1699"/>
      <c r="E10" s="1699"/>
      <c r="F10" s="1699"/>
      <c r="G10" s="1699"/>
      <c r="H10" s="1699"/>
      <c r="I10" s="1699"/>
      <c r="J10" s="1699"/>
      <c r="K10" s="1699"/>
      <c r="L10" s="1699"/>
      <c r="M10" s="1699"/>
      <c r="N10" s="1699"/>
      <c r="O10" s="1700"/>
      <c r="P10" s="331"/>
      <c r="Q10" s="332"/>
      <c r="R10" s="392" t="s">
        <v>22</v>
      </c>
      <c r="S10" s="1699" t="e">
        <f>IF(ISBLANK(#REF!),"",#REF!)</f>
        <v>#REF!</v>
      </c>
      <c r="T10" s="1699"/>
      <c r="U10" s="1699"/>
      <c r="V10" s="1699"/>
      <c r="W10" s="1700"/>
      <c r="X10" s="332"/>
      <c r="Y10" s="392" t="s">
        <v>23</v>
      </c>
      <c r="Z10" s="1700" t="e">
        <f>IF(ISBLANK(#REF!),"",#REF!)</f>
        <v>#REF!</v>
      </c>
      <c r="AA10" s="2034"/>
      <c r="AB10" s="328"/>
      <c r="AL10" s="303"/>
      <c r="AM10" s="303"/>
      <c r="AN10" s="303"/>
      <c r="AO10" s="303"/>
      <c r="AP10" s="303"/>
      <c r="AQ10" s="303"/>
      <c r="AR10" s="303"/>
      <c r="BA10" s="166"/>
      <c r="BB10" s="1502">
        <f>J_A!BB17</f>
        <v>6</v>
      </c>
      <c r="BC10" s="1502">
        <f>J_A!BC17</f>
        <v>4</v>
      </c>
      <c r="BD10" s="1502">
        <f>J_A!BD17</f>
        <v>13</v>
      </c>
      <c r="BE10" s="1502">
        <f>J_A!BE17</f>
        <v>4</v>
      </c>
      <c r="BF10" s="1502">
        <f>J_A!BF17</f>
        <v>5</v>
      </c>
      <c r="BG10" s="1503">
        <f>J_A!BG17</f>
        <v>3</v>
      </c>
      <c r="BH10" s="1503">
        <f>J_A!BH17</f>
        <v>4.57</v>
      </c>
      <c r="BI10" s="1503">
        <f>J_A!BI17</f>
        <v>4.57</v>
      </c>
      <c r="BJ10" s="1503">
        <f>J_A!BJ17</f>
        <v>2.71</v>
      </c>
      <c r="BK10" s="1503">
        <f>J_A!BK17</f>
        <v>4.57</v>
      </c>
      <c r="BL10" s="1503">
        <f>J_A!BL17</f>
        <v>4.57</v>
      </c>
      <c r="BM10" s="1503">
        <f>J_A!BM17</f>
        <v>4</v>
      </c>
      <c r="BN10" s="1503">
        <f>J_A!BN17</f>
        <v>5</v>
      </c>
      <c r="BO10" s="1503">
        <f>J_A!BO17</f>
        <v>2.71</v>
      </c>
      <c r="BP10" s="1503">
        <f>J_A!BP17</f>
        <v>5.29</v>
      </c>
      <c r="BQ10" s="1503">
        <f>J_A!BQ17</f>
        <v>5.29</v>
      </c>
      <c r="BR10" s="1503">
        <f>J_A!BR17</f>
        <v>4</v>
      </c>
      <c r="BS10" s="1503">
        <f>J_A!BS17</f>
        <v>3</v>
      </c>
      <c r="BT10" s="1503">
        <f>J_A!BT17</f>
        <v>4.57</v>
      </c>
      <c r="BU10" s="1503">
        <f>J_A!BU17</f>
        <v>4.57</v>
      </c>
      <c r="BV10" s="1503">
        <f>J_A!BV17</f>
        <v>2.71</v>
      </c>
      <c r="BW10" s="1502">
        <f>J_A!BW17</f>
        <v>4.57</v>
      </c>
      <c r="BX10" s="1502">
        <f>J_A!BX17</f>
        <v>4.57</v>
      </c>
      <c r="BY10" s="1502">
        <f>J_A!BY17</f>
        <v>4</v>
      </c>
      <c r="BZ10" s="1502">
        <f>J_A!BZ17</f>
        <v>5</v>
      </c>
      <c r="CA10" s="1502">
        <f>J_A!CA17</f>
        <v>2.71</v>
      </c>
      <c r="CB10" s="1506">
        <f>J_A!CB17</f>
        <v>5.29</v>
      </c>
      <c r="CC10" s="1502">
        <f>J_A!CC17</f>
        <v>5.29</v>
      </c>
      <c r="CD10" s="1502">
        <f>J_A!CD17</f>
        <v>4</v>
      </c>
      <c r="CE10" s="1502">
        <f>J_A!CE17</f>
        <v>5</v>
      </c>
      <c r="CF10" s="1504">
        <f>J_A!CF17</f>
        <v>17.14</v>
      </c>
      <c r="CG10" s="1503">
        <f>J_A!CG17</f>
        <v>17.14</v>
      </c>
      <c r="CH10" s="151"/>
      <c r="CI10" s="151"/>
      <c r="CJ10" s="151"/>
      <c r="CK10" s="151"/>
      <c r="CL10" s="151"/>
      <c r="CM10" s="151"/>
      <c r="CN10" s="151"/>
      <c r="CO10" s="151"/>
      <c r="CP10" s="151"/>
      <c r="CQ10" s="151"/>
      <c r="CR10" s="151"/>
      <c r="CS10" s="151"/>
      <c r="CT10" s="155"/>
      <c r="CU10" s="155"/>
      <c r="CV10" s="155"/>
      <c r="CW10" s="155"/>
      <c r="CX10" s="155"/>
      <c r="CY10" s="155"/>
      <c r="CZ10" s="155"/>
      <c r="DU10" s="333"/>
      <c r="DV10" s="333"/>
      <c r="DW10" s="333"/>
      <c r="DX10" s="333"/>
      <c r="DY10" s="333"/>
      <c r="DZ10" s="333"/>
      <c r="EA10" s="333"/>
      <c r="EB10" s="333"/>
      <c r="EC10" s="333"/>
      <c r="ED10" s="333"/>
      <c r="EE10" s="334"/>
      <c r="EF10" s="334"/>
      <c r="EG10" s="334"/>
      <c r="EH10" s="334"/>
      <c r="EI10" s="334"/>
      <c r="EJ10" s="334"/>
      <c r="EK10" s="334"/>
      <c r="EL10" s="334"/>
      <c r="EM10" s="334"/>
      <c r="EN10" s="334"/>
      <c r="EO10" s="334"/>
      <c r="EP10" s="334"/>
      <c r="EQ10" s="166"/>
      <c r="ER10" s="155"/>
      <c r="ES10" s="155"/>
      <c r="ET10" s="155"/>
      <c r="EU10" s="155"/>
      <c r="EV10" s="155"/>
      <c r="EW10" s="155"/>
      <c r="EX10" s="162"/>
      <c r="EY10" s="162"/>
      <c r="EZ10" s="162"/>
      <c r="FA10" s="162"/>
      <c r="FB10" s="155"/>
      <c r="FC10" s="155"/>
      <c r="FD10" s="155"/>
      <c r="FE10" s="155"/>
      <c r="FF10" s="155"/>
      <c r="FG10" s="155"/>
      <c r="FH10" s="155"/>
      <c r="FI10" s="155"/>
      <c r="GA10" s="322"/>
      <c r="GB10" s="322"/>
      <c r="GC10" s="322"/>
      <c r="GD10" s="322"/>
      <c r="GE10" s="322"/>
      <c r="GF10" s="322"/>
      <c r="GG10" s="322"/>
      <c r="GH10" s="322"/>
      <c r="GI10" s="322"/>
      <c r="GJ10" s="322"/>
    </row>
    <row r="11" spans="1:241" ht="12.6" customHeight="1" thickTop="1" thickBot="1" x14ac:dyDescent="0.25">
      <c r="A11" s="322"/>
      <c r="B11" s="322"/>
      <c r="C11" s="322"/>
      <c r="D11" s="322"/>
      <c r="E11" s="322"/>
      <c r="F11" s="322"/>
      <c r="G11" s="322"/>
      <c r="H11" s="322"/>
      <c r="I11" s="322"/>
      <c r="J11" s="322"/>
      <c r="K11" s="322"/>
      <c r="L11" s="322"/>
      <c r="M11" s="322"/>
      <c r="N11" s="322"/>
      <c r="O11" s="322"/>
      <c r="P11" s="322"/>
      <c r="Q11" s="322"/>
      <c r="R11" s="322"/>
      <c r="S11" s="322"/>
      <c r="T11" s="322"/>
      <c r="U11" s="322"/>
      <c r="V11" s="322"/>
      <c r="W11" s="322"/>
      <c r="X11" s="322"/>
      <c r="Y11" s="322"/>
      <c r="Z11" s="322"/>
      <c r="AA11" s="322"/>
      <c r="BA11" s="166"/>
      <c r="BB11" s="2311" t="s">
        <v>270</v>
      </c>
      <c r="BC11" s="2312"/>
      <c r="BD11" s="2312"/>
      <c r="BE11" s="2312"/>
      <c r="BF11" s="2312"/>
      <c r="BG11" s="2312"/>
      <c r="BH11" s="2312"/>
      <c r="BI11" s="2312"/>
      <c r="BJ11" s="2312"/>
      <c r="BK11" s="2312"/>
      <c r="BL11" s="2312"/>
      <c r="BM11" s="2312"/>
      <c r="BN11" s="2312"/>
      <c r="BO11" s="2312"/>
      <c r="BP11" s="2312"/>
      <c r="BQ11" s="2312"/>
      <c r="BR11" s="2312"/>
      <c r="BS11" s="2312"/>
      <c r="BT11" s="2312"/>
      <c r="BU11" s="2312"/>
      <c r="BV11" s="2312"/>
      <c r="BW11" s="2312"/>
      <c r="BX11" s="2312"/>
      <c r="BY11" s="2312"/>
      <c r="BZ11" s="2312"/>
      <c r="CA11" s="2312"/>
      <c r="CB11" s="2312"/>
      <c r="CC11" s="1436"/>
      <c r="CD11" s="2315"/>
      <c r="CE11" s="2315"/>
      <c r="CF11" s="2315"/>
      <c r="CG11" s="2316"/>
      <c r="CH11" s="151"/>
      <c r="CI11" s="151"/>
      <c r="CJ11" s="151"/>
      <c r="CK11" s="151"/>
      <c r="CL11" s="151"/>
      <c r="CM11" s="151"/>
      <c r="CN11" s="151"/>
      <c r="CO11" s="151"/>
      <c r="CP11" s="151"/>
      <c r="CQ11" s="151"/>
      <c r="CR11" s="151"/>
      <c r="CS11" s="151"/>
      <c r="CT11" s="155"/>
      <c r="CU11" s="155"/>
      <c r="CV11" s="155"/>
      <c r="CW11" s="155"/>
      <c r="CX11" s="155"/>
      <c r="CY11" s="155"/>
      <c r="CZ11" s="155"/>
      <c r="DU11" s="333"/>
      <c r="DV11" s="333"/>
      <c r="DW11" s="333"/>
      <c r="DX11" s="333"/>
      <c r="DY11" s="333"/>
      <c r="DZ11" s="333"/>
      <c r="EA11" s="333"/>
      <c r="EB11" s="333"/>
      <c r="EC11" s="333"/>
      <c r="ED11" s="333"/>
      <c r="EE11" s="334"/>
      <c r="EF11" s="334"/>
      <c r="EG11" s="334"/>
      <c r="EH11" s="334"/>
      <c r="EI11" s="334"/>
      <c r="EJ11" s="334"/>
      <c r="EK11" s="334"/>
      <c r="EL11" s="334"/>
      <c r="EM11" s="334"/>
      <c r="EN11" s="334"/>
      <c r="EO11" s="334"/>
      <c r="EP11" s="334"/>
      <c r="EQ11" s="166"/>
      <c r="ER11" s="155"/>
      <c r="ES11" s="155"/>
      <c r="ET11" s="155"/>
      <c r="EU11" s="155"/>
      <c r="EV11" s="155"/>
      <c r="EW11" s="155"/>
      <c r="EX11" s="162"/>
      <c r="EY11" s="162"/>
      <c r="EZ11" s="162"/>
      <c r="FA11" s="162"/>
      <c r="FB11" s="155"/>
      <c r="FC11" s="155"/>
      <c r="FD11" s="155"/>
      <c r="FE11" s="155"/>
      <c r="FF11" s="155"/>
      <c r="FG11" s="155"/>
      <c r="FH11" s="155"/>
      <c r="FI11" s="155"/>
      <c r="GA11" s="322"/>
      <c r="GB11" s="322"/>
      <c r="GC11" s="322"/>
      <c r="GD11" s="322"/>
      <c r="GE11" s="322"/>
      <c r="GF11" s="322"/>
      <c r="GG11" s="322"/>
      <c r="GH11" s="322"/>
      <c r="GI11" s="322"/>
      <c r="GJ11" s="322"/>
      <c r="HA11" s="174">
        <v>1</v>
      </c>
      <c r="HB11" s="174">
        <f>HA11+1</f>
        <v>2</v>
      </c>
      <c r="HC11" s="174">
        <f t="shared" ref="HC11:IF11" si="0">HB11+1</f>
        <v>3</v>
      </c>
      <c r="HD11" s="174">
        <f t="shared" si="0"/>
        <v>4</v>
      </c>
      <c r="HE11" s="174">
        <f t="shared" si="0"/>
        <v>5</v>
      </c>
      <c r="HF11" s="174">
        <f t="shared" si="0"/>
        <v>6</v>
      </c>
      <c r="HG11" s="174">
        <f t="shared" si="0"/>
        <v>7</v>
      </c>
      <c r="HH11" s="174">
        <f t="shared" si="0"/>
        <v>8</v>
      </c>
      <c r="HI11" s="174">
        <f t="shared" si="0"/>
        <v>9</v>
      </c>
      <c r="HJ11" s="174">
        <f t="shared" si="0"/>
        <v>10</v>
      </c>
      <c r="HK11" s="174">
        <f t="shared" si="0"/>
        <v>11</v>
      </c>
      <c r="HL11" s="174">
        <f t="shared" si="0"/>
        <v>12</v>
      </c>
      <c r="HM11" s="174">
        <f t="shared" si="0"/>
        <v>13</v>
      </c>
      <c r="HN11" s="174">
        <f t="shared" si="0"/>
        <v>14</v>
      </c>
      <c r="HO11" s="174">
        <f t="shared" si="0"/>
        <v>15</v>
      </c>
      <c r="HP11" s="174">
        <f t="shared" si="0"/>
        <v>16</v>
      </c>
      <c r="HQ11" s="174">
        <f t="shared" si="0"/>
        <v>17</v>
      </c>
      <c r="HR11" s="174">
        <f t="shared" si="0"/>
        <v>18</v>
      </c>
      <c r="HS11" s="174">
        <f t="shared" si="0"/>
        <v>19</v>
      </c>
      <c r="HT11" s="174">
        <f t="shared" si="0"/>
        <v>20</v>
      </c>
      <c r="HU11" s="174">
        <f t="shared" si="0"/>
        <v>21</v>
      </c>
      <c r="HV11" s="174">
        <f t="shared" si="0"/>
        <v>22</v>
      </c>
      <c r="HW11" s="174">
        <f t="shared" si="0"/>
        <v>23</v>
      </c>
      <c r="HX11" s="174">
        <f t="shared" si="0"/>
        <v>24</v>
      </c>
      <c r="HY11" s="174">
        <f t="shared" si="0"/>
        <v>25</v>
      </c>
      <c r="HZ11" s="174">
        <f t="shared" si="0"/>
        <v>26</v>
      </c>
      <c r="IA11" s="174">
        <f t="shared" si="0"/>
        <v>27</v>
      </c>
      <c r="IB11" s="174">
        <f t="shared" si="0"/>
        <v>28</v>
      </c>
      <c r="IC11" s="174">
        <f t="shared" si="0"/>
        <v>29</v>
      </c>
      <c r="ID11" s="174">
        <f t="shared" si="0"/>
        <v>30</v>
      </c>
      <c r="IE11" s="174">
        <f t="shared" si="0"/>
        <v>31</v>
      </c>
      <c r="IF11" s="174">
        <f t="shared" si="0"/>
        <v>32</v>
      </c>
    </row>
    <row r="12" spans="1:241" ht="12.6" customHeight="1" thickBot="1" x14ac:dyDescent="0.25">
      <c r="A12" s="322"/>
      <c r="B12" s="322"/>
      <c r="C12" s="322"/>
      <c r="D12" s="322"/>
      <c r="E12" s="322"/>
      <c r="F12" s="322"/>
      <c r="G12" s="322"/>
      <c r="H12" s="322"/>
      <c r="I12" s="322"/>
      <c r="J12" s="322"/>
      <c r="K12" s="322"/>
      <c r="L12" s="322"/>
      <c r="M12" s="322"/>
      <c r="N12" s="322"/>
      <c r="O12" s="322"/>
      <c r="P12" s="322"/>
      <c r="Q12" s="322"/>
      <c r="R12" s="322"/>
      <c r="S12" s="322"/>
      <c r="T12" s="322"/>
      <c r="U12" s="322"/>
      <c r="V12" s="322"/>
      <c r="W12" s="322"/>
      <c r="X12" s="322"/>
      <c r="Y12" s="322"/>
      <c r="Z12" s="319" t="s">
        <v>4</v>
      </c>
      <c r="AA12" s="1656" t="str">
        <f>IF(ISBLANK(CC7),"",CC7)</f>
        <v/>
      </c>
      <c r="AB12" s="335" t="str">
        <f>AA12</f>
        <v/>
      </c>
      <c r="BA12" s="166"/>
      <c r="BB12" s="2313"/>
      <c r="BC12" s="2314"/>
      <c r="BD12" s="2314"/>
      <c r="BE12" s="2314"/>
      <c r="BF12" s="2314"/>
      <c r="BG12" s="2314"/>
      <c r="BH12" s="2314"/>
      <c r="BI12" s="2314"/>
      <c r="BJ12" s="2314"/>
      <c r="BK12" s="2314"/>
      <c r="BL12" s="2314"/>
      <c r="BM12" s="2314"/>
      <c r="BN12" s="2314"/>
      <c r="BO12" s="2314"/>
      <c r="BP12" s="2314"/>
      <c r="BQ12" s="2314"/>
      <c r="BR12" s="2314"/>
      <c r="BS12" s="2314"/>
      <c r="BT12" s="2314"/>
      <c r="BU12" s="2314"/>
      <c r="BV12" s="2314"/>
      <c r="BW12" s="2314"/>
      <c r="BX12" s="2314"/>
      <c r="BY12" s="2314"/>
      <c r="BZ12" s="2314"/>
      <c r="CA12" s="2314"/>
      <c r="CB12" s="2314"/>
      <c r="CC12" s="1435"/>
      <c r="CD12" s="2317"/>
      <c r="CE12" s="2318"/>
      <c r="CF12" s="2318"/>
      <c r="CG12" s="2319"/>
      <c r="CH12" s="151"/>
      <c r="CI12" s="151"/>
      <c r="CJ12" s="151"/>
      <c r="CK12" s="151"/>
      <c r="CL12" s="152"/>
      <c r="CM12" s="864"/>
      <c r="CN12" s="2275" t="s">
        <v>349</v>
      </c>
      <c r="CO12" s="2276"/>
      <c r="CP12" s="2013" t="s">
        <v>291</v>
      </c>
      <c r="CQ12" s="2270"/>
      <c r="CR12" s="2301" t="s">
        <v>179</v>
      </c>
      <c r="CS12" s="2287" t="s">
        <v>180</v>
      </c>
      <c r="CU12" s="155"/>
      <c r="CV12" s="155"/>
      <c r="CW12" s="155"/>
      <c r="CX12" s="155"/>
      <c r="CY12" s="155"/>
      <c r="CZ12" s="155"/>
      <c r="DA12" s="155"/>
      <c r="DB12" s="155"/>
      <c r="DC12" s="155"/>
      <c r="DD12" s="155"/>
      <c r="DE12" s="155"/>
      <c r="DF12" s="155"/>
      <c r="DG12" s="155"/>
      <c r="DH12" s="155"/>
      <c r="DI12" s="155"/>
      <c r="DJ12" s="155"/>
      <c r="DK12" s="155"/>
      <c r="DL12" s="155"/>
      <c r="DM12" s="155"/>
      <c r="DN12" s="155"/>
      <c r="DO12" s="162"/>
      <c r="DQ12" s="350"/>
      <c r="DR12" s="155"/>
      <c r="DS12" s="155"/>
      <c r="DT12" s="155"/>
      <c r="DU12" s="155"/>
      <c r="DV12" s="155"/>
      <c r="DW12" s="348"/>
      <c r="DX12" s="348"/>
      <c r="DY12" s="348"/>
      <c r="DZ12" s="348"/>
      <c r="EA12" s="155"/>
      <c r="EB12" s="162"/>
      <c r="EC12" s="155"/>
      <c r="ED12" s="155"/>
      <c r="EE12" s="155"/>
      <c r="EF12" s="155"/>
      <c r="EG12" s="155"/>
      <c r="EH12" s="155"/>
      <c r="EI12" s="155"/>
      <c r="EJ12" s="155"/>
      <c r="EK12" s="155"/>
      <c r="EL12" s="155"/>
      <c r="EM12" s="155"/>
      <c r="EN12" s="155"/>
      <c r="EO12" s="155"/>
      <c r="EP12" s="155"/>
      <c r="EQ12" s="155"/>
      <c r="ER12" s="155"/>
      <c r="ES12" s="155"/>
      <c r="ET12" s="155"/>
      <c r="EU12" s="166"/>
      <c r="EV12" s="2333" t="s">
        <v>259</v>
      </c>
      <c r="EW12" s="2211" t="s">
        <v>169</v>
      </c>
      <c r="EX12" s="2211" t="s">
        <v>222</v>
      </c>
      <c r="EY12" s="2211" t="s">
        <v>223</v>
      </c>
      <c r="EZ12" s="2211" t="s">
        <v>224</v>
      </c>
      <c r="FA12" s="2211" t="s">
        <v>225</v>
      </c>
      <c r="FB12" s="2211" t="s">
        <v>226</v>
      </c>
      <c r="FC12" s="2211" t="s">
        <v>227</v>
      </c>
      <c r="FD12" s="2211" t="s">
        <v>228</v>
      </c>
      <c r="FE12" s="2211" t="s">
        <v>170</v>
      </c>
      <c r="FF12" s="2211" t="s">
        <v>229</v>
      </c>
      <c r="FG12" s="2211" t="s">
        <v>261</v>
      </c>
      <c r="FH12" s="2211" t="s">
        <v>171</v>
      </c>
      <c r="FI12" s="2211" t="s">
        <v>230</v>
      </c>
      <c r="FJ12" s="2211" t="s">
        <v>172</v>
      </c>
      <c r="FK12" s="2211" t="s">
        <v>231</v>
      </c>
      <c r="FL12" s="2211" t="s">
        <v>262</v>
      </c>
      <c r="FM12" s="2211" t="s">
        <v>173</v>
      </c>
      <c r="FN12" s="2211" t="s">
        <v>174</v>
      </c>
      <c r="FQ12" s="2295" t="s">
        <v>326</v>
      </c>
      <c r="FR12" s="2296"/>
      <c r="GA12" s="322"/>
      <c r="GB12" s="322"/>
      <c r="GC12" s="322"/>
      <c r="GD12" s="322"/>
      <c r="GE12" s="322"/>
      <c r="GF12" s="322"/>
      <c r="GG12" s="322"/>
      <c r="GH12" s="322"/>
      <c r="GI12" s="322"/>
      <c r="GJ12" s="322"/>
      <c r="HA12" s="2216" t="s">
        <v>297</v>
      </c>
      <c r="HB12" s="2217"/>
      <c r="HC12" s="2217"/>
      <c r="HD12" s="2217"/>
      <c r="HE12" s="2217"/>
      <c r="HF12" s="2217"/>
      <c r="HG12" s="2217"/>
      <c r="HH12" s="2217"/>
      <c r="HI12" s="2217"/>
      <c r="HJ12" s="2217"/>
      <c r="HK12" s="2217"/>
      <c r="HL12" s="2217"/>
      <c r="HM12" s="2217"/>
      <c r="HN12" s="2217"/>
      <c r="HO12" s="2217"/>
      <c r="HP12" s="2217"/>
      <c r="HQ12" s="2217"/>
      <c r="HR12" s="2217"/>
      <c r="HS12" s="2217"/>
      <c r="HT12" s="2217"/>
      <c r="HU12" s="2217"/>
      <c r="HV12" s="2218"/>
      <c r="HW12" s="2218"/>
      <c r="HX12" s="2218"/>
      <c r="HY12" s="2219"/>
      <c r="HZ12" s="2219"/>
      <c r="IA12" s="2219"/>
      <c r="IB12" s="2219"/>
      <c r="IC12" s="2219"/>
      <c r="ID12" s="2219"/>
      <c r="IE12" s="2219"/>
      <c r="IF12" s="2220"/>
    </row>
    <row r="13" spans="1:241" ht="12.2" customHeight="1" thickTop="1" thickBot="1" x14ac:dyDescent="0.25">
      <c r="A13" s="322"/>
      <c r="B13" s="322"/>
      <c r="C13" s="322"/>
      <c r="D13" s="322"/>
      <c r="E13" s="322"/>
      <c r="F13" s="322"/>
      <c r="G13" s="322"/>
      <c r="H13" s="322"/>
      <c r="I13" s="322"/>
      <c r="J13" s="322"/>
      <c r="K13" s="322"/>
      <c r="L13" s="322"/>
      <c r="M13" s="322"/>
      <c r="N13" s="322"/>
      <c r="O13" s="322"/>
      <c r="P13" s="322"/>
      <c r="Q13" s="322"/>
      <c r="R13" s="322"/>
      <c r="S13" s="322"/>
      <c r="T13" s="322"/>
      <c r="U13" s="322"/>
      <c r="V13" s="322"/>
      <c r="W13" s="322"/>
      <c r="X13" s="322"/>
      <c r="Y13" s="322"/>
      <c r="Z13" s="322"/>
      <c r="AA13" s="340" t="s">
        <v>582</v>
      </c>
      <c r="AB13" s="341"/>
      <c r="AU13" s="2398" t="s">
        <v>155</v>
      </c>
      <c r="AV13" s="2295" t="s">
        <v>156</v>
      </c>
      <c r="AW13" s="2296"/>
      <c r="AX13" s="400"/>
      <c r="BA13" s="166"/>
      <c r="BB13" s="2396"/>
      <c r="BC13" s="2397"/>
      <c r="BD13" s="2397"/>
      <c r="BE13" s="2397"/>
      <c r="BF13" s="2155"/>
      <c r="BG13" s="2256" t="s">
        <v>166</v>
      </c>
      <c r="BH13" s="2257"/>
      <c r="BI13" s="2257"/>
      <c r="BJ13" s="2257"/>
      <c r="BK13" s="2257"/>
      <c r="BL13" s="2258"/>
      <c r="BM13" s="2259"/>
      <c r="BN13" s="2259"/>
      <c r="BO13" s="2260"/>
      <c r="BP13" s="2260"/>
      <c r="BQ13" s="2260"/>
      <c r="BR13" s="2261"/>
      <c r="BS13" s="2256" t="s">
        <v>167</v>
      </c>
      <c r="BT13" s="2258"/>
      <c r="BU13" s="2258"/>
      <c r="BV13" s="2258"/>
      <c r="BW13" s="2258"/>
      <c r="BX13" s="2258"/>
      <c r="BY13" s="2259"/>
      <c r="BZ13" s="2259"/>
      <c r="CA13" s="2260"/>
      <c r="CB13" s="2260"/>
      <c r="CC13" s="2260"/>
      <c r="CD13" s="2261"/>
      <c r="CE13" s="2391" t="s">
        <v>414</v>
      </c>
      <c r="CF13" s="2243"/>
      <c r="CG13" s="2244"/>
      <c r="CH13" s="151"/>
      <c r="CI13" s="151"/>
      <c r="CJ13" s="151"/>
      <c r="CK13" s="151"/>
      <c r="CL13" s="865"/>
      <c r="CM13" s="866"/>
      <c r="CN13" s="2277"/>
      <c r="CO13" s="2278"/>
      <c r="CP13" s="2271"/>
      <c r="CQ13" s="2272"/>
      <c r="CR13" s="2302"/>
      <c r="CS13" s="2288"/>
      <c r="CU13" s="2251" t="s">
        <v>168</v>
      </c>
      <c r="CV13" s="2252"/>
      <c r="CW13" s="2252"/>
      <c r="CX13" s="2252"/>
      <c r="CY13" s="2252"/>
      <c r="CZ13" s="2252"/>
      <c r="DA13" s="2252"/>
      <c r="DB13" s="2252"/>
      <c r="DC13" s="2252"/>
      <c r="DD13" s="2253"/>
      <c r="DE13" s="2251" t="s">
        <v>167</v>
      </c>
      <c r="DF13" s="2252"/>
      <c r="DG13" s="2252"/>
      <c r="DH13" s="2252"/>
      <c r="DI13" s="2252"/>
      <c r="DJ13" s="2252"/>
      <c r="DK13" s="2252"/>
      <c r="DL13" s="2252"/>
      <c r="DM13" s="2252"/>
      <c r="DN13" s="2253"/>
      <c r="DQ13" s="357"/>
      <c r="DR13" s="155"/>
      <c r="DS13" s="351"/>
      <c r="DT13" s="351"/>
      <c r="DU13" s="351"/>
      <c r="DV13" s="351"/>
      <c r="DW13" s="155"/>
      <c r="DX13" s="155"/>
      <c r="DY13" s="155"/>
      <c r="DZ13" s="155"/>
      <c r="EA13" s="155"/>
      <c r="EB13" s="155"/>
      <c r="EC13" s="155"/>
      <c r="ED13" s="352"/>
      <c r="EE13" s="357"/>
      <c r="EF13" s="357"/>
      <c r="EG13" s="357"/>
      <c r="EH13" s="357"/>
      <c r="EI13" s="357"/>
      <c r="EJ13" s="357"/>
      <c r="EK13" s="357"/>
      <c r="EL13" s="357"/>
      <c r="EM13" s="357"/>
      <c r="EN13" s="357"/>
      <c r="EO13" s="357"/>
      <c r="EP13" s="357"/>
      <c r="EQ13" s="357"/>
      <c r="ER13" s="357"/>
      <c r="ES13" s="357"/>
      <c r="ET13" s="357"/>
      <c r="EU13" s="358"/>
      <c r="EV13" s="2334"/>
      <c r="EW13" s="2337"/>
      <c r="EX13" s="2212"/>
      <c r="EY13" s="2212"/>
      <c r="EZ13" s="2264"/>
      <c r="FA13" s="2212"/>
      <c r="FB13" s="2212"/>
      <c r="FC13" s="2212"/>
      <c r="FD13" s="2213"/>
      <c r="FE13" s="2213"/>
      <c r="FF13" s="2213"/>
      <c r="FG13" s="2213"/>
      <c r="FH13" s="2213"/>
      <c r="FI13" s="2213"/>
      <c r="FJ13" s="2213"/>
      <c r="FK13" s="2213"/>
      <c r="FL13" s="2213"/>
      <c r="FM13" s="2213"/>
      <c r="FN13" s="2213"/>
      <c r="FQ13" s="2297"/>
      <c r="FR13" s="2298"/>
      <c r="GA13" s="2372" t="s">
        <v>713</v>
      </c>
      <c r="GB13" s="2372"/>
      <c r="GC13" s="2372"/>
      <c r="GD13" s="2372"/>
      <c r="GE13" s="2372"/>
      <c r="GF13" s="2372"/>
      <c r="GG13" s="2140"/>
      <c r="GH13" s="2140"/>
      <c r="GI13" s="2140"/>
      <c r="GJ13" s="2140"/>
      <c r="HA13" s="2221"/>
      <c r="HB13" s="2222"/>
      <c r="HC13" s="2222"/>
      <c r="HD13" s="2222"/>
      <c r="HE13" s="2222"/>
      <c r="HF13" s="2222"/>
      <c r="HG13" s="2222"/>
      <c r="HH13" s="2222"/>
      <c r="HI13" s="2222"/>
      <c r="HJ13" s="2222"/>
      <c r="HK13" s="2222"/>
      <c r="HL13" s="2222"/>
      <c r="HM13" s="2222"/>
      <c r="HN13" s="2222"/>
      <c r="HO13" s="2222"/>
      <c r="HP13" s="2222"/>
      <c r="HQ13" s="2222"/>
      <c r="HR13" s="2222"/>
      <c r="HS13" s="2222"/>
      <c r="HT13" s="2222"/>
      <c r="HU13" s="2222"/>
      <c r="HV13" s="2223"/>
      <c r="HW13" s="2223"/>
      <c r="HX13" s="2223"/>
      <c r="HY13" s="2224"/>
      <c r="HZ13" s="2224"/>
      <c r="IA13" s="2224"/>
      <c r="IB13" s="2224"/>
      <c r="IC13" s="2224"/>
      <c r="ID13" s="2224"/>
      <c r="IE13" s="2224"/>
      <c r="IF13" s="2225"/>
    </row>
    <row r="14" spans="1:241" ht="12.6" customHeight="1" thickTop="1" thickBot="1" x14ac:dyDescent="0.25">
      <c r="A14" s="2285" t="s">
        <v>40</v>
      </c>
      <c r="B14" s="2281" t="s">
        <v>28</v>
      </c>
      <c r="C14" s="2281" t="s">
        <v>24</v>
      </c>
      <c r="D14" s="2281" t="s">
        <v>25</v>
      </c>
      <c r="E14" s="2399"/>
      <c r="F14" s="1821" t="s">
        <v>9</v>
      </c>
      <c r="G14" s="1822"/>
      <c r="H14" s="1822"/>
      <c r="I14" s="1822" t="s">
        <v>10</v>
      </c>
      <c r="J14" s="1822"/>
      <c r="K14" s="1823"/>
      <c r="L14" s="1821" t="s">
        <v>11</v>
      </c>
      <c r="M14" s="1823"/>
      <c r="N14" s="1824" t="s">
        <v>12</v>
      </c>
      <c r="O14" s="1822"/>
      <c r="P14" s="1822"/>
      <c r="Q14" s="1822" t="s">
        <v>13</v>
      </c>
      <c r="R14" s="1822"/>
      <c r="S14" s="1825"/>
      <c r="T14" s="1821" t="s">
        <v>14</v>
      </c>
      <c r="U14" s="1822"/>
      <c r="V14" s="1822"/>
      <c r="W14" s="1822"/>
      <c r="X14" s="1823"/>
      <c r="Y14" s="1852" t="s">
        <v>85</v>
      </c>
      <c r="Z14" s="1853"/>
      <c r="AA14" s="970" t="s">
        <v>15</v>
      </c>
      <c r="AB14" s="1286"/>
      <c r="AD14" s="359"/>
      <c r="AE14" s="359"/>
      <c r="AF14" s="359"/>
      <c r="AG14" s="359"/>
      <c r="AH14" s="359"/>
      <c r="AI14" s="359"/>
      <c r="AJ14" s="359"/>
      <c r="AK14" s="359"/>
      <c r="AL14" s="359"/>
      <c r="AM14" s="359"/>
      <c r="AN14" s="359"/>
      <c r="AO14" s="359"/>
      <c r="AP14" s="359"/>
      <c r="AQ14" s="359"/>
      <c r="AR14" s="359"/>
      <c r="AS14" s="359"/>
      <c r="AT14" s="359"/>
      <c r="AU14" s="1788"/>
      <c r="AV14" s="2297"/>
      <c r="AW14" s="2298"/>
      <c r="AX14" s="445"/>
      <c r="AY14" s="359"/>
      <c r="AZ14" s="2356" t="s">
        <v>654</v>
      </c>
      <c r="BA14" s="166"/>
      <c r="BB14" s="2262" t="s">
        <v>236</v>
      </c>
      <c r="BC14" s="2304" t="s">
        <v>102</v>
      </c>
      <c r="BD14" s="2305" t="s">
        <v>237</v>
      </c>
      <c r="BE14" s="2306" t="s">
        <v>816</v>
      </c>
      <c r="BF14" s="2307"/>
      <c r="BG14" s="1863" t="s">
        <v>808</v>
      </c>
      <c r="BH14" s="2305" t="s">
        <v>413</v>
      </c>
      <c r="BI14" s="1866"/>
      <c r="BJ14" s="2233" t="s">
        <v>238</v>
      </c>
      <c r="BK14" s="2305" t="s">
        <v>660</v>
      </c>
      <c r="BL14" s="1866"/>
      <c r="BM14" s="2304" t="s">
        <v>185</v>
      </c>
      <c r="BN14" s="2373" t="s">
        <v>405</v>
      </c>
      <c r="BO14" s="2375" t="s">
        <v>801</v>
      </c>
      <c r="BP14" s="2142" t="s">
        <v>802</v>
      </c>
      <c r="BQ14" s="2143"/>
      <c r="BR14" s="2144"/>
      <c r="BS14" s="1863" t="s">
        <v>808</v>
      </c>
      <c r="BT14" s="2305" t="s">
        <v>413</v>
      </c>
      <c r="BU14" s="1866"/>
      <c r="BV14" s="2233" t="s">
        <v>238</v>
      </c>
      <c r="BW14" s="2305" t="s">
        <v>660</v>
      </c>
      <c r="BX14" s="1866"/>
      <c r="BY14" s="2304" t="s">
        <v>185</v>
      </c>
      <c r="BZ14" s="2394" t="s">
        <v>405</v>
      </c>
      <c r="CA14" s="2375" t="s">
        <v>801</v>
      </c>
      <c r="CB14" s="2142" t="s">
        <v>802</v>
      </c>
      <c r="CC14" s="2143"/>
      <c r="CD14" s="2144"/>
      <c r="CE14" s="2392"/>
      <c r="CF14" s="2245"/>
      <c r="CG14" s="2244"/>
      <c r="CH14" s="2292" t="s">
        <v>266</v>
      </c>
      <c r="CI14" s="2293"/>
      <c r="CJ14" s="2293"/>
      <c r="CK14" s="2292" t="s">
        <v>267</v>
      </c>
      <c r="CL14" s="2279" t="s">
        <v>400</v>
      </c>
      <c r="CM14" s="2279"/>
      <c r="CN14" s="2277"/>
      <c r="CO14" s="2278"/>
      <c r="CP14" s="2273"/>
      <c r="CQ14" s="2274"/>
      <c r="CR14" s="2302"/>
      <c r="CS14" s="2288"/>
      <c r="CT14" s="359"/>
      <c r="CU14" s="2290" t="s">
        <v>195</v>
      </c>
      <c r="CV14" s="2249" t="s">
        <v>196</v>
      </c>
      <c r="CW14" s="2249" t="s">
        <v>197</v>
      </c>
      <c r="CX14" s="2249" t="s">
        <v>198</v>
      </c>
      <c r="CY14" s="2249" t="s">
        <v>254</v>
      </c>
      <c r="CZ14" s="2249" t="s">
        <v>257</v>
      </c>
      <c r="DA14" s="2249" t="s">
        <v>199</v>
      </c>
      <c r="DB14" s="2249" t="s">
        <v>258</v>
      </c>
      <c r="DC14" s="2249" t="s">
        <v>200</v>
      </c>
      <c r="DD14" s="2249" t="s">
        <v>201</v>
      </c>
      <c r="DE14" s="2290" t="s">
        <v>195</v>
      </c>
      <c r="DF14" s="2249" t="s">
        <v>196</v>
      </c>
      <c r="DG14" s="2249" t="s">
        <v>202</v>
      </c>
      <c r="DH14" s="2249" t="s">
        <v>198</v>
      </c>
      <c r="DI14" s="2249" t="s">
        <v>254</v>
      </c>
      <c r="DJ14" s="2249" t="s">
        <v>257</v>
      </c>
      <c r="DK14" s="2249" t="s">
        <v>199</v>
      </c>
      <c r="DL14" s="2249" t="s">
        <v>258</v>
      </c>
      <c r="DM14" s="2249" t="s">
        <v>200</v>
      </c>
      <c r="DN14" s="2360" t="s">
        <v>201</v>
      </c>
      <c r="DO14" s="2358" t="s">
        <v>188</v>
      </c>
      <c r="DP14" s="2226" t="s">
        <v>203</v>
      </c>
      <c r="DQ14" s="2214" t="s">
        <v>204</v>
      </c>
      <c r="DR14" s="2344" t="s">
        <v>205</v>
      </c>
      <c r="DS14" s="2336" t="s">
        <v>240</v>
      </c>
      <c r="DT14" s="2338" t="s">
        <v>206</v>
      </c>
      <c r="DU14" s="2339"/>
      <c r="DV14" s="2365" t="s">
        <v>691</v>
      </c>
      <c r="DW14" s="2331" t="s">
        <v>692</v>
      </c>
      <c r="DX14" s="2356" t="s">
        <v>211</v>
      </c>
      <c r="DY14" s="2336" t="s">
        <v>241</v>
      </c>
      <c r="DZ14" s="2338" t="s">
        <v>208</v>
      </c>
      <c r="EA14" s="2339"/>
      <c r="EB14" s="2331" t="s">
        <v>693</v>
      </c>
      <c r="EC14" s="2331" t="s">
        <v>694</v>
      </c>
      <c r="ED14" s="2356" t="s">
        <v>213</v>
      </c>
      <c r="EE14" s="2214" t="s">
        <v>242</v>
      </c>
      <c r="EF14" s="2340" t="s">
        <v>243</v>
      </c>
      <c r="EG14" s="2341"/>
      <c r="EH14" s="2340" t="s">
        <v>244</v>
      </c>
      <c r="EI14" s="2342"/>
      <c r="EJ14" s="2344" t="s">
        <v>245</v>
      </c>
      <c r="EK14" s="2345"/>
      <c r="EL14" s="2214" t="s">
        <v>255</v>
      </c>
      <c r="EM14" s="2340" t="s">
        <v>246</v>
      </c>
      <c r="EN14" s="2341"/>
      <c r="EO14" s="2340" t="s">
        <v>247</v>
      </c>
      <c r="EP14" s="2342"/>
      <c r="EQ14" s="2344" t="s">
        <v>248</v>
      </c>
      <c r="ER14" s="2345"/>
      <c r="ES14" s="2214" t="s">
        <v>12</v>
      </c>
      <c r="ET14" s="2214" t="s">
        <v>13</v>
      </c>
      <c r="EU14" s="2344" t="s">
        <v>260</v>
      </c>
      <c r="EV14" s="2334"/>
      <c r="EW14" s="2337"/>
      <c r="EX14" s="2212"/>
      <c r="EY14" s="2212"/>
      <c r="EZ14" s="2264"/>
      <c r="FA14" s="2212"/>
      <c r="FB14" s="2212"/>
      <c r="FC14" s="2212"/>
      <c r="FD14" s="2213"/>
      <c r="FE14" s="2213"/>
      <c r="FF14" s="2213"/>
      <c r="FG14" s="2213"/>
      <c r="FH14" s="2213"/>
      <c r="FI14" s="2213"/>
      <c r="FJ14" s="2213"/>
      <c r="FK14" s="2213"/>
      <c r="FL14" s="2213"/>
      <c r="FM14" s="2213"/>
      <c r="FN14" s="2213"/>
      <c r="FO14" s="2214" t="s">
        <v>268</v>
      </c>
      <c r="FP14" s="2214" t="s">
        <v>269</v>
      </c>
      <c r="FQ14" s="2228" t="s">
        <v>324</v>
      </c>
      <c r="FR14" s="2237" t="s">
        <v>325</v>
      </c>
      <c r="FS14" s="2226" t="s">
        <v>351</v>
      </c>
      <c r="FT14" s="2247" t="s">
        <v>352</v>
      </c>
      <c r="FU14" s="1977" t="s">
        <v>401</v>
      </c>
      <c r="FV14" s="1978"/>
      <c r="FW14" s="359"/>
      <c r="FX14" s="359"/>
      <c r="FY14" s="359"/>
      <c r="FZ14" s="359"/>
      <c r="GA14" s="1943" t="s">
        <v>361</v>
      </c>
      <c r="GB14" s="1944"/>
      <c r="GC14" s="1943" t="s">
        <v>253</v>
      </c>
      <c r="GD14" s="1944"/>
      <c r="GE14" s="1987" t="s">
        <v>364</v>
      </c>
      <c r="GF14" s="1989" t="s">
        <v>40</v>
      </c>
      <c r="GG14" s="2388" t="s">
        <v>715</v>
      </c>
      <c r="GH14" s="2389"/>
      <c r="GI14" s="2388" t="s">
        <v>714</v>
      </c>
      <c r="GJ14" s="2389"/>
      <c r="GK14" s="2239" t="s">
        <v>365</v>
      </c>
      <c r="GL14" s="2239" t="s">
        <v>366</v>
      </c>
      <c r="GM14" s="2239" t="s">
        <v>367</v>
      </c>
      <c r="HA14" s="2235" t="s">
        <v>236</v>
      </c>
      <c r="HB14" s="2369" t="s">
        <v>102</v>
      </c>
      <c r="HC14" s="2369" t="s">
        <v>237</v>
      </c>
      <c r="HD14" s="2265" t="e">
        <f>IF($HA$1,"Joist ""BayLength""","Overall Length")</f>
        <v>#REF!</v>
      </c>
      <c r="HE14" s="2266"/>
      <c r="HF14" s="2207" t="e">
        <f>IF($HA$1,"Left Sect. #","TCXL Feet")</f>
        <v>#REF!</v>
      </c>
      <c r="HG14" s="2207" t="e">
        <f>IF($HA$1,"L Min Sup Width","TCXL Inch")</f>
        <v>#REF!</v>
      </c>
      <c r="HH14" s="2207" t="e">
        <f>IF($HA$1,"L Max Sup Width","TCXL Type")</f>
        <v>#REF!</v>
      </c>
      <c r="HI14" s="2207" t="e">
        <f>IF($HA$1,"Left Bolt ""X""","TCXR Feet")</f>
        <v>#REF!</v>
      </c>
      <c r="HJ14" s="2207" t="e">
        <f>IF($HA$1,"L Min Flg Ga","TCXR Inch")</f>
        <v>#REF!</v>
      </c>
      <c r="HK14" s="2207" t="e">
        <f>IF($HA$1,"L Max Flg Ga","TCXR Type")</f>
        <v>#REF!</v>
      </c>
      <c r="HL14" s="2207" t="e">
        <f>IF($HA$1,"Left Skew","BDL")</f>
        <v>#REF!</v>
      </c>
      <c r="HM14" s="2207" t="e">
        <f>IF($HA$1,"Left Brg Slp","BDR")</f>
        <v>#REF!</v>
      </c>
      <c r="HN14" s="2207" t="e">
        <f>IF($HA$1,"Right Sect. #","BCXL Feet")</f>
        <v>#REF!</v>
      </c>
      <c r="HO14" s="2207" t="e">
        <f>IF($HA$1,"R Min Sup Width","BCXL Inch")</f>
        <v>#REF!</v>
      </c>
      <c r="HP14" s="2207" t="e">
        <f>IF($HA$1,"R Max Sup Width","BCXL Type")</f>
        <v>#REF!</v>
      </c>
      <c r="HQ14" s="2207" t="e">
        <f>IF($HA$1,"Right Bolt ""X""","BCXR Feet")</f>
        <v>#REF!</v>
      </c>
      <c r="HR14" s="2207" t="e">
        <f>IF($HA$1,"R Min Flg Ga","BCXR Inch")</f>
        <v>#REF!</v>
      </c>
      <c r="HS14" s="2207" t="e">
        <f>IF($HA$1,"R Max Flg Ga","BCXR Type")</f>
        <v>#REF!</v>
      </c>
      <c r="HT14" s="2207" t="e">
        <f>IF($HA$1,"Right Skew","HL Feet")</f>
        <v>#REF!</v>
      </c>
      <c r="HU14" s="2207" t="e">
        <f>IF($HA$1,"Right Brg Slp","HL Inch")</f>
        <v>#REF!</v>
      </c>
      <c r="HV14" s="2207" t="e">
        <f>IF($HA$1,"TC Slope","HR Feet")</f>
        <v>#REF!</v>
      </c>
      <c r="HW14" s="2207" t="e">
        <f>IF($HA$1,"Load Notes","HR Inch")</f>
        <v>#REF!</v>
      </c>
      <c r="HX14" s="2207" t="e">
        <f>IF($HA$1,"Spcl Notes","Slot Ga")</f>
        <v>#REF!</v>
      </c>
      <c r="HY14" s="2207" t="e">
        <f>IF($HA$1,"TC L Override","L Seat Slp")</f>
        <v>#REF!</v>
      </c>
      <c r="HZ14" s="2207" t="e">
        <f>IF($HA$1,"TCR Override","R Seat Slp")</f>
        <v>#REF!</v>
      </c>
      <c r="IA14" s="2207" t="e">
        <f>IF($HA$1,"L-BL Override","Sp Notes")</f>
        <v>#REF!</v>
      </c>
      <c r="IB14" s="2207" t="e">
        <f>IF($HA$1,"R-BL Override","Ld Notes")</f>
        <v>#REF!</v>
      </c>
      <c r="IC14" s="2207" t="e">
        <f>IF($HA$1,"BCXL ""X""","-")</f>
        <v>#REF!</v>
      </c>
      <c r="ID14" s="2207" t="e">
        <f>IF($HA$1,"BCXR ""X""","-")</f>
        <v>#REF!</v>
      </c>
      <c r="IE14" s="2207" t="e">
        <f>IF($HA$1,"BDL Override","-")</f>
        <v>#REF!</v>
      </c>
      <c r="IF14" s="2209" t="e">
        <f>IF($HA$1,"BDR Override","-")</f>
        <v>#REF!</v>
      </c>
    </row>
    <row r="15" spans="1:241" ht="12.6" customHeight="1" thickTop="1" thickBot="1" x14ac:dyDescent="0.25">
      <c r="A15" s="2286"/>
      <c r="B15" s="2283"/>
      <c r="C15" s="2283"/>
      <c r="D15" s="2283"/>
      <c r="E15" s="2400"/>
      <c r="F15" s="1830" t="s">
        <v>16</v>
      </c>
      <c r="G15" s="1829"/>
      <c r="H15" s="1022" t="s">
        <v>385</v>
      </c>
      <c r="I15" s="1829" t="s">
        <v>16</v>
      </c>
      <c r="J15" s="1829"/>
      <c r="K15" s="395" t="s">
        <v>385</v>
      </c>
      <c r="L15" s="1026" t="s">
        <v>18</v>
      </c>
      <c r="M15" s="395" t="s">
        <v>19</v>
      </c>
      <c r="N15" s="1828" t="s">
        <v>16</v>
      </c>
      <c r="O15" s="1829"/>
      <c r="P15" s="1022" t="s">
        <v>385</v>
      </c>
      <c r="Q15" s="1829" t="s">
        <v>16</v>
      </c>
      <c r="R15" s="1829"/>
      <c r="S15" s="976" t="s">
        <v>385</v>
      </c>
      <c r="T15" s="1830" t="s">
        <v>71</v>
      </c>
      <c r="U15" s="1829"/>
      <c r="V15" s="1829" t="s">
        <v>72</v>
      </c>
      <c r="W15" s="1829"/>
      <c r="X15" s="395" t="s">
        <v>27</v>
      </c>
      <c r="Y15" s="1026" t="s">
        <v>86</v>
      </c>
      <c r="Z15" s="395" t="s">
        <v>87</v>
      </c>
      <c r="AA15" s="971" t="s">
        <v>57</v>
      </c>
      <c r="AB15" s="1287"/>
      <c r="AC15" s="897" t="s">
        <v>689</v>
      </c>
      <c r="AD15" s="360" t="s">
        <v>64</v>
      </c>
      <c r="AE15" s="361" t="s">
        <v>65</v>
      </c>
      <c r="AF15" s="361" t="s">
        <v>66</v>
      </c>
      <c r="AG15" s="361" t="s">
        <v>67</v>
      </c>
      <c r="AH15" s="362" t="s">
        <v>88</v>
      </c>
      <c r="AI15" s="363" t="s">
        <v>138</v>
      </c>
      <c r="AJ15" s="296" t="s">
        <v>139</v>
      </c>
      <c r="AK15" s="296" t="s">
        <v>140</v>
      </c>
      <c r="AL15" s="296" t="s">
        <v>141</v>
      </c>
      <c r="AM15" s="296" t="s">
        <v>117</v>
      </c>
      <c r="AN15" s="296" t="s">
        <v>398</v>
      </c>
      <c r="AO15" s="296" t="s">
        <v>399</v>
      </c>
      <c r="AP15" s="296" t="s">
        <v>146</v>
      </c>
      <c r="AQ15" s="296" t="s">
        <v>143</v>
      </c>
      <c r="AR15" s="296" t="s">
        <v>142</v>
      </c>
      <c r="AS15" s="296" t="s">
        <v>144</v>
      </c>
      <c r="AT15" s="296" t="s">
        <v>145</v>
      </c>
      <c r="AU15" s="1789"/>
      <c r="AV15" s="2299"/>
      <c r="AW15" s="2300"/>
      <c r="AX15" s="446" t="s">
        <v>308</v>
      </c>
      <c r="AY15" s="446" t="s">
        <v>103</v>
      </c>
      <c r="AZ15" s="2390"/>
      <c r="BA15" s="166"/>
      <c r="BB15" s="1995"/>
      <c r="BC15" s="2068"/>
      <c r="BD15" s="1867"/>
      <c r="BE15" s="2308"/>
      <c r="BF15" s="2309"/>
      <c r="BG15" s="1864"/>
      <c r="BH15" s="2377"/>
      <c r="BI15" s="2378"/>
      <c r="BJ15" s="2234"/>
      <c r="BK15" s="2377"/>
      <c r="BL15" s="2378"/>
      <c r="BM15" s="2068"/>
      <c r="BN15" s="2374"/>
      <c r="BO15" s="2376"/>
      <c r="BP15" s="1425" t="s">
        <v>803</v>
      </c>
      <c r="BQ15" s="1426" t="s">
        <v>804</v>
      </c>
      <c r="BR15" s="1427" t="s">
        <v>198</v>
      </c>
      <c r="BS15" s="1864"/>
      <c r="BT15" s="2377"/>
      <c r="BU15" s="2378"/>
      <c r="BV15" s="2234"/>
      <c r="BW15" s="2377"/>
      <c r="BX15" s="2378"/>
      <c r="BY15" s="2068"/>
      <c r="BZ15" s="2395"/>
      <c r="CA15" s="2376"/>
      <c r="CB15" s="1425" t="s">
        <v>803</v>
      </c>
      <c r="CC15" s="1426" t="s">
        <v>804</v>
      </c>
      <c r="CD15" s="1427" t="s">
        <v>198</v>
      </c>
      <c r="CE15" s="2393"/>
      <c r="CF15" s="1433" t="s">
        <v>151</v>
      </c>
      <c r="CG15" s="1428" t="s">
        <v>250</v>
      </c>
      <c r="CH15" s="441" t="s">
        <v>263</v>
      </c>
      <c r="CI15" s="366" t="s">
        <v>264</v>
      </c>
      <c r="CJ15" s="367" t="s">
        <v>265</v>
      </c>
      <c r="CK15" s="2294"/>
      <c r="CL15" s="442" t="s">
        <v>282</v>
      </c>
      <c r="CM15" s="443" t="s">
        <v>283</v>
      </c>
      <c r="CN15" s="863" t="s">
        <v>282</v>
      </c>
      <c r="CO15" s="368" t="s">
        <v>283</v>
      </c>
      <c r="CP15" s="369" t="s">
        <v>217</v>
      </c>
      <c r="CQ15" s="370" t="s">
        <v>137</v>
      </c>
      <c r="CR15" s="2303"/>
      <c r="CS15" s="2289"/>
      <c r="CT15" s="359"/>
      <c r="CU15" s="2291"/>
      <c r="CV15" s="2351"/>
      <c r="CW15" s="2351"/>
      <c r="CX15" s="2250"/>
      <c r="CY15" s="2250"/>
      <c r="CZ15" s="2250"/>
      <c r="DA15" s="2250"/>
      <c r="DB15" s="2250"/>
      <c r="DC15" s="2250"/>
      <c r="DD15" s="2250"/>
      <c r="DE15" s="2291"/>
      <c r="DF15" s="2351"/>
      <c r="DG15" s="2351"/>
      <c r="DH15" s="2250"/>
      <c r="DI15" s="2250"/>
      <c r="DJ15" s="2250"/>
      <c r="DK15" s="2250"/>
      <c r="DL15" s="2250"/>
      <c r="DM15" s="2250"/>
      <c r="DN15" s="2361"/>
      <c r="DO15" s="2359"/>
      <c r="DP15" s="2248"/>
      <c r="DQ15" s="2355"/>
      <c r="DR15" s="2364"/>
      <c r="DS15" s="2337"/>
      <c r="DT15" s="371" t="s">
        <v>251</v>
      </c>
      <c r="DU15" s="371" t="s">
        <v>252</v>
      </c>
      <c r="DV15" s="2366"/>
      <c r="DW15" s="2332"/>
      <c r="DX15" s="2357"/>
      <c r="DY15" s="2337"/>
      <c r="DZ15" s="371" t="s">
        <v>251</v>
      </c>
      <c r="EA15" s="371" t="s">
        <v>252</v>
      </c>
      <c r="EB15" s="2332"/>
      <c r="EC15" s="2332"/>
      <c r="ED15" s="2357"/>
      <c r="EE15" s="2343"/>
      <c r="EF15" s="372" t="s">
        <v>218</v>
      </c>
      <c r="EG15" s="373" t="s">
        <v>219</v>
      </c>
      <c r="EH15" s="372" t="s">
        <v>218</v>
      </c>
      <c r="EI15" s="373" t="s">
        <v>219</v>
      </c>
      <c r="EJ15" s="372" t="s">
        <v>218</v>
      </c>
      <c r="EK15" s="373" t="s">
        <v>219</v>
      </c>
      <c r="EL15" s="2343"/>
      <c r="EM15" s="372" t="s">
        <v>218</v>
      </c>
      <c r="EN15" s="373" t="s">
        <v>219</v>
      </c>
      <c r="EO15" s="372" t="s">
        <v>218</v>
      </c>
      <c r="EP15" s="373" t="s">
        <v>219</v>
      </c>
      <c r="EQ15" s="372" t="s">
        <v>218</v>
      </c>
      <c r="ER15" s="373" t="s">
        <v>219</v>
      </c>
      <c r="ES15" s="2215"/>
      <c r="ET15" s="2215"/>
      <c r="EU15" s="2348"/>
      <c r="EV15" s="2335"/>
      <c r="EW15" s="2337"/>
      <c r="EX15" s="2212"/>
      <c r="EY15" s="2212"/>
      <c r="EZ15" s="2264"/>
      <c r="FA15" s="2212"/>
      <c r="FB15" s="2212"/>
      <c r="FC15" s="2212"/>
      <c r="FD15" s="2213"/>
      <c r="FE15" s="2213"/>
      <c r="FF15" s="2213"/>
      <c r="FG15" s="2213"/>
      <c r="FH15" s="2213"/>
      <c r="FI15" s="2213"/>
      <c r="FJ15" s="2213"/>
      <c r="FK15" s="2213"/>
      <c r="FL15" s="2213"/>
      <c r="FM15" s="2213"/>
      <c r="FN15" s="2213"/>
      <c r="FO15" s="2215"/>
      <c r="FP15" s="2215"/>
      <c r="FQ15" s="2215"/>
      <c r="FR15" s="2238"/>
      <c r="FS15" s="2227"/>
      <c r="FT15" s="2238"/>
      <c r="FU15" s="451" t="s">
        <v>282</v>
      </c>
      <c r="FV15" s="452" t="s">
        <v>283</v>
      </c>
      <c r="FW15" s="359"/>
      <c r="FX15" s="359"/>
      <c r="FY15" s="359"/>
      <c r="FZ15" s="359"/>
      <c r="GA15" s="942" t="s">
        <v>698</v>
      </c>
      <c r="GB15" s="943" t="s">
        <v>363</v>
      </c>
      <c r="GC15" s="938" t="s">
        <v>282</v>
      </c>
      <c r="GD15" s="939" t="s">
        <v>283</v>
      </c>
      <c r="GE15" s="1988"/>
      <c r="GF15" s="1988"/>
      <c r="GG15" s="944" t="s">
        <v>698</v>
      </c>
      <c r="GH15" s="941" t="s">
        <v>363</v>
      </c>
      <c r="GI15" s="944" t="s">
        <v>698</v>
      </c>
      <c r="GJ15" s="941" t="s">
        <v>363</v>
      </c>
      <c r="GK15" s="1948"/>
      <c r="GL15" s="1948"/>
      <c r="GM15" s="1948"/>
      <c r="HA15" s="2236"/>
      <c r="HB15" s="2267"/>
      <c r="HC15" s="2267"/>
      <c r="HD15" s="2267"/>
      <c r="HE15" s="2267"/>
      <c r="HF15" s="2208"/>
      <c r="HG15" s="2208"/>
      <c r="HH15" s="2208"/>
      <c r="HI15" s="2208"/>
      <c r="HJ15" s="2208"/>
      <c r="HK15" s="2208"/>
      <c r="HL15" s="2208"/>
      <c r="HM15" s="2208"/>
      <c r="HN15" s="2208"/>
      <c r="HO15" s="2208"/>
      <c r="HP15" s="2208"/>
      <c r="HQ15" s="2208"/>
      <c r="HR15" s="2208"/>
      <c r="HS15" s="2208"/>
      <c r="HT15" s="2208"/>
      <c r="HU15" s="2208"/>
      <c r="HV15" s="2208"/>
      <c r="HW15" s="2208"/>
      <c r="HX15" s="2208"/>
      <c r="HY15" s="2208"/>
      <c r="HZ15" s="2208"/>
      <c r="IA15" s="2208"/>
      <c r="IB15" s="2208"/>
      <c r="IC15" s="2208"/>
      <c r="ID15" s="2208"/>
      <c r="IE15" s="2208"/>
      <c r="IF15" s="2210"/>
    </row>
    <row r="16" spans="1:241" ht="12.6" customHeight="1" thickTop="1" x14ac:dyDescent="0.25">
      <c r="A16" s="1132" t="str">
        <f t="shared" ref="A16:A44" si="1">IF(BB16="","",UPPER(BB16))</f>
        <v/>
      </c>
      <c r="B16" s="1586" t="str">
        <f t="shared" ref="B16:B44" si="2">IF(BC16="","",BC16)</f>
        <v/>
      </c>
      <c r="C16" s="1133" t="str">
        <f t="shared" ref="C16:C44" si="3">IF(BD16="","",UPPER(BD16))</f>
        <v/>
      </c>
      <c r="D16" s="1134" t="str">
        <f t="shared" ref="D16:D44" si="4">IF(DP16="","",TRUNC(DP16/12))</f>
        <v/>
      </c>
      <c r="E16" s="1135" t="str">
        <f t="shared" ref="E16:E44" si="5">IF(DP16="","",DP16-(D16*12))</f>
        <v/>
      </c>
      <c r="F16" s="1143" t="str">
        <f t="shared" ref="F16:F44" si="6">IF(DX16=0,"",TRUNC(DX16/12))</f>
        <v/>
      </c>
      <c r="G16" s="1138" t="str">
        <f t="shared" ref="G16:G44" si="7">IF(DX16=0,"",DX16-(F16*12))</f>
        <v/>
      </c>
      <c r="H16" s="1645" t="str">
        <f t="shared" ref="H16:H44" si="8">IF(DX16=0,"",CW16)</f>
        <v/>
      </c>
      <c r="I16" s="1134" t="str">
        <f t="shared" ref="I16:I44" si="9">IF(ED16=0,"",TRUNC(ED16/12))</f>
        <v/>
      </c>
      <c r="J16" s="1138" t="str">
        <f t="shared" ref="J16:J44" si="10">IF(ED16=0,"",ED16-(I16*12))</f>
        <v/>
      </c>
      <c r="K16" s="1657" t="str">
        <f t="shared" ref="K16:K44" si="11">IF(ED16=0,"",DG16)</f>
        <v/>
      </c>
      <c r="L16" s="1141" t="str">
        <f t="shared" ref="L16:L44" si="12">DQ16</f>
        <v/>
      </c>
      <c r="M16" s="1142" t="str">
        <f t="shared" ref="M16:M44" si="13">DR16</f>
        <v/>
      </c>
      <c r="N16" s="1137" t="str">
        <f t="shared" ref="N16:N45" si="14">IF(ES16="","",IF(AND(ES16&lt;0,ES16&gt;-12),TRUNC(ES16/12)-0.0000001,TRUNC(ES16/12)))</f>
        <v/>
      </c>
      <c r="O16" s="1138" t="str">
        <f t="shared" ref="O16:O45" si="15">IF(ES16="","",IF(AND(ES16-(N16*12)=0,ES16&lt;0),-0.000001,ES16-(N16*12)))</f>
        <v/>
      </c>
      <c r="P16" s="1139" t="str">
        <f t="shared" ref="P16:P45" si="16">IF(ES16="","",IF(OR(CW16="Q",CW16="C"),3,CZ16))</f>
        <v/>
      </c>
      <c r="Q16" s="1134" t="str">
        <f t="shared" ref="Q16:Q45" si="17">IF(ET16="","",IF(AND(ET16&lt;0,ET16&gt;-12),TRUNC(ET16/12)-0.0000001,TRUNC(ET16/12)))</f>
        <v/>
      </c>
      <c r="R16" s="1138" t="str">
        <f t="shared" ref="R16:R45" si="18">IF(ET16="","",IF(AND(ET16-(Q16*12)=0,ET16&lt;0),-0.000001,ET16-(Q16*12)))</f>
        <v/>
      </c>
      <c r="S16" s="1140" t="str">
        <f t="shared" ref="S16:S45" si="19">IF(ET16="","",IF(OR(DG16="Q",DG16="C"),3,DJ16))</f>
        <v/>
      </c>
      <c r="T16" s="1143" t="str">
        <f t="shared" ref="T16:T45" si="20">IF(CH16="ERR","",IF(EK16="","",IF(EK16="ERR",TRUNC(EJ16/12),TRUNC(EK16/12))))</f>
        <v/>
      </c>
      <c r="U16" s="1138" t="str">
        <f t="shared" ref="U16:U45" si="21">IF(CH16="ERR","",IF(EK16="","",IF(EK16="ERR",EJ16-(T16*12),EK16-(T16*12))))</f>
        <v/>
      </c>
      <c r="V16" s="1134" t="str">
        <f t="shared" ref="V16:V45" si="22">IF(CI16="ERR","",IF(ER16="","",IF(ER16="ERR",TRUNC(EQ16/12),TRUNC(ER16/12))))</f>
        <v/>
      </c>
      <c r="W16" s="1138" t="str">
        <f t="shared" ref="W16:W45" si="23">IF(CI16="ERR","",IF(ER16="","",IF(ER16="ERR",EQ16-(V16*12),ER16-(V16*12))))</f>
        <v/>
      </c>
      <c r="X16" s="1142">
        <f t="shared" ref="X16:X44" si="24">IF(EV16="",0,EV16)</f>
        <v>0</v>
      </c>
      <c r="Y16" s="1647" t="str">
        <f t="shared" ref="Y16:Y44" si="25">FG16</f>
        <v/>
      </c>
      <c r="Z16" s="1648" t="str">
        <f t="shared" ref="Z16:Z44" si="26">FL16</f>
        <v/>
      </c>
      <c r="AA16" s="1649" t="str">
        <f t="shared" ref="AA16:AA45" si="27">CONCATENATE(IF(CG16="","",CONCATENATE("[",SUBSTITUTE(CG16," ",""),"]")),IF(CF16="","",CONCATENATE("(",SUBSTITUTE(CF16," ",""),") ")))</f>
        <v/>
      </c>
      <c r="AB16" s="1288"/>
      <c r="AC16" s="898" t="b">
        <v>0</v>
      </c>
      <c r="AD16" s="374">
        <f t="shared" ref="AD16:AD45" si="28">IF($C16="",0,IF(SUM(AE16:AG16)&gt;0,0,IF(ISERROR(SEARCH("K",$C16,1))=TRUE,0,$B16)))</f>
        <v>0</v>
      </c>
      <c r="AE16" s="375">
        <f t="shared" ref="AE16:AE45" si="29">IF(ISERROR(SEARCH("LH",$C16,1))=TRUE,0,$B16)</f>
        <v>0</v>
      </c>
      <c r="AF16" s="375">
        <f t="shared" ref="AF16:AF45" si="30">IF(ISERROR(SEARCH("JS",$C16))=TRUE,IF(ISERROR(SEARCH("2.5K",$C16))=TRUE,0,$B16),$B16)</f>
        <v>0</v>
      </c>
      <c r="AG16" s="375">
        <f t="shared" ref="AG16:AG45" si="31">IF(ISERROR(SEARCH("HDR",$C16,1))=TRUE,0,$B16)</f>
        <v>0</v>
      </c>
      <c r="AH16" s="376">
        <f t="shared" ref="AH16:AH45" si="32">IF(ISERROR(SEARCH("CJ",$C16,1))=TRUE,0,$B16)</f>
        <v>0</v>
      </c>
      <c r="AI16" s="377" t="b">
        <v>0</v>
      </c>
      <c r="AJ16" s="143">
        <f t="shared" ref="AJ16:AJ45" si="33">IF(OR(ISERROR(VALUE(LEFT(C16,SEARCH(AK16,C16)-1))),AK16=""),0,VALUE(LEFT(C16,SEARCH(AK16,C16)-1)))</f>
        <v>0</v>
      </c>
      <c r="AK16" s="771" t="str">
        <f t="shared" ref="AK16:AK45" si="34">IF(AV16="",AW16,AV16)</f>
        <v/>
      </c>
      <c r="AL16" s="877" t="str">
        <f t="shared" ref="AL16:AL45" si="35">IF(AK16="","",IF(ISERROR(SEARCH("/",C16)),IF(VALUE(MID(C16,SEARCH(AK16,C16)+LEN(AK16),LEN(C16)))&gt;25,"",VALUE(MID(C16,SEARCH(AK16,C16)+LEN(AK16),LEN(C16)))),""))</f>
        <v/>
      </c>
      <c r="AM16" s="771" t="str">
        <f t="shared" ref="AM16:AM45" si="36">IF(AK16="","",IF(ISERROR(SEARCH("/",C16)),IF(VALUE(MID(C16,SEARCH(AK16,C16)+LEN(AK16),LEN(C16)))&lt;26,"",VALUE(MID(C16,SEARCH(AK16,C16)+LEN(AK16),LEN(C16)))),VALUE(MID(C16,SEARCH(AK16,C16)+LEN(AK16),SEARCH("/",C16)-SEARCH(AK16,C16)-LEN(AK16)))))</f>
        <v/>
      </c>
      <c r="AN16" s="771" t="str">
        <f t="shared" ref="AN16:AN45" si="37">IF(AK16="","",IF(AK16="CJ",MID(MID(C16,SEARCH("/",C16)+1,LEN(C16)),1,SEARCH("/",MID(C16,SEARCH("/",C16)+1,LEN(C16)))-1),IF(ISERROR(SEARCH("/",C16)),"",VALUE(MID(C16,SEARCH("/",C16)+1,LEN(C16))))))</f>
        <v/>
      </c>
      <c r="AO16" s="771" t="str">
        <f t="shared" ref="AO16:AO45" si="38">IF(AK16="CJ",VALUE(MID(MID(C16,SEARCH("/",C16)+1,LEN(C16)),SEARCH("/",MID(C16,SEARCH("/",C16)+1,LEN(C16)))+1,LEN(MID(C16,SEARCH("/",C16)+1,LEN(C16))))),"")</f>
        <v/>
      </c>
      <c r="AP16" s="771" t="b">
        <f>IF(ISERROR(AJ16),FALSE,IF(OR(AJ16=0,ISERROR(AL16),ISERROR(AM16),ISERROR(AN16),ISERROR(AO16)),FALSE,IF(AL16&lt;&gt;"",IF(ISERROR(VLOOKUP(SUBSTITUTE(SUBSTITUTE(C16,"R",""),"A",""),#REF!,1,FALSE)),FALSE,TRUE),TRUE)))</f>
        <v>0</v>
      </c>
      <c r="AQ16" s="945" t="e">
        <f t="shared" ref="AQ16:AQ45" si="39">VLOOKUP(AK16,$DF$2:$DN$9,4,FALSE)+IF(LEFT(H16,1)="R",IF(ISNUMBER(F16),F16*12,0)+IF(ISNUMBER(G16),G16,0),0)</f>
        <v>#N/A</v>
      </c>
      <c r="AR16" s="877" t="b">
        <f t="shared" ref="AR16:AR45" si="40">IF(IF(ISNUMBER(T16),T16*12,0)+IF(ISNUMBER(U16),U16,0)&gt;0,IF(AND(IF(ISNUMBER(T16),T16*12,0)+IF(ISNUMBER(U16),U16,0)&gt;=VLOOKUP(AU16,$DF$2:$DN$9,8,FALSE)/2+$DQ$2,IF(ISNUMBER(T16),T16*12,0)+IF(ISNUMBER(U16),U16,0)&lt;=(AQ16-(VLOOKUP(AU16,$DF$2:$DN$9,8,FALSE)/2+$DQ$2))+IF(H16="X",2,0)),TRUE,FALSE),FALSE)</f>
        <v>0</v>
      </c>
      <c r="AS16" s="945" t="e">
        <f t="shared" ref="AS16:AS45" si="41">VLOOKUP(AK16,$DF$2:$DN$9,4,FALSE)+IF(LEFT(K16,1)="R",(IF(ISNUMBER(I16),I16*12,0)+IF(ISNUMBER(J16),J16,0)),0)</f>
        <v>#N/A</v>
      </c>
      <c r="AT16" s="877" t="b">
        <f t="shared" ref="AT16:AT45" si="42">IF(IF(ISNUMBER(V16),V16*12,0)+IF(ISNUMBER(W16),W16,0)&gt;0,IF(AND((IF(ISNUMBER(V16),V16*12,0)+IF(ISNUMBER(W16),W16,0))&gt;=VLOOKUP(AU16,$DF$2:$DN$9,8,FALSE)/2+$DQ$2,(IF(ISNUMBER(V16),V16*12,0)+IF(ISNUMBER(W16),W16,0))&lt;=(AS16-(VLOOKUP(AU16,$DF$2:$DN$9,8,FALSE)/2+$DQ$2))+IF(K16="X",2,0)),TRUE,FALSE),FALSE)</f>
        <v>0</v>
      </c>
      <c r="AU16" s="878" t="str">
        <f t="shared" ref="AU16:AU45" si="43">IF(ISERROR(AJ16),IF(AK16&lt;&gt;"HDR","",AK16),IF(AND(AJ16=2.5,AK16="K"),"JS",IF(OR(AK16="KCSR",AK16="KCSA",AK16="KCS"),"KCS",IF(OR(AK16="KR",AK16="KA",AK16="K"),"K",IF(AK16="LH",IF(ISERROR(AL16),IF(NOT(ISERROR(VALUE(LEFT(MID(C16,SEARCH(AK16,C16)+LEN(AK16),LEN(C16)),2)))),IF(VALUE(LEFT(MID(C16,SEARCH(AK16,C16)+LEN(AK16),LEN(C16)),2))&lt;7,"LH&lt;7",AK16),AK16),IF(VALUE(LEFT(MID(C16,SEARCH(AK16,C16)+LEN(AK16),LEN(C16)),2))&lt;7,"LH&lt;7",AK16)),AK16)))))</f>
        <v/>
      </c>
      <c r="AV16" s="771" t="str">
        <f t="shared" ref="AV16:AV45" si="44">IF(NOT(ISERROR(SEARCH("KCSR",C16))),"KCSR",IF(NOT(ISERROR(SEARCH("KCSA",C16))),"KCSA",IF(NOT(ISERROR(SEARCH("KCS",C16))),"KCS",IF(NOT(ISERROR(SEARCH("KR",C16))),"KR",IF(NOT(ISERROR(SEARCH("KA",C16))),"KA",IF(NOT(ISERROR(SEARCH("K",C16))),"K",IF(NOT(ISERROR(SEARCH("CJ",C16))),"CJ","")))))))</f>
        <v/>
      </c>
      <c r="AW16" s="771" t="str">
        <f t="shared" ref="AW16:AW45" si="45">IF(NOT(ISERROR(SEARCH("HDR",C16))),"HDR",IF(NOT(ISERROR(SEARCH("JS",C16))),"JS",IF(NOT(ISERROR(SEARCH("SLH",C16))),"SLH",IF(NOT(ISERROR(SEARCH("DLH",C16))),"DLH",IF(NOT(ISERROR(SEARCH("LH",C16))),"LH","")))))</f>
        <v/>
      </c>
      <c r="AX16" s="771" t="str">
        <f>IF(OR(ISBLANK(A16),A16=""),"",A16)</f>
        <v/>
      </c>
      <c r="AY16" s="946" t="e">
        <f t="shared" ref="AY16:AY45" si="46">IF($AE$1,IF(AX16=AX15,AY15,IF(AND(AX16&lt;&gt;"",OR(B16=0,B16="")),TRUE,FALSE)),FALSE)</f>
        <v>#REF!</v>
      </c>
      <c r="AZ16" s="795" t="str">
        <f t="shared" ref="AZ16:AZ45" si="47">IF(AND(NOT(ISERROR(AJ16)),AJ16&gt;0),((IF(D16="",0,D16)*12+IF(E16="",0,E16))-(IF(F16="",0,F16)*12+IF(G16="",0,G16))-(IF(I16="",0,I16)*12+IF(J16="",0,J16)))&gt;AJ16*24,"")</f>
        <v/>
      </c>
      <c r="BA16" s="496"/>
      <c r="BB16" s="616"/>
      <c r="BC16" s="1567"/>
      <c r="BD16" s="682"/>
      <c r="BE16" s="683"/>
      <c r="BF16" s="684"/>
      <c r="BG16" s="660"/>
      <c r="BH16" s="901"/>
      <c r="BI16" s="902"/>
      <c r="BJ16" s="1508"/>
      <c r="BK16" s="661"/>
      <c r="BL16" s="662"/>
      <c r="BM16" s="663"/>
      <c r="BN16" s="664"/>
      <c r="BO16" s="607" t="str">
        <f>IF(ISERROR(CU16),"",IF(CU16="","",IF(VLOOKUP(BG16,#REF!,10,FALSE)="","","X")))</f>
        <v/>
      </c>
      <c r="BP16" s="681"/>
      <c r="BQ16" s="1429" t="str">
        <f t="shared" ref="BQ16:BQ45" si="48">IF(ISERROR(CU16),"",IF(CW16="","",IF(CW16="C",CV16,IF(CW16="Q",2,""))))</f>
        <v/>
      </c>
      <c r="BR16" s="838"/>
      <c r="BS16" s="660"/>
      <c r="BT16" s="661"/>
      <c r="BU16" s="662"/>
      <c r="BV16" s="1508"/>
      <c r="BW16" s="661"/>
      <c r="BX16" s="662"/>
      <c r="BY16" s="663"/>
      <c r="BZ16" s="664"/>
      <c r="CA16" s="615" t="str">
        <f>IF(ISERROR(DE16),"",IF(DE16="","",IF(VLOOKUP(BS16,#REF!,10,FALSE)="","","X")))</f>
        <v/>
      </c>
      <c r="CB16" s="681"/>
      <c r="CC16" s="1429" t="str">
        <f t="shared" ref="CC16:CC45" si="49">IF(ISERROR(DE16),"",IF(DG16="","",IF(DG16="C",DF16,IF(DG16="Q",2,""))))</f>
        <v/>
      </c>
      <c r="CD16" s="838"/>
      <c r="CE16" s="678"/>
      <c r="CF16" s="679"/>
      <c r="CG16" s="680"/>
      <c r="CH16" s="526" t="str">
        <f t="shared" ref="CH16:CH45" si="50">IF(EJ16=EK16,IF(EK16="ERR","ERR",""),CONCATENATE(IF(BM16&lt;0,"NS ","FS "),IF(EK16="ERR","Slot Only",CONCATENATE("Slot @ ",EJ16))))</f>
        <v/>
      </c>
      <c r="CI16" s="527" t="str">
        <f t="shared" ref="CI16:CI45" si="51">IF(EQ16=ER16,IF(ER16="ERR","ERR",""),CONCATENATE(IF(BY16&lt;0,"FS ","NS "),IF(ER16="ERR","Slot Only",CONCATENATE("Slot @ ",EQ16))))</f>
        <v/>
      </c>
      <c r="CJ16" s="528" t="str">
        <f t="shared" ref="CJ16:CJ45" si="52">IF(EV16="","",IF(AND(DB16&lt;&gt;EV16,OR(NOT(ISBLANK(BJ16)),CU16="C")),CONCATENATE("LE slots @ ",DB16," Ga."),IF(AND(DL16&lt;&gt;EV16,OR(NOT(ISBLANK(BV16)),DE16="C")),CONCATENATE("RE slots @ ",DL16," Ga."),"")))</f>
        <v/>
      </c>
      <c r="CK16" s="529" t="str">
        <f t="shared" ref="CK16:CK45" si="53">IF(AND(CP16&lt;&gt;"",BM16&lt;&gt;"",CQ16&lt;&gt;"",BY16&lt;&gt;""),"BE",IF(AND(CP16&lt;&gt;"",BM16&lt;&gt;""),"LE",IF(AND(CQ16&lt;&gt;"",BY16&lt;&gt;""),"RE","")))</f>
        <v/>
      </c>
      <c r="CL16" s="530" t="str">
        <f t="shared" ref="CL16:CL45" si="54">IF(BQ16="","",IF(CEILING(DV16,0.125)&lt;=DW16+VLOOKUP(AU16,$DF$2:$DI$9,4,FALSE),"",CEILING(DV16,0.125)))</f>
        <v/>
      </c>
      <c r="CM16" s="531" t="str">
        <f t="shared" ref="CM16:CM45" si="55">IF(CC16="","",IF(CEILING(EB16,0.125)&lt;=EC16+VLOOKUP(AU16,$DF$2:$DI$9,4,FALSE),"",CEILING(EB16,0.125)))</f>
        <v/>
      </c>
      <c r="CN16" s="532" t="str">
        <f t="shared" ref="CN16:CN45" si="56">IF(AND(CE16&lt;&gt;0,BM16&lt;&gt;0),CE16*COS(RADIANS(90-BM16))/(1/COS(RADIANS(90-BM16)))*-1,"")</f>
        <v/>
      </c>
      <c r="CO16" s="533" t="str">
        <f t="shared" ref="CO16:CO45" si="57">IF(AND(CE16&lt;&gt;0,BY16&lt;&gt;0),CE16*COS(RADIANS(90-BY16))/(1/COS(RADIANS(90-BY16))),"")</f>
        <v/>
      </c>
      <c r="CP16" s="556" t="str">
        <f t="shared" ref="CP16:CP45" si="58">IF(BG16="","",IF(AU16="JS","",IF(VLOOKUP(AU16,$DF$2:$DN$9,5,FALSE)&gt;FO16,IF(FO16&gt;=0.0625,CEILING(FO16-0.0625,0.125),FO16),"")))</f>
        <v/>
      </c>
      <c r="CQ16" s="557" t="str">
        <f t="shared" ref="CQ16:CQ45" si="59">IF(BS16="","",IF(AU16="JS","",IF(VLOOKUP(AU16,$DF$2:$DN$9,5,FALSE)&gt;FP16,IF(FP16&gt;=0.0625,CEILING(FP16-0.0625,0.125),FP16),"")))</f>
        <v/>
      </c>
      <c r="CR16" s="697" t="str">
        <f t="shared" ref="CR16:CR45" si="60">IF(AU16="","",IF(ABS(FF16)&lt;ABS($CX$2),VLOOKUP(AU16,$DF$2:$DN$9,3,FALSE),CEILING(VLOOKUP(AU16,$DF$2:$DN$9,3,FALSE)/COS(FE16)+0.375+IF(CU16="M",IF(FE16&gt;0,(DV16-DW16)/12,0),IF(FE16&gt;0,0,(DV16-CV16)/12))*ABS(FF16),0.125)))</f>
        <v/>
      </c>
      <c r="CS16" s="698" t="str">
        <f t="shared" ref="CS16:CS45" si="61">IF(AU16="","",IF(ABS(FK16)&lt;ABS($CX$2),VLOOKUP(AU16,$DF$2:$DN$9,3,FALSE),CEILING(VLOOKUP(AU16,$DF$2:$DN$9,3,FALSE)/COS(FJ16)+0.375+IF(DE16="M",IF(FJ16&lt;0,(EB16-EC16)/12,0),IF(FJ16&lt;0,0,(EB16-DF16)/12))*ABS(FK16),0.125)))</f>
        <v/>
      </c>
      <c r="CU16" s="796" t="str">
        <f>IF(BG16="","",VLOOKUP(BG16,#REF!,12,FALSE))</f>
        <v/>
      </c>
      <c r="CV16" s="797" t="str">
        <f>IF(BG16="","",IF(ISBLANK(BP16),VLOOKUP(BG16,#REF!,13,FALSE),BP16))</f>
        <v/>
      </c>
      <c r="CW16" s="797" t="str">
        <f>IF(BG16="","",IF(VLOOKUP(BG16,#REF!,5,FALSE)="","R",UPPER(VLOOKUP(BG16,#REF!,5,FALSE))))</f>
        <v/>
      </c>
      <c r="CX16" s="797" t="str">
        <f>IF(BG16="","",IF(ISBLANK(BR16),VLOOKUP(BG16,#REF!,6,FALSE),BR16))</f>
        <v/>
      </c>
      <c r="CY16" s="1205" t="str">
        <f>IF(BG16="","",IF(VLOOKUP(BG16,#REF!,10,FALSE)="","",(IF(BO16="X",VLOOKUP(BG16,#REF!,10,FALSE),VALUE(BO16))*-1)))</f>
        <v/>
      </c>
      <c r="CZ16" s="1047" t="str">
        <f>IF(BG16="","",IF(VLOOKUP(BG16,#REF!,11,FALSE)="","2",(VLOOKUP(BG16,#REF!,11,FALSE))))</f>
        <v/>
      </c>
      <c r="DA16" s="797" t="str">
        <f>IF(BG16="","",IF(VLOOKUP(BG16,#REF!,7,FALSE)="","",(VLOOKUP(BG16,#REF!,7,FALSE)*-1)))</f>
        <v/>
      </c>
      <c r="DB16" s="797" t="str">
        <f>IF(BG16="","",IF(VLOOKUP(BG16,#REF!,8,FALSE)="",VLOOKUP(AU16,$DF$2:$DN$9,6,FALSE),(VLOOKUP(BG16,#REF!,8,FALSE))))</f>
        <v/>
      </c>
      <c r="DC16" s="797" t="str">
        <f>IF(BG16="","",VLOOKUP(BG16,#REF!,9,FALSE))</f>
        <v/>
      </c>
      <c r="DD16" s="798">
        <f t="shared" ref="DD16:DD45" si="62">BN16*-1</f>
        <v>0</v>
      </c>
      <c r="DE16" s="796" t="str">
        <f>IF(BS16="","",VLOOKUP(BS16,#REF!,12,FALSE))</f>
        <v/>
      </c>
      <c r="DF16" s="797" t="str">
        <f>IF(BS16="","",IF(ISBLANK(CB16),VLOOKUP(BS16,#REF!,13,FALSE),CB16))</f>
        <v/>
      </c>
      <c r="DG16" s="797" t="str">
        <f>IF(BS16="","",IF(VLOOKUP(BS16,#REF!,5,FALSE)="","R",UPPER(VLOOKUP(BS16,#REF!,5,FALSE))))</f>
        <v/>
      </c>
      <c r="DH16" s="797" t="str">
        <f>IF(BS16="","",IF(ISBLANK(CD16),VLOOKUP(BS16,#REF!,6,FALSE),CD16))</f>
        <v/>
      </c>
      <c r="DI16" s="1205" t="str">
        <f>IF(BS16="","",IF(VLOOKUP(BS16,#REF!,10,FALSE)="","",(IF(CA16="X",VLOOKUP(BS16,#REF!,10,FALSE),VALUE(CA16))*-1)))</f>
        <v/>
      </c>
      <c r="DJ16" s="1047" t="str">
        <f>IF(BS16="","",IF(VLOOKUP(BS16,#REF!,11,FALSE)="","2",(VLOOKUP(BS16,#REF!,11,FALSE))))</f>
        <v/>
      </c>
      <c r="DK16" s="797" t="str">
        <f>IF(BS16="","",IF(VLOOKUP(BS16,#REF!,7,FALSE)="","",(VLOOKUP(BS16,#REF!,7,FALSE)*-1)))</f>
        <v/>
      </c>
      <c r="DL16" s="797" t="str">
        <f>IF(BS16="","",IF(VLOOKUP(BS16,#REF!,8,FALSE)="",VLOOKUP(AU16,$DF$2:$DN$9,6,FALSE),(VLOOKUP(BS16,#REF!,8,FALSE))))</f>
        <v/>
      </c>
      <c r="DM16" s="797" t="str">
        <f>IF(BS16="","",VLOOKUP(BS16,#REF!,9,FALSE))</f>
        <v/>
      </c>
      <c r="DN16" s="798">
        <f t="shared" ref="DN16:DN45" si="63">BZ16*-1</f>
        <v>0</v>
      </c>
      <c r="DO16" s="799">
        <f t="shared" ref="DO16:DO45" si="64">IF(CE16="",0,ATAN(CE16/12))</f>
        <v>0</v>
      </c>
      <c r="DP16" s="800" t="str">
        <f t="shared" ref="DP16:DP45" si="65">IF(OR(CV16="",BE16="",DF16=""),"",CEILING(IF(AND(BE16="",BF16=""),"",((BE16*12+BF16)+CV16+DF16)/COS(FN16))-0.0625,0.125))</f>
        <v/>
      </c>
      <c r="DQ16" s="800" t="str">
        <f t="shared" ref="DQ16:DQ45" si="66">IF(AU16="","",IF(ABS(FF16)&lt;ABS($CX$2),CX16,IF(FF16=0,CX16,CEILING((CX16+((DW16-CV16)/12)*FF16)-0.0625,0.125))))</f>
        <v/>
      </c>
      <c r="DR16" s="800" t="str">
        <f t="shared" ref="DR16:DR45" si="67">IF(AU16="","",IF(ABS(FK16)&lt;ABS($CX$2),DH16,IF(FK16=0,DH16,CEILING((DH16+((EC16-DF16)/12)*FK16)-0.0625,0.125))))</f>
        <v/>
      </c>
      <c r="DS16" s="801">
        <f t="shared" ref="DS16:DS45" si="68">IF(BM16="",0,RADIANS(ABS(BM16)))</f>
        <v>0</v>
      </c>
      <c r="DT16" s="762" t="e">
        <f t="shared" ref="DT16:DT45" si="69">MIN(IF(BH16&gt;0,BH16/2,MAX(BI16/2,DC16)),IF(BI16&gt;0,BI16/2,MAX(BH16/2,DC16)),IF(DC16&gt;0,DC16,MAX(BI16/2,BH16/2)))/IF(OR(CU16="C",AND(CU16="M",$DD$1="N")),1,COS(DS16))</f>
        <v>#REF!</v>
      </c>
      <c r="DU16" s="762" t="str">
        <f t="shared" ref="DU16:DU45" si="70">IF(CV16="","",IF(DC16&gt;=0,MAX(BH16/2,BI16/2,DC16),DC16)/IF(OR(CU16="C",AND(CU16="M",$DD$1="N")),1,COS(DS16)))</f>
        <v/>
      </c>
      <c r="DV16" s="800" t="str">
        <f t="shared" ref="DV16:DV45" si="71">IF(CV16="","",(CV16+DU16+(VLOOKUP(IF(AU16="HDR","K",AU16),$DF$2:$DN$9,2,FALSE))*TAN(DS16))/COS(FD16)-FH16)</f>
        <v/>
      </c>
      <c r="DW16" s="811" t="str">
        <f t="shared" ref="DW16:DW45" si="72">IF(CV16="","",MAX(0,IF(NOT(BQ16=""),CV16-BQ16,DV16-VLOOKUP(IF(AU16="HDR","K",AU16),$DF$2:$DN$9,4,FALSE))))</f>
        <v/>
      </c>
      <c r="DX16" s="1050">
        <f t="shared" ref="DX16:DX45" si="73">IF(CV16="",0,IF(DW16/COS(FN16-FD16)&lt;0.0625,0,CEILING(DW16/COS(FN16-FD16)-0.03125,0.125)))</f>
        <v>0</v>
      </c>
      <c r="DY16" s="800">
        <f t="shared" ref="DY16:DY45" si="74">RADIANS(ABS(BY16))</f>
        <v>0</v>
      </c>
      <c r="DZ16" s="762" t="e">
        <f t="shared" ref="DZ16:DZ45" si="75">MIN(IF(BT16&gt;0,BT16/2,MAX(BU16/2,DM16)),IF(BU16&gt;0,BU16/2,MAX(BT16/2,DM16)),IF(DM16&gt;0,DM16,MAX(BU16/2,BT16/2)))/IF(OR(DE16="C",AND(DE16="M",$DD$1="N")),1,COS(DY16))</f>
        <v>#REF!</v>
      </c>
      <c r="EA16" s="762" t="str">
        <f t="shared" ref="EA16:EA45" si="76">IF(DF16="","",IF(DM16&gt;=0,MAX(BT16/2,BU16/2,DM16),DM16)/IF(OR(DE16="C",AND(DE16="M",$DD$1="N")),1,COS(DY16)))</f>
        <v/>
      </c>
      <c r="EB16" s="800" t="str">
        <f t="shared" ref="EB16:EB45" si="77">IF(DF16="","",(DF16+EA16+(VLOOKUP(IF(AU16="HDR","K",AU16),$DF$2:$DN$9,2,FALSE))*TAN(DY16))/COS(FI16)-FM16)</f>
        <v/>
      </c>
      <c r="EC16" s="811" t="str">
        <f t="shared" ref="EC16:EC45" si="78">IF(DF16="","",MAX(0,IF(NOT(CC16=""),DF16-CC16,EB16-VLOOKUP(IF(AU16="HDR","K",AU16),$DF$2:$DN$9,4,FALSE))))</f>
        <v/>
      </c>
      <c r="ED16" s="1050">
        <f t="shared" ref="ED16:ED45" si="79">IF(DF16="",0,IF(EC16/COS(FN16+FI16)&lt;0.0625,0,CEILING(EC16/COS(FN16+FI16)-0.03125,0.125)))</f>
        <v>0</v>
      </c>
      <c r="EE16" s="1253" t="str">
        <f t="shared" ref="EE16:EE45" si="80">IF(AND(EZ16="",DA16=""),"",IF(EZ16="ERR","ERR",IF(CU16="C",DA16,IF(BJ16="","",IF(DA16="",(EZ16/2)*-1,DA16)))))</f>
        <v/>
      </c>
      <c r="EF16" s="1253" t="str">
        <f t="shared" ref="EF16:EF45" si="81">IF(EE16="ERR","ERR",IF(EE16="","",IF(DB16*TAN(DS16)&lt;=(VLOOKUP(AU16,$DF$2:$DN$9,8,FALSE)-(VLOOKUP(AU16,$DF$2:$DN$9,7,FALSE)-0.0625)),CV16-(EE16-FH16)/IF(OR(CU16="C",AND(CU16="M",$DD$1="N")),1,COS(DS16))-IF(MID(CW16,1,1)="R",0,DW16),(ABS(EE16-FH16)/IF(OR(CU16="C",AND(CU16="M",$DD$1="N")),1,COS(DS16))+CV16)-((DB16/2)*TAN(DS16))-IF(MID(CW16,1,1)="R",0,DW16))))</f>
        <v/>
      </c>
      <c r="EG16" s="1253" t="str">
        <f t="shared" ref="EG16:EG45" si="82">IF(EE16="ERR","ERR",IF(EE16="","",IF(DB16*TAN(DS16)&lt;=(VLOOKUP(AU16,$DF$2:$DN$9,8,FALSE)-(VLOOKUP(AU16,$DF$2:$DN$9,7,FALSE)-0.0625)),CV16-(EE16-FH16)/IF(OR(CU16="C",AND(CU16="M",$DD$1="N")),1,COS(DS16))-IF(MID(CW16,1,1)="R",0,DW16),(ABS(EE16-FH16)/IF(OR(CU16="C",AND(CU16="M",$DD$1="N")),1,COS(DS16))+CV16)+((DB16/2)*TAN(DS16))-IF(MID(CW16,1,1)="R",0,DW16))))</f>
        <v/>
      </c>
      <c r="EH16" s="795" t="e">
        <f t="shared" ref="EH16:EH45" si="83">IF(BQ16="",IF(EF16&lt;$DQ$2+(VLOOKUP(AU16,$DF$2:$DN$9,7,FALSE)-0.0625)/2,"ERR",IF(EF16&lt;$DQ$2+VLOOKUP(AU16,$DF$2:$DN$9,8,FALSE)/2,VLOOKUP(AU16,$DF$2:$DN$9,8,FALSE)/2+$DQ$2,IF(EF16&lt;VLOOKUP(AU16,$DF$2:$DN$9,4,FALSE)+IF(OR(MID(CW16,1,1)="R",CW16="Q"),DW16+IF(BQ16="",0,BQ16),0)-VLOOKUP(AU16,$DF$2:$DN$9,8,FALSE)/2-$DQ$2,EF16,IF(EF16&lt;=VLOOKUP(AU16,$DF$2:$DN$9,4,FALSE)+IF(OR(MID(CW16,1,1)="R",CW16="Q"),DW16+IF(BQ16="",0,BQ16),0)-(VLOOKUP(AU16,$DF$2:$DN$9,7,FALSE)-0.0625)/2-$DQ$2,VLOOKUP(AU16,$DF$2:$DN$9,4,FALSE)+IF(OR(MID(CW16,1,1)="R",CW16="Q"),DW16+IF(BQ16="",0,BQ16),0)-(VLOOKUP(AU16,$DF$2:$DN$9,8,FALSE)/2+$DQ$2),"ERR")))),EF16)</f>
        <v>#N/A</v>
      </c>
      <c r="EI16" s="795" t="e">
        <f t="shared" ref="EI16:EI45" si="84">IF(BQ16="",IF(EG16&lt;$DQ$2+(VLOOKUP(AU16,$DF$2:$DN$9,7,FALSE)-0.0625)/2,"ERR",IF(EG16&lt;$DQ$2+VLOOKUP(AU16,$DF$2:$DN$9,8,FALSE)/2,VLOOKUP(AU16,$DF$2:$DN$9,8,FALSE)/2+$DQ$2,IF(EG16&lt;VLOOKUP(AU16,$DF$2:$DN$9,4,FALSE)+IF(OR(MID(CW16,1,1)="R",CW16="Q"),DW16+IF(BQ16="",0,BQ16),0)-VLOOKUP(AU16,$DF$2:$DN$9,8,FALSE)/2-$DQ$2,EG16,IF(EG16&lt;=VLOOKUP(AU16,$DF$2:$DN$9,4,FALSE)+IF(OR(MID(CW16,1,1)="R",CW16="Q"),DW16+IF(BQ16="",0,BQ16),0)-(VLOOKUP(AU16,$DF$2:$DN$9,7,FALSE)-0.0625)/2-$DQ$2,VLOOKUP(AU16,$DF$2:$DN$9,4,FALSE)+IF(OR(MID(CW16,1,1)="R",CW16="Q"),DW16+IF(BQ16="",0,BQ16),0)-(VLOOKUP(AU16,$DF$2:$DN$9,8,FALSE)/2+$DQ$2),"ERR")))),EG16)</f>
        <v>#N/A</v>
      </c>
      <c r="EJ16" s="763" t="str">
        <f t="shared" ref="EJ16:EK45" si="85">IF(ISERROR(EF16),"ERR",IF(EF16="","",IF(EH16="ERR","ERR",CEILING(EH16-0.0625,0.125))))</f>
        <v/>
      </c>
      <c r="EK16" s="763" t="str">
        <f t="shared" si="85"/>
        <v/>
      </c>
      <c r="EL16" s="1210" t="str">
        <f t="shared" ref="EL16:EL45" si="86">IF(AND(FC16="",DK16=""),"",IF(FC16="ERR","ERR",IF(DE16="C",DK16,IF(BV16="","",IF(DK16="",(FC16/2)*-1,DK16)))))</f>
        <v/>
      </c>
      <c r="EM16" s="763" t="str">
        <f t="shared" ref="EM16:EM45" si="87">IF(EL16="ERR","ERR",IF(EL16="","",IF(DL16*TAN(DY16)&lt;=(VLOOKUP(AU16,$DF$2:$DN$9,8,FALSE)-(VLOOKUP(AU16,$DF$2:$DN$9,7,FALSE)-0.0625)),DF16-(EL16-FM16)/IF(OR(DE16="C",AND(DE16="M",$DD$1="N")),1,COS(DY16))-IF(MID(DG16,1,1)="R",0,EC16),(ABS(EL16-FM16)/IF(OR(DE16="C",AND(DE16="M",$DD$1="N")),1,COS(DY16))+DF16)-((DL16/2)*TAN(DY16))-IF(MID(DG16,1,1)="R",0,EC16))))</f>
        <v/>
      </c>
      <c r="EN16" s="763" t="str">
        <f t="shared" ref="EN16:EN45" si="88">IF(EL16="ERR","ERR",IF(EL16="","",IF(DL16*TAN(DY16)&lt;=(VLOOKUP(AU16,$DF$2:$DN$9,8,FALSE)-(VLOOKUP(AU16,$DF$2:$DN$9,7,FALSE)-0.0625)),DF16-(EL16-FM16)/IF(OR(DE16="C",AND(DE16="M",$DD$1="N")),1,COS(DY16))-IF(MID(DG16,1,1)="R",0,EC16),(ABS(EL16-FM16)/IF(OR(DE16="C",AND(DE16="M",$DD$1="N")),1,COS(DY16))+DF16)+((DL16/2)*TAN(DY16))-IF(MID(DG16,1,1)="R",0,EC16))))</f>
        <v/>
      </c>
      <c r="EO16" s="795" t="e">
        <f t="shared" ref="EO16:EO45" si="89">IF(CC16="",IF(EM16&lt;$DQ$2+(VLOOKUP(AU16,$DF$2:$DN$9,7,FALSE)-0.0625)/2,"ERR",IF(EM16&lt;$DQ$2+VLOOKUP(AU16,$DF$2:$DN$9,8,FALSE)/2,VLOOKUP(AU16,$DF$2:$DN$9,8,FALSE)/2+$DQ$2,IF(EM16&lt;VLOOKUP(AU16,$DF$2:$DN$9,4,FALSE)+IF(OR(MID(DG16,1,1)="R",DG16="Q"),EC16+IF(CC16="",0,CC16),0)-VLOOKUP(AU16,$DF$2:$DN$9,8,FALSE)/2-$DQ$2,EM16,IF(EM16&lt;=VLOOKUP(AU16,$DF$2:$DN$9,4,FALSE)+IF(OR(MID(DG16,1,1)="R",DG16="Q"),EC16+IF(CC16="",0,CC16),0)-(VLOOKUP(AU16,$DF$2:$DN$9,7,FALSE)-0.0625)/2-$DQ$2,VLOOKUP(AU16,$DF$2:$DN$9,4,FALSE)+IF(OR(MID(DG16,1,1)="R",DG16="Q"),EC16+IF(CC16="",0,CC16),0)-(VLOOKUP(AU16,$DF$2:$DN$9,8,FALSE)/2+$DQ$2),"ERR")))),EM16)</f>
        <v>#N/A</v>
      </c>
      <c r="EP16" s="795" t="e">
        <f t="shared" ref="EP16:EP45" si="90">IF(CC16="",IF(EN16&lt;$DQ$2+(VLOOKUP(AU16,$DF$2:$DN$9,7,FALSE)-0.0625)/2,"ERR",IF(EN16&lt;$DQ$2+VLOOKUP(AU16,$DF$2:$DN$9,8,FALSE)/2,VLOOKUP(AU16,$DF$2:$DN$9,8,FALSE)/2+$DQ$2,IF(EN16&lt;VLOOKUP(AU16,$DF$2:$DN$9,4,FALSE)+IF(OR(MID(DG16,1,1)="R",DG16="Q"),EC16+IF(CC16="",0,CC16),0)-VLOOKUP(AU16,$DF$2:$DN$9,8,FALSE)/2-$DQ$2,EN16,IF(EN16&lt;=VLOOKUP(AU16,$DF$2:$DN$9,4,FALSE)+IF(OR(MID(DG16,1,1)="R",DG16="Q"),EC16+IF(CC16="",0,CC16),0)-(VLOOKUP(AU16,$DF$2:$DN$9,7,FALSE)-0.0625)/2-$DQ$2,VLOOKUP(AU16,$DF$2:$DN$9,4,FALSE)+IF(OR(MID(DG16,1,1)="R",DG16="Q"),EC16+IF(CC16="",0,CC16),0)-(VLOOKUP(AU16,$DF$2:$DN$9,8,FALSE)/2+$DQ$2),"ERR")))),EN16)</f>
        <v>#N/A</v>
      </c>
      <c r="EQ16" s="1253" t="str">
        <f t="shared" ref="EQ16:ER45" si="91">IF(ISERROR(EM16),"ERR",IF(EM16="","",IF(EO16="ERR","ERR",CEILING(EO16-0.0625,0.125))))</f>
        <v/>
      </c>
      <c r="ER16" s="800" t="str">
        <f t="shared" si="91"/>
        <v/>
      </c>
      <c r="ES16" s="763" t="str">
        <f t="shared" ref="ES16:ES45" si="92">IF(OR(CY16="",AU16="JS",AU16="HDR",BO16=""),"",IF((CV16-CY16)/COS(DO16)-FS16&lt;=-0.0625,CEILING((CV16-CY16)/COS(DO16)-FS16+0.0625,-0.125),IF((CV16-CY16)/COS(DO16)-FS16&gt;=0.0625,CEILING((CV16-CY16)/COS(DO16)-FS16-0.0625,0.125),0)))</f>
        <v/>
      </c>
      <c r="ET16" s="763" t="str">
        <f t="shared" ref="ET16:ET45" si="93">IF(OR(DI16="",AU16="JS",AU16="HDR",CA16=""),"",IF((DF16-DI16)/COS(DO16)-FT16&lt;=-0.0625,CEILING((DF16-DI16)/COS(DO16)-FT16+0.0625,-0.125),IF((DF16-DI16)/COS(DO16)-FT16&gt;=0.0625,CEILING((DF16-DI16)/COS(DO16)-FT16-0.0625,0.125),0)))</f>
        <v/>
      </c>
      <c r="EU16" s="802" t="str">
        <f t="shared" ref="EU16:EU45" si="94">IF(AU16="","",VLOOKUP(AU16,$DF$2:$DN$9,6,FALSE))</f>
        <v/>
      </c>
      <c r="EV16" s="765" t="str">
        <f t="shared" ref="EV16:EV45" si="95">IF(AND(EK16="",ER16=""),"",IF(EK16="",DL16,IF(EQ16="",DB16,IF(DB16&lt;&gt;DL16,EU16,DB16))))</f>
        <v/>
      </c>
      <c r="EW16" s="802"/>
      <c r="EX16" s="802" t="str">
        <f>IF(AND(CU16="G", ISBLANK(BK16), ISBLANK(BL16)),VLOOKUP(MIN(BH16:BI16),#REF!,2),IF(OR(CU16="B",CU16="G"),MIN(BK16:BL16),""))</f>
        <v/>
      </c>
      <c r="EY16" s="802" t="str">
        <f>IF(AND(CU16="G", ISBLANK(BK16), ISBLANK(BL16)),VLOOKUP(MAX(BH16:BI16),#REF!,2),IF(OR(CU16="B",CU16="G"),MAX(BK16:BL16),""))</f>
        <v/>
      </c>
      <c r="EZ16" s="802" t="str">
        <f t="shared" ref="EZ16:EZ45" si="96">IF(BJ16="X",IF(OR(CU16="M",CU16="C"),"",IF((EY16-EX16)/2&lt;=(VLOOKUP(AU16,$DF$2:$DN$9,8,FALSE)-(VLOOKUP(AU16,$DF$2:$DN$9,7,FALSE)-0.0625)),(EX16+EY16)/2,"ERR")),"")</f>
        <v/>
      </c>
      <c r="FA16" s="802" t="str">
        <f>IF(AND(DE16="G", ISBLANK(BW16), ISBLANK(BX16)),VLOOKUP(MIN(BT16:BU16),#REF!,2),IF(OR(DE16="B", DE16="G"),MIN(BW16:BX16),""))</f>
        <v/>
      </c>
      <c r="FB16" s="802" t="str">
        <f>IF(AND(DE16="G", ISBLANK(BW16), ISBLANK(BX16)),VLOOKUP(MAX(BT16:BU16),#REF!,2),IF(OR(DE16="B", DE16="G"),MAX(BW16:BX16),""))</f>
        <v/>
      </c>
      <c r="FC16" s="802" t="str">
        <f t="shared" ref="FC16:FC45" si="97">IF(BV16="X",IF(OR(DE16="M",DE16="C"),"",IF((FB16-FA16)/2&lt;=(VLOOKUP(AU16,$DF$2:$DN$9,8,FALSE)-(VLOOKUP(AU16,$DF$2:$DN$9,7,FALSE)-0.0625)),(FA16+FB16)/2,"ERR")),"")</f>
        <v/>
      </c>
      <c r="FD16" s="801">
        <f>IF(DD16="",0,ATAN(DD16/12))</f>
        <v>0</v>
      </c>
      <c r="FE16" s="801">
        <f t="shared" ref="FE16:FE45" si="98">DO16-FD16</f>
        <v>0</v>
      </c>
      <c r="FF16" s="801">
        <f t="shared" ref="FF16:FF45" si="99">TAN(FE16)*12</f>
        <v>0</v>
      </c>
      <c r="FG16" s="801" t="str">
        <f t="shared" ref="FG16:FG45" si="100">IF(FF16=0,"",IF(ABS(FF16)&lt;$CX$2,IF(AND(ABS(MIN(DV16,FQ16)/12*FF16)&gt;$DD$2,FF16&gt;0),IF(FF16&gt;0,CEILING(FF16-0.0625,0.125),CEILING(FF16+0.0625,-0.125)),""),IF(FF16&gt;0,CEILING(FF16-0.0625,0.125),CEILING(FF16+0.0625,-0.125))))</f>
        <v/>
      </c>
      <c r="FH16" s="800" t="str">
        <f t="shared" ref="FH16:FH45" si="101">IF(CX16="","",CX16*TAN(FD16))</f>
        <v/>
      </c>
      <c r="FI16" s="801">
        <f>IF(DN16="",0,ATAN(DN16/12))</f>
        <v>0</v>
      </c>
      <c r="FJ16" s="801">
        <f t="shared" ref="FJ16:FJ45" si="102">DO16+FI16</f>
        <v>0</v>
      </c>
      <c r="FK16" s="801">
        <f t="shared" ref="FK16:FK45" si="103">TAN(FJ16)*-12</f>
        <v>0</v>
      </c>
      <c r="FL16" s="801" t="str">
        <f t="shared" ref="FL16:FL45" si="104">IF(FK16=0,"",IF(ABS(FK16)&lt;$CX$2,IF(AND(ABS(MIN(EB16,FR16)/12*FK16)&gt;$DD$2,FK16&gt;0),IF(FK16&gt;0,CEILING(FK16-0.0625,0.125),CEILING(FK16+0.0625,-0.125)),""),IF(FK16&gt;0,CEILING(FK16-0.0625,0.125),CEILING(FK16+0.0625,-0.125))))</f>
        <v/>
      </c>
      <c r="FM16" s="800" t="str">
        <f t="shared" ref="FM16:FM45" si="105">IF(DH16="","",DH16*TAN(FI16))</f>
        <v/>
      </c>
      <c r="FN16" s="800" t="e">
        <f t="shared" ref="FN16:FN45" si="106">IF(((BE16*12+BF16)+CV16+DF16)/COS(DO16)-((BE16*12+BF16)+CV16+DF16)&lt;$DB$2,0,DO16)</f>
        <v>#VALUE!</v>
      </c>
      <c r="FO16" s="1262" t="e">
        <f t="shared" ref="FO16:FO45" si="107">MIN(IF(BH16&gt;0,BH16/2,MAX(BI16/2,DC16)),IF(BI16&gt;0,BI16/2,MAX(BH16/2,DC16)),IF(DC16&gt;0,DC16,MAX(BI16/2,BH16/2)))/COS(DS16)+CV16-DW16-FH16</f>
        <v>#VALUE!</v>
      </c>
      <c r="FP16" s="1262" t="e">
        <f t="shared" ref="FP16:FP45" si="108">MIN(IF(BT16&gt;0,BT16/2,MAX(BU16/2,DM16)),IF(BU16&gt;0,BU16/2,MAX(BT16/2,DM16)),IF(DM16&gt;0,DM16,MAX(BU16/2,BT16/2)))/COS(DY16)+DF16-EC16-FM16</f>
        <v>#VALUE!</v>
      </c>
      <c r="FQ16" s="803" t="e">
        <f t="shared" ref="FQ16:FQ45" si="109">IF(OR(CU16="B",CU16="G"),MAX(BH16,BI16),IF(CU16="M",12,DC16+CV16))</f>
        <v>#VALUE!</v>
      </c>
      <c r="FR16" s="804" t="e">
        <f t="shared" ref="FR16:FR45" si="110">IF(OR(DE16="B",DE16="G"),MAX(BT16,BU16),IF(DE16="M",12,DM16+DF16))</f>
        <v>#VALUE!</v>
      </c>
      <c r="FS16" s="805" t="str">
        <f t="shared" ref="FS16:FS45" si="111">IF(CY16="","",IF(ABS(CE16*((AJ16-IF(CE16&gt;0,VLOOKUP(AU16,$DF$2:$DN$9,9,FALSE),0))/12))&gt;$CZ$2,CE16*((AJ16-IF(CE16&gt;0,VLOOKUP(AU16,$DF$2:$DN$9,9,FALSE),0))/12),0))</f>
        <v/>
      </c>
      <c r="FT16" s="806" t="str">
        <f t="shared" ref="FT16:FT45" si="112">IF(DI16="","",IF(ABS(CE16*((AJ16-IF(CE16&lt;0,VLOOKUP(AU16,$DF$2:$DN$9,9,FALSE),0))/12))&gt;$CZ$2,CE16*((AJ16-IF(CE16&lt;0,VLOOKUP(AU16,$DF$2:$DN$9,9,FALSE),0))/12)*-1,0))</f>
        <v/>
      </c>
      <c r="FU16" s="807">
        <f t="shared" ref="FU16:FU45" si="113">IF(CX16="",0,MAX(0,MIN(DV16-VLOOKUP(AU16,DF$2:DN$9,4,FALSE),(MAX(0,CX16-VLOOKUP(AU16,DF$2:DN$9,3,FALSE))+VLOOKUP(AU16,DF$2:DN$9,4,FALSE))*COS(DO16)+((MAX(0,CX16-VLOOKUP(AU16,DF$2:DN$9,3,FALSE))+VLOOKUP(AU16,DF$2:DN$9,4,FALSE))*COS(PI()/2-DO16))/TAN(PI()/2-(DO16+PI()/4))-VLOOKUP(AU16,DF$2:DN$9,4,FALSE))))</f>
        <v>0</v>
      </c>
      <c r="FV16" s="808">
        <f t="shared" ref="FV16:FV45" si="114">IF(DH16="",0,MAX(0,MIN(EB16-VLOOKUP(AU16,DF$2:DN$9,4,FALSE),(MAX(0,DH16-VLOOKUP(AU16,DF$2:DN$9,3,FALSE))+VLOOKUP(AU16,DF$2:DN$9,4,FALSE))*COS(DO16)+((MAX(0,DH16-VLOOKUP(AU16,DF$2:DN$9,3,FALSE))+VLOOKUP(AU16,DF$2:DN$9,4,FALSE))*COS(PI()/2-DO16))/TAN(PI()/2-(DO16+PI()/4))-VLOOKUP(AU16,DF$2:DN$9,4,FALSE))))</f>
        <v>0</v>
      </c>
      <c r="GA16" s="542" t="str">
        <f t="shared" ref="GA16:GA45" si="115">IF(GF16="","",BE16)</f>
        <v/>
      </c>
      <c r="GB16" s="562" t="str">
        <f t="shared" ref="GB16:GB45" si="116">IF(GF16="","",BF16)</f>
        <v/>
      </c>
      <c r="GC16" s="564" t="str">
        <f t="shared" ref="GC16:GC45" si="117">IF(GF16="","",IF(CV16="",0,CV16))</f>
        <v/>
      </c>
      <c r="GD16" s="565" t="str">
        <f t="shared" ref="GD16:GD45" si="118">IF(GF16="","",IF(DF16="",0,DF16))</f>
        <v/>
      </c>
      <c r="GE16" s="563" t="str">
        <f t="shared" ref="GE16:GE45" si="119">IF(GF16="","",IF(ISBLANK(CE16),IF(Y16=Z16,0,MAX(ABS(Y16),ABS(Z16))*IF(Y16&lt;0,-1,1)),CE16))</f>
        <v/>
      </c>
      <c r="GF16" s="543" t="str">
        <f t="shared" ref="GF16:GF45" si="120">IF(A16=0,"",A16)</f>
        <v/>
      </c>
      <c r="GG16" s="1052"/>
      <c r="GH16" s="1053"/>
      <c r="GI16" s="1052"/>
      <c r="GJ16" s="1053"/>
      <c r="GK16" s="1521">
        <f t="shared" ref="GK16:GK45" si="121">IF(D16="",0,D16*12+E16)</f>
        <v>0</v>
      </c>
      <c r="GL16" s="1519" t="e">
        <f t="shared" ref="GL16:GL45" si="122">(GA16*12+GB16+GC16+GD16)/COS(ATAN(ABS(GE16/12)))</f>
        <v>#VALUE!</v>
      </c>
      <c r="GM16" s="1520" t="e">
        <f>IF(ABS(GK16-GL16)&gt;=#REF!,ABS(GK16-GL16),0)</f>
        <v>#VALUE!</v>
      </c>
      <c r="HA16" s="1181"/>
      <c r="HB16" s="1182"/>
      <c r="HC16" s="1182"/>
      <c r="HD16" s="1183"/>
      <c r="HE16" s="1184"/>
      <c r="HF16" s="1182"/>
      <c r="HG16" s="1182"/>
      <c r="HH16" s="1182"/>
      <c r="HI16" s="1185"/>
      <c r="HJ16" s="1182"/>
      <c r="HK16" s="1182"/>
      <c r="HL16" s="1182"/>
      <c r="HM16" s="1182"/>
      <c r="HN16" s="1182"/>
      <c r="HO16" s="1182"/>
      <c r="HP16" s="1182"/>
      <c r="HQ16" s="1185"/>
      <c r="HR16" s="1182"/>
      <c r="HS16" s="1182"/>
      <c r="HT16" s="1182"/>
      <c r="HU16" s="1182"/>
      <c r="HV16" s="1182"/>
      <c r="HW16" s="1184"/>
      <c r="HX16" s="1184"/>
      <c r="HY16" s="1184"/>
      <c r="HZ16" s="1184"/>
      <c r="IA16" s="1184"/>
      <c r="IB16" s="1184"/>
      <c r="IC16" s="1184"/>
      <c r="ID16" s="1184"/>
      <c r="IE16" s="1184"/>
      <c r="IF16" s="1186"/>
    </row>
    <row r="17" spans="1:240" ht="12.6" customHeight="1" x14ac:dyDescent="0.25">
      <c r="A17" s="1132" t="str">
        <f t="shared" si="1"/>
        <v/>
      </c>
      <c r="B17" s="1586" t="str">
        <f t="shared" si="2"/>
        <v/>
      </c>
      <c r="C17" s="1133" t="str">
        <f t="shared" si="3"/>
        <v/>
      </c>
      <c r="D17" s="1134" t="str">
        <f t="shared" si="4"/>
        <v/>
      </c>
      <c r="E17" s="1135" t="str">
        <f t="shared" si="5"/>
        <v/>
      </c>
      <c r="F17" s="1143" t="str">
        <f t="shared" si="6"/>
        <v/>
      </c>
      <c r="G17" s="1138" t="str">
        <f t="shared" si="7"/>
        <v/>
      </c>
      <c r="H17" s="1645" t="str">
        <f t="shared" si="8"/>
        <v/>
      </c>
      <c r="I17" s="1134" t="str">
        <f t="shared" si="9"/>
        <v/>
      </c>
      <c r="J17" s="1138" t="str">
        <f t="shared" si="10"/>
        <v/>
      </c>
      <c r="K17" s="1657" t="str">
        <f t="shared" si="11"/>
        <v/>
      </c>
      <c r="L17" s="1141" t="str">
        <f t="shared" si="12"/>
        <v/>
      </c>
      <c r="M17" s="1142" t="str">
        <f t="shared" si="13"/>
        <v/>
      </c>
      <c r="N17" s="1137" t="str">
        <f t="shared" si="14"/>
        <v/>
      </c>
      <c r="O17" s="1138" t="str">
        <f t="shared" si="15"/>
        <v/>
      </c>
      <c r="P17" s="1139" t="str">
        <f t="shared" si="16"/>
        <v/>
      </c>
      <c r="Q17" s="1134" t="str">
        <f t="shared" si="17"/>
        <v/>
      </c>
      <c r="R17" s="1138" t="str">
        <f t="shared" si="18"/>
        <v/>
      </c>
      <c r="S17" s="1140" t="str">
        <f t="shared" si="19"/>
        <v/>
      </c>
      <c r="T17" s="1143" t="str">
        <f t="shared" si="20"/>
        <v/>
      </c>
      <c r="U17" s="1138" t="str">
        <f t="shared" si="21"/>
        <v/>
      </c>
      <c r="V17" s="1134" t="str">
        <f t="shared" si="22"/>
        <v/>
      </c>
      <c r="W17" s="1138" t="str">
        <f t="shared" si="23"/>
        <v/>
      </c>
      <c r="X17" s="1142">
        <f t="shared" si="24"/>
        <v>0</v>
      </c>
      <c r="Y17" s="1647" t="str">
        <f t="shared" si="25"/>
        <v/>
      </c>
      <c r="Z17" s="1648" t="str">
        <f t="shared" si="26"/>
        <v/>
      </c>
      <c r="AA17" s="1649" t="str">
        <f t="shared" si="27"/>
        <v/>
      </c>
      <c r="AB17" s="1288"/>
      <c r="AC17" s="898" t="b">
        <v>0</v>
      </c>
      <c r="AD17" s="374">
        <f t="shared" si="28"/>
        <v>0</v>
      </c>
      <c r="AE17" s="375">
        <f t="shared" si="29"/>
        <v>0</v>
      </c>
      <c r="AF17" s="375">
        <f t="shared" si="30"/>
        <v>0</v>
      </c>
      <c r="AG17" s="375">
        <f t="shared" si="31"/>
        <v>0</v>
      </c>
      <c r="AH17" s="376">
        <f t="shared" si="32"/>
        <v>0</v>
      </c>
      <c r="AI17" s="377" t="b">
        <v>0</v>
      </c>
      <c r="AJ17" s="143">
        <f t="shared" si="33"/>
        <v>0</v>
      </c>
      <c r="AK17" s="771" t="str">
        <f t="shared" si="34"/>
        <v/>
      </c>
      <c r="AL17" s="877" t="str">
        <f t="shared" si="35"/>
        <v/>
      </c>
      <c r="AM17" s="771" t="str">
        <f t="shared" si="36"/>
        <v/>
      </c>
      <c r="AN17" s="771" t="str">
        <f t="shared" si="37"/>
        <v/>
      </c>
      <c r="AO17" s="771" t="str">
        <f t="shared" si="38"/>
        <v/>
      </c>
      <c r="AP17" s="771" t="b">
        <f>IF(ISERROR(AJ17),FALSE,IF(OR(AJ17=0,ISERROR(AL17),ISERROR(AM17),ISERROR(AN17),ISERROR(AO17)),FALSE,IF(AL17&lt;&gt;"",IF(ISERROR(VLOOKUP(SUBSTITUTE(SUBSTITUTE(C17,"R",""),"A",""),#REF!,1,FALSE)),FALSE,TRUE),TRUE)))</f>
        <v>0</v>
      </c>
      <c r="AQ17" s="945" t="e">
        <f t="shared" si="39"/>
        <v>#N/A</v>
      </c>
      <c r="AR17" s="877" t="b">
        <f t="shared" si="40"/>
        <v>0</v>
      </c>
      <c r="AS17" s="945" t="e">
        <f t="shared" si="41"/>
        <v>#N/A</v>
      </c>
      <c r="AT17" s="877" t="b">
        <f t="shared" si="42"/>
        <v>0</v>
      </c>
      <c r="AU17" s="878" t="str">
        <f t="shared" si="43"/>
        <v/>
      </c>
      <c r="AV17" s="771" t="str">
        <f t="shared" si="44"/>
        <v/>
      </c>
      <c r="AW17" s="771" t="str">
        <f t="shared" si="45"/>
        <v/>
      </c>
      <c r="AX17" s="771" t="str">
        <f t="shared" ref="AX17:AX45" si="123">IF(AND(OR(ISBLANK(A17),A17=""),AA17&lt;&gt;""),AX16,IF(OR(ISBLANK(A17),A17=""),"",A17))</f>
        <v/>
      </c>
      <c r="AY17" s="946" t="e">
        <f t="shared" si="46"/>
        <v>#REF!</v>
      </c>
      <c r="AZ17" s="795" t="str">
        <f t="shared" si="47"/>
        <v/>
      </c>
      <c r="BA17" s="496"/>
      <c r="BB17" s="616"/>
      <c r="BC17" s="1567"/>
      <c r="BD17" s="682"/>
      <c r="BE17" s="683"/>
      <c r="BF17" s="684"/>
      <c r="BG17" s="660"/>
      <c r="BH17" s="901"/>
      <c r="BI17" s="902"/>
      <c r="BJ17" s="1508"/>
      <c r="BK17" s="661"/>
      <c r="BL17" s="662"/>
      <c r="BM17" s="663"/>
      <c r="BN17" s="664"/>
      <c r="BO17" s="616" t="str">
        <f>IF(ISERROR(CU17),"",IF(CU17="","",IF(VLOOKUP(BG17,#REF!,10,FALSE)="","","X")))</f>
        <v/>
      </c>
      <c r="BP17" s="687"/>
      <c r="BQ17" s="1430" t="str">
        <f t="shared" si="48"/>
        <v/>
      </c>
      <c r="BR17" s="839"/>
      <c r="BS17" s="660"/>
      <c r="BT17" s="661"/>
      <c r="BU17" s="662"/>
      <c r="BV17" s="1508"/>
      <c r="BW17" s="661"/>
      <c r="BX17" s="662"/>
      <c r="BY17" s="663"/>
      <c r="BZ17" s="664"/>
      <c r="CA17" s="625" t="str">
        <f>IF(ISERROR(DE17),"",IF(DE17="","",IF(VLOOKUP(BS17,#REF!,10,FALSE)="","","X")))</f>
        <v/>
      </c>
      <c r="CB17" s="687"/>
      <c r="CC17" s="1430" t="str">
        <f t="shared" si="49"/>
        <v/>
      </c>
      <c r="CD17" s="839"/>
      <c r="CE17" s="665"/>
      <c r="CF17" s="685"/>
      <c r="CG17" s="686"/>
      <c r="CH17" s="534" t="str">
        <f t="shared" si="50"/>
        <v/>
      </c>
      <c r="CI17" s="535" t="str">
        <f t="shared" si="51"/>
        <v/>
      </c>
      <c r="CJ17" s="536" t="str">
        <f t="shared" si="52"/>
        <v/>
      </c>
      <c r="CK17" s="537" t="str">
        <f t="shared" si="53"/>
        <v/>
      </c>
      <c r="CL17" s="538" t="str">
        <f t="shared" si="54"/>
        <v/>
      </c>
      <c r="CM17" s="539" t="str">
        <f t="shared" si="55"/>
        <v/>
      </c>
      <c r="CN17" s="540" t="str">
        <f t="shared" si="56"/>
        <v/>
      </c>
      <c r="CO17" s="541" t="str">
        <f t="shared" si="57"/>
        <v/>
      </c>
      <c r="CP17" s="558" t="str">
        <f t="shared" si="58"/>
        <v/>
      </c>
      <c r="CQ17" s="559" t="str">
        <f t="shared" si="59"/>
        <v/>
      </c>
      <c r="CR17" s="699" t="str">
        <f t="shared" si="60"/>
        <v/>
      </c>
      <c r="CS17" s="700" t="str">
        <f t="shared" si="61"/>
        <v/>
      </c>
      <c r="CU17" s="758" t="str">
        <f>IF(BG17="","",VLOOKUP(BG17,#REF!,12,FALSE))</f>
        <v/>
      </c>
      <c r="CV17" s="756" t="str">
        <f>IF(BG17="","",IF(ISBLANK(BP17),VLOOKUP(BG17,#REF!,13,FALSE),BP17))</f>
        <v/>
      </c>
      <c r="CW17" s="756" t="str">
        <f>IF(BG17="","",IF(VLOOKUP(BG17,#REF!,5,FALSE)="","R",UPPER(VLOOKUP(BG17,#REF!,5,FALSE))))</f>
        <v/>
      </c>
      <c r="CX17" s="756" t="str">
        <f>IF(BG17="","",IF(ISBLANK(BR17),VLOOKUP(BG17,#REF!,6,FALSE),BR17))</f>
        <v/>
      </c>
      <c r="CY17" s="1203" t="str">
        <f>IF(BG17="","",IF(VLOOKUP(BG17,#REF!,10,FALSE)="","",(IF(BO17="X",VLOOKUP(BG17,#REF!,10,FALSE),VALUE(BO17))*-1)))</f>
        <v/>
      </c>
      <c r="CZ17" s="1042" t="str">
        <f>IF(BG17="","",IF(VLOOKUP(BG17,#REF!,11,FALSE)="","2",(VLOOKUP(BG17,#REF!,11,FALSE))))</f>
        <v/>
      </c>
      <c r="DA17" s="756" t="str">
        <f>IF(BG17="","",IF(VLOOKUP(BG17,#REF!,7,FALSE)="","",(VLOOKUP(BG17,#REF!,7,FALSE)*-1)))</f>
        <v/>
      </c>
      <c r="DB17" s="756" t="str">
        <f>IF(BG17="","",IF(VLOOKUP(BG17,#REF!,8,FALSE)="",VLOOKUP(AU17,$DF$2:$DN$9,6,FALSE),(VLOOKUP(BG17,#REF!,8,FALSE))))</f>
        <v/>
      </c>
      <c r="DC17" s="756" t="str">
        <f>IF(BG17="","",VLOOKUP(BG17,#REF!,9,FALSE))</f>
        <v/>
      </c>
      <c r="DD17" s="757">
        <f t="shared" si="62"/>
        <v>0</v>
      </c>
      <c r="DE17" s="758" t="str">
        <f>IF(BS17="","",VLOOKUP(BS17,#REF!,12,FALSE))</f>
        <v/>
      </c>
      <c r="DF17" s="756" t="str">
        <f>IF(BS17="","",IF(ISBLANK(CB17),VLOOKUP(BS17,#REF!,13,FALSE),CB17))</f>
        <v/>
      </c>
      <c r="DG17" s="756" t="str">
        <f>IF(BS17="","",IF(VLOOKUP(BS17,#REF!,5,FALSE)="","R",UPPER(VLOOKUP(BS17,#REF!,5,FALSE))))</f>
        <v/>
      </c>
      <c r="DH17" s="756" t="str">
        <f>IF(BS17="","",IF(ISBLANK(CD17),VLOOKUP(BS17,#REF!,6,FALSE),CD17))</f>
        <v/>
      </c>
      <c r="DI17" s="1203" t="str">
        <f>IF(BS17="","",IF(VLOOKUP(BS17,#REF!,10,FALSE)="","",(IF(CA17="X",VLOOKUP(BS17,#REF!,10,FALSE),VALUE(CA17))*-1)))</f>
        <v/>
      </c>
      <c r="DJ17" s="1042" t="str">
        <f>IF(BS17="","",IF(VLOOKUP(BS17,#REF!,11,FALSE)="","2",(VLOOKUP(BS17,#REF!,11,FALSE))))</f>
        <v/>
      </c>
      <c r="DK17" s="756" t="str">
        <f>IF(BS17="","",IF(VLOOKUP(BS17,#REF!,7,FALSE)="","",(VLOOKUP(BS17,#REF!,7,FALSE)*-1)))</f>
        <v/>
      </c>
      <c r="DL17" s="756" t="str">
        <f>IF(BS17="","",IF(VLOOKUP(BS17,#REF!,8,FALSE)="",VLOOKUP(AU17,$DF$2:$DN$9,6,FALSE),(VLOOKUP(BS17,#REF!,8,FALSE))))</f>
        <v/>
      </c>
      <c r="DM17" s="756" t="str">
        <f>IF(BS17="","",VLOOKUP(BS17,#REF!,9,FALSE))</f>
        <v/>
      </c>
      <c r="DN17" s="757">
        <f t="shared" si="63"/>
        <v>0</v>
      </c>
      <c r="DO17" s="759">
        <f t="shared" si="64"/>
        <v>0</v>
      </c>
      <c r="DP17" s="763" t="str">
        <f t="shared" si="65"/>
        <v/>
      </c>
      <c r="DQ17" s="763" t="str">
        <f t="shared" si="66"/>
        <v/>
      </c>
      <c r="DR17" s="763" t="str">
        <f t="shared" si="67"/>
        <v/>
      </c>
      <c r="DS17" s="762">
        <f t="shared" si="68"/>
        <v>0</v>
      </c>
      <c r="DT17" s="762" t="e">
        <f t="shared" si="69"/>
        <v>#REF!</v>
      </c>
      <c r="DU17" s="762" t="str">
        <f t="shared" si="70"/>
        <v/>
      </c>
      <c r="DV17" s="763" t="str">
        <f t="shared" si="71"/>
        <v/>
      </c>
      <c r="DW17" s="795" t="str">
        <f t="shared" si="72"/>
        <v/>
      </c>
      <c r="DX17" s="926">
        <f t="shared" si="73"/>
        <v>0</v>
      </c>
      <c r="DY17" s="763">
        <f t="shared" si="74"/>
        <v>0</v>
      </c>
      <c r="DZ17" s="762" t="e">
        <f t="shared" si="75"/>
        <v>#REF!</v>
      </c>
      <c r="EA17" s="762" t="str">
        <f t="shared" si="76"/>
        <v/>
      </c>
      <c r="EB17" s="763" t="str">
        <f t="shared" si="77"/>
        <v/>
      </c>
      <c r="EC17" s="795" t="str">
        <f t="shared" si="78"/>
        <v/>
      </c>
      <c r="ED17" s="926">
        <f t="shared" si="79"/>
        <v>0</v>
      </c>
      <c r="EE17" s="1210" t="str">
        <f t="shared" si="80"/>
        <v/>
      </c>
      <c r="EF17" s="1210" t="str">
        <f t="shared" si="81"/>
        <v/>
      </c>
      <c r="EG17" s="1210" t="str">
        <f t="shared" si="82"/>
        <v/>
      </c>
      <c r="EH17" s="795" t="e">
        <f t="shared" si="83"/>
        <v>#N/A</v>
      </c>
      <c r="EI17" s="795" t="e">
        <f t="shared" si="84"/>
        <v>#N/A</v>
      </c>
      <c r="EJ17" s="763" t="str">
        <f t="shared" si="85"/>
        <v/>
      </c>
      <c r="EK17" s="763" t="str">
        <f t="shared" si="85"/>
        <v/>
      </c>
      <c r="EL17" s="1210" t="str">
        <f t="shared" si="86"/>
        <v/>
      </c>
      <c r="EM17" s="763" t="str">
        <f t="shared" si="87"/>
        <v/>
      </c>
      <c r="EN17" s="763" t="str">
        <f t="shared" si="88"/>
        <v/>
      </c>
      <c r="EO17" s="795" t="e">
        <f t="shared" si="89"/>
        <v>#N/A</v>
      </c>
      <c r="EP17" s="795" t="e">
        <f t="shared" si="90"/>
        <v>#N/A</v>
      </c>
      <c r="EQ17" s="1210" t="str">
        <f t="shared" si="91"/>
        <v/>
      </c>
      <c r="ER17" s="763" t="str">
        <f t="shared" si="91"/>
        <v/>
      </c>
      <c r="ES17" s="763" t="str">
        <f t="shared" si="92"/>
        <v/>
      </c>
      <c r="ET17" s="763" t="str">
        <f t="shared" si="93"/>
        <v/>
      </c>
      <c r="EU17" s="770" t="str">
        <f t="shared" si="94"/>
        <v/>
      </c>
      <c r="EV17" s="765" t="str">
        <f t="shared" si="95"/>
        <v/>
      </c>
      <c r="EW17" s="770"/>
      <c r="EX17" s="770" t="str">
        <f>IF(AND(CU17="G", ISBLANK(BK17), ISBLANK(BL17)),VLOOKUP(MIN(BH17:BI17),#REF!,2),IF(OR(CU17="B",CU17="G"),MIN(BK17:BL17),""))</f>
        <v/>
      </c>
      <c r="EY17" s="770" t="str">
        <f>IF(AND(CU17="G", ISBLANK(BK17), ISBLANK(BL17)),VLOOKUP(MAX(BH17:BI17),#REF!,2),IF(OR(CU17="B",CU17="G"),MAX(BK17:BL17),""))</f>
        <v/>
      </c>
      <c r="EZ17" s="770" t="str">
        <f t="shared" si="96"/>
        <v/>
      </c>
      <c r="FA17" s="770" t="str">
        <f>IF(AND(DE17="G", ISBLANK(BW17), ISBLANK(BX17)),VLOOKUP(MIN(BT17:BU17),#REF!,2),IF(OR(DE17="B", DE17="G"),MIN(BW17:BX17),""))</f>
        <v/>
      </c>
      <c r="FB17" s="770" t="str">
        <f>IF(AND(DE17="G", ISBLANK(BW17), ISBLANK(BX17)),VLOOKUP(MAX(BT17:BU17),#REF!,2),IF(OR(DE17="B", DE17="G"),MAX(BW17:BX17),""))</f>
        <v/>
      </c>
      <c r="FC17" s="770" t="str">
        <f t="shared" si="97"/>
        <v/>
      </c>
      <c r="FD17" s="762">
        <f t="shared" ref="FD17:FD45" si="124">IF(DD17="",0,ATAN(DD17/12))</f>
        <v>0</v>
      </c>
      <c r="FE17" s="762">
        <f t="shared" si="98"/>
        <v>0</v>
      </c>
      <c r="FF17" s="762">
        <f t="shared" si="99"/>
        <v>0</v>
      </c>
      <c r="FG17" s="762" t="str">
        <f t="shared" si="100"/>
        <v/>
      </c>
      <c r="FH17" s="763" t="str">
        <f t="shared" si="101"/>
        <v/>
      </c>
      <c r="FI17" s="762">
        <f t="shared" ref="FI17:FI45" si="125">IF(DN17="",0,ATAN(DN17/12))</f>
        <v>0</v>
      </c>
      <c r="FJ17" s="762">
        <f t="shared" si="102"/>
        <v>0</v>
      </c>
      <c r="FK17" s="762">
        <f t="shared" si="103"/>
        <v>0</v>
      </c>
      <c r="FL17" s="762" t="str">
        <f t="shared" si="104"/>
        <v/>
      </c>
      <c r="FM17" s="763" t="str">
        <f t="shared" si="105"/>
        <v/>
      </c>
      <c r="FN17" s="763" t="e">
        <f t="shared" si="106"/>
        <v>#VALUE!</v>
      </c>
      <c r="FO17" s="872" t="e">
        <f t="shared" si="107"/>
        <v>#VALUE!</v>
      </c>
      <c r="FP17" s="872" t="e">
        <f t="shared" si="108"/>
        <v>#VALUE!</v>
      </c>
      <c r="FQ17" s="771" t="e">
        <f t="shared" si="109"/>
        <v>#VALUE!</v>
      </c>
      <c r="FR17" s="772" t="e">
        <f t="shared" si="110"/>
        <v>#VALUE!</v>
      </c>
      <c r="FS17" s="773" t="str">
        <f t="shared" si="111"/>
        <v/>
      </c>
      <c r="FT17" s="774" t="str">
        <f t="shared" si="112"/>
        <v/>
      </c>
      <c r="FU17" s="809">
        <f t="shared" si="113"/>
        <v>0</v>
      </c>
      <c r="FV17" s="810">
        <f t="shared" si="114"/>
        <v>0</v>
      </c>
      <c r="GA17" s="542" t="str">
        <f t="shared" si="115"/>
        <v/>
      </c>
      <c r="GB17" s="562" t="str">
        <f t="shared" si="116"/>
        <v/>
      </c>
      <c r="GC17" s="564" t="str">
        <f t="shared" si="117"/>
        <v/>
      </c>
      <c r="GD17" s="565" t="str">
        <f t="shared" si="118"/>
        <v/>
      </c>
      <c r="GE17" s="563" t="str">
        <f t="shared" si="119"/>
        <v/>
      </c>
      <c r="GF17" s="543" t="str">
        <f t="shared" si="120"/>
        <v/>
      </c>
      <c r="GG17" s="1052"/>
      <c r="GH17" s="1053"/>
      <c r="GI17" s="1052"/>
      <c r="GJ17" s="1053"/>
      <c r="GK17" s="1521">
        <f t="shared" si="121"/>
        <v>0</v>
      </c>
      <c r="GL17" s="1519" t="e">
        <f t="shared" si="122"/>
        <v>#VALUE!</v>
      </c>
      <c r="GM17" s="1520" t="e">
        <f>IF(ABS(GK17-GL17)&gt;=#REF!,ABS(GK17-GL17),0)</f>
        <v>#VALUE!</v>
      </c>
      <c r="HA17" s="1187"/>
      <c r="HB17" s="1188"/>
      <c r="HC17" s="1188"/>
      <c r="HD17" s="1189"/>
      <c r="HE17" s="1190"/>
      <c r="HF17" s="1188"/>
      <c r="HG17" s="1188"/>
      <c r="HH17" s="1188"/>
      <c r="HI17" s="1191"/>
      <c r="HJ17" s="1188"/>
      <c r="HK17" s="1188"/>
      <c r="HL17" s="1188"/>
      <c r="HM17" s="1188"/>
      <c r="HN17" s="1188"/>
      <c r="HO17" s="1188"/>
      <c r="HP17" s="1188"/>
      <c r="HQ17" s="1191"/>
      <c r="HR17" s="1188"/>
      <c r="HS17" s="1188"/>
      <c r="HT17" s="1188"/>
      <c r="HU17" s="1188"/>
      <c r="HV17" s="1188"/>
      <c r="HW17" s="1190"/>
      <c r="HX17" s="1190"/>
      <c r="HY17" s="1190"/>
      <c r="HZ17" s="1190"/>
      <c r="IA17" s="1190"/>
      <c r="IB17" s="1190"/>
      <c r="IC17" s="1190"/>
      <c r="ID17" s="1190"/>
      <c r="IE17" s="1190"/>
      <c r="IF17" s="1192"/>
    </row>
    <row r="18" spans="1:240" ht="12.6" customHeight="1" x14ac:dyDescent="0.25">
      <c r="A18" s="1132" t="str">
        <f t="shared" si="1"/>
        <v/>
      </c>
      <c r="B18" s="1586" t="str">
        <f t="shared" si="2"/>
        <v/>
      </c>
      <c r="C18" s="1133" t="str">
        <f t="shared" si="3"/>
        <v/>
      </c>
      <c r="D18" s="1134" t="str">
        <f t="shared" si="4"/>
        <v/>
      </c>
      <c r="E18" s="1135" t="str">
        <f t="shared" si="5"/>
        <v/>
      </c>
      <c r="F18" s="1143" t="str">
        <f t="shared" si="6"/>
        <v/>
      </c>
      <c r="G18" s="1138" t="str">
        <f t="shared" si="7"/>
        <v/>
      </c>
      <c r="H18" s="1645" t="str">
        <f t="shared" si="8"/>
        <v/>
      </c>
      <c r="I18" s="1134" t="str">
        <f t="shared" si="9"/>
        <v/>
      </c>
      <c r="J18" s="1138" t="str">
        <f t="shared" si="10"/>
        <v/>
      </c>
      <c r="K18" s="1657" t="str">
        <f t="shared" si="11"/>
        <v/>
      </c>
      <c r="L18" s="1141" t="str">
        <f t="shared" si="12"/>
        <v/>
      </c>
      <c r="M18" s="1142" t="str">
        <f t="shared" si="13"/>
        <v/>
      </c>
      <c r="N18" s="1137" t="str">
        <f t="shared" si="14"/>
        <v/>
      </c>
      <c r="O18" s="1138" t="str">
        <f t="shared" si="15"/>
        <v/>
      </c>
      <c r="P18" s="1139" t="str">
        <f t="shared" si="16"/>
        <v/>
      </c>
      <c r="Q18" s="1134" t="str">
        <f t="shared" si="17"/>
        <v/>
      </c>
      <c r="R18" s="1138" t="str">
        <f t="shared" si="18"/>
        <v/>
      </c>
      <c r="S18" s="1140" t="str">
        <f t="shared" si="19"/>
        <v/>
      </c>
      <c r="T18" s="1143" t="str">
        <f t="shared" si="20"/>
        <v/>
      </c>
      <c r="U18" s="1138" t="str">
        <f t="shared" si="21"/>
        <v/>
      </c>
      <c r="V18" s="1134" t="str">
        <f t="shared" si="22"/>
        <v/>
      </c>
      <c r="W18" s="1138" t="str">
        <f t="shared" si="23"/>
        <v/>
      </c>
      <c r="X18" s="1142">
        <f t="shared" si="24"/>
        <v>0</v>
      </c>
      <c r="Y18" s="1647" t="str">
        <f t="shared" si="25"/>
        <v/>
      </c>
      <c r="Z18" s="1648" t="str">
        <f t="shared" si="26"/>
        <v/>
      </c>
      <c r="AA18" s="1649" t="str">
        <f t="shared" si="27"/>
        <v/>
      </c>
      <c r="AB18" s="1288"/>
      <c r="AC18" s="898" t="b">
        <v>0</v>
      </c>
      <c r="AD18" s="374">
        <f t="shared" si="28"/>
        <v>0</v>
      </c>
      <c r="AE18" s="375">
        <f t="shared" si="29"/>
        <v>0</v>
      </c>
      <c r="AF18" s="375">
        <f t="shared" si="30"/>
        <v>0</v>
      </c>
      <c r="AG18" s="375">
        <f t="shared" si="31"/>
        <v>0</v>
      </c>
      <c r="AH18" s="376">
        <f t="shared" si="32"/>
        <v>0</v>
      </c>
      <c r="AI18" s="377" t="b">
        <v>0</v>
      </c>
      <c r="AJ18" s="143">
        <f t="shared" si="33"/>
        <v>0</v>
      </c>
      <c r="AK18" s="771" t="str">
        <f t="shared" si="34"/>
        <v/>
      </c>
      <c r="AL18" s="877" t="str">
        <f t="shared" si="35"/>
        <v/>
      </c>
      <c r="AM18" s="771" t="str">
        <f t="shared" si="36"/>
        <v/>
      </c>
      <c r="AN18" s="771" t="str">
        <f t="shared" si="37"/>
        <v/>
      </c>
      <c r="AO18" s="771" t="str">
        <f t="shared" si="38"/>
        <v/>
      </c>
      <c r="AP18" s="771" t="b">
        <f>IF(ISERROR(AJ18),FALSE,IF(OR(AJ18=0,ISERROR(AL18),ISERROR(AM18),ISERROR(AN18),ISERROR(AO18)),FALSE,IF(AL18&lt;&gt;"",IF(ISERROR(VLOOKUP(SUBSTITUTE(SUBSTITUTE(C18,"R",""),"A",""),#REF!,1,FALSE)),FALSE,TRUE),TRUE)))</f>
        <v>0</v>
      </c>
      <c r="AQ18" s="945" t="e">
        <f t="shared" si="39"/>
        <v>#N/A</v>
      </c>
      <c r="AR18" s="877" t="b">
        <f t="shared" si="40"/>
        <v>0</v>
      </c>
      <c r="AS18" s="945" t="e">
        <f t="shared" si="41"/>
        <v>#N/A</v>
      </c>
      <c r="AT18" s="877" t="b">
        <f t="shared" si="42"/>
        <v>0</v>
      </c>
      <c r="AU18" s="878" t="str">
        <f t="shared" si="43"/>
        <v/>
      </c>
      <c r="AV18" s="771" t="str">
        <f t="shared" si="44"/>
        <v/>
      </c>
      <c r="AW18" s="771" t="str">
        <f t="shared" si="45"/>
        <v/>
      </c>
      <c r="AX18" s="771" t="str">
        <f t="shared" si="123"/>
        <v/>
      </c>
      <c r="AY18" s="946" t="e">
        <f t="shared" si="46"/>
        <v>#REF!</v>
      </c>
      <c r="AZ18" s="795" t="str">
        <f t="shared" si="47"/>
        <v/>
      </c>
      <c r="BA18" s="496"/>
      <c r="BB18" s="616"/>
      <c r="BC18" s="1567"/>
      <c r="BD18" s="682"/>
      <c r="BE18" s="683"/>
      <c r="BF18" s="684"/>
      <c r="BG18" s="660"/>
      <c r="BH18" s="901"/>
      <c r="BI18" s="902"/>
      <c r="BJ18" s="1508"/>
      <c r="BK18" s="661"/>
      <c r="BL18" s="662"/>
      <c r="BM18" s="663"/>
      <c r="BN18" s="664"/>
      <c r="BO18" s="616" t="str">
        <f>IF(ISERROR(CU18),"",IF(CU18="","",IF(VLOOKUP(BG18,#REF!,10,FALSE)="","","X")))</f>
        <v/>
      </c>
      <c r="BP18" s="687"/>
      <c r="BQ18" s="1430" t="str">
        <f t="shared" si="48"/>
        <v/>
      </c>
      <c r="BR18" s="839"/>
      <c r="BS18" s="660"/>
      <c r="BT18" s="661"/>
      <c r="BU18" s="662"/>
      <c r="BV18" s="1508"/>
      <c r="BW18" s="661"/>
      <c r="BX18" s="662"/>
      <c r="BY18" s="663"/>
      <c r="BZ18" s="664"/>
      <c r="CA18" s="625" t="str">
        <f>IF(ISERROR(DE18),"",IF(DE18="","",IF(VLOOKUP(BS18,#REF!,10,FALSE)="","","X")))</f>
        <v/>
      </c>
      <c r="CB18" s="687"/>
      <c r="CC18" s="1430" t="str">
        <f t="shared" si="49"/>
        <v/>
      </c>
      <c r="CD18" s="839"/>
      <c r="CE18" s="665"/>
      <c r="CF18" s="685"/>
      <c r="CG18" s="686"/>
      <c r="CH18" s="534" t="str">
        <f t="shared" si="50"/>
        <v/>
      </c>
      <c r="CI18" s="535" t="str">
        <f t="shared" si="51"/>
        <v/>
      </c>
      <c r="CJ18" s="536" t="str">
        <f t="shared" si="52"/>
        <v/>
      </c>
      <c r="CK18" s="537" t="str">
        <f t="shared" si="53"/>
        <v/>
      </c>
      <c r="CL18" s="538" t="str">
        <f t="shared" si="54"/>
        <v/>
      </c>
      <c r="CM18" s="539" t="str">
        <f t="shared" si="55"/>
        <v/>
      </c>
      <c r="CN18" s="540" t="str">
        <f t="shared" si="56"/>
        <v/>
      </c>
      <c r="CO18" s="541" t="str">
        <f t="shared" si="57"/>
        <v/>
      </c>
      <c r="CP18" s="558" t="str">
        <f t="shared" si="58"/>
        <v/>
      </c>
      <c r="CQ18" s="559" t="str">
        <f t="shared" si="59"/>
        <v/>
      </c>
      <c r="CR18" s="699" t="str">
        <f t="shared" si="60"/>
        <v/>
      </c>
      <c r="CS18" s="700" t="str">
        <f t="shared" si="61"/>
        <v/>
      </c>
      <c r="CU18" s="758" t="str">
        <f>IF(BG18="","",VLOOKUP(BG18,#REF!,12,FALSE))</f>
        <v/>
      </c>
      <c r="CV18" s="756" t="str">
        <f>IF(BG18="","",IF(ISBLANK(BP18),VLOOKUP(BG18,#REF!,13,FALSE),BP18))</f>
        <v/>
      </c>
      <c r="CW18" s="756" t="str">
        <f>IF(BG18="","",IF(VLOOKUP(BG18,#REF!,5,FALSE)="","R",UPPER(VLOOKUP(BG18,#REF!,5,FALSE))))</f>
        <v/>
      </c>
      <c r="CX18" s="756" t="str">
        <f>IF(BG18="","",IF(ISBLANK(BR18),VLOOKUP(BG18,#REF!,6,FALSE),BR18))</f>
        <v/>
      </c>
      <c r="CY18" s="1203" t="str">
        <f>IF(BG18="","",IF(VLOOKUP(BG18,#REF!,10,FALSE)="","",(IF(BO18="X",VLOOKUP(BG18,#REF!,10,FALSE),VALUE(BO18))*-1)))</f>
        <v/>
      </c>
      <c r="CZ18" s="1042" t="str">
        <f>IF(BG18="","",IF(VLOOKUP(BG18,#REF!,11,FALSE)="","2",(VLOOKUP(BG18,#REF!,11,FALSE))))</f>
        <v/>
      </c>
      <c r="DA18" s="756" t="str">
        <f>IF(BG18="","",IF(VLOOKUP(BG18,#REF!,7,FALSE)="","",(VLOOKUP(BG18,#REF!,7,FALSE)*-1)))</f>
        <v/>
      </c>
      <c r="DB18" s="756" t="str">
        <f>IF(BG18="","",IF(VLOOKUP(BG18,#REF!,8,FALSE)="",VLOOKUP(AU18,$DF$2:$DN$9,6,FALSE),(VLOOKUP(BG18,#REF!,8,FALSE))))</f>
        <v/>
      </c>
      <c r="DC18" s="756" t="str">
        <f>IF(BG18="","",VLOOKUP(BG18,#REF!,9,FALSE))</f>
        <v/>
      </c>
      <c r="DD18" s="757">
        <f t="shared" si="62"/>
        <v>0</v>
      </c>
      <c r="DE18" s="758" t="str">
        <f>IF(BS18="","",VLOOKUP(BS18,#REF!,12,FALSE))</f>
        <v/>
      </c>
      <c r="DF18" s="756" t="str">
        <f>IF(BS18="","",IF(ISBLANK(CB18),VLOOKUP(BS18,#REF!,13,FALSE),CB18))</f>
        <v/>
      </c>
      <c r="DG18" s="756" t="str">
        <f>IF(BS18="","",IF(VLOOKUP(BS18,#REF!,5,FALSE)="","R",UPPER(VLOOKUP(BS18,#REF!,5,FALSE))))</f>
        <v/>
      </c>
      <c r="DH18" s="756" t="str">
        <f>IF(BS18="","",IF(ISBLANK(CD18),VLOOKUP(BS18,#REF!,6,FALSE),CD18))</f>
        <v/>
      </c>
      <c r="DI18" s="1203" t="str">
        <f>IF(BS18="","",IF(VLOOKUP(BS18,#REF!,10,FALSE)="","",(IF(CA18="X",VLOOKUP(BS18,#REF!,10,FALSE),VALUE(CA18))*-1)))</f>
        <v/>
      </c>
      <c r="DJ18" s="1042" t="str">
        <f>IF(BS18="","",IF(VLOOKUP(BS18,#REF!,11,FALSE)="","2",(VLOOKUP(BS18,#REF!,11,FALSE))))</f>
        <v/>
      </c>
      <c r="DK18" s="756" t="str">
        <f>IF(BS18="","",IF(VLOOKUP(BS18,#REF!,7,FALSE)="","",(VLOOKUP(BS18,#REF!,7,FALSE)*-1)))</f>
        <v/>
      </c>
      <c r="DL18" s="756" t="str">
        <f>IF(BS18="","",IF(VLOOKUP(BS18,#REF!,8,FALSE)="",VLOOKUP(AU18,$DF$2:$DN$9,6,FALSE),(VLOOKUP(BS18,#REF!,8,FALSE))))</f>
        <v/>
      </c>
      <c r="DM18" s="756" t="str">
        <f>IF(BS18="","",VLOOKUP(BS18,#REF!,9,FALSE))</f>
        <v/>
      </c>
      <c r="DN18" s="757">
        <f t="shared" si="63"/>
        <v>0</v>
      </c>
      <c r="DO18" s="759">
        <f t="shared" si="64"/>
        <v>0</v>
      </c>
      <c r="DP18" s="763" t="str">
        <f t="shared" si="65"/>
        <v/>
      </c>
      <c r="DQ18" s="763" t="str">
        <f t="shared" si="66"/>
        <v/>
      </c>
      <c r="DR18" s="763" t="str">
        <f t="shared" si="67"/>
        <v/>
      </c>
      <c r="DS18" s="762">
        <f t="shared" si="68"/>
        <v>0</v>
      </c>
      <c r="DT18" s="762" t="e">
        <f t="shared" si="69"/>
        <v>#REF!</v>
      </c>
      <c r="DU18" s="762" t="str">
        <f t="shared" si="70"/>
        <v/>
      </c>
      <c r="DV18" s="763" t="str">
        <f t="shared" si="71"/>
        <v/>
      </c>
      <c r="DW18" s="795" t="str">
        <f t="shared" si="72"/>
        <v/>
      </c>
      <c r="DX18" s="926">
        <f t="shared" si="73"/>
        <v>0</v>
      </c>
      <c r="DY18" s="763">
        <f t="shared" si="74"/>
        <v>0</v>
      </c>
      <c r="DZ18" s="762" t="e">
        <f t="shared" si="75"/>
        <v>#REF!</v>
      </c>
      <c r="EA18" s="762" t="str">
        <f t="shared" si="76"/>
        <v/>
      </c>
      <c r="EB18" s="763" t="str">
        <f t="shared" si="77"/>
        <v/>
      </c>
      <c r="EC18" s="795" t="str">
        <f t="shared" si="78"/>
        <v/>
      </c>
      <c r="ED18" s="926">
        <f t="shared" si="79"/>
        <v>0</v>
      </c>
      <c r="EE18" s="1210" t="str">
        <f t="shared" si="80"/>
        <v/>
      </c>
      <c r="EF18" s="1210" t="str">
        <f t="shared" si="81"/>
        <v/>
      </c>
      <c r="EG18" s="1210" t="str">
        <f t="shared" si="82"/>
        <v/>
      </c>
      <c r="EH18" s="795" t="e">
        <f t="shared" si="83"/>
        <v>#N/A</v>
      </c>
      <c r="EI18" s="795" t="e">
        <f t="shared" si="84"/>
        <v>#N/A</v>
      </c>
      <c r="EJ18" s="763" t="str">
        <f t="shared" si="85"/>
        <v/>
      </c>
      <c r="EK18" s="763" t="str">
        <f t="shared" si="85"/>
        <v/>
      </c>
      <c r="EL18" s="1210" t="str">
        <f t="shared" si="86"/>
        <v/>
      </c>
      <c r="EM18" s="763" t="str">
        <f t="shared" si="87"/>
        <v/>
      </c>
      <c r="EN18" s="763" t="str">
        <f t="shared" si="88"/>
        <v/>
      </c>
      <c r="EO18" s="795" t="e">
        <f t="shared" si="89"/>
        <v>#N/A</v>
      </c>
      <c r="EP18" s="795" t="e">
        <f t="shared" si="90"/>
        <v>#N/A</v>
      </c>
      <c r="EQ18" s="1210" t="str">
        <f t="shared" si="91"/>
        <v/>
      </c>
      <c r="ER18" s="763" t="str">
        <f t="shared" si="91"/>
        <v/>
      </c>
      <c r="ES18" s="763" t="str">
        <f t="shared" si="92"/>
        <v/>
      </c>
      <c r="ET18" s="763" t="str">
        <f t="shared" si="93"/>
        <v/>
      </c>
      <c r="EU18" s="770" t="str">
        <f t="shared" si="94"/>
        <v/>
      </c>
      <c r="EV18" s="765" t="str">
        <f t="shared" si="95"/>
        <v/>
      </c>
      <c r="EW18" s="770"/>
      <c r="EX18" s="770" t="str">
        <f>IF(AND(CU18="G", ISBLANK(BK18), ISBLANK(BL18)),VLOOKUP(MIN(BH18:BI18),#REF!,2),IF(OR(CU18="B",CU18="G"),MIN(BK18:BL18),""))</f>
        <v/>
      </c>
      <c r="EY18" s="770" t="str">
        <f>IF(AND(CU18="G", ISBLANK(BK18), ISBLANK(BL18)),VLOOKUP(MAX(BH18:BI18),#REF!,2),IF(OR(CU18="B",CU18="G"),MAX(BK18:BL18),""))</f>
        <v/>
      </c>
      <c r="EZ18" s="770" t="str">
        <f t="shared" si="96"/>
        <v/>
      </c>
      <c r="FA18" s="770" t="str">
        <f>IF(AND(DE18="G", ISBLANK(BW18), ISBLANK(BX18)),VLOOKUP(MIN(BT18:BU18),#REF!,2),IF(OR(DE18="B", DE18="G"),MIN(BW18:BX18),""))</f>
        <v/>
      </c>
      <c r="FB18" s="770" t="str">
        <f>IF(AND(DE18="G", ISBLANK(BW18), ISBLANK(BX18)),VLOOKUP(MAX(BT18:BU18),#REF!,2),IF(OR(DE18="B", DE18="G"),MAX(BW18:BX18),""))</f>
        <v/>
      </c>
      <c r="FC18" s="770" t="str">
        <f t="shared" si="97"/>
        <v/>
      </c>
      <c r="FD18" s="762">
        <f t="shared" si="124"/>
        <v>0</v>
      </c>
      <c r="FE18" s="762">
        <f t="shared" si="98"/>
        <v>0</v>
      </c>
      <c r="FF18" s="762">
        <f t="shared" si="99"/>
        <v>0</v>
      </c>
      <c r="FG18" s="762" t="str">
        <f t="shared" si="100"/>
        <v/>
      </c>
      <c r="FH18" s="763" t="str">
        <f t="shared" si="101"/>
        <v/>
      </c>
      <c r="FI18" s="762">
        <f t="shared" si="125"/>
        <v>0</v>
      </c>
      <c r="FJ18" s="762">
        <f t="shared" si="102"/>
        <v>0</v>
      </c>
      <c r="FK18" s="762">
        <f t="shared" si="103"/>
        <v>0</v>
      </c>
      <c r="FL18" s="762" t="str">
        <f t="shared" si="104"/>
        <v/>
      </c>
      <c r="FM18" s="763" t="str">
        <f t="shared" si="105"/>
        <v/>
      </c>
      <c r="FN18" s="763" t="e">
        <f t="shared" si="106"/>
        <v>#VALUE!</v>
      </c>
      <c r="FO18" s="872" t="e">
        <f t="shared" si="107"/>
        <v>#VALUE!</v>
      </c>
      <c r="FP18" s="872" t="e">
        <f t="shared" si="108"/>
        <v>#VALUE!</v>
      </c>
      <c r="FQ18" s="771" t="e">
        <f t="shared" si="109"/>
        <v>#VALUE!</v>
      </c>
      <c r="FR18" s="772" t="e">
        <f t="shared" si="110"/>
        <v>#VALUE!</v>
      </c>
      <c r="FS18" s="773" t="str">
        <f t="shared" si="111"/>
        <v/>
      </c>
      <c r="FT18" s="774" t="str">
        <f t="shared" si="112"/>
        <v/>
      </c>
      <c r="FU18" s="809">
        <f t="shared" si="113"/>
        <v>0</v>
      </c>
      <c r="FV18" s="810">
        <f t="shared" si="114"/>
        <v>0</v>
      </c>
      <c r="GA18" s="542" t="str">
        <f t="shared" si="115"/>
        <v/>
      </c>
      <c r="GB18" s="562" t="str">
        <f t="shared" si="116"/>
        <v/>
      </c>
      <c r="GC18" s="564" t="str">
        <f t="shared" si="117"/>
        <v/>
      </c>
      <c r="GD18" s="565" t="str">
        <f t="shared" si="118"/>
        <v/>
      </c>
      <c r="GE18" s="563" t="str">
        <f t="shared" si="119"/>
        <v/>
      </c>
      <c r="GF18" s="543" t="str">
        <f t="shared" si="120"/>
        <v/>
      </c>
      <c r="GG18" s="1052"/>
      <c r="GH18" s="1053"/>
      <c r="GI18" s="1052"/>
      <c r="GJ18" s="1053"/>
      <c r="GK18" s="1521">
        <f t="shared" si="121"/>
        <v>0</v>
      </c>
      <c r="GL18" s="1519" t="e">
        <f t="shared" si="122"/>
        <v>#VALUE!</v>
      </c>
      <c r="GM18" s="1520" t="e">
        <f>IF(ABS(GK18-GL18)&gt;=#REF!,ABS(GK18-GL18),0)</f>
        <v>#VALUE!</v>
      </c>
      <c r="HA18" s="1187"/>
      <c r="HB18" s="1188"/>
      <c r="HC18" s="1188"/>
      <c r="HD18" s="1189"/>
      <c r="HE18" s="1190"/>
      <c r="HF18" s="1188"/>
      <c r="HG18" s="1188"/>
      <c r="HH18" s="1188"/>
      <c r="HI18" s="1191"/>
      <c r="HJ18" s="1188"/>
      <c r="HK18" s="1188"/>
      <c r="HL18" s="1188"/>
      <c r="HM18" s="1188"/>
      <c r="HN18" s="1188"/>
      <c r="HO18" s="1188"/>
      <c r="HP18" s="1188"/>
      <c r="HQ18" s="1191"/>
      <c r="HR18" s="1188"/>
      <c r="HS18" s="1188"/>
      <c r="HT18" s="1188"/>
      <c r="HU18" s="1188"/>
      <c r="HV18" s="1188"/>
      <c r="HW18" s="1190"/>
      <c r="HX18" s="1190"/>
      <c r="HY18" s="1190"/>
      <c r="HZ18" s="1190"/>
      <c r="IA18" s="1190"/>
      <c r="IB18" s="1190"/>
      <c r="IC18" s="1190"/>
      <c r="ID18" s="1190"/>
      <c r="IE18" s="1190"/>
      <c r="IF18" s="1192"/>
    </row>
    <row r="19" spans="1:240" ht="12.6" customHeight="1" x14ac:dyDescent="0.25">
      <c r="A19" s="1132" t="str">
        <f t="shared" si="1"/>
        <v/>
      </c>
      <c r="B19" s="1586" t="str">
        <f t="shared" si="2"/>
        <v/>
      </c>
      <c r="C19" s="1133" t="str">
        <f t="shared" si="3"/>
        <v/>
      </c>
      <c r="D19" s="1134" t="str">
        <f t="shared" si="4"/>
        <v/>
      </c>
      <c r="E19" s="1135" t="str">
        <f t="shared" si="5"/>
        <v/>
      </c>
      <c r="F19" s="1143" t="str">
        <f t="shared" si="6"/>
        <v/>
      </c>
      <c r="G19" s="1138" t="str">
        <f t="shared" si="7"/>
        <v/>
      </c>
      <c r="H19" s="1645" t="str">
        <f t="shared" si="8"/>
        <v/>
      </c>
      <c r="I19" s="1134" t="str">
        <f t="shared" si="9"/>
        <v/>
      </c>
      <c r="J19" s="1138" t="str">
        <f t="shared" si="10"/>
        <v/>
      </c>
      <c r="K19" s="1657" t="str">
        <f t="shared" si="11"/>
        <v/>
      </c>
      <c r="L19" s="1141" t="str">
        <f t="shared" si="12"/>
        <v/>
      </c>
      <c r="M19" s="1142" t="str">
        <f t="shared" si="13"/>
        <v/>
      </c>
      <c r="N19" s="1137" t="str">
        <f t="shared" si="14"/>
        <v/>
      </c>
      <c r="O19" s="1138" t="str">
        <f t="shared" si="15"/>
        <v/>
      </c>
      <c r="P19" s="1139" t="str">
        <f t="shared" si="16"/>
        <v/>
      </c>
      <c r="Q19" s="1134" t="str">
        <f t="shared" si="17"/>
        <v/>
      </c>
      <c r="R19" s="1138" t="str">
        <f t="shared" si="18"/>
        <v/>
      </c>
      <c r="S19" s="1140" t="str">
        <f t="shared" si="19"/>
        <v/>
      </c>
      <c r="T19" s="1143" t="str">
        <f t="shared" si="20"/>
        <v/>
      </c>
      <c r="U19" s="1138" t="str">
        <f t="shared" si="21"/>
        <v/>
      </c>
      <c r="V19" s="1134" t="str">
        <f t="shared" si="22"/>
        <v/>
      </c>
      <c r="W19" s="1138" t="str">
        <f t="shared" si="23"/>
        <v/>
      </c>
      <c r="X19" s="1142">
        <f t="shared" si="24"/>
        <v>0</v>
      </c>
      <c r="Y19" s="1647" t="str">
        <f t="shared" si="25"/>
        <v/>
      </c>
      <c r="Z19" s="1648" t="str">
        <f t="shared" si="26"/>
        <v/>
      </c>
      <c r="AA19" s="1649" t="str">
        <f t="shared" si="27"/>
        <v/>
      </c>
      <c r="AB19" s="1288"/>
      <c r="AC19" s="898" t="b">
        <v>0</v>
      </c>
      <c r="AD19" s="374">
        <f t="shared" si="28"/>
        <v>0</v>
      </c>
      <c r="AE19" s="375">
        <f t="shared" si="29"/>
        <v>0</v>
      </c>
      <c r="AF19" s="375">
        <f t="shared" si="30"/>
        <v>0</v>
      </c>
      <c r="AG19" s="375">
        <f t="shared" si="31"/>
        <v>0</v>
      </c>
      <c r="AH19" s="376">
        <f t="shared" si="32"/>
        <v>0</v>
      </c>
      <c r="AI19" s="377" t="b">
        <v>0</v>
      </c>
      <c r="AJ19" s="143">
        <f t="shared" si="33"/>
        <v>0</v>
      </c>
      <c r="AK19" s="771" t="str">
        <f t="shared" si="34"/>
        <v/>
      </c>
      <c r="AL19" s="877" t="str">
        <f t="shared" si="35"/>
        <v/>
      </c>
      <c r="AM19" s="771" t="str">
        <f t="shared" si="36"/>
        <v/>
      </c>
      <c r="AN19" s="771" t="str">
        <f t="shared" si="37"/>
        <v/>
      </c>
      <c r="AO19" s="771" t="str">
        <f t="shared" si="38"/>
        <v/>
      </c>
      <c r="AP19" s="771" t="b">
        <f>IF(ISERROR(AJ19),FALSE,IF(OR(AJ19=0,ISERROR(AL19),ISERROR(AM19),ISERROR(AN19),ISERROR(AO19)),FALSE,IF(AL19&lt;&gt;"",IF(ISERROR(VLOOKUP(SUBSTITUTE(SUBSTITUTE(C19,"R",""),"A",""),#REF!,1,FALSE)),FALSE,TRUE),TRUE)))</f>
        <v>0</v>
      </c>
      <c r="AQ19" s="945" t="e">
        <f t="shared" si="39"/>
        <v>#N/A</v>
      </c>
      <c r="AR19" s="877" t="b">
        <f t="shared" si="40"/>
        <v>0</v>
      </c>
      <c r="AS19" s="945" t="e">
        <f t="shared" si="41"/>
        <v>#N/A</v>
      </c>
      <c r="AT19" s="877" t="b">
        <f t="shared" si="42"/>
        <v>0</v>
      </c>
      <c r="AU19" s="878" t="str">
        <f t="shared" si="43"/>
        <v/>
      </c>
      <c r="AV19" s="771" t="str">
        <f t="shared" si="44"/>
        <v/>
      </c>
      <c r="AW19" s="771" t="str">
        <f t="shared" si="45"/>
        <v/>
      </c>
      <c r="AX19" s="771" t="str">
        <f t="shared" si="123"/>
        <v/>
      </c>
      <c r="AY19" s="946" t="e">
        <f t="shared" si="46"/>
        <v>#REF!</v>
      </c>
      <c r="AZ19" s="795" t="str">
        <f t="shared" si="47"/>
        <v/>
      </c>
      <c r="BA19" s="496"/>
      <c r="BB19" s="616"/>
      <c r="BC19" s="1567"/>
      <c r="BD19" s="682"/>
      <c r="BE19" s="683"/>
      <c r="BF19" s="684"/>
      <c r="BG19" s="660"/>
      <c r="BH19" s="901"/>
      <c r="BI19" s="902"/>
      <c r="BJ19" s="1508"/>
      <c r="BK19" s="661"/>
      <c r="BL19" s="662"/>
      <c r="BM19" s="663"/>
      <c r="BN19" s="664"/>
      <c r="BO19" s="616" t="str">
        <f>IF(ISERROR(CU19),"",IF(CU19="","",IF(VLOOKUP(BG19,#REF!,10,FALSE)="","","X")))</f>
        <v/>
      </c>
      <c r="BP19" s="687"/>
      <c r="BQ19" s="1430" t="str">
        <f t="shared" si="48"/>
        <v/>
      </c>
      <c r="BR19" s="839"/>
      <c r="BS19" s="660"/>
      <c r="BT19" s="661"/>
      <c r="BU19" s="662"/>
      <c r="BV19" s="1508"/>
      <c r="BW19" s="661"/>
      <c r="BX19" s="662"/>
      <c r="BY19" s="663"/>
      <c r="BZ19" s="664"/>
      <c r="CA19" s="625" t="str">
        <f>IF(ISERROR(DE19),"",IF(DE19="","",IF(VLOOKUP(BS19,#REF!,10,FALSE)="","","X")))</f>
        <v/>
      </c>
      <c r="CB19" s="687"/>
      <c r="CC19" s="1430" t="str">
        <f t="shared" si="49"/>
        <v/>
      </c>
      <c r="CD19" s="839"/>
      <c r="CE19" s="665"/>
      <c r="CF19" s="685"/>
      <c r="CG19" s="686"/>
      <c r="CH19" s="534" t="str">
        <f t="shared" si="50"/>
        <v/>
      </c>
      <c r="CI19" s="535" t="str">
        <f t="shared" si="51"/>
        <v/>
      </c>
      <c r="CJ19" s="536" t="str">
        <f t="shared" si="52"/>
        <v/>
      </c>
      <c r="CK19" s="537" t="str">
        <f t="shared" si="53"/>
        <v/>
      </c>
      <c r="CL19" s="538" t="str">
        <f t="shared" si="54"/>
        <v/>
      </c>
      <c r="CM19" s="539" t="str">
        <f t="shared" si="55"/>
        <v/>
      </c>
      <c r="CN19" s="540" t="str">
        <f t="shared" si="56"/>
        <v/>
      </c>
      <c r="CO19" s="541" t="str">
        <f t="shared" si="57"/>
        <v/>
      </c>
      <c r="CP19" s="558" t="str">
        <f t="shared" si="58"/>
        <v/>
      </c>
      <c r="CQ19" s="559" t="str">
        <f t="shared" si="59"/>
        <v/>
      </c>
      <c r="CR19" s="699" t="str">
        <f t="shared" si="60"/>
        <v/>
      </c>
      <c r="CS19" s="700" t="str">
        <f t="shared" si="61"/>
        <v/>
      </c>
      <c r="CU19" s="758" t="str">
        <f>IF(BG19="","",VLOOKUP(BG19,#REF!,12,FALSE))</f>
        <v/>
      </c>
      <c r="CV19" s="756" t="str">
        <f>IF(BG19="","",IF(ISBLANK(BP19),VLOOKUP(BG19,#REF!,13,FALSE),BP19))</f>
        <v/>
      </c>
      <c r="CW19" s="756" t="str">
        <f>IF(BG19="","",IF(VLOOKUP(BG19,#REF!,5,FALSE)="","R",UPPER(VLOOKUP(BG19,#REF!,5,FALSE))))</f>
        <v/>
      </c>
      <c r="CX19" s="756" t="str">
        <f>IF(BG19="","",IF(ISBLANK(BR19),VLOOKUP(BG19,#REF!,6,FALSE),BR19))</f>
        <v/>
      </c>
      <c r="CY19" s="1203" t="str">
        <f>IF(BG19="","",IF(VLOOKUP(BG19,#REF!,10,FALSE)="","",(IF(BO19="X",VLOOKUP(BG19,#REF!,10,FALSE),VALUE(BO19))*-1)))</f>
        <v/>
      </c>
      <c r="CZ19" s="1042" t="str">
        <f>IF(BG19="","",IF(VLOOKUP(BG19,#REF!,11,FALSE)="","2",(VLOOKUP(BG19,#REF!,11,FALSE))))</f>
        <v/>
      </c>
      <c r="DA19" s="756" t="str">
        <f>IF(BG19="","",IF(VLOOKUP(BG19,#REF!,7,FALSE)="","",(VLOOKUP(BG19,#REF!,7,FALSE)*-1)))</f>
        <v/>
      </c>
      <c r="DB19" s="756" t="str">
        <f>IF(BG19="","",IF(VLOOKUP(BG19,#REF!,8,FALSE)="",VLOOKUP(AU19,$DF$2:$DN$9,6,FALSE),(VLOOKUP(BG19,#REF!,8,FALSE))))</f>
        <v/>
      </c>
      <c r="DC19" s="756" t="str">
        <f>IF(BG19="","",VLOOKUP(BG19,#REF!,9,FALSE))</f>
        <v/>
      </c>
      <c r="DD19" s="757">
        <f t="shared" si="62"/>
        <v>0</v>
      </c>
      <c r="DE19" s="758" t="str">
        <f>IF(BS19="","",VLOOKUP(BS19,#REF!,12,FALSE))</f>
        <v/>
      </c>
      <c r="DF19" s="756" t="str">
        <f>IF(BS19="","",IF(ISBLANK(CB19),VLOOKUP(BS19,#REF!,13,FALSE),CB19))</f>
        <v/>
      </c>
      <c r="DG19" s="756" t="str">
        <f>IF(BS19="","",IF(VLOOKUP(BS19,#REF!,5,FALSE)="","R",UPPER(VLOOKUP(BS19,#REF!,5,FALSE))))</f>
        <v/>
      </c>
      <c r="DH19" s="756" t="str">
        <f>IF(BS19="","",IF(ISBLANK(CD19),VLOOKUP(BS19,#REF!,6,FALSE),CD19))</f>
        <v/>
      </c>
      <c r="DI19" s="1203" t="str">
        <f>IF(BS19="","",IF(VLOOKUP(BS19,#REF!,10,FALSE)="","",(IF(CA19="X",VLOOKUP(BS19,#REF!,10,FALSE),VALUE(CA19))*-1)))</f>
        <v/>
      </c>
      <c r="DJ19" s="1042" t="str">
        <f>IF(BS19="","",IF(VLOOKUP(BS19,#REF!,11,FALSE)="","2",(VLOOKUP(BS19,#REF!,11,FALSE))))</f>
        <v/>
      </c>
      <c r="DK19" s="756" t="str">
        <f>IF(BS19="","",IF(VLOOKUP(BS19,#REF!,7,FALSE)="","",(VLOOKUP(BS19,#REF!,7,FALSE)*-1)))</f>
        <v/>
      </c>
      <c r="DL19" s="756" t="str">
        <f>IF(BS19="","",IF(VLOOKUP(BS19,#REF!,8,FALSE)="",VLOOKUP(AU19,$DF$2:$DN$9,6,FALSE),(VLOOKUP(BS19,#REF!,8,FALSE))))</f>
        <v/>
      </c>
      <c r="DM19" s="756" t="str">
        <f>IF(BS19="","",VLOOKUP(BS19,#REF!,9,FALSE))</f>
        <v/>
      </c>
      <c r="DN19" s="757">
        <f t="shared" si="63"/>
        <v>0</v>
      </c>
      <c r="DO19" s="759">
        <f t="shared" si="64"/>
        <v>0</v>
      </c>
      <c r="DP19" s="763" t="str">
        <f t="shared" si="65"/>
        <v/>
      </c>
      <c r="DQ19" s="763" t="str">
        <f t="shared" si="66"/>
        <v/>
      </c>
      <c r="DR19" s="763" t="str">
        <f t="shared" si="67"/>
        <v/>
      </c>
      <c r="DS19" s="762">
        <f t="shared" si="68"/>
        <v>0</v>
      </c>
      <c r="DT19" s="762" t="e">
        <f t="shared" si="69"/>
        <v>#REF!</v>
      </c>
      <c r="DU19" s="762" t="str">
        <f t="shared" si="70"/>
        <v/>
      </c>
      <c r="DV19" s="763" t="str">
        <f t="shared" si="71"/>
        <v/>
      </c>
      <c r="DW19" s="795" t="str">
        <f t="shared" si="72"/>
        <v/>
      </c>
      <c r="DX19" s="926">
        <f t="shared" si="73"/>
        <v>0</v>
      </c>
      <c r="DY19" s="763">
        <f t="shared" si="74"/>
        <v>0</v>
      </c>
      <c r="DZ19" s="762" t="e">
        <f t="shared" si="75"/>
        <v>#REF!</v>
      </c>
      <c r="EA19" s="762" t="str">
        <f t="shared" si="76"/>
        <v/>
      </c>
      <c r="EB19" s="763" t="str">
        <f t="shared" si="77"/>
        <v/>
      </c>
      <c r="EC19" s="795" t="str">
        <f t="shared" si="78"/>
        <v/>
      </c>
      <c r="ED19" s="926">
        <f t="shared" si="79"/>
        <v>0</v>
      </c>
      <c r="EE19" s="1210" t="str">
        <f t="shared" si="80"/>
        <v/>
      </c>
      <c r="EF19" s="1210" t="str">
        <f t="shared" si="81"/>
        <v/>
      </c>
      <c r="EG19" s="1210" t="str">
        <f t="shared" si="82"/>
        <v/>
      </c>
      <c r="EH19" s="795" t="e">
        <f t="shared" si="83"/>
        <v>#N/A</v>
      </c>
      <c r="EI19" s="795" t="e">
        <f t="shared" si="84"/>
        <v>#N/A</v>
      </c>
      <c r="EJ19" s="763" t="str">
        <f t="shared" si="85"/>
        <v/>
      </c>
      <c r="EK19" s="763" t="str">
        <f t="shared" si="85"/>
        <v/>
      </c>
      <c r="EL19" s="1210" t="str">
        <f t="shared" si="86"/>
        <v/>
      </c>
      <c r="EM19" s="763" t="str">
        <f t="shared" si="87"/>
        <v/>
      </c>
      <c r="EN19" s="763" t="str">
        <f t="shared" si="88"/>
        <v/>
      </c>
      <c r="EO19" s="795" t="e">
        <f t="shared" si="89"/>
        <v>#N/A</v>
      </c>
      <c r="EP19" s="795" t="e">
        <f t="shared" si="90"/>
        <v>#N/A</v>
      </c>
      <c r="EQ19" s="1210" t="str">
        <f t="shared" si="91"/>
        <v/>
      </c>
      <c r="ER19" s="763" t="str">
        <f t="shared" si="91"/>
        <v/>
      </c>
      <c r="ES19" s="763" t="str">
        <f t="shared" si="92"/>
        <v/>
      </c>
      <c r="ET19" s="763" t="str">
        <f t="shared" si="93"/>
        <v/>
      </c>
      <c r="EU19" s="770" t="str">
        <f t="shared" si="94"/>
        <v/>
      </c>
      <c r="EV19" s="765" t="str">
        <f t="shared" si="95"/>
        <v/>
      </c>
      <c r="EW19" s="770"/>
      <c r="EX19" s="770" t="str">
        <f>IF(AND(CU19="G", ISBLANK(BK19), ISBLANK(BL19)),VLOOKUP(MIN(BH19:BI19),#REF!,2),IF(OR(CU19="B",CU19="G"),MIN(BK19:BL19),""))</f>
        <v/>
      </c>
      <c r="EY19" s="770" t="str">
        <f>IF(AND(CU19="G", ISBLANK(BK19), ISBLANK(BL19)),VLOOKUP(MAX(BH19:BI19),#REF!,2),IF(OR(CU19="B",CU19="G"),MAX(BK19:BL19),""))</f>
        <v/>
      </c>
      <c r="EZ19" s="770" t="str">
        <f t="shared" si="96"/>
        <v/>
      </c>
      <c r="FA19" s="770" t="str">
        <f>IF(AND(DE19="G", ISBLANK(BW19), ISBLANK(BX19)),VLOOKUP(MIN(BT19:BU19),#REF!,2),IF(OR(DE19="B", DE19="G"),MIN(BW19:BX19),""))</f>
        <v/>
      </c>
      <c r="FB19" s="770" t="str">
        <f>IF(AND(DE19="G", ISBLANK(BW19), ISBLANK(BX19)),VLOOKUP(MAX(BT19:BU19),#REF!,2),IF(OR(DE19="B", DE19="G"),MAX(BW19:BX19),""))</f>
        <v/>
      </c>
      <c r="FC19" s="770" t="str">
        <f t="shared" si="97"/>
        <v/>
      </c>
      <c r="FD19" s="762">
        <f t="shared" si="124"/>
        <v>0</v>
      </c>
      <c r="FE19" s="762">
        <f t="shared" si="98"/>
        <v>0</v>
      </c>
      <c r="FF19" s="762">
        <f t="shared" si="99"/>
        <v>0</v>
      </c>
      <c r="FG19" s="762" t="str">
        <f t="shared" si="100"/>
        <v/>
      </c>
      <c r="FH19" s="763" t="str">
        <f t="shared" si="101"/>
        <v/>
      </c>
      <c r="FI19" s="762">
        <f t="shared" si="125"/>
        <v>0</v>
      </c>
      <c r="FJ19" s="762">
        <f t="shared" si="102"/>
        <v>0</v>
      </c>
      <c r="FK19" s="762">
        <f t="shared" si="103"/>
        <v>0</v>
      </c>
      <c r="FL19" s="762" t="str">
        <f t="shared" si="104"/>
        <v/>
      </c>
      <c r="FM19" s="763" t="str">
        <f t="shared" si="105"/>
        <v/>
      </c>
      <c r="FN19" s="763" t="e">
        <f t="shared" si="106"/>
        <v>#VALUE!</v>
      </c>
      <c r="FO19" s="872" t="e">
        <f t="shared" si="107"/>
        <v>#VALUE!</v>
      </c>
      <c r="FP19" s="872" t="e">
        <f t="shared" si="108"/>
        <v>#VALUE!</v>
      </c>
      <c r="FQ19" s="771" t="e">
        <f t="shared" si="109"/>
        <v>#VALUE!</v>
      </c>
      <c r="FR19" s="772" t="e">
        <f t="shared" si="110"/>
        <v>#VALUE!</v>
      </c>
      <c r="FS19" s="773" t="str">
        <f t="shared" si="111"/>
        <v/>
      </c>
      <c r="FT19" s="774" t="str">
        <f t="shared" si="112"/>
        <v/>
      </c>
      <c r="FU19" s="809">
        <f t="shared" si="113"/>
        <v>0</v>
      </c>
      <c r="FV19" s="810">
        <f t="shared" si="114"/>
        <v>0</v>
      </c>
      <c r="GA19" s="542" t="str">
        <f t="shared" si="115"/>
        <v/>
      </c>
      <c r="GB19" s="562" t="str">
        <f t="shared" si="116"/>
        <v/>
      </c>
      <c r="GC19" s="564" t="str">
        <f t="shared" si="117"/>
        <v/>
      </c>
      <c r="GD19" s="565" t="str">
        <f t="shared" si="118"/>
        <v/>
      </c>
      <c r="GE19" s="563" t="str">
        <f t="shared" si="119"/>
        <v/>
      </c>
      <c r="GF19" s="543" t="str">
        <f t="shared" si="120"/>
        <v/>
      </c>
      <c r="GG19" s="1052"/>
      <c r="GH19" s="1053"/>
      <c r="GI19" s="1052"/>
      <c r="GJ19" s="1053"/>
      <c r="GK19" s="1521">
        <f t="shared" si="121"/>
        <v>0</v>
      </c>
      <c r="GL19" s="1519" t="e">
        <f t="shared" si="122"/>
        <v>#VALUE!</v>
      </c>
      <c r="GM19" s="1520" t="e">
        <f>IF(ABS(GK19-GL19)&gt;=#REF!,ABS(GK19-GL19),0)</f>
        <v>#VALUE!</v>
      </c>
      <c r="HA19" s="1187"/>
      <c r="HB19" s="1188"/>
      <c r="HC19" s="1188"/>
      <c r="HD19" s="1189"/>
      <c r="HE19" s="1190"/>
      <c r="HF19" s="1188"/>
      <c r="HG19" s="1188"/>
      <c r="HH19" s="1188"/>
      <c r="HI19" s="1191"/>
      <c r="HJ19" s="1188"/>
      <c r="HK19" s="1188"/>
      <c r="HL19" s="1188"/>
      <c r="HM19" s="1188"/>
      <c r="HN19" s="1188"/>
      <c r="HO19" s="1188"/>
      <c r="HP19" s="1188"/>
      <c r="HQ19" s="1191"/>
      <c r="HR19" s="1188"/>
      <c r="HS19" s="1188"/>
      <c r="HT19" s="1188"/>
      <c r="HU19" s="1188"/>
      <c r="HV19" s="1188"/>
      <c r="HW19" s="1190"/>
      <c r="HX19" s="1190"/>
      <c r="HY19" s="1190"/>
      <c r="HZ19" s="1190"/>
      <c r="IA19" s="1190"/>
      <c r="IB19" s="1190"/>
      <c r="IC19" s="1190"/>
      <c r="ID19" s="1190"/>
      <c r="IE19" s="1190"/>
      <c r="IF19" s="1192"/>
    </row>
    <row r="20" spans="1:240" ht="12.6" customHeight="1" x14ac:dyDescent="0.25">
      <c r="A20" s="1132" t="str">
        <f t="shared" si="1"/>
        <v/>
      </c>
      <c r="B20" s="1586" t="str">
        <f t="shared" si="2"/>
        <v/>
      </c>
      <c r="C20" s="1133" t="str">
        <f t="shared" si="3"/>
        <v/>
      </c>
      <c r="D20" s="1134" t="str">
        <f t="shared" si="4"/>
        <v/>
      </c>
      <c r="E20" s="1135" t="str">
        <f t="shared" si="5"/>
        <v/>
      </c>
      <c r="F20" s="1143" t="str">
        <f t="shared" si="6"/>
        <v/>
      </c>
      <c r="G20" s="1138" t="str">
        <f t="shared" si="7"/>
        <v/>
      </c>
      <c r="H20" s="1645" t="str">
        <f t="shared" si="8"/>
        <v/>
      </c>
      <c r="I20" s="1134" t="str">
        <f t="shared" si="9"/>
        <v/>
      </c>
      <c r="J20" s="1138" t="str">
        <f t="shared" si="10"/>
        <v/>
      </c>
      <c r="K20" s="1657" t="str">
        <f t="shared" si="11"/>
        <v/>
      </c>
      <c r="L20" s="1141" t="str">
        <f t="shared" si="12"/>
        <v/>
      </c>
      <c r="M20" s="1142" t="str">
        <f t="shared" si="13"/>
        <v/>
      </c>
      <c r="N20" s="1137" t="str">
        <f t="shared" si="14"/>
        <v/>
      </c>
      <c r="O20" s="1138" t="str">
        <f t="shared" si="15"/>
        <v/>
      </c>
      <c r="P20" s="1139" t="str">
        <f t="shared" si="16"/>
        <v/>
      </c>
      <c r="Q20" s="1134" t="str">
        <f t="shared" si="17"/>
        <v/>
      </c>
      <c r="R20" s="1138" t="str">
        <f t="shared" si="18"/>
        <v/>
      </c>
      <c r="S20" s="1140" t="str">
        <f t="shared" si="19"/>
        <v/>
      </c>
      <c r="T20" s="1143" t="str">
        <f t="shared" si="20"/>
        <v/>
      </c>
      <c r="U20" s="1138" t="str">
        <f t="shared" si="21"/>
        <v/>
      </c>
      <c r="V20" s="1134" t="str">
        <f t="shared" si="22"/>
        <v/>
      </c>
      <c r="W20" s="1138" t="str">
        <f t="shared" si="23"/>
        <v/>
      </c>
      <c r="X20" s="1142">
        <f t="shared" si="24"/>
        <v>0</v>
      </c>
      <c r="Y20" s="1647" t="str">
        <f t="shared" si="25"/>
        <v/>
      </c>
      <c r="Z20" s="1648" t="str">
        <f t="shared" si="26"/>
        <v/>
      </c>
      <c r="AA20" s="1649" t="str">
        <f t="shared" si="27"/>
        <v/>
      </c>
      <c r="AB20" s="1288"/>
      <c r="AC20" s="898" t="b">
        <v>0</v>
      </c>
      <c r="AD20" s="374">
        <f t="shared" si="28"/>
        <v>0</v>
      </c>
      <c r="AE20" s="375">
        <f t="shared" si="29"/>
        <v>0</v>
      </c>
      <c r="AF20" s="375">
        <f t="shared" si="30"/>
        <v>0</v>
      </c>
      <c r="AG20" s="375">
        <f t="shared" si="31"/>
        <v>0</v>
      </c>
      <c r="AH20" s="376">
        <f t="shared" si="32"/>
        <v>0</v>
      </c>
      <c r="AI20" s="377" t="b">
        <v>0</v>
      </c>
      <c r="AJ20" s="143">
        <f t="shared" si="33"/>
        <v>0</v>
      </c>
      <c r="AK20" s="771" t="str">
        <f t="shared" si="34"/>
        <v/>
      </c>
      <c r="AL20" s="877" t="str">
        <f t="shared" si="35"/>
        <v/>
      </c>
      <c r="AM20" s="771" t="str">
        <f t="shared" si="36"/>
        <v/>
      </c>
      <c r="AN20" s="771" t="str">
        <f t="shared" si="37"/>
        <v/>
      </c>
      <c r="AO20" s="771" t="str">
        <f t="shared" si="38"/>
        <v/>
      </c>
      <c r="AP20" s="771" t="b">
        <f>IF(ISERROR(AJ20),FALSE,IF(OR(AJ20=0,ISERROR(AL20),ISERROR(AM20),ISERROR(AN20),ISERROR(AO20)),FALSE,IF(AL20&lt;&gt;"",IF(ISERROR(VLOOKUP(SUBSTITUTE(SUBSTITUTE(C20,"R",""),"A",""),#REF!,1,FALSE)),FALSE,TRUE),TRUE)))</f>
        <v>0</v>
      </c>
      <c r="AQ20" s="945" t="e">
        <f t="shared" si="39"/>
        <v>#N/A</v>
      </c>
      <c r="AR20" s="877" t="b">
        <f t="shared" si="40"/>
        <v>0</v>
      </c>
      <c r="AS20" s="945" t="e">
        <f t="shared" si="41"/>
        <v>#N/A</v>
      </c>
      <c r="AT20" s="877" t="b">
        <f t="shared" si="42"/>
        <v>0</v>
      </c>
      <c r="AU20" s="878" t="str">
        <f t="shared" si="43"/>
        <v/>
      </c>
      <c r="AV20" s="771" t="str">
        <f t="shared" si="44"/>
        <v/>
      </c>
      <c r="AW20" s="771" t="str">
        <f t="shared" si="45"/>
        <v/>
      </c>
      <c r="AX20" s="771" t="str">
        <f t="shared" si="123"/>
        <v/>
      </c>
      <c r="AY20" s="946" t="e">
        <f t="shared" si="46"/>
        <v>#REF!</v>
      </c>
      <c r="AZ20" s="795" t="str">
        <f t="shared" si="47"/>
        <v/>
      </c>
      <c r="BA20" s="496"/>
      <c r="BB20" s="616"/>
      <c r="BC20" s="1567"/>
      <c r="BD20" s="682"/>
      <c r="BE20" s="683"/>
      <c r="BF20" s="684"/>
      <c r="BG20" s="660"/>
      <c r="BH20" s="901"/>
      <c r="BI20" s="902"/>
      <c r="BJ20" s="1508"/>
      <c r="BK20" s="661"/>
      <c r="BL20" s="662"/>
      <c r="BM20" s="663"/>
      <c r="BN20" s="664"/>
      <c r="BO20" s="616" t="str">
        <f>IF(ISERROR(CU20),"",IF(CU20="","",IF(VLOOKUP(BG20,#REF!,10,FALSE)="","","X")))</f>
        <v/>
      </c>
      <c r="BP20" s="687"/>
      <c r="BQ20" s="1430" t="str">
        <f t="shared" si="48"/>
        <v/>
      </c>
      <c r="BR20" s="839"/>
      <c r="BS20" s="660"/>
      <c r="BT20" s="661"/>
      <c r="BU20" s="662"/>
      <c r="BV20" s="1508"/>
      <c r="BW20" s="661"/>
      <c r="BX20" s="662"/>
      <c r="BY20" s="663"/>
      <c r="BZ20" s="664"/>
      <c r="CA20" s="625" t="str">
        <f>IF(ISERROR(DE20),"",IF(DE20="","",IF(VLOOKUP(BS20,#REF!,10,FALSE)="","","X")))</f>
        <v/>
      </c>
      <c r="CB20" s="687"/>
      <c r="CC20" s="1430" t="str">
        <f t="shared" si="49"/>
        <v/>
      </c>
      <c r="CD20" s="839"/>
      <c r="CE20" s="665"/>
      <c r="CF20" s="685"/>
      <c r="CG20" s="686"/>
      <c r="CH20" s="534" t="str">
        <f t="shared" si="50"/>
        <v/>
      </c>
      <c r="CI20" s="535" t="str">
        <f t="shared" si="51"/>
        <v/>
      </c>
      <c r="CJ20" s="536" t="str">
        <f t="shared" si="52"/>
        <v/>
      </c>
      <c r="CK20" s="537" t="str">
        <f t="shared" si="53"/>
        <v/>
      </c>
      <c r="CL20" s="538" t="str">
        <f t="shared" si="54"/>
        <v/>
      </c>
      <c r="CM20" s="539" t="str">
        <f t="shared" si="55"/>
        <v/>
      </c>
      <c r="CN20" s="540" t="str">
        <f t="shared" si="56"/>
        <v/>
      </c>
      <c r="CO20" s="541" t="str">
        <f t="shared" si="57"/>
        <v/>
      </c>
      <c r="CP20" s="558" t="str">
        <f t="shared" si="58"/>
        <v/>
      </c>
      <c r="CQ20" s="559" t="str">
        <f t="shared" si="59"/>
        <v/>
      </c>
      <c r="CR20" s="699" t="str">
        <f t="shared" si="60"/>
        <v/>
      </c>
      <c r="CS20" s="700" t="str">
        <f t="shared" si="61"/>
        <v/>
      </c>
      <c r="CU20" s="758" t="str">
        <f>IF(BG20="","",VLOOKUP(BG20,#REF!,12,FALSE))</f>
        <v/>
      </c>
      <c r="CV20" s="756" t="str">
        <f>IF(BG20="","",IF(ISBLANK(BP20),VLOOKUP(BG20,#REF!,13,FALSE),BP20))</f>
        <v/>
      </c>
      <c r="CW20" s="756" t="str">
        <f>IF(BG20="","",IF(VLOOKUP(BG20,#REF!,5,FALSE)="","R",UPPER(VLOOKUP(BG20,#REF!,5,FALSE))))</f>
        <v/>
      </c>
      <c r="CX20" s="756" t="str">
        <f>IF(BG20="","",IF(ISBLANK(BR20),VLOOKUP(BG20,#REF!,6,FALSE),BR20))</f>
        <v/>
      </c>
      <c r="CY20" s="1203" t="str">
        <f>IF(BG20="","",IF(VLOOKUP(BG20,#REF!,10,FALSE)="","",(IF(BO20="X",VLOOKUP(BG20,#REF!,10,FALSE),VALUE(BO20))*-1)))</f>
        <v/>
      </c>
      <c r="CZ20" s="1042" t="str">
        <f>IF(BG20="","",IF(VLOOKUP(BG20,#REF!,11,FALSE)="","2",(VLOOKUP(BG20,#REF!,11,FALSE))))</f>
        <v/>
      </c>
      <c r="DA20" s="756" t="str">
        <f>IF(BG20="","",IF(VLOOKUP(BG20,#REF!,7,FALSE)="","",(VLOOKUP(BG20,#REF!,7,FALSE)*-1)))</f>
        <v/>
      </c>
      <c r="DB20" s="756" t="str">
        <f>IF(BG20="","",IF(VLOOKUP(BG20,#REF!,8,FALSE)="",VLOOKUP(AU20,$DF$2:$DN$9,6,FALSE),(VLOOKUP(BG20,#REF!,8,FALSE))))</f>
        <v/>
      </c>
      <c r="DC20" s="756" t="str">
        <f>IF(BG20="","",VLOOKUP(BG20,#REF!,9,FALSE))</f>
        <v/>
      </c>
      <c r="DD20" s="757">
        <f t="shared" si="62"/>
        <v>0</v>
      </c>
      <c r="DE20" s="758" t="str">
        <f>IF(BS20="","",VLOOKUP(BS20,#REF!,12,FALSE))</f>
        <v/>
      </c>
      <c r="DF20" s="756" t="str">
        <f>IF(BS20="","",IF(ISBLANK(CB20),VLOOKUP(BS20,#REF!,13,FALSE),CB20))</f>
        <v/>
      </c>
      <c r="DG20" s="756" t="str">
        <f>IF(BS20="","",IF(VLOOKUP(BS20,#REF!,5,FALSE)="","R",UPPER(VLOOKUP(BS20,#REF!,5,FALSE))))</f>
        <v/>
      </c>
      <c r="DH20" s="756" t="str">
        <f>IF(BS20="","",IF(ISBLANK(CD20),VLOOKUP(BS20,#REF!,6,FALSE),CD20))</f>
        <v/>
      </c>
      <c r="DI20" s="1203" t="str">
        <f>IF(BS20="","",IF(VLOOKUP(BS20,#REF!,10,FALSE)="","",(IF(CA20="X",VLOOKUP(BS20,#REF!,10,FALSE),VALUE(CA20))*-1)))</f>
        <v/>
      </c>
      <c r="DJ20" s="1042" t="str">
        <f>IF(BS20="","",IF(VLOOKUP(BS20,#REF!,11,FALSE)="","2",(VLOOKUP(BS20,#REF!,11,FALSE))))</f>
        <v/>
      </c>
      <c r="DK20" s="756" t="str">
        <f>IF(BS20="","",IF(VLOOKUP(BS20,#REF!,7,FALSE)="","",(VLOOKUP(BS20,#REF!,7,FALSE)*-1)))</f>
        <v/>
      </c>
      <c r="DL20" s="756" t="str">
        <f>IF(BS20="","",IF(VLOOKUP(BS20,#REF!,8,FALSE)="",VLOOKUP(AU20,$DF$2:$DN$9,6,FALSE),(VLOOKUP(BS20,#REF!,8,FALSE))))</f>
        <v/>
      </c>
      <c r="DM20" s="756" t="str">
        <f>IF(BS20="","",VLOOKUP(BS20,#REF!,9,FALSE))</f>
        <v/>
      </c>
      <c r="DN20" s="757">
        <f t="shared" si="63"/>
        <v>0</v>
      </c>
      <c r="DO20" s="759">
        <f t="shared" si="64"/>
        <v>0</v>
      </c>
      <c r="DP20" s="763" t="str">
        <f t="shared" si="65"/>
        <v/>
      </c>
      <c r="DQ20" s="763" t="str">
        <f t="shared" si="66"/>
        <v/>
      </c>
      <c r="DR20" s="763" t="str">
        <f t="shared" si="67"/>
        <v/>
      </c>
      <c r="DS20" s="762">
        <f t="shared" si="68"/>
        <v>0</v>
      </c>
      <c r="DT20" s="762" t="e">
        <f t="shared" si="69"/>
        <v>#REF!</v>
      </c>
      <c r="DU20" s="762" t="str">
        <f t="shared" si="70"/>
        <v/>
      </c>
      <c r="DV20" s="763" t="str">
        <f t="shared" si="71"/>
        <v/>
      </c>
      <c r="DW20" s="795" t="str">
        <f t="shared" si="72"/>
        <v/>
      </c>
      <c r="DX20" s="926">
        <f t="shared" si="73"/>
        <v>0</v>
      </c>
      <c r="DY20" s="763">
        <f t="shared" si="74"/>
        <v>0</v>
      </c>
      <c r="DZ20" s="762" t="e">
        <f t="shared" si="75"/>
        <v>#REF!</v>
      </c>
      <c r="EA20" s="762" t="str">
        <f t="shared" si="76"/>
        <v/>
      </c>
      <c r="EB20" s="763" t="str">
        <f t="shared" si="77"/>
        <v/>
      </c>
      <c r="EC20" s="795" t="str">
        <f t="shared" si="78"/>
        <v/>
      </c>
      <c r="ED20" s="926">
        <f t="shared" si="79"/>
        <v>0</v>
      </c>
      <c r="EE20" s="1210" t="str">
        <f t="shared" si="80"/>
        <v/>
      </c>
      <c r="EF20" s="1210" t="str">
        <f t="shared" si="81"/>
        <v/>
      </c>
      <c r="EG20" s="1210" t="str">
        <f t="shared" si="82"/>
        <v/>
      </c>
      <c r="EH20" s="795" t="e">
        <f t="shared" si="83"/>
        <v>#N/A</v>
      </c>
      <c r="EI20" s="795" t="e">
        <f t="shared" si="84"/>
        <v>#N/A</v>
      </c>
      <c r="EJ20" s="763" t="str">
        <f t="shared" si="85"/>
        <v/>
      </c>
      <c r="EK20" s="763" t="str">
        <f t="shared" si="85"/>
        <v/>
      </c>
      <c r="EL20" s="1210" t="str">
        <f t="shared" si="86"/>
        <v/>
      </c>
      <c r="EM20" s="763" t="str">
        <f t="shared" si="87"/>
        <v/>
      </c>
      <c r="EN20" s="763" t="str">
        <f t="shared" si="88"/>
        <v/>
      </c>
      <c r="EO20" s="795" t="e">
        <f t="shared" si="89"/>
        <v>#N/A</v>
      </c>
      <c r="EP20" s="795" t="e">
        <f t="shared" si="90"/>
        <v>#N/A</v>
      </c>
      <c r="EQ20" s="1210" t="str">
        <f t="shared" si="91"/>
        <v/>
      </c>
      <c r="ER20" s="763" t="str">
        <f t="shared" si="91"/>
        <v/>
      </c>
      <c r="ES20" s="763" t="str">
        <f t="shared" si="92"/>
        <v/>
      </c>
      <c r="ET20" s="763" t="str">
        <f t="shared" si="93"/>
        <v/>
      </c>
      <c r="EU20" s="770" t="str">
        <f t="shared" si="94"/>
        <v/>
      </c>
      <c r="EV20" s="765" t="str">
        <f t="shared" si="95"/>
        <v/>
      </c>
      <c r="EW20" s="770"/>
      <c r="EX20" s="770" t="str">
        <f>IF(AND(CU20="G", ISBLANK(BK20), ISBLANK(BL20)),VLOOKUP(MIN(BH20:BI20),#REF!,2),IF(OR(CU20="B",CU20="G"),MIN(BK20:BL20),""))</f>
        <v/>
      </c>
      <c r="EY20" s="770" t="str">
        <f>IF(AND(CU20="G", ISBLANK(BK20), ISBLANK(BL20)),VLOOKUP(MAX(BH20:BI20),#REF!,2),IF(OR(CU20="B",CU20="G"),MAX(BK20:BL20),""))</f>
        <v/>
      </c>
      <c r="EZ20" s="770" t="str">
        <f t="shared" si="96"/>
        <v/>
      </c>
      <c r="FA20" s="770" t="str">
        <f>IF(AND(DE20="G", ISBLANK(BW20), ISBLANK(BX20)),VLOOKUP(MIN(BT20:BU20),#REF!,2),IF(OR(DE20="B", DE20="G"),MIN(BW20:BX20),""))</f>
        <v/>
      </c>
      <c r="FB20" s="770" t="str">
        <f>IF(AND(DE20="G", ISBLANK(BW20), ISBLANK(BX20)),VLOOKUP(MAX(BT20:BU20),#REF!,2),IF(OR(DE20="B", DE20="G"),MAX(BW20:BX20),""))</f>
        <v/>
      </c>
      <c r="FC20" s="770" t="str">
        <f t="shared" si="97"/>
        <v/>
      </c>
      <c r="FD20" s="762">
        <f t="shared" si="124"/>
        <v>0</v>
      </c>
      <c r="FE20" s="762">
        <f t="shared" si="98"/>
        <v>0</v>
      </c>
      <c r="FF20" s="762">
        <f t="shared" si="99"/>
        <v>0</v>
      </c>
      <c r="FG20" s="762" t="str">
        <f t="shared" si="100"/>
        <v/>
      </c>
      <c r="FH20" s="763" t="str">
        <f t="shared" si="101"/>
        <v/>
      </c>
      <c r="FI20" s="762">
        <f t="shared" si="125"/>
        <v>0</v>
      </c>
      <c r="FJ20" s="762">
        <f t="shared" si="102"/>
        <v>0</v>
      </c>
      <c r="FK20" s="762">
        <f t="shared" si="103"/>
        <v>0</v>
      </c>
      <c r="FL20" s="762" t="str">
        <f t="shared" si="104"/>
        <v/>
      </c>
      <c r="FM20" s="763" t="str">
        <f t="shared" si="105"/>
        <v/>
      </c>
      <c r="FN20" s="763" t="e">
        <f t="shared" si="106"/>
        <v>#VALUE!</v>
      </c>
      <c r="FO20" s="872" t="e">
        <f t="shared" si="107"/>
        <v>#VALUE!</v>
      </c>
      <c r="FP20" s="872" t="e">
        <f t="shared" si="108"/>
        <v>#VALUE!</v>
      </c>
      <c r="FQ20" s="771" t="e">
        <f t="shared" si="109"/>
        <v>#VALUE!</v>
      </c>
      <c r="FR20" s="772" t="e">
        <f t="shared" si="110"/>
        <v>#VALUE!</v>
      </c>
      <c r="FS20" s="773" t="str">
        <f t="shared" si="111"/>
        <v/>
      </c>
      <c r="FT20" s="774" t="str">
        <f t="shared" si="112"/>
        <v/>
      </c>
      <c r="FU20" s="809">
        <f t="shared" si="113"/>
        <v>0</v>
      </c>
      <c r="FV20" s="810">
        <f t="shared" si="114"/>
        <v>0</v>
      </c>
      <c r="GA20" s="542" t="str">
        <f t="shared" si="115"/>
        <v/>
      </c>
      <c r="GB20" s="562" t="str">
        <f t="shared" si="116"/>
        <v/>
      </c>
      <c r="GC20" s="564" t="str">
        <f t="shared" si="117"/>
        <v/>
      </c>
      <c r="GD20" s="565" t="str">
        <f t="shared" si="118"/>
        <v/>
      </c>
      <c r="GE20" s="563" t="str">
        <f t="shared" si="119"/>
        <v/>
      </c>
      <c r="GF20" s="543" t="str">
        <f t="shared" si="120"/>
        <v/>
      </c>
      <c r="GG20" s="1052"/>
      <c r="GH20" s="1053"/>
      <c r="GI20" s="1052"/>
      <c r="GJ20" s="1053"/>
      <c r="GK20" s="1521">
        <f t="shared" si="121"/>
        <v>0</v>
      </c>
      <c r="GL20" s="1519" t="e">
        <f t="shared" si="122"/>
        <v>#VALUE!</v>
      </c>
      <c r="GM20" s="1520" t="e">
        <f>IF(ABS(GK20-GL20)&gt;=#REF!,ABS(GK20-GL20),0)</f>
        <v>#VALUE!</v>
      </c>
      <c r="HA20" s="1187"/>
      <c r="HB20" s="1188"/>
      <c r="HC20" s="1188"/>
      <c r="HD20" s="1189"/>
      <c r="HE20" s="1190"/>
      <c r="HF20" s="1188"/>
      <c r="HG20" s="1188"/>
      <c r="HH20" s="1188"/>
      <c r="HI20" s="1191"/>
      <c r="HJ20" s="1188"/>
      <c r="HK20" s="1188"/>
      <c r="HL20" s="1188"/>
      <c r="HM20" s="1188"/>
      <c r="HN20" s="1188"/>
      <c r="HO20" s="1188"/>
      <c r="HP20" s="1188"/>
      <c r="HQ20" s="1191"/>
      <c r="HR20" s="1188"/>
      <c r="HS20" s="1188"/>
      <c r="HT20" s="1188"/>
      <c r="HU20" s="1188"/>
      <c r="HV20" s="1188"/>
      <c r="HW20" s="1190"/>
      <c r="HX20" s="1190"/>
      <c r="HY20" s="1190"/>
      <c r="HZ20" s="1190"/>
      <c r="IA20" s="1190"/>
      <c r="IB20" s="1190"/>
      <c r="IC20" s="1190"/>
      <c r="ID20" s="1190"/>
      <c r="IE20" s="1190"/>
      <c r="IF20" s="1192"/>
    </row>
    <row r="21" spans="1:240" ht="12.6" customHeight="1" x14ac:dyDescent="0.25">
      <c r="A21" s="1132" t="str">
        <f t="shared" si="1"/>
        <v/>
      </c>
      <c r="B21" s="1586" t="str">
        <f t="shared" si="2"/>
        <v/>
      </c>
      <c r="C21" s="1133" t="str">
        <f t="shared" si="3"/>
        <v/>
      </c>
      <c r="D21" s="1134" t="str">
        <f t="shared" si="4"/>
        <v/>
      </c>
      <c r="E21" s="1135" t="str">
        <f t="shared" si="5"/>
        <v/>
      </c>
      <c r="F21" s="1143" t="str">
        <f t="shared" si="6"/>
        <v/>
      </c>
      <c r="G21" s="1138" t="str">
        <f t="shared" si="7"/>
        <v/>
      </c>
      <c r="H21" s="1645" t="str">
        <f t="shared" si="8"/>
        <v/>
      </c>
      <c r="I21" s="1134" t="str">
        <f t="shared" si="9"/>
        <v/>
      </c>
      <c r="J21" s="1138" t="str">
        <f t="shared" si="10"/>
        <v/>
      </c>
      <c r="K21" s="1657" t="str">
        <f t="shared" si="11"/>
        <v/>
      </c>
      <c r="L21" s="1141" t="str">
        <f t="shared" si="12"/>
        <v/>
      </c>
      <c r="M21" s="1142" t="str">
        <f t="shared" si="13"/>
        <v/>
      </c>
      <c r="N21" s="1137" t="str">
        <f t="shared" si="14"/>
        <v/>
      </c>
      <c r="O21" s="1138" t="str">
        <f t="shared" si="15"/>
        <v/>
      </c>
      <c r="P21" s="1139" t="str">
        <f t="shared" si="16"/>
        <v/>
      </c>
      <c r="Q21" s="1134" t="str">
        <f t="shared" si="17"/>
        <v/>
      </c>
      <c r="R21" s="1138" t="str">
        <f t="shared" si="18"/>
        <v/>
      </c>
      <c r="S21" s="1140" t="str">
        <f t="shared" si="19"/>
        <v/>
      </c>
      <c r="T21" s="1143" t="str">
        <f t="shared" si="20"/>
        <v/>
      </c>
      <c r="U21" s="1138" t="str">
        <f t="shared" si="21"/>
        <v/>
      </c>
      <c r="V21" s="1134" t="str">
        <f t="shared" si="22"/>
        <v/>
      </c>
      <c r="W21" s="1138" t="str">
        <f t="shared" si="23"/>
        <v/>
      </c>
      <c r="X21" s="1142">
        <f t="shared" si="24"/>
        <v>0</v>
      </c>
      <c r="Y21" s="1647" t="str">
        <f t="shared" si="25"/>
        <v/>
      </c>
      <c r="Z21" s="1648" t="str">
        <f t="shared" si="26"/>
        <v/>
      </c>
      <c r="AA21" s="1649" t="str">
        <f t="shared" si="27"/>
        <v/>
      </c>
      <c r="AB21" s="1288"/>
      <c r="AC21" s="898" t="b">
        <v>0</v>
      </c>
      <c r="AD21" s="374">
        <f t="shared" si="28"/>
        <v>0</v>
      </c>
      <c r="AE21" s="375">
        <f t="shared" si="29"/>
        <v>0</v>
      </c>
      <c r="AF21" s="375">
        <f t="shared" si="30"/>
        <v>0</v>
      </c>
      <c r="AG21" s="375">
        <f t="shared" si="31"/>
        <v>0</v>
      </c>
      <c r="AH21" s="376">
        <f t="shared" si="32"/>
        <v>0</v>
      </c>
      <c r="AI21" s="377" t="b">
        <v>0</v>
      </c>
      <c r="AJ21" s="143">
        <f t="shared" si="33"/>
        <v>0</v>
      </c>
      <c r="AK21" s="771" t="str">
        <f t="shared" si="34"/>
        <v/>
      </c>
      <c r="AL21" s="877" t="str">
        <f t="shared" si="35"/>
        <v/>
      </c>
      <c r="AM21" s="771" t="str">
        <f t="shared" si="36"/>
        <v/>
      </c>
      <c r="AN21" s="771" t="str">
        <f t="shared" si="37"/>
        <v/>
      </c>
      <c r="AO21" s="771" t="str">
        <f t="shared" si="38"/>
        <v/>
      </c>
      <c r="AP21" s="771" t="b">
        <f>IF(ISERROR(AJ21),FALSE,IF(OR(AJ21=0,ISERROR(AL21),ISERROR(AM21),ISERROR(AN21),ISERROR(AO21)),FALSE,IF(AL21&lt;&gt;"",IF(ISERROR(VLOOKUP(SUBSTITUTE(SUBSTITUTE(C21,"R",""),"A",""),#REF!,1,FALSE)),FALSE,TRUE),TRUE)))</f>
        <v>0</v>
      </c>
      <c r="AQ21" s="945" t="e">
        <f t="shared" si="39"/>
        <v>#N/A</v>
      </c>
      <c r="AR21" s="877" t="b">
        <f t="shared" si="40"/>
        <v>0</v>
      </c>
      <c r="AS21" s="945" t="e">
        <f t="shared" si="41"/>
        <v>#N/A</v>
      </c>
      <c r="AT21" s="877" t="b">
        <f t="shared" si="42"/>
        <v>0</v>
      </c>
      <c r="AU21" s="878" t="str">
        <f t="shared" si="43"/>
        <v/>
      </c>
      <c r="AV21" s="771" t="str">
        <f t="shared" si="44"/>
        <v/>
      </c>
      <c r="AW21" s="771" t="str">
        <f t="shared" si="45"/>
        <v/>
      </c>
      <c r="AX21" s="771" t="str">
        <f t="shared" si="123"/>
        <v/>
      </c>
      <c r="AY21" s="946" t="e">
        <f t="shared" si="46"/>
        <v>#REF!</v>
      </c>
      <c r="AZ21" s="795" t="str">
        <f t="shared" si="47"/>
        <v/>
      </c>
      <c r="BA21" s="496"/>
      <c r="BB21" s="616"/>
      <c r="BC21" s="1567"/>
      <c r="BD21" s="682"/>
      <c r="BE21" s="683"/>
      <c r="BF21" s="684"/>
      <c r="BG21" s="660"/>
      <c r="BH21" s="901"/>
      <c r="BI21" s="902"/>
      <c r="BJ21" s="1508"/>
      <c r="BK21" s="661"/>
      <c r="BL21" s="662"/>
      <c r="BM21" s="663"/>
      <c r="BN21" s="664"/>
      <c r="BO21" s="616" t="str">
        <f>IF(ISERROR(CU21),"",IF(CU21="","",IF(VLOOKUP(BG21,#REF!,10,FALSE)="","","X")))</f>
        <v/>
      </c>
      <c r="BP21" s="687"/>
      <c r="BQ21" s="1430" t="str">
        <f t="shared" si="48"/>
        <v/>
      </c>
      <c r="BR21" s="839"/>
      <c r="BS21" s="660"/>
      <c r="BT21" s="661"/>
      <c r="BU21" s="662"/>
      <c r="BV21" s="1508"/>
      <c r="BW21" s="661"/>
      <c r="BX21" s="662"/>
      <c r="BY21" s="663"/>
      <c r="BZ21" s="664"/>
      <c r="CA21" s="625" t="str">
        <f>IF(ISERROR(DE21),"",IF(DE21="","",IF(VLOOKUP(BS21,#REF!,10,FALSE)="","","X")))</f>
        <v/>
      </c>
      <c r="CB21" s="687"/>
      <c r="CC21" s="1430" t="str">
        <f t="shared" si="49"/>
        <v/>
      </c>
      <c r="CD21" s="839"/>
      <c r="CE21" s="665"/>
      <c r="CF21" s="685"/>
      <c r="CG21" s="686"/>
      <c r="CH21" s="534" t="str">
        <f t="shared" si="50"/>
        <v/>
      </c>
      <c r="CI21" s="535" t="str">
        <f t="shared" si="51"/>
        <v/>
      </c>
      <c r="CJ21" s="536" t="str">
        <f t="shared" si="52"/>
        <v/>
      </c>
      <c r="CK21" s="537" t="str">
        <f t="shared" si="53"/>
        <v/>
      </c>
      <c r="CL21" s="538" t="str">
        <f t="shared" si="54"/>
        <v/>
      </c>
      <c r="CM21" s="539" t="str">
        <f t="shared" si="55"/>
        <v/>
      </c>
      <c r="CN21" s="540" t="str">
        <f t="shared" si="56"/>
        <v/>
      </c>
      <c r="CO21" s="541" t="str">
        <f t="shared" si="57"/>
        <v/>
      </c>
      <c r="CP21" s="558" t="str">
        <f t="shared" si="58"/>
        <v/>
      </c>
      <c r="CQ21" s="559" t="str">
        <f t="shared" si="59"/>
        <v/>
      </c>
      <c r="CR21" s="699" t="str">
        <f t="shared" si="60"/>
        <v/>
      </c>
      <c r="CS21" s="700" t="str">
        <f t="shared" si="61"/>
        <v/>
      </c>
      <c r="CU21" s="758" t="str">
        <f>IF(BG21="","",VLOOKUP(BG21,#REF!,12,FALSE))</f>
        <v/>
      </c>
      <c r="CV21" s="756" t="str">
        <f>IF(BG21="","",IF(ISBLANK(BP21),VLOOKUP(BG21,#REF!,13,FALSE),BP21))</f>
        <v/>
      </c>
      <c r="CW21" s="756" t="str">
        <f>IF(BG21="","",IF(VLOOKUP(BG21,#REF!,5,FALSE)="","R",UPPER(VLOOKUP(BG21,#REF!,5,FALSE))))</f>
        <v/>
      </c>
      <c r="CX21" s="756" t="str">
        <f>IF(BG21="","",IF(ISBLANK(BR21),VLOOKUP(BG21,#REF!,6,FALSE),BR21))</f>
        <v/>
      </c>
      <c r="CY21" s="1203" t="str">
        <f>IF(BG21="","",IF(VLOOKUP(BG21,#REF!,10,FALSE)="","",(IF(BO21="X",VLOOKUP(BG21,#REF!,10,FALSE),VALUE(BO21))*-1)))</f>
        <v/>
      </c>
      <c r="CZ21" s="1042" t="str">
        <f>IF(BG21="","",IF(VLOOKUP(BG21,#REF!,11,FALSE)="","2",(VLOOKUP(BG21,#REF!,11,FALSE))))</f>
        <v/>
      </c>
      <c r="DA21" s="756" t="str">
        <f>IF(BG21="","",IF(VLOOKUP(BG21,#REF!,7,FALSE)="","",(VLOOKUP(BG21,#REF!,7,FALSE)*-1)))</f>
        <v/>
      </c>
      <c r="DB21" s="756" t="str">
        <f>IF(BG21="","",IF(VLOOKUP(BG21,#REF!,8,FALSE)="",VLOOKUP(AU21,$DF$2:$DN$9,6,FALSE),(VLOOKUP(BG21,#REF!,8,FALSE))))</f>
        <v/>
      </c>
      <c r="DC21" s="756" t="str">
        <f>IF(BG21="","",VLOOKUP(BG21,#REF!,9,FALSE))</f>
        <v/>
      </c>
      <c r="DD21" s="757">
        <f t="shared" si="62"/>
        <v>0</v>
      </c>
      <c r="DE21" s="758" t="str">
        <f>IF(BS21="","",VLOOKUP(BS21,#REF!,12,FALSE))</f>
        <v/>
      </c>
      <c r="DF21" s="756" t="str">
        <f>IF(BS21="","",IF(ISBLANK(CB21),VLOOKUP(BS21,#REF!,13,FALSE),CB21))</f>
        <v/>
      </c>
      <c r="DG21" s="756" t="str">
        <f>IF(BS21="","",IF(VLOOKUP(BS21,#REF!,5,FALSE)="","R",UPPER(VLOOKUP(BS21,#REF!,5,FALSE))))</f>
        <v/>
      </c>
      <c r="DH21" s="756" t="str">
        <f>IF(BS21="","",IF(ISBLANK(CD21),VLOOKUP(BS21,#REF!,6,FALSE),CD21))</f>
        <v/>
      </c>
      <c r="DI21" s="1203" t="str">
        <f>IF(BS21="","",IF(VLOOKUP(BS21,#REF!,10,FALSE)="","",(IF(CA21="X",VLOOKUP(BS21,#REF!,10,FALSE),VALUE(CA21))*-1)))</f>
        <v/>
      </c>
      <c r="DJ21" s="1042" t="str">
        <f>IF(BS21="","",IF(VLOOKUP(BS21,#REF!,11,FALSE)="","2",(VLOOKUP(BS21,#REF!,11,FALSE))))</f>
        <v/>
      </c>
      <c r="DK21" s="756" t="str">
        <f>IF(BS21="","",IF(VLOOKUP(BS21,#REF!,7,FALSE)="","",(VLOOKUP(BS21,#REF!,7,FALSE)*-1)))</f>
        <v/>
      </c>
      <c r="DL21" s="756" t="str">
        <f>IF(BS21="","",IF(VLOOKUP(BS21,#REF!,8,FALSE)="",VLOOKUP(AU21,$DF$2:$DN$9,6,FALSE),(VLOOKUP(BS21,#REF!,8,FALSE))))</f>
        <v/>
      </c>
      <c r="DM21" s="756" t="str">
        <f>IF(BS21="","",VLOOKUP(BS21,#REF!,9,FALSE))</f>
        <v/>
      </c>
      <c r="DN21" s="757">
        <f t="shared" si="63"/>
        <v>0</v>
      </c>
      <c r="DO21" s="759">
        <f t="shared" si="64"/>
        <v>0</v>
      </c>
      <c r="DP21" s="763" t="str">
        <f t="shared" si="65"/>
        <v/>
      </c>
      <c r="DQ21" s="763" t="str">
        <f t="shared" si="66"/>
        <v/>
      </c>
      <c r="DR21" s="763" t="str">
        <f t="shared" si="67"/>
        <v/>
      </c>
      <c r="DS21" s="762">
        <f t="shared" si="68"/>
        <v>0</v>
      </c>
      <c r="DT21" s="762" t="e">
        <f t="shared" si="69"/>
        <v>#REF!</v>
      </c>
      <c r="DU21" s="762" t="str">
        <f t="shared" si="70"/>
        <v/>
      </c>
      <c r="DV21" s="763" t="str">
        <f t="shared" si="71"/>
        <v/>
      </c>
      <c r="DW21" s="795" t="str">
        <f t="shared" si="72"/>
        <v/>
      </c>
      <c r="DX21" s="926">
        <f t="shared" si="73"/>
        <v>0</v>
      </c>
      <c r="DY21" s="763">
        <f t="shared" si="74"/>
        <v>0</v>
      </c>
      <c r="DZ21" s="762" t="e">
        <f t="shared" si="75"/>
        <v>#REF!</v>
      </c>
      <c r="EA21" s="762" t="str">
        <f t="shared" si="76"/>
        <v/>
      </c>
      <c r="EB21" s="763" t="str">
        <f t="shared" si="77"/>
        <v/>
      </c>
      <c r="EC21" s="795" t="str">
        <f t="shared" si="78"/>
        <v/>
      </c>
      <c r="ED21" s="926">
        <f t="shared" si="79"/>
        <v>0</v>
      </c>
      <c r="EE21" s="1210" t="str">
        <f t="shared" si="80"/>
        <v/>
      </c>
      <c r="EF21" s="1210" t="str">
        <f t="shared" si="81"/>
        <v/>
      </c>
      <c r="EG21" s="1210" t="str">
        <f t="shared" si="82"/>
        <v/>
      </c>
      <c r="EH21" s="795" t="e">
        <f t="shared" si="83"/>
        <v>#N/A</v>
      </c>
      <c r="EI21" s="795" t="e">
        <f t="shared" si="84"/>
        <v>#N/A</v>
      </c>
      <c r="EJ21" s="763" t="str">
        <f t="shared" si="85"/>
        <v/>
      </c>
      <c r="EK21" s="763" t="str">
        <f t="shared" si="85"/>
        <v/>
      </c>
      <c r="EL21" s="1210" t="str">
        <f t="shared" si="86"/>
        <v/>
      </c>
      <c r="EM21" s="763" t="str">
        <f t="shared" si="87"/>
        <v/>
      </c>
      <c r="EN21" s="763" t="str">
        <f t="shared" si="88"/>
        <v/>
      </c>
      <c r="EO21" s="795" t="e">
        <f t="shared" si="89"/>
        <v>#N/A</v>
      </c>
      <c r="EP21" s="795" t="e">
        <f t="shared" si="90"/>
        <v>#N/A</v>
      </c>
      <c r="EQ21" s="1210" t="str">
        <f t="shared" si="91"/>
        <v/>
      </c>
      <c r="ER21" s="763" t="str">
        <f t="shared" si="91"/>
        <v/>
      </c>
      <c r="ES21" s="763" t="str">
        <f t="shared" si="92"/>
        <v/>
      </c>
      <c r="ET21" s="763" t="str">
        <f t="shared" si="93"/>
        <v/>
      </c>
      <c r="EU21" s="770" t="str">
        <f t="shared" si="94"/>
        <v/>
      </c>
      <c r="EV21" s="765" t="str">
        <f t="shared" si="95"/>
        <v/>
      </c>
      <c r="EW21" s="770"/>
      <c r="EX21" s="770" t="str">
        <f>IF(AND(CU21="G", ISBLANK(BK21), ISBLANK(BL21)),VLOOKUP(MIN(BH21:BI21),#REF!,2),IF(OR(CU21="B",CU21="G"),MIN(BK21:BL21),""))</f>
        <v/>
      </c>
      <c r="EY21" s="770" t="str">
        <f>IF(AND(CU21="G", ISBLANK(BK21), ISBLANK(BL21)),VLOOKUP(MAX(BH21:BI21),#REF!,2),IF(OR(CU21="B",CU21="G"),MAX(BK21:BL21),""))</f>
        <v/>
      </c>
      <c r="EZ21" s="770" t="str">
        <f t="shared" si="96"/>
        <v/>
      </c>
      <c r="FA21" s="770" t="str">
        <f>IF(AND(DE21="G", ISBLANK(BW21), ISBLANK(BX21)),VLOOKUP(MIN(BT21:BU21),#REF!,2),IF(OR(DE21="B", DE21="G"),MIN(BW21:BX21),""))</f>
        <v/>
      </c>
      <c r="FB21" s="770" t="str">
        <f>IF(AND(DE21="G", ISBLANK(BW21), ISBLANK(BX21)),VLOOKUP(MAX(BT21:BU21),#REF!,2),IF(OR(DE21="B", DE21="G"),MAX(BW21:BX21),""))</f>
        <v/>
      </c>
      <c r="FC21" s="770" t="str">
        <f t="shared" si="97"/>
        <v/>
      </c>
      <c r="FD21" s="762">
        <f t="shared" si="124"/>
        <v>0</v>
      </c>
      <c r="FE21" s="762">
        <f t="shared" si="98"/>
        <v>0</v>
      </c>
      <c r="FF21" s="762">
        <f t="shared" si="99"/>
        <v>0</v>
      </c>
      <c r="FG21" s="762" t="str">
        <f t="shared" si="100"/>
        <v/>
      </c>
      <c r="FH21" s="763" t="str">
        <f t="shared" si="101"/>
        <v/>
      </c>
      <c r="FI21" s="762">
        <f t="shared" si="125"/>
        <v>0</v>
      </c>
      <c r="FJ21" s="762">
        <f t="shared" si="102"/>
        <v>0</v>
      </c>
      <c r="FK21" s="762">
        <f t="shared" si="103"/>
        <v>0</v>
      </c>
      <c r="FL21" s="762" t="str">
        <f t="shared" si="104"/>
        <v/>
      </c>
      <c r="FM21" s="763" t="str">
        <f t="shared" si="105"/>
        <v/>
      </c>
      <c r="FN21" s="763" t="e">
        <f t="shared" si="106"/>
        <v>#VALUE!</v>
      </c>
      <c r="FO21" s="872" t="e">
        <f t="shared" si="107"/>
        <v>#VALUE!</v>
      </c>
      <c r="FP21" s="872" t="e">
        <f t="shared" si="108"/>
        <v>#VALUE!</v>
      </c>
      <c r="FQ21" s="771" t="e">
        <f t="shared" si="109"/>
        <v>#VALUE!</v>
      </c>
      <c r="FR21" s="772" t="e">
        <f t="shared" si="110"/>
        <v>#VALUE!</v>
      </c>
      <c r="FS21" s="773" t="str">
        <f t="shared" si="111"/>
        <v/>
      </c>
      <c r="FT21" s="774" t="str">
        <f t="shared" si="112"/>
        <v/>
      </c>
      <c r="FU21" s="809">
        <f t="shared" si="113"/>
        <v>0</v>
      </c>
      <c r="FV21" s="810">
        <f t="shared" si="114"/>
        <v>0</v>
      </c>
      <c r="GA21" s="542" t="str">
        <f t="shared" si="115"/>
        <v/>
      </c>
      <c r="GB21" s="562" t="str">
        <f t="shared" si="116"/>
        <v/>
      </c>
      <c r="GC21" s="564" t="str">
        <f t="shared" si="117"/>
        <v/>
      </c>
      <c r="GD21" s="565" t="str">
        <f t="shared" si="118"/>
        <v/>
      </c>
      <c r="GE21" s="563" t="str">
        <f t="shared" si="119"/>
        <v/>
      </c>
      <c r="GF21" s="543" t="str">
        <f t="shared" si="120"/>
        <v/>
      </c>
      <c r="GG21" s="1052"/>
      <c r="GH21" s="1053"/>
      <c r="GI21" s="1052"/>
      <c r="GJ21" s="1053"/>
      <c r="GK21" s="1521">
        <f t="shared" si="121"/>
        <v>0</v>
      </c>
      <c r="GL21" s="1519" t="e">
        <f t="shared" si="122"/>
        <v>#VALUE!</v>
      </c>
      <c r="GM21" s="1520" t="e">
        <f>IF(ABS(GK21-GL21)&gt;=#REF!,ABS(GK21-GL21),0)</f>
        <v>#VALUE!</v>
      </c>
      <c r="HA21" s="1187"/>
      <c r="HB21" s="1188"/>
      <c r="HC21" s="1188"/>
      <c r="HD21" s="1189"/>
      <c r="HE21" s="1190"/>
      <c r="HF21" s="1188"/>
      <c r="HG21" s="1188"/>
      <c r="HH21" s="1188"/>
      <c r="HI21" s="1191"/>
      <c r="HJ21" s="1188"/>
      <c r="HK21" s="1188"/>
      <c r="HL21" s="1188"/>
      <c r="HM21" s="1188"/>
      <c r="HN21" s="1188"/>
      <c r="HO21" s="1188"/>
      <c r="HP21" s="1188"/>
      <c r="HQ21" s="1191"/>
      <c r="HR21" s="1188"/>
      <c r="HS21" s="1188"/>
      <c r="HT21" s="1188"/>
      <c r="HU21" s="1188"/>
      <c r="HV21" s="1188"/>
      <c r="HW21" s="1190"/>
      <c r="HX21" s="1190"/>
      <c r="HY21" s="1190"/>
      <c r="HZ21" s="1190"/>
      <c r="IA21" s="1190"/>
      <c r="IB21" s="1190"/>
      <c r="IC21" s="1190"/>
      <c r="ID21" s="1190"/>
      <c r="IE21" s="1190"/>
      <c r="IF21" s="1192"/>
    </row>
    <row r="22" spans="1:240" ht="12.6" customHeight="1" x14ac:dyDescent="0.25">
      <c r="A22" s="1132" t="str">
        <f t="shared" si="1"/>
        <v/>
      </c>
      <c r="B22" s="1586" t="str">
        <f t="shared" si="2"/>
        <v/>
      </c>
      <c r="C22" s="1133" t="str">
        <f t="shared" si="3"/>
        <v/>
      </c>
      <c r="D22" s="1134" t="str">
        <f t="shared" si="4"/>
        <v/>
      </c>
      <c r="E22" s="1135" t="str">
        <f t="shared" si="5"/>
        <v/>
      </c>
      <c r="F22" s="1143" t="str">
        <f t="shared" si="6"/>
        <v/>
      </c>
      <c r="G22" s="1138" t="str">
        <f t="shared" si="7"/>
        <v/>
      </c>
      <c r="H22" s="1645" t="str">
        <f t="shared" si="8"/>
        <v/>
      </c>
      <c r="I22" s="1134" t="str">
        <f t="shared" si="9"/>
        <v/>
      </c>
      <c r="J22" s="1138" t="str">
        <f t="shared" si="10"/>
        <v/>
      </c>
      <c r="K22" s="1657" t="str">
        <f t="shared" si="11"/>
        <v/>
      </c>
      <c r="L22" s="1141" t="str">
        <f t="shared" si="12"/>
        <v/>
      </c>
      <c r="M22" s="1142" t="str">
        <f t="shared" si="13"/>
        <v/>
      </c>
      <c r="N22" s="1137" t="str">
        <f t="shared" si="14"/>
        <v/>
      </c>
      <c r="O22" s="1138" t="str">
        <f t="shared" si="15"/>
        <v/>
      </c>
      <c r="P22" s="1139" t="str">
        <f t="shared" si="16"/>
        <v/>
      </c>
      <c r="Q22" s="1134" t="str">
        <f t="shared" si="17"/>
        <v/>
      </c>
      <c r="R22" s="1138" t="str">
        <f t="shared" si="18"/>
        <v/>
      </c>
      <c r="S22" s="1140" t="str">
        <f t="shared" si="19"/>
        <v/>
      </c>
      <c r="T22" s="1143" t="str">
        <f t="shared" si="20"/>
        <v/>
      </c>
      <c r="U22" s="1138" t="str">
        <f t="shared" si="21"/>
        <v/>
      </c>
      <c r="V22" s="1134" t="str">
        <f t="shared" si="22"/>
        <v/>
      </c>
      <c r="W22" s="1138" t="str">
        <f t="shared" si="23"/>
        <v/>
      </c>
      <c r="X22" s="1142">
        <f t="shared" si="24"/>
        <v>0</v>
      </c>
      <c r="Y22" s="1647" t="str">
        <f t="shared" si="25"/>
        <v/>
      </c>
      <c r="Z22" s="1648" t="str">
        <f t="shared" si="26"/>
        <v/>
      </c>
      <c r="AA22" s="1649" t="str">
        <f t="shared" si="27"/>
        <v/>
      </c>
      <c r="AB22" s="1288"/>
      <c r="AC22" s="898" t="b">
        <v>0</v>
      </c>
      <c r="AD22" s="374">
        <f t="shared" si="28"/>
        <v>0</v>
      </c>
      <c r="AE22" s="375">
        <f t="shared" si="29"/>
        <v>0</v>
      </c>
      <c r="AF22" s="375">
        <f t="shared" si="30"/>
        <v>0</v>
      </c>
      <c r="AG22" s="375">
        <f t="shared" si="31"/>
        <v>0</v>
      </c>
      <c r="AH22" s="376">
        <f t="shared" si="32"/>
        <v>0</v>
      </c>
      <c r="AI22" s="377" t="b">
        <v>0</v>
      </c>
      <c r="AJ22" s="143">
        <f t="shared" si="33"/>
        <v>0</v>
      </c>
      <c r="AK22" s="771" t="str">
        <f t="shared" si="34"/>
        <v/>
      </c>
      <c r="AL22" s="877" t="str">
        <f t="shared" si="35"/>
        <v/>
      </c>
      <c r="AM22" s="771" t="str">
        <f t="shared" si="36"/>
        <v/>
      </c>
      <c r="AN22" s="771" t="str">
        <f t="shared" si="37"/>
        <v/>
      </c>
      <c r="AO22" s="771" t="str">
        <f t="shared" si="38"/>
        <v/>
      </c>
      <c r="AP22" s="771" t="b">
        <f>IF(ISERROR(AJ22),FALSE,IF(OR(AJ22=0,ISERROR(AL22),ISERROR(AM22),ISERROR(AN22),ISERROR(AO22)),FALSE,IF(AL22&lt;&gt;"",IF(ISERROR(VLOOKUP(SUBSTITUTE(SUBSTITUTE(C22,"R",""),"A",""),#REF!,1,FALSE)),FALSE,TRUE),TRUE)))</f>
        <v>0</v>
      </c>
      <c r="AQ22" s="945" t="e">
        <f t="shared" si="39"/>
        <v>#N/A</v>
      </c>
      <c r="AR22" s="877" t="b">
        <f t="shared" si="40"/>
        <v>0</v>
      </c>
      <c r="AS22" s="945" t="e">
        <f t="shared" si="41"/>
        <v>#N/A</v>
      </c>
      <c r="AT22" s="877" t="b">
        <f t="shared" si="42"/>
        <v>0</v>
      </c>
      <c r="AU22" s="878" t="str">
        <f t="shared" si="43"/>
        <v/>
      </c>
      <c r="AV22" s="771" t="str">
        <f t="shared" si="44"/>
        <v/>
      </c>
      <c r="AW22" s="771" t="str">
        <f t="shared" si="45"/>
        <v/>
      </c>
      <c r="AX22" s="771" t="str">
        <f t="shared" si="123"/>
        <v/>
      </c>
      <c r="AY22" s="946" t="e">
        <f t="shared" si="46"/>
        <v>#REF!</v>
      </c>
      <c r="AZ22" s="795" t="str">
        <f t="shared" si="47"/>
        <v/>
      </c>
      <c r="BA22" s="496"/>
      <c r="BB22" s="616"/>
      <c r="BC22" s="1567"/>
      <c r="BD22" s="682"/>
      <c r="BE22" s="683"/>
      <c r="BF22" s="684"/>
      <c r="BG22" s="660"/>
      <c r="BH22" s="901"/>
      <c r="BI22" s="902"/>
      <c r="BJ22" s="1508"/>
      <c r="BK22" s="661"/>
      <c r="BL22" s="662"/>
      <c r="BM22" s="663"/>
      <c r="BN22" s="664"/>
      <c r="BO22" s="616" t="str">
        <f>IF(ISERROR(CU22),"",IF(CU22="","",IF(VLOOKUP(BG22,#REF!,10,FALSE)="","","X")))</f>
        <v/>
      </c>
      <c r="BP22" s="687"/>
      <c r="BQ22" s="1430" t="str">
        <f t="shared" si="48"/>
        <v/>
      </c>
      <c r="BR22" s="839"/>
      <c r="BS22" s="660"/>
      <c r="BT22" s="661"/>
      <c r="BU22" s="662"/>
      <c r="BV22" s="1508"/>
      <c r="BW22" s="661"/>
      <c r="BX22" s="662"/>
      <c r="BY22" s="663"/>
      <c r="BZ22" s="664"/>
      <c r="CA22" s="625" t="str">
        <f>IF(ISERROR(DE22),"",IF(DE22="","",IF(VLOOKUP(BS22,#REF!,10,FALSE)="","","X")))</f>
        <v/>
      </c>
      <c r="CB22" s="687"/>
      <c r="CC22" s="1430" t="str">
        <f t="shared" si="49"/>
        <v/>
      </c>
      <c r="CD22" s="839"/>
      <c r="CE22" s="665"/>
      <c r="CF22" s="685"/>
      <c r="CG22" s="686"/>
      <c r="CH22" s="534" t="str">
        <f t="shared" si="50"/>
        <v/>
      </c>
      <c r="CI22" s="535" t="str">
        <f t="shared" si="51"/>
        <v/>
      </c>
      <c r="CJ22" s="536" t="str">
        <f t="shared" si="52"/>
        <v/>
      </c>
      <c r="CK22" s="537" t="str">
        <f t="shared" si="53"/>
        <v/>
      </c>
      <c r="CL22" s="538" t="str">
        <f t="shared" si="54"/>
        <v/>
      </c>
      <c r="CM22" s="539" t="str">
        <f t="shared" si="55"/>
        <v/>
      </c>
      <c r="CN22" s="540" t="str">
        <f t="shared" si="56"/>
        <v/>
      </c>
      <c r="CO22" s="541" t="str">
        <f t="shared" si="57"/>
        <v/>
      </c>
      <c r="CP22" s="558" t="str">
        <f t="shared" si="58"/>
        <v/>
      </c>
      <c r="CQ22" s="559" t="str">
        <f t="shared" si="59"/>
        <v/>
      </c>
      <c r="CR22" s="699" t="str">
        <f t="shared" si="60"/>
        <v/>
      </c>
      <c r="CS22" s="700" t="str">
        <f t="shared" si="61"/>
        <v/>
      </c>
      <c r="CU22" s="758" t="str">
        <f>IF(BG22="","",VLOOKUP(BG22,#REF!,12,FALSE))</f>
        <v/>
      </c>
      <c r="CV22" s="756" t="str">
        <f>IF(BG22="","",IF(ISBLANK(BP22),VLOOKUP(BG22,#REF!,13,FALSE),BP22))</f>
        <v/>
      </c>
      <c r="CW22" s="756" t="str">
        <f>IF(BG22="","",IF(VLOOKUP(BG22,#REF!,5,FALSE)="","R",UPPER(VLOOKUP(BG22,#REF!,5,FALSE))))</f>
        <v/>
      </c>
      <c r="CX22" s="756" t="str">
        <f>IF(BG22="","",IF(ISBLANK(BR22),VLOOKUP(BG22,#REF!,6,FALSE),BR22))</f>
        <v/>
      </c>
      <c r="CY22" s="1203" t="str">
        <f>IF(BG22="","",IF(VLOOKUP(BG22,#REF!,10,FALSE)="","",(IF(BO22="X",VLOOKUP(BG22,#REF!,10,FALSE),VALUE(BO22))*-1)))</f>
        <v/>
      </c>
      <c r="CZ22" s="1042" t="str">
        <f>IF(BG22="","",IF(VLOOKUP(BG22,#REF!,11,FALSE)="","2",(VLOOKUP(BG22,#REF!,11,FALSE))))</f>
        <v/>
      </c>
      <c r="DA22" s="756" t="str">
        <f>IF(BG22="","",IF(VLOOKUP(BG22,#REF!,7,FALSE)="","",(VLOOKUP(BG22,#REF!,7,FALSE)*-1)))</f>
        <v/>
      </c>
      <c r="DB22" s="756" t="str">
        <f>IF(BG22="","",IF(VLOOKUP(BG22,#REF!,8,FALSE)="",VLOOKUP(AU22,$DF$2:$DN$9,6,FALSE),(VLOOKUP(BG22,#REF!,8,FALSE))))</f>
        <v/>
      </c>
      <c r="DC22" s="756" t="str">
        <f>IF(BG22="","",VLOOKUP(BG22,#REF!,9,FALSE))</f>
        <v/>
      </c>
      <c r="DD22" s="757">
        <f t="shared" si="62"/>
        <v>0</v>
      </c>
      <c r="DE22" s="758" t="str">
        <f>IF(BS22="","",VLOOKUP(BS22,#REF!,12,FALSE))</f>
        <v/>
      </c>
      <c r="DF22" s="756" t="str">
        <f>IF(BS22="","",IF(ISBLANK(CB22),VLOOKUP(BS22,#REF!,13,FALSE),CB22))</f>
        <v/>
      </c>
      <c r="DG22" s="756" t="str">
        <f>IF(BS22="","",IF(VLOOKUP(BS22,#REF!,5,FALSE)="","R",UPPER(VLOOKUP(BS22,#REF!,5,FALSE))))</f>
        <v/>
      </c>
      <c r="DH22" s="756" t="str">
        <f>IF(BS22="","",IF(ISBLANK(CD22),VLOOKUP(BS22,#REF!,6,FALSE),CD22))</f>
        <v/>
      </c>
      <c r="DI22" s="1203" t="str">
        <f>IF(BS22="","",IF(VLOOKUP(BS22,#REF!,10,FALSE)="","",(IF(CA22="X",VLOOKUP(BS22,#REF!,10,FALSE),VALUE(CA22))*-1)))</f>
        <v/>
      </c>
      <c r="DJ22" s="1042" t="str">
        <f>IF(BS22="","",IF(VLOOKUP(BS22,#REF!,11,FALSE)="","2",(VLOOKUP(BS22,#REF!,11,FALSE))))</f>
        <v/>
      </c>
      <c r="DK22" s="756" t="str">
        <f>IF(BS22="","",IF(VLOOKUP(BS22,#REF!,7,FALSE)="","",(VLOOKUP(BS22,#REF!,7,FALSE)*-1)))</f>
        <v/>
      </c>
      <c r="DL22" s="756" t="str">
        <f>IF(BS22="","",IF(VLOOKUP(BS22,#REF!,8,FALSE)="",VLOOKUP(AU22,$DF$2:$DN$9,6,FALSE),(VLOOKUP(BS22,#REF!,8,FALSE))))</f>
        <v/>
      </c>
      <c r="DM22" s="756" t="str">
        <f>IF(BS22="","",VLOOKUP(BS22,#REF!,9,FALSE))</f>
        <v/>
      </c>
      <c r="DN22" s="757">
        <f t="shared" si="63"/>
        <v>0</v>
      </c>
      <c r="DO22" s="759">
        <f t="shared" si="64"/>
        <v>0</v>
      </c>
      <c r="DP22" s="763" t="str">
        <f t="shared" si="65"/>
        <v/>
      </c>
      <c r="DQ22" s="763" t="str">
        <f t="shared" si="66"/>
        <v/>
      </c>
      <c r="DR22" s="763" t="str">
        <f t="shared" si="67"/>
        <v/>
      </c>
      <c r="DS22" s="762">
        <f t="shared" si="68"/>
        <v>0</v>
      </c>
      <c r="DT22" s="762" t="e">
        <f t="shared" si="69"/>
        <v>#REF!</v>
      </c>
      <c r="DU22" s="762" t="str">
        <f t="shared" si="70"/>
        <v/>
      </c>
      <c r="DV22" s="763" t="str">
        <f t="shared" si="71"/>
        <v/>
      </c>
      <c r="DW22" s="795" t="str">
        <f t="shared" si="72"/>
        <v/>
      </c>
      <c r="DX22" s="926">
        <f t="shared" si="73"/>
        <v>0</v>
      </c>
      <c r="DY22" s="763">
        <f t="shared" si="74"/>
        <v>0</v>
      </c>
      <c r="DZ22" s="762" t="e">
        <f t="shared" si="75"/>
        <v>#REF!</v>
      </c>
      <c r="EA22" s="762" t="str">
        <f t="shared" si="76"/>
        <v/>
      </c>
      <c r="EB22" s="763" t="str">
        <f t="shared" si="77"/>
        <v/>
      </c>
      <c r="EC22" s="795" t="str">
        <f t="shared" si="78"/>
        <v/>
      </c>
      <c r="ED22" s="926">
        <f t="shared" si="79"/>
        <v>0</v>
      </c>
      <c r="EE22" s="1210" t="str">
        <f t="shared" si="80"/>
        <v/>
      </c>
      <c r="EF22" s="1210" t="str">
        <f t="shared" si="81"/>
        <v/>
      </c>
      <c r="EG22" s="1210" t="str">
        <f t="shared" si="82"/>
        <v/>
      </c>
      <c r="EH22" s="795" t="e">
        <f t="shared" si="83"/>
        <v>#N/A</v>
      </c>
      <c r="EI22" s="795" t="e">
        <f t="shared" si="84"/>
        <v>#N/A</v>
      </c>
      <c r="EJ22" s="763" t="str">
        <f t="shared" si="85"/>
        <v/>
      </c>
      <c r="EK22" s="763" t="str">
        <f t="shared" si="85"/>
        <v/>
      </c>
      <c r="EL22" s="1210" t="str">
        <f t="shared" si="86"/>
        <v/>
      </c>
      <c r="EM22" s="763" t="str">
        <f t="shared" si="87"/>
        <v/>
      </c>
      <c r="EN22" s="763" t="str">
        <f t="shared" si="88"/>
        <v/>
      </c>
      <c r="EO22" s="795" t="e">
        <f t="shared" si="89"/>
        <v>#N/A</v>
      </c>
      <c r="EP22" s="795" t="e">
        <f t="shared" si="90"/>
        <v>#N/A</v>
      </c>
      <c r="EQ22" s="1210" t="str">
        <f t="shared" si="91"/>
        <v/>
      </c>
      <c r="ER22" s="763" t="str">
        <f t="shared" si="91"/>
        <v/>
      </c>
      <c r="ES22" s="763" t="str">
        <f t="shared" si="92"/>
        <v/>
      </c>
      <c r="ET22" s="763" t="str">
        <f t="shared" si="93"/>
        <v/>
      </c>
      <c r="EU22" s="770" t="str">
        <f t="shared" si="94"/>
        <v/>
      </c>
      <c r="EV22" s="765" t="str">
        <f t="shared" si="95"/>
        <v/>
      </c>
      <c r="EW22" s="770"/>
      <c r="EX22" s="770" t="str">
        <f>IF(AND(CU22="G", ISBLANK(BK22), ISBLANK(BL22)),VLOOKUP(MIN(BH22:BI22),#REF!,2),IF(OR(CU22="B",CU22="G"),MIN(BK22:BL22),""))</f>
        <v/>
      </c>
      <c r="EY22" s="770" t="str">
        <f>IF(AND(CU22="G", ISBLANK(BK22), ISBLANK(BL22)),VLOOKUP(MAX(BH22:BI22),#REF!,2),IF(OR(CU22="B",CU22="G"),MAX(BK22:BL22),""))</f>
        <v/>
      </c>
      <c r="EZ22" s="770" t="str">
        <f t="shared" si="96"/>
        <v/>
      </c>
      <c r="FA22" s="770" t="str">
        <f>IF(AND(DE22="G", ISBLANK(BW22), ISBLANK(BX22)),VLOOKUP(MIN(BT22:BU22),#REF!,2),IF(OR(DE22="B", DE22="G"),MIN(BW22:BX22),""))</f>
        <v/>
      </c>
      <c r="FB22" s="770" t="str">
        <f>IF(AND(DE22="G", ISBLANK(BW22), ISBLANK(BX22)),VLOOKUP(MAX(BT22:BU22),#REF!,2),IF(OR(DE22="B", DE22="G"),MAX(BW22:BX22),""))</f>
        <v/>
      </c>
      <c r="FC22" s="770" t="str">
        <f t="shared" si="97"/>
        <v/>
      </c>
      <c r="FD22" s="762">
        <f t="shared" si="124"/>
        <v>0</v>
      </c>
      <c r="FE22" s="762">
        <f t="shared" si="98"/>
        <v>0</v>
      </c>
      <c r="FF22" s="762">
        <f t="shared" si="99"/>
        <v>0</v>
      </c>
      <c r="FG22" s="762" t="str">
        <f t="shared" si="100"/>
        <v/>
      </c>
      <c r="FH22" s="763" t="str">
        <f t="shared" si="101"/>
        <v/>
      </c>
      <c r="FI22" s="762">
        <f t="shared" si="125"/>
        <v>0</v>
      </c>
      <c r="FJ22" s="762">
        <f t="shared" si="102"/>
        <v>0</v>
      </c>
      <c r="FK22" s="762">
        <f t="shared" si="103"/>
        <v>0</v>
      </c>
      <c r="FL22" s="762" t="str">
        <f t="shared" si="104"/>
        <v/>
      </c>
      <c r="FM22" s="763" t="str">
        <f t="shared" si="105"/>
        <v/>
      </c>
      <c r="FN22" s="763" t="e">
        <f t="shared" si="106"/>
        <v>#VALUE!</v>
      </c>
      <c r="FO22" s="872" t="e">
        <f t="shared" si="107"/>
        <v>#VALUE!</v>
      </c>
      <c r="FP22" s="872" t="e">
        <f t="shared" si="108"/>
        <v>#VALUE!</v>
      </c>
      <c r="FQ22" s="771" t="e">
        <f t="shared" si="109"/>
        <v>#VALUE!</v>
      </c>
      <c r="FR22" s="772" t="e">
        <f t="shared" si="110"/>
        <v>#VALUE!</v>
      </c>
      <c r="FS22" s="773" t="str">
        <f t="shared" si="111"/>
        <v/>
      </c>
      <c r="FT22" s="774" t="str">
        <f t="shared" si="112"/>
        <v/>
      </c>
      <c r="FU22" s="809">
        <f t="shared" si="113"/>
        <v>0</v>
      </c>
      <c r="FV22" s="810">
        <f t="shared" si="114"/>
        <v>0</v>
      </c>
      <c r="GA22" s="542" t="str">
        <f t="shared" si="115"/>
        <v/>
      </c>
      <c r="GB22" s="562" t="str">
        <f t="shared" si="116"/>
        <v/>
      </c>
      <c r="GC22" s="564" t="str">
        <f t="shared" si="117"/>
        <v/>
      </c>
      <c r="GD22" s="565" t="str">
        <f t="shared" si="118"/>
        <v/>
      </c>
      <c r="GE22" s="563" t="str">
        <f t="shared" si="119"/>
        <v/>
      </c>
      <c r="GF22" s="543" t="str">
        <f t="shared" si="120"/>
        <v/>
      </c>
      <c r="GG22" s="1052"/>
      <c r="GH22" s="1053"/>
      <c r="GI22" s="1052"/>
      <c r="GJ22" s="1053"/>
      <c r="GK22" s="1521">
        <f t="shared" si="121"/>
        <v>0</v>
      </c>
      <c r="GL22" s="1519" t="e">
        <f t="shared" si="122"/>
        <v>#VALUE!</v>
      </c>
      <c r="GM22" s="1520" t="e">
        <f>IF(ABS(GK22-GL22)&gt;=#REF!,ABS(GK22-GL22),0)</f>
        <v>#VALUE!</v>
      </c>
      <c r="HA22" s="1187"/>
      <c r="HB22" s="1188"/>
      <c r="HC22" s="1188"/>
      <c r="HD22" s="1189"/>
      <c r="HE22" s="1190"/>
      <c r="HF22" s="1188"/>
      <c r="HG22" s="1188"/>
      <c r="HH22" s="1188"/>
      <c r="HI22" s="1191"/>
      <c r="HJ22" s="1188"/>
      <c r="HK22" s="1188"/>
      <c r="HL22" s="1188"/>
      <c r="HM22" s="1188"/>
      <c r="HN22" s="1188"/>
      <c r="HO22" s="1188"/>
      <c r="HP22" s="1188"/>
      <c r="HQ22" s="1191"/>
      <c r="HR22" s="1188"/>
      <c r="HS22" s="1188"/>
      <c r="HT22" s="1188"/>
      <c r="HU22" s="1188"/>
      <c r="HV22" s="1188"/>
      <c r="HW22" s="1190"/>
      <c r="HX22" s="1190"/>
      <c r="HY22" s="1190"/>
      <c r="HZ22" s="1190"/>
      <c r="IA22" s="1190"/>
      <c r="IB22" s="1190"/>
      <c r="IC22" s="1190"/>
      <c r="ID22" s="1190"/>
      <c r="IE22" s="1190"/>
      <c r="IF22" s="1192"/>
    </row>
    <row r="23" spans="1:240" ht="12.6" customHeight="1" x14ac:dyDescent="0.25">
      <c r="A23" s="1132" t="str">
        <f t="shared" si="1"/>
        <v/>
      </c>
      <c r="B23" s="1586" t="str">
        <f t="shared" si="2"/>
        <v/>
      </c>
      <c r="C23" s="1133" t="str">
        <f t="shared" si="3"/>
        <v/>
      </c>
      <c r="D23" s="1134" t="str">
        <f t="shared" si="4"/>
        <v/>
      </c>
      <c r="E23" s="1135" t="str">
        <f t="shared" si="5"/>
        <v/>
      </c>
      <c r="F23" s="1143" t="str">
        <f t="shared" si="6"/>
        <v/>
      </c>
      <c r="G23" s="1138" t="str">
        <f t="shared" si="7"/>
        <v/>
      </c>
      <c r="H23" s="1645" t="str">
        <f t="shared" si="8"/>
        <v/>
      </c>
      <c r="I23" s="1134" t="str">
        <f t="shared" si="9"/>
        <v/>
      </c>
      <c r="J23" s="1138" t="str">
        <f t="shared" si="10"/>
        <v/>
      </c>
      <c r="K23" s="1657" t="str">
        <f t="shared" si="11"/>
        <v/>
      </c>
      <c r="L23" s="1141" t="str">
        <f t="shared" si="12"/>
        <v/>
      </c>
      <c r="M23" s="1142" t="str">
        <f t="shared" si="13"/>
        <v/>
      </c>
      <c r="N23" s="1137" t="str">
        <f t="shared" si="14"/>
        <v/>
      </c>
      <c r="O23" s="1138" t="str">
        <f t="shared" si="15"/>
        <v/>
      </c>
      <c r="P23" s="1139" t="str">
        <f t="shared" si="16"/>
        <v/>
      </c>
      <c r="Q23" s="1134" t="str">
        <f t="shared" si="17"/>
        <v/>
      </c>
      <c r="R23" s="1138" t="str">
        <f t="shared" si="18"/>
        <v/>
      </c>
      <c r="S23" s="1140" t="str">
        <f t="shared" si="19"/>
        <v/>
      </c>
      <c r="T23" s="1143" t="str">
        <f t="shared" si="20"/>
        <v/>
      </c>
      <c r="U23" s="1138" t="str">
        <f t="shared" si="21"/>
        <v/>
      </c>
      <c r="V23" s="1134" t="str">
        <f t="shared" si="22"/>
        <v/>
      </c>
      <c r="W23" s="1138" t="str">
        <f t="shared" si="23"/>
        <v/>
      </c>
      <c r="X23" s="1142">
        <f t="shared" si="24"/>
        <v>0</v>
      </c>
      <c r="Y23" s="1647" t="str">
        <f t="shared" si="25"/>
        <v/>
      </c>
      <c r="Z23" s="1648" t="str">
        <f t="shared" si="26"/>
        <v/>
      </c>
      <c r="AA23" s="1649" t="str">
        <f t="shared" si="27"/>
        <v/>
      </c>
      <c r="AB23" s="1288"/>
      <c r="AC23" s="898" t="b">
        <v>0</v>
      </c>
      <c r="AD23" s="374">
        <f t="shared" si="28"/>
        <v>0</v>
      </c>
      <c r="AE23" s="375">
        <f t="shared" si="29"/>
        <v>0</v>
      </c>
      <c r="AF23" s="375">
        <f t="shared" si="30"/>
        <v>0</v>
      </c>
      <c r="AG23" s="375">
        <f t="shared" si="31"/>
        <v>0</v>
      </c>
      <c r="AH23" s="376">
        <f t="shared" si="32"/>
        <v>0</v>
      </c>
      <c r="AI23" s="377" t="b">
        <v>0</v>
      </c>
      <c r="AJ23" s="143">
        <f t="shared" si="33"/>
        <v>0</v>
      </c>
      <c r="AK23" s="771" t="str">
        <f t="shared" si="34"/>
        <v/>
      </c>
      <c r="AL23" s="877" t="str">
        <f t="shared" si="35"/>
        <v/>
      </c>
      <c r="AM23" s="771" t="str">
        <f t="shared" si="36"/>
        <v/>
      </c>
      <c r="AN23" s="771" t="str">
        <f t="shared" si="37"/>
        <v/>
      </c>
      <c r="AO23" s="771" t="str">
        <f t="shared" si="38"/>
        <v/>
      </c>
      <c r="AP23" s="771" t="b">
        <f>IF(ISERROR(AJ23),FALSE,IF(OR(AJ23=0,ISERROR(AL23),ISERROR(AM23),ISERROR(AN23),ISERROR(AO23)),FALSE,IF(AL23&lt;&gt;"",IF(ISERROR(VLOOKUP(SUBSTITUTE(SUBSTITUTE(C23,"R",""),"A",""),#REF!,1,FALSE)),FALSE,TRUE),TRUE)))</f>
        <v>0</v>
      </c>
      <c r="AQ23" s="945" t="e">
        <f t="shared" si="39"/>
        <v>#N/A</v>
      </c>
      <c r="AR23" s="877" t="b">
        <f t="shared" si="40"/>
        <v>0</v>
      </c>
      <c r="AS23" s="945" t="e">
        <f t="shared" si="41"/>
        <v>#N/A</v>
      </c>
      <c r="AT23" s="877" t="b">
        <f t="shared" si="42"/>
        <v>0</v>
      </c>
      <c r="AU23" s="878" t="str">
        <f t="shared" si="43"/>
        <v/>
      </c>
      <c r="AV23" s="771" t="str">
        <f t="shared" si="44"/>
        <v/>
      </c>
      <c r="AW23" s="771" t="str">
        <f t="shared" si="45"/>
        <v/>
      </c>
      <c r="AX23" s="771" t="str">
        <f t="shared" si="123"/>
        <v/>
      </c>
      <c r="AY23" s="946" t="e">
        <f t="shared" si="46"/>
        <v>#REF!</v>
      </c>
      <c r="AZ23" s="795" t="str">
        <f t="shared" si="47"/>
        <v/>
      </c>
      <c r="BA23" s="496"/>
      <c r="BB23" s="616"/>
      <c r="BC23" s="1567"/>
      <c r="BD23" s="682"/>
      <c r="BE23" s="683"/>
      <c r="BF23" s="684"/>
      <c r="BG23" s="660"/>
      <c r="BH23" s="901"/>
      <c r="BI23" s="902"/>
      <c r="BJ23" s="1508"/>
      <c r="BK23" s="661"/>
      <c r="BL23" s="662"/>
      <c r="BM23" s="663"/>
      <c r="BN23" s="664"/>
      <c r="BO23" s="616" t="str">
        <f>IF(ISERROR(CU23),"",IF(CU23="","",IF(VLOOKUP(BG23,#REF!,10,FALSE)="","","X")))</f>
        <v/>
      </c>
      <c r="BP23" s="687"/>
      <c r="BQ23" s="1430" t="str">
        <f t="shared" si="48"/>
        <v/>
      </c>
      <c r="BR23" s="839"/>
      <c r="BS23" s="660"/>
      <c r="BT23" s="661"/>
      <c r="BU23" s="662"/>
      <c r="BV23" s="1508"/>
      <c r="BW23" s="661"/>
      <c r="BX23" s="662"/>
      <c r="BY23" s="663"/>
      <c r="BZ23" s="664"/>
      <c r="CA23" s="625" t="str">
        <f>IF(ISERROR(DE23),"",IF(DE23="","",IF(VLOOKUP(BS23,#REF!,10,FALSE)="","","X")))</f>
        <v/>
      </c>
      <c r="CB23" s="687"/>
      <c r="CC23" s="1430" t="str">
        <f t="shared" si="49"/>
        <v/>
      </c>
      <c r="CD23" s="839"/>
      <c r="CE23" s="665"/>
      <c r="CF23" s="685"/>
      <c r="CG23" s="686"/>
      <c r="CH23" s="534" t="str">
        <f t="shared" si="50"/>
        <v/>
      </c>
      <c r="CI23" s="535" t="str">
        <f t="shared" si="51"/>
        <v/>
      </c>
      <c r="CJ23" s="536" t="str">
        <f t="shared" si="52"/>
        <v/>
      </c>
      <c r="CK23" s="537" t="str">
        <f t="shared" si="53"/>
        <v/>
      </c>
      <c r="CL23" s="538" t="str">
        <f t="shared" si="54"/>
        <v/>
      </c>
      <c r="CM23" s="539" t="str">
        <f t="shared" si="55"/>
        <v/>
      </c>
      <c r="CN23" s="540" t="str">
        <f t="shared" si="56"/>
        <v/>
      </c>
      <c r="CO23" s="541" t="str">
        <f t="shared" si="57"/>
        <v/>
      </c>
      <c r="CP23" s="558" t="str">
        <f t="shared" si="58"/>
        <v/>
      </c>
      <c r="CQ23" s="559" t="str">
        <f t="shared" si="59"/>
        <v/>
      </c>
      <c r="CR23" s="699" t="str">
        <f t="shared" si="60"/>
        <v/>
      </c>
      <c r="CS23" s="700" t="str">
        <f t="shared" si="61"/>
        <v/>
      </c>
      <c r="CU23" s="758" t="str">
        <f>IF(BG23="","",VLOOKUP(BG23,#REF!,12,FALSE))</f>
        <v/>
      </c>
      <c r="CV23" s="756" t="str">
        <f>IF(BG23="","",IF(ISBLANK(BP23),VLOOKUP(BG23,#REF!,13,FALSE),BP23))</f>
        <v/>
      </c>
      <c r="CW23" s="756" t="str">
        <f>IF(BG23="","",IF(VLOOKUP(BG23,#REF!,5,FALSE)="","R",UPPER(VLOOKUP(BG23,#REF!,5,FALSE))))</f>
        <v/>
      </c>
      <c r="CX23" s="756" t="str">
        <f>IF(BG23="","",IF(ISBLANK(BR23),VLOOKUP(BG23,#REF!,6,FALSE),BR23))</f>
        <v/>
      </c>
      <c r="CY23" s="1203" t="str">
        <f>IF(BG23="","",IF(VLOOKUP(BG23,#REF!,10,FALSE)="","",(IF(BO23="X",VLOOKUP(BG23,#REF!,10,FALSE),VALUE(BO23))*-1)))</f>
        <v/>
      </c>
      <c r="CZ23" s="1042" t="str">
        <f>IF(BG23="","",IF(VLOOKUP(BG23,#REF!,11,FALSE)="","2",(VLOOKUP(BG23,#REF!,11,FALSE))))</f>
        <v/>
      </c>
      <c r="DA23" s="756" t="str">
        <f>IF(BG23="","",IF(VLOOKUP(BG23,#REF!,7,FALSE)="","",(VLOOKUP(BG23,#REF!,7,FALSE)*-1)))</f>
        <v/>
      </c>
      <c r="DB23" s="756" t="str">
        <f>IF(BG23="","",IF(VLOOKUP(BG23,#REF!,8,FALSE)="",VLOOKUP(AU23,$DF$2:$DN$9,6,FALSE),(VLOOKUP(BG23,#REF!,8,FALSE))))</f>
        <v/>
      </c>
      <c r="DC23" s="756" t="str">
        <f>IF(BG23="","",VLOOKUP(BG23,#REF!,9,FALSE))</f>
        <v/>
      </c>
      <c r="DD23" s="757">
        <f t="shared" si="62"/>
        <v>0</v>
      </c>
      <c r="DE23" s="758" t="str">
        <f>IF(BS23="","",VLOOKUP(BS23,#REF!,12,FALSE))</f>
        <v/>
      </c>
      <c r="DF23" s="756" t="str">
        <f>IF(BS23="","",IF(ISBLANK(CB23),VLOOKUP(BS23,#REF!,13,FALSE),CB23))</f>
        <v/>
      </c>
      <c r="DG23" s="756" t="str">
        <f>IF(BS23="","",IF(VLOOKUP(BS23,#REF!,5,FALSE)="","R",UPPER(VLOOKUP(BS23,#REF!,5,FALSE))))</f>
        <v/>
      </c>
      <c r="DH23" s="756" t="str">
        <f>IF(BS23="","",IF(ISBLANK(CD23),VLOOKUP(BS23,#REF!,6,FALSE),CD23))</f>
        <v/>
      </c>
      <c r="DI23" s="1203" t="str">
        <f>IF(BS23="","",IF(VLOOKUP(BS23,#REF!,10,FALSE)="","",(IF(CA23="X",VLOOKUP(BS23,#REF!,10,FALSE),VALUE(CA23))*-1)))</f>
        <v/>
      </c>
      <c r="DJ23" s="1042" t="str">
        <f>IF(BS23="","",IF(VLOOKUP(BS23,#REF!,11,FALSE)="","2",(VLOOKUP(BS23,#REF!,11,FALSE))))</f>
        <v/>
      </c>
      <c r="DK23" s="756" t="str">
        <f>IF(BS23="","",IF(VLOOKUP(BS23,#REF!,7,FALSE)="","",(VLOOKUP(BS23,#REF!,7,FALSE)*-1)))</f>
        <v/>
      </c>
      <c r="DL23" s="756" t="str">
        <f>IF(BS23="","",IF(VLOOKUP(BS23,#REF!,8,FALSE)="",VLOOKUP(AU23,$DF$2:$DN$9,6,FALSE),(VLOOKUP(BS23,#REF!,8,FALSE))))</f>
        <v/>
      </c>
      <c r="DM23" s="756" t="str">
        <f>IF(BS23="","",VLOOKUP(BS23,#REF!,9,FALSE))</f>
        <v/>
      </c>
      <c r="DN23" s="757">
        <f t="shared" si="63"/>
        <v>0</v>
      </c>
      <c r="DO23" s="759">
        <f t="shared" si="64"/>
        <v>0</v>
      </c>
      <c r="DP23" s="763" t="str">
        <f t="shared" si="65"/>
        <v/>
      </c>
      <c r="DQ23" s="763" t="str">
        <f t="shared" si="66"/>
        <v/>
      </c>
      <c r="DR23" s="763" t="str">
        <f t="shared" si="67"/>
        <v/>
      </c>
      <c r="DS23" s="762">
        <f t="shared" si="68"/>
        <v>0</v>
      </c>
      <c r="DT23" s="762" t="e">
        <f t="shared" si="69"/>
        <v>#REF!</v>
      </c>
      <c r="DU23" s="762" t="str">
        <f t="shared" si="70"/>
        <v/>
      </c>
      <c r="DV23" s="763" t="str">
        <f t="shared" si="71"/>
        <v/>
      </c>
      <c r="DW23" s="795" t="str">
        <f t="shared" si="72"/>
        <v/>
      </c>
      <c r="DX23" s="926">
        <f t="shared" si="73"/>
        <v>0</v>
      </c>
      <c r="DY23" s="763">
        <f t="shared" si="74"/>
        <v>0</v>
      </c>
      <c r="DZ23" s="762" t="e">
        <f t="shared" si="75"/>
        <v>#REF!</v>
      </c>
      <c r="EA23" s="762" t="str">
        <f t="shared" si="76"/>
        <v/>
      </c>
      <c r="EB23" s="763" t="str">
        <f t="shared" si="77"/>
        <v/>
      </c>
      <c r="EC23" s="795" t="str">
        <f t="shared" si="78"/>
        <v/>
      </c>
      <c r="ED23" s="926">
        <f t="shared" si="79"/>
        <v>0</v>
      </c>
      <c r="EE23" s="1210" t="str">
        <f t="shared" si="80"/>
        <v/>
      </c>
      <c r="EF23" s="1210" t="str">
        <f t="shared" si="81"/>
        <v/>
      </c>
      <c r="EG23" s="1210" t="str">
        <f t="shared" si="82"/>
        <v/>
      </c>
      <c r="EH23" s="795" t="e">
        <f t="shared" si="83"/>
        <v>#N/A</v>
      </c>
      <c r="EI23" s="795" t="e">
        <f t="shared" si="84"/>
        <v>#N/A</v>
      </c>
      <c r="EJ23" s="763" t="str">
        <f t="shared" si="85"/>
        <v/>
      </c>
      <c r="EK23" s="763" t="str">
        <f t="shared" si="85"/>
        <v/>
      </c>
      <c r="EL23" s="1210" t="str">
        <f t="shared" si="86"/>
        <v/>
      </c>
      <c r="EM23" s="763" t="str">
        <f t="shared" si="87"/>
        <v/>
      </c>
      <c r="EN23" s="763" t="str">
        <f t="shared" si="88"/>
        <v/>
      </c>
      <c r="EO23" s="795" t="e">
        <f t="shared" si="89"/>
        <v>#N/A</v>
      </c>
      <c r="EP23" s="795" t="e">
        <f t="shared" si="90"/>
        <v>#N/A</v>
      </c>
      <c r="EQ23" s="1210" t="str">
        <f t="shared" si="91"/>
        <v/>
      </c>
      <c r="ER23" s="763" t="str">
        <f t="shared" si="91"/>
        <v/>
      </c>
      <c r="ES23" s="763" t="str">
        <f t="shared" si="92"/>
        <v/>
      </c>
      <c r="ET23" s="763" t="str">
        <f t="shared" si="93"/>
        <v/>
      </c>
      <c r="EU23" s="770" t="str">
        <f t="shared" si="94"/>
        <v/>
      </c>
      <c r="EV23" s="765" t="str">
        <f t="shared" si="95"/>
        <v/>
      </c>
      <c r="EW23" s="770"/>
      <c r="EX23" s="770" t="str">
        <f>IF(AND(CU23="G", ISBLANK(BK23), ISBLANK(BL23)),VLOOKUP(MIN(BH23:BI23),#REF!,2),IF(OR(CU23="B",CU23="G"),MIN(BK23:BL23),""))</f>
        <v/>
      </c>
      <c r="EY23" s="770" t="str">
        <f>IF(AND(CU23="G", ISBLANK(BK23), ISBLANK(BL23)),VLOOKUP(MAX(BH23:BI23),#REF!,2),IF(OR(CU23="B",CU23="G"),MAX(BK23:BL23),""))</f>
        <v/>
      </c>
      <c r="EZ23" s="770" t="str">
        <f t="shared" si="96"/>
        <v/>
      </c>
      <c r="FA23" s="770" t="str">
        <f>IF(AND(DE23="G", ISBLANK(BW23), ISBLANK(BX23)),VLOOKUP(MIN(BT23:BU23),#REF!,2),IF(OR(DE23="B", DE23="G"),MIN(BW23:BX23),""))</f>
        <v/>
      </c>
      <c r="FB23" s="770" t="str">
        <f>IF(AND(DE23="G", ISBLANK(BW23), ISBLANK(BX23)),VLOOKUP(MAX(BT23:BU23),#REF!,2),IF(OR(DE23="B", DE23="G"),MAX(BW23:BX23),""))</f>
        <v/>
      </c>
      <c r="FC23" s="770" t="str">
        <f t="shared" si="97"/>
        <v/>
      </c>
      <c r="FD23" s="762">
        <f t="shared" si="124"/>
        <v>0</v>
      </c>
      <c r="FE23" s="762">
        <f t="shared" si="98"/>
        <v>0</v>
      </c>
      <c r="FF23" s="762">
        <f t="shared" si="99"/>
        <v>0</v>
      </c>
      <c r="FG23" s="762" t="str">
        <f t="shared" si="100"/>
        <v/>
      </c>
      <c r="FH23" s="763" t="str">
        <f t="shared" si="101"/>
        <v/>
      </c>
      <c r="FI23" s="762">
        <f t="shared" si="125"/>
        <v>0</v>
      </c>
      <c r="FJ23" s="762">
        <f t="shared" si="102"/>
        <v>0</v>
      </c>
      <c r="FK23" s="762">
        <f t="shared" si="103"/>
        <v>0</v>
      </c>
      <c r="FL23" s="762" t="str">
        <f t="shared" si="104"/>
        <v/>
      </c>
      <c r="FM23" s="763" t="str">
        <f t="shared" si="105"/>
        <v/>
      </c>
      <c r="FN23" s="763" t="e">
        <f t="shared" si="106"/>
        <v>#VALUE!</v>
      </c>
      <c r="FO23" s="872" t="e">
        <f t="shared" si="107"/>
        <v>#VALUE!</v>
      </c>
      <c r="FP23" s="872" t="e">
        <f t="shared" si="108"/>
        <v>#VALUE!</v>
      </c>
      <c r="FQ23" s="771" t="e">
        <f t="shared" si="109"/>
        <v>#VALUE!</v>
      </c>
      <c r="FR23" s="772" t="e">
        <f t="shared" si="110"/>
        <v>#VALUE!</v>
      </c>
      <c r="FS23" s="773" t="str">
        <f t="shared" si="111"/>
        <v/>
      </c>
      <c r="FT23" s="774" t="str">
        <f t="shared" si="112"/>
        <v/>
      </c>
      <c r="FU23" s="809">
        <f t="shared" si="113"/>
        <v>0</v>
      </c>
      <c r="FV23" s="810">
        <f t="shared" si="114"/>
        <v>0</v>
      </c>
      <c r="GA23" s="542" t="str">
        <f t="shared" si="115"/>
        <v/>
      </c>
      <c r="GB23" s="562" t="str">
        <f t="shared" si="116"/>
        <v/>
      </c>
      <c r="GC23" s="564" t="str">
        <f t="shared" si="117"/>
        <v/>
      </c>
      <c r="GD23" s="565" t="str">
        <f t="shared" si="118"/>
        <v/>
      </c>
      <c r="GE23" s="563" t="str">
        <f t="shared" si="119"/>
        <v/>
      </c>
      <c r="GF23" s="543" t="str">
        <f t="shared" si="120"/>
        <v/>
      </c>
      <c r="GG23" s="1052"/>
      <c r="GH23" s="1053"/>
      <c r="GI23" s="1052"/>
      <c r="GJ23" s="1053"/>
      <c r="GK23" s="1521">
        <f t="shared" si="121"/>
        <v>0</v>
      </c>
      <c r="GL23" s="1519" t="e">
        <f t="shared" si="122"/>
        <v>#VALUE!</v>
      </c>
      <c r="GM23" s="1520" t="e">
        <f>IF(ABS(GK23-GL23)&gt;=#REF!,ABS(GK23-GL23),0)</f>
        <v>#VALUE!</v>
      </c>
      <c r="HA23" s="1187"/>
      <c r="HB23" s="1188"/>
      <c r="HC23" s="1188"/>
      <c r="HD23" s="1189"/>
      <c r="HE23" s="1190"/>
      <c r="HF23" s="1188"/>
      <c r="HG23" s="1188"/>
      <c r="HH23" s="1188"/>
      <c r="HI23" s="1191"/>
      <c r="HJ23" s="1188"/>
      <c r="HK23" s="1188"/>
      <c r="HL23" s="1188"/>
      <c r="HM23" s="1188"/>
      <c r="HN23" s="1188"/>
      <c r="HO23" s="1188"/>
      <c r="HP23" s="1188"/>
      <c r="HQ23" s="1191"/>
      <c r="HR23" s="1188"/>
      <c r="HS23" s="1188"/>
      <c r="HT23" s="1188"/>
      <c r="HU23" s="1188"/>
      <c r="HV23" s="1188"/>
      <c r="HW23" s="1190"/>
      <c r="HX23" s="1190"/>
      <c r="HY23" s="1190"/>
      <c r="HZ23" s="1190"/>
      <c r="IA23" s="1190"/>
      <c r="IB23" s="1190"/>
      <c r="IC23" s="1190"/>
      <c r="ID23" s="1190"/>
      <c r="IE23" s="1190"/>
      <c r="IF23" s="1192"/>
    </row>
    <row r="24" spans="1:240" ht="12.6" customHeight="1" x14ac:dyDescent="0.25">
      <c r="A24" s="1132" t="str">
        <f t="shared" si="1"/>
        <v/>
      </c>
      <c r="B24" s="1586" t="str">
        <f t="shared" si="2"/>
        <v/>
      </c>
      <c r="C24" s="1133" t="str">
        <f t="shared" si="3"/>
        <v/>
      </c>
      <c r="D24" s="1134" t="str">
        <f t="shared" si="4"/>
        <v/>
      </c>
      <c r="E24" s="1135" t="str">
        <f t="shared" si="5"/>
        <v/>
      </c>
      <c r="F24" s="1143" t="str">
        <f t="shared" si="6"/>
        <v/>
      </c>
      <c r="G24" s="1138" t="str">
        <f t="shared" si="7"/>
        <v/>
      </c>
      <c r="H24" s="1645" t="str">
        <f t="shared" si="8"/>
        <v/>
      </c>
      <c r="I24" s="1134" t="str">
        <f t="shared" si="9"/>
        <v/>
      </c>
      <c r="J24" s="1138" t="str">
        <f t="shared" si="10"/>
        <v/>
      </c>
      <c r="K24" s="1657" t="str">
        <f t="shared" si="11"/>
        <v/>
      </c>
      <c r="L24" s="1141" t="str">
        <f t="shared" si="12"/>
        <v/>
      </c>
      <c r="M24" s="1142" t="str">
        <f t="shared" si="13"/>
        <v/>
      </c>
      <c r="N24" s="1137" t="str">
        <f t="shared" si="14"/>
        <v/>
      </c>
      <c r="O24" s="1138" t="str">
        <f t="shared" si="15"/>
        <v/>
      </c>
      <c r="P24" s="1139" t="str">
        <f t="shared" si="16"/>
        <v/>
      </c>
      <c r="Q24" s="1134" t="str">
        <f t="shared" si="17"/>
        <v/>
      </c>
      <c r="R24" s="1138" t="str">
        <f t="shared" si="18"/>
        <v/>
      </c>
      <c r="S24" s="1140" t="str">
        <f t="shared" si="19"/>
        <v/>
      </c>
      <c r="T24" s="1143" t="str">
        <f t="shared" si="20"/>
        <v/>
      </c>
      <c r="U24" s="1138" t="str">
        <f t="shared" si="21"/>
        <v/>
      </c>
      <c r="V24" s="1134" t="str">
        <f t="shared" si="22"/>
        <v/>
      </c>
      <c r="W24" s="1138" t="str">
        <f t="shared" si="23"/>
        <v/>
      </c>
      <c r="X24" s="1142">
        <f t="shared" si="24"/>
        <v>0</v>
      </c>
      <c r="Y24" s="1647" t="str">
        <f t="shared" si="25"/>
        <v/>
      </c>
      <c r="Z24" s="1648" t="str">
        <f t="shared" si="26"/>
        <v/>
      </c>
      <c r="AA24" s="1649" t="str">
        <f t="shared" si="27"/>
        <v/>
      </c>
      <c r="AB24" s="1288"/>
      <c r="AC24" s="898" t="b">
        <v>0</v>
      </c>
      <c r="AD24" s="374">
        <f t="shared" si="28"/>
        <v>0</v>
      </c>
      <c r="AE24" s="375">
        <f t="shared" si="29"/>
        <v>0</v>
      </c>
      <c r="AF24" s="375">
        <f t="shared" si="30"/>
        <v>0</v>
      </c>
      <c r="AG24" s="375">
        <f t="shared" si="31"/>
        <v>0</v>
      </c>
      <c r="AH24" s="376">
        <f t="shared" si="32"/>
        <v>0</v>
      </c>
      <c r="AI24" s="377" t="b">
        <v>0</v>
      </c>
      <c r="AJ24" s="143">
        <f t="shared" si="33"/>
        <v>0</v>
      </c>
      <c r="AK24" s="771" t="str">
        <f t="shared" si="34"/>
        <v/>
      </c>
      <c r="AL24" s="877" t="str">
        <f t="shared" si="35"/>
        <v/>
      </c>
      <c r="AM24" s="771" t="str">
        <f t="shared" si="36"/>
        <v/>
      </c>
      <c r="AN24" s="771" t="str">
        <f t="shared" si="37"/>
        <v/>
      </c>
      <c r="AO24" s="771" t="str">
        <f t="shared" si="38"/>
        <v/>
      </c>
      <c r="AP24" s="771" t="b">
        <f>IF(ISERROR(AJ24),FALSE,IF(OR(AJ24=0,ISERROR(AL24),ISERROR(AM24),ISERROR(AN24),ISERROR(AO24)),FALSE,IF(AL24&lt;&gt;"",IF(ISERROR(VLOOKUP(SUBSTITUTE(SUBSTITUTE(C24,"R",""),"A",""),#REF!,1,FALSE)),FALSE,TRUE),TRUE)))</f>
        <v>0</v>
      </c>
      <c r="AQ24" s="945" t="e">
        <f t="shared" si="39"/>
        <v>#N/A</v>
      </c>
      <c r="AR24" s="877" t="b">
        <f t="shared" si="40"/>
        <v>0</v>
      </c>
      <c r="AS24" s="945" t="e">
        <f t="shared" si="41"/>
        <v>#N/A</v>
      </c>
      <c r="AT24" s="877" t="b">
        <f t="shared" si="42"/>
        <v>0</v>
      </c>
      <c r="AU24" s="878" t="str">
        <f t="shared" si="43"/>
        <v/>
      </c>
      <c r="AV24" s="771" t="str">
        <f t="shared" si="44"/>
        <v/>
      </c>
      <c r="AW24" s="771" t="str">
        <f t="shared" si="45"/>
        <v/>
      </c>
      <c r="AX24" s="771" t="str">
        <f t="shared" si="123"/>
        <v/>
      </c>
      <c r="AY24" s="946" t="e">
        <f t="shared" si="46"/>
        <v>#REF!</v>
      </c>
      <c r="AZ24" s="795" t="str">
        <f t="shared" si="47"/>
        <v/>
      </c>
      <c r="BA24" s="496"/>
      <c r="BB24" s="616"/>
      <c r="BC24" s="1567"/>
      <c r="BD24" s="682"/>
      <c r="BE24" s="683"/>
      <c r="BF24" s="684"/>
      <c r="BG24" s="660"/>
      <c r="BH24" s="901"/>
      <c r="BI24" s="902"/>
      <c r="BJ24" s="1508"/>
      <c r="BK24" s="661"/>
      <c r="BL24" s="662"/>
      <c r="BM24" s="663"/>
      <c r="BN24" s="664"/>
      <c r="BO24" s="616" t="str">
        <f>IF(ISERROR(CU24),"",IF(CU24="","",IF(VLOOKUP(BG24,#REF!,10,FALSE)="","","X")))</f>
        <v/>
      </c>
      <c r="BP24" s="687"/>
      <c r="BQ24" s="1430" t="str">
        <f t="shared" si="48"/>
        <v/>
      </c>
      <c r="BR24" s="839"/>
      <c r="BS24" s="660"/>
      <c r="BT24" s="661"/>
      <c r="BU24" s="662"/>
      <c r="BV24" s="1508"/>
      <c r="BW24" s="661"/>
      <c r="BX24" s="662"/>
      <c r="BY24" s="663"/>
      <c r="BZ24" s="664"/>
      <c r="CA24" s="625" t="str">
        <f>IF(ISERROR(DE24),"",IF(DE24="","",IF(VLOOKUP(BS24,#REF!,10,FALSE)="","","X")))</f>
        <v/>
      </c>
      <c r="CB24" s="687"/>
      <c r="CC24" s="1430" t="str">
        <f t="shared" si="49"/>
        <v/>
      </c>
      <c r="CD24" s="839"/>
      <c r="CE24" s="665"/>
      <c r="CF24" s="685"/>
      <c r="CG24" s="686"/>
      <c r="CH24" s="534" t="str">
        <f t="shared" si="50"/>
        <v/>
      </c>
      <c r="CI24" s="535" t="str">
        <f t="shared" si="51"/>
        <v/>
      </c>
      <c r="CJ24" s="536" t="str">
        <f t="shared" si="52"/>
        <v/>
      </c>
      <c r="CK24" s="537" t="str">
        <f t="shared" si="53"/>
        <v/>
      </c>
      <c r="CL24" s="538" t="str">
        <f t="shared" si="54"/>
        <v/>
      </c>
      <c r="CM24" s="539" t="str">
        <f t="shared" si="55"/>
        <v/>
      </c>
      <c r="CN24" s="540" t="str">
        <f t="shared" si="56"/>
        <v/>
      </c>
      <c r="CO24" s="541" t="str">
        <f t="shared" si="57"/>
        <v/>
      </c>
      <c r="CP24" s="558" t="str">
        <f t="shared" si="58"/>
        <v/>
      </c>
      <c r="CQ24" s="559" t="str">
        <f t="shared" si="59"/>
        <v/>
      </c>
      <c r="CR24" s="699" t="str">
        <f t="shared" si="60"/>
        <v/>
      </c>
      <c r="CS24" s="700" t="str">
        <f t="shared" si="61"/>
        <v/>
      </c>
      <c r="CU24" s="758" t="str">
        <f>IF(BG24="","",VLOOKUP(BG24,#REF!,12,FALSE))</f>
        <v/>
      </c>
      <c r="CV24" s="756" t="str">
        <f>IF(BG24="","",IF(ISBLANK(BP24),VLOOKUP(BG24,#REF!,13,FALSE),BP24))</f>
        <v/>
      </c>
      <c r="CW24" s="756" t="str">
        <f>IF(BG24="","",IF(VLOOKUP(BG24,#REF!,5,FALSE)="","R",UPPER(VLOOKUP(BG24,#REF!,5,FALSE))))</f>
        <v/>
      </c>
      <c r="CX24" s="756" t="str">
        <f>IF(BG24="","",IF(ISBLANK(BR24),VLOOKUP(BG24,#REF!,6,FALSE),BR24))</f>
        <v/>
      </c>
      <c r="CY24" s="1203" t="str">
        <f>IF(BG24="","",IF(VLOOKUP(BG24,#REF!,10,FALSE)="","",(IF(BO24="X",VLOOKUP(BG24,#REF!,10,FALSE),VALUE(BO24))*-1)))</f>
        <v/>
      </c>
      <c r="CZ24" s="1042" t="str">
        <f>IF(BG24="","",IF(VLOOKUP(BG24,#REF!,11,FALSE)="","2",(VLOOKUP(BG24,#REF!,11,FALSE))))</f>
        <v/>
      </c>
      <c r="DA24" s="756" t="str">
        <f>IF(BG24="","",IF(VLOOKUP(BG24,#REF!,7,FALSE)="","",(VLOOKUP(BG24,#REF!,7,FALSE)*-1)))</f>
        <v/>
      </c>
      <c r="DB24" s="756" t="str">
        <f>IF(BG24="","",IF(VLOOKUP(BG24,#REF!,8,FALSE)="",VLOOKUP(AU24,$DF$2:$DN$9,6,FALSE),(VLOOKUP(BG24,#REF!,8,FALSE))))</f>
        <v/>
      </c>
      <c r="DC24" s="756" t="str">
        <f>IF(BG24="","",VLOOKUP(BG24,#REF!,9,FALSE))</f>
        <v/>
      </c>
      <c r="DD24" s="757">
        <f t="shared" si="62"/>
        <v>0</v>
      </c>
      <c r="DE24" s="758" t="str">
        <f>IF(BS24="","",VLOOKUP(BS24,#REF!,12,FALSE))</f>
        <v/>
      </c>
      <c r="DF24" s="756" t="str">
        <f>IF(BS24="","",IF(ISBLANK(CB24),VLOOKUP(BS24,#REF!,13,FALSE),CB24))</f>
        <v/>
      </c>
      <c r="DG24" s="756" t="str">
        <f>IF(BS24="","",IF(VLOOKUP(BS24,#REF!,5,FALSE)="","R",UPPER(VLOOKUP(BS24,#REF!,5,FALSE))))</f>
        <v/>
      </c>
      <c r="DH24" s="756" t="str">
        <f>IF(BS24="","",IF(ISBLANK(CD24),VLOOKUP(BS24,#REF!,6,FALSE),CD24))</f>
        <v/>
      </c>
      <c r="DI24" s="1203" t="str">
        <f>IF(BS24="","",IF(VLOOKUP(BS24,#REF!,10,FALSE)="","",(IF(CA24="X",VLOOKUP(BS24,#REF!,10,FALSE),VALUE(CA24))*-1)))</f>
        <v/>
      </c>
      <c r="DJ24" s="1042" t="str">
        <f>IF(BS24="","",IF(VLOOKUP(BS24,#REF!,11,FALSE)="","2",(VLOOKUP(BS24,#REF!,11,FALSE))))</f>
        <v/>
      </c>
      <c r="DK24" s="756" t="str">
        <f>IF(BS24="","",IF(VLOOKUP(BS24,#REF!,7,FALSE)="","",(VLOOKUP(BS24,#REF!,7,FALSE)*-1)))</f>
        <v/>
      </c>
      <c r="DL24" s="756" t="str">
        <f>IF(BS24="","",IF(VLOOKUP(BS24,#REF!,8,FALSE)="",VLOOKUP(AU24,$DF$2:$DN$9,6,FALSE),(VLOOKUP(BS24,#REF!,8,FALSE))))</f>
        <v/>
      </c>
      <c r="DM24" s="756" t="str">
        <f>IF(BS24="","",VLOOKUP(BS24,#REF!,9,FALSE))</f>
        <v/>
      </c>
      <c r="DN24" s="757">
        <f t="shared" si="63"/>
        <v>0</v>
      </c>
      <c r="DO24" s="759">
        <f t="shared" si="64"/>
        <v>0</v>
      </c>
      <c r="DP24" s="763" t="str">
        <f t="shared" si="65"/>
        <v/>
      </c>
      <c r="DQ24" s="763" t="str">
        <f t="shared" si="66"/>
        <v/>
      </c>
      <c r="DR24" s="763" t="str">
        <f t="shared" si="67"/>
        <v/>
      </c>
      <c r="DS24" s="762">
        <f t="shared" si="68"/>
        <v>0</v>
      </c>
      <c r="DT24" s="762" t="e">
        <f t="shared" si="69"/>
        <v>#REF!</v>
      </c>
      <c r="DU24" s="762" t="str">
        <f t="shared" si="70"/>
        <v/>
      </c>
      <c r="DV24" s="763" t="str">
        <f t="shared" si="71"/>
        <v/>
      </c>
      <c r="DW24" s="795" t="str">
        <f t="shared" si="72"/>
        <v/>
      </c>
      <c r="DX24" s="926">
        <f t="shared" si="73"/>
        <v>0</v>
      </c>
      <c r="DY24" s="763">
        <f t="shared" si="74"/>
        <v>0</v>
      </c>
      <c r="DZ24" s="762" t="e">
        <f t="shared" si="75"/>
        <v>#REF!</v>
      </c>
      <c r="EA24" s="762" t="str">
        <f t="shared" si="76"/>
        <v/>
      </c>
      <c r="EB24" s="763" t="str">
        <f t="shared" si="77"/>
        <v/>
      </c>
      <c r="EC24" s="795" t="str">
        <f t="shared" si="78"/>
        <v/>
      </c>
      <c r="ED24" s="926">
        <f t="shared" si="79"/>
        <v>0</v>
      </c>
      <c r="EE24" s="1210" t="str">
        <f t="shared" si="80"/>
        <v/>
      </c>
      <c r="EF24" s="1210" t="str">
        <f t="shared" si="81"/>
        <v/>
      </c>
      <c r="EG24" s="1210" t="str">
        <f t="shared" si="82"/>
        <v/>
      </c>
      <c r="EH24" s="795" t="e">
        <f t="shared" si="83"/>
        <v>#N/A</v>
      </c>
      <c r="EI24" s="795" t="e">
        <f t="shared" si="84"/>
        <v>#N/A</v>
      </c>
      <c r="EJ24" s="763" t="str">
        <f t="shared" si="85"/>
        <v/>
      </c>
      <c r="EK24" s="763" t="str">
        <f t="shared" si="85"/>
        <v/>
      </c>
      <c r="EL24" s="1210" t="str">
        <f t="shared" si="86"/>
        <v/>
      </c>
      <c r="EM24" s="763" t="str">
        <f t="shared" si="87"/>
        <v/>
      </c>
      <c r="EN24" s="763" t="str">
        <f t="shared" si="88"/>
        <v/>
      </c>
      <c r="EO24" s="795" t="e">
        <f t="shared" si="89"/>
        <v>#N/A</v>
      </c>
      <c r="EP24" s="795" t="e">
        <f t="shared" si="90"/>
        <v>#N/A</v>
      </c>
      <c r="EQ24" s="1210" t="str">
        <f t="shared" si="91"/>
        <v/>
      </c>
      <c r="ER24" s="763" t="str">
        <f t="shared" si="91"/>
        <v/>
      </c>
      <c r="ES24" s="763" t="str">
        <f t="shared" si="92"/>
        <v/>
      </c>
      <c r="ET24" s="763" t="str">
        <f t="shared" si="93"/>
        <v/>
      </c>
      <c r="EU24" s="770" t="str">
        <f t="shared" si="94"/>
        <v/>
      </c>
      <c r="EV24" s="765" t="str">
        <f t="shared" si="95"/>
        <v/>
      </c>
      <c r="EW24" s="770"/>
      <c r="EX24" s="770" t="str">
        <f>IF(AND(CU24="G", ISBLANK(BK24), ISBLANK(BL24)),VLOOKUP(MIN(BH24:BI24),#REF!,2),IF(OR(CU24="B",CU24="G"),MIN(BK24:BL24),""))</f>
        <v/>
      </c>
      <c r="EY24" s="770" t="str">
        <f>IF(AND(CU24="G", ISBLANK(BK24), ISBLANK(BL24)),VLOOKUP(MAX(BH24:BI24),#REF!,2),IF(OR(CU24="B",CU24="G"),MAX(BK24:BL24),""))</f>
        <v/>
      </c>
      <c r="EZ24" s="770" t="str">
        <f t="shared" si="96"/>
        <v/>
      </c>
      <c r="FA24" s="770" t="str">
        <f>IF(AND(DE24="G", ISBLANK(BW24), ISBLANK(BX24)),VLOOKUP(MIN(BT24:BU24),#REF!,2),IF(OR(DE24="B", DE24="G"),MIN(BW24:BX24),""))</f>
        <v/>
      </c>
      <c r="FB24" s="770" t="str">
        <f>IF(AND(DE24="G", ISBLANK(BW24), ISBLANK(BX24)),VLOOKUP(MAX(BT24:BU24),#REF!,2),IF(OR(DE24="B", DE24="G"),MAX(BW24:BX24),""))</f>
        <v/>
      </c>
      <c r="FC24" s="770" t="str">
        <f t="shared" si="97"/>
        <v/>
      </c>
      <c r="FD24" s="762">
        <f t="shared" si="124"/>
        <v>0</v>
      </c>
      <c r="FE24" s="762">
        <f t="shared" si="98"/>
        <v>0</v>
      </c>
      <c r="FF24" s="762">
        <f t="shared" si="99"/>
        <v>0</v>
      </c>
      <c r="FG24" s="762" t="str">
        <f t="shared" si="100"/>
        <v/>
      </c>
      <c r="FH24" s="763" t="str">
        <f t="shared" si="101"/>
        <v/>
      </c>
      <c r="FI24" s="762">
        <f t="shared" si="125"/>
        <v>0</v>
      </c>
      <c r="FJ24" s="762">
        <f t="shared" si="102"/>
        <v>0</v>
      </c>
      <c r="FK24" s="762">
        <f t="shared" si="103"/>
        <v>0</v>
      </c>
      <c r="FL24" s="762" t="str">
        <f t="shared" si="104"/>
        <v/>
      </c>
      <c r="FM24" s="763" t="str">
        <f t="shared" si="105"/>
        <v/>
      </c>
      <c r="FN24" s="763" t="e">
        <f t="shared" si="106"/>
        <v>#VALUE!</v>
      </c>
      <c r="FO24" s="872" t="e">
        <f t="shared" si="107"/>
        <v>#VALUE!</v>
      </c>
      <c r="FP24" s="872" t="e">
        <f t="shared" si="108"/>
        <v>#VALUE!</v>
      </c>
      <c r="FQ24" s="771" t="e">
        <f t="shared" si="109"/>
        <v>#VALUE!</v>
      </c>
      <c r="FR24" s="772" t="e">
        <f t="shared" si="110"/>
        <v>#VALUE!</v>
      </c>
      <c r="FS24" s="773" t="str">
        <f t="shared" si="111"/>
        <v/>
      </c>
      <c r="FT24" s="774" t="str">
        <f t="shared" si="112"/>
        <v/>
      </c>
      <c r="FU24" s="809">
        <f t="shared" si="113"/>
        <v>0</v>
      </c>
      <c r="FV24" s="810">
        <f t="shared" si="114"/>
        <v>0</v>
      </c>
      <c r="GA24" s="542" t="str">
        <f t="shared" si="115"/>
        <v/>
      </c>
      <c r="GB24" s="562" t="str">
        <f t="shared" si="116"/>
        <v/>
      </c>
      <c r="GC24" s="564" t="str">
        <f t="shared" si="117"/>
        <v/>
      </c>
      <c r="GD24" s="565" t="str">
        <f t="shared" si="118"/>
        <v/>
      </c>
      <c r="GE24" s="563" t="str">
        <f t="shared" si="119"/>
        <v/>
      </c>
      <c r="GF24" s="543" t="str">
        <f t="shared" si="120"/>
        <v/>
      </c>
      <c r="GG24" s="1052"/>
      <c r="GH24" s="1053"/>
      <c r="GI24" s="1052"/>
      <c r="GJ24" s="1053"/>
      <c r="GK24" s="1521">
        <f t="shared" si="121"/>
        <v>0</v>
      </c>
      <c r="GL24" s="1519" t="e">
        <f t="shared" si="122"/>
        <v>#VALUE!</v>
      </c>
      <c r="GM24" s="1520" t="e">
        <f>IF(ABS(GK24-GL24)&gt;=#REF!,ABS(GK24-GL24),0)</f>
        <v>#VALUE!</v>
      </c>
      <c r="HA24" s="1187"/>
      <c r="HB24" s="1188"/>
      <c r="HC24" s="1188"/>
      <c r="HD24" s="1189"/>
      <c r="HE24" s="1190"/>
      <c r="HF24" s="1188"/>
      <c r="HG24" s="1188"/>
      <c r="HH24" s="1188"/>
      <c r="HI24" s="1191"/>
      <c r="HJ24" s="1188"/>
      <c r="HK24" s="1188"/>
      <c r="HL24" s="1188"/>
      <c r="HM24" s="1188"/>
      <c r="HN24" s="1188"/>
      <c r="HO24" s="1188"/>
      <c r="HP24" s="1188"/>
      <c r="HQ24" s="1191"/>
      <c r="HR24" s="1188"/>
      <c r="HS24" s="1188"/>
      <c r="HT24" s="1188"/>
      <c r="HU24" s="1188"/>
      <c r="HV24" s="1188"/>
      <c r="HW24" s="1190"/>
      <c r="HX24" s="1190"/>
      <c r="HY24" s="1190"/>
      <c r="HZ24" s="1190"/>
      <c r="IA24" s="1190"/>
      <c r="IB24" s="1190"/>
      <c r="IC24" s="1190"/>
      <c r="ID24" s="1190"/>
      <c r="IE24" s="1190"/>
      <c r="IF24" s="1192"/>
    </row>
    <row r="25" spans="1:240" ht="12.6" customHeight="1" x14ac:dyDescent="0.25">
      <c r="A25" s="1132" t="str">
        <f t="shared" si="1"/>
        <v/>
      </c>
      <c r="B25" s="1586" t="str">
        <f t="shared" si="2"/>
        <v/>
      </c>
      <c r="C25" s="1133" t="str">
        <f t="shared" si="3"/>
        <v/>
      </c>
      <c r="D25" s="1134" t="str">
        <f t="shared" si="4"/>
        <v/>
      </c>
      <c r="E25" s="1135" t="str">
        <f t="shared" si="5"/>
        <v/>
      </c>
      <c r="F25" s="1143" t="str">
        <f t="shared" si="6"/>
        <v/>
      </c>
      <c r="G25" s="1138" t="str">
        <f t="shared" si="7"/>
        <v/>
      </c>
      <c r="H25" s="1645" t="str">
        <f t="shared" si="8"/>
        <v/>
      </c>
      <c r="I25" s="1134" t="str">
        <f t="shared" si="9"/>
        <v/>
      </c>
      <c r="J25" s="1138" t="str">
        <f t="shared" si="10"/>
        <v/>
      </c>
      <c r="K25" s="1657" t="str">
        <f t="shared" si="11"/>
        <v/>
      </c>
      <c r="L25" s="1141" t="str">
        <f t="shared" si="12"/>
        <v/>
      </c>
      <c r="M25" s="1142" t="str">
        <f t="shared" si="13"/>
        <v/>
      </c>
      <c r="N25" s="1137" t="str">
        <f t="shared" si="14"/>
        <v/>
      </c>
      <c r="O25" s="1138" t="str">
        <f t="shared" si="15"/>
        <v/>
      </c>
      <c r="P25" s="1139" t="str">
        <f t="shared" si="16"/>
        <v/>
      </c>
      <c r="Q25" s="1134" t="str">
        <f t="shared" si="17"/>
        <v/>
      </c>
      <c r="R25" s="1138" t="str">
        <f t="shared" si="18"/>
        <v/>
      </c>
      <c r="S25" s="1140" t="str">
        <f t="shared" si="19"/>
        <v/>
      </c>
      <c r="T25" s="1143" t="str">
        <f t="shared" si="20"/>
        <v/>
      </c>
      <c r="U25" s="1138" t="str">
        <f t="shared" si="21"/>
        <v/>
      </c>
      <c r="V25" s="1134" t="str">
        <f t="shared" si="22"/>
        <v/>
      </c>
      <c r="W25" s="1138" t="str">
        <f t="shared" si="23"/>
        <v/>
      </c>
      <c r="X25" s="1142">
        <f t="shared" si="24"/>
        <v>0</v>
      </c>
      <c r="Y25" s="1647" t="str">
        <f t="shared" si="25"/>
        <v/>
      </c>
      <c r="Z25" s="1648" t="str">
        <f t="shared" si="26"/>
        <v/>
      </c>
      <c r="AA25" s="1649" t="str">
        <f t="shared" si="27"/>
        <v/>
      </c>
      <c r="AB25" s="1288"/>
      <c r="AC25" s="898" t="b">
        <v>0</v>
      </c>
      <c r="AD25" s="374">
        <f t="shared" si="28"/>
        <v>0</v>
      </c>
      <c r="AE25" s="375">
        <f t="shared" si="29"/>
        <v>0</v>
      </c>
      <c r="AF25" s="375">
        <f t="shared" si="30"/>
        <v>0</v>
      </c>
      <c r="AG25" s="375">
        <f t="shared" si="31"/>
        <v>0</v>
      </c>
      <c r="AH25" s="376">
        <f t="shared" si="32"/>
        <v>0</v>
      </c>
      <c r="AI25" s="377" t="b">
        <v>0</v>
      </c>
      <c r="AJ25" s="143">
        <f t="shared" si="33"/>
        <v>0</v>
      </c>
      <c r="AK25" s="771" t="str">
        <f t="shared" si="34"/>
        <v/>
      </c>
      <c r="AL25" s="877" t="str">
        <f t="shared" si="35"/>
        <v/>
      </c>
      <c r="AM25" s="771" t="str">
        <f t="shared" si="36"/>
        <v/>
      </c>
      <c r="AN25" s="771" t="str">
        <f t="shared" si="37"/>
        <v/>
      </c>
      <c r="AO25" s="771" t="str">
        <f t="shared" si="38"/>
        <v/>
      </c>
      <c r="AP25" s="771" t="b">
        <f>IF(ISERROR(AJ25),FALSE,IF(OR(AJ25=0,ISERROR(AL25),ISERROR(AM25),ISERROR(AN25),ISERROR(AO25)),FALSE,IF(AL25&lt;&gt;"",IF(ISERROR(VLOOKUP(SUBSTITUTE(SUBSTITUTE(C25,"R",""),"A",""),#REF!,1,FALSE)),FALSE,TRUE),TRUE)))</f>
        <v>0</v>
      </c>
      <c r="AQ25" s="945" t="e">
        <f t="shared" si="39"/>
        <v>#N/A</v>
      </c>
      <c r="AR25" s="877" t="b">
        <f t="shared" si="40"/>
        <v>0</v>
      </c>
      <c r="AS25" s="945" t="e">
        <f t="shared" si="41"/>
        <v>#N/A</v>
      </c>
      <c r="AT25" s="877" t="b">
        <f t="shared" si="42"/>
        <v>0</v>
      </c>
      <c r="AU25" s="878" t="str">
        <f t="shared" si="43"/>
        <v/>
      </c>
      <c r="AV25" s="771" t="str">
        <f t="shared" si="44"/>
        <v/>
      </c>
      <c r="AW25" s="771" t="str">
        <f t="shared" si="45"/>
        <v/>
      </c>
      <c r="AX25" s="771" t="str">
        <f t="shared" si="123"/>
        <v/>
      </c>
      <c r="AY25" s="946" t="e">
        <f t="shared" si="46"/>
        <v>#REF!</v>
      </c>
      <c r="AZ25" s="795" t="str">
        <f t="shared" si="47"/>
        <v/>
      </c>
      <c r="BA25" s="496"/>
      <c r="BB25" s="616"/>
      <c r="BC25" s="1567"/>
      <c r="BD25" s="682"/>
      <c r="BE25" s="683"/>
      <c r="BF25" s="684"/>
      <c r="BG25" s="660"/>
      <c r="BH25" s="901"/>
      <c r="BI25" s="902"/>
      <c r="BJ25" s="1508"/>
      <c r="BK25" s="661"/>
      <c r="BL25" s="662"/>
      <c r="BM25" s="663"/>
      <c r="BN25" s="664"/>
      <c r="BO25" s="616" t="str">
        <f>IF(ISERROR(CU25),"",IF(CU25="","",IF(VLOOKUP(BG25,#REF!,10,FALSE)="","","X")))</f>
        <v/>
      </c>
      <c r="BP25" s="687"/>
      <c r="BQ25" s="1430" t="str">
        <f t="shared" si="48"/>
        <v/>
      </c>
      <c r="BR25" s="839"/>
      <c r="BS25" s="660"/>
      <c r="BT25" s="661"/>
      <c r="BU25" s="662"/>
      <c r="BV25" s="1508"/>
      <c r="BW25" s="661"/>
      <c r="BX25" s="662"/>
      <c r="BY25" s="663"/>
      <c r="BZ25" s="664"/>
      <c r="CA25" s="625" t="str">
        <f>IF(ISERROR(DE25),"",IF(DE25="","",IF(VLOOKUP(BS25,#REF!,10,FALSE)="","","X")))</f>
        <v/>
      </c>
      <c r="CB25" s="687"/>
      <c r="CC25" s="1430" t="str">
        <f t="shared" si="49"/>
        <v/>
      </c>
      <c r="CD25" s="839"/>
      <c r="CE25" s="665"/>
      <c r="CF25" s="685"/>
      <c r="CG25" s="686"/>
      <c r="CH25" s="534" t="str">
        <f t="shared" si="50"/>
        <v/>
      </c>
      <c r="CI25" s="535" t="str">
        <f t="shared" si="51"/>
        <v/>
      </c>
      <c r="CJ25" s="536" t="str">
        <f t="shared" si="52"/>
        <v/>
      </c>
      <c r="CK25" s="537" t="str">
        <f t="shared" si="53"/>
        <v/>
      </c>
      <c r="CL25" s="538" t="str">
        <f t="shared" si="54"/>
        <v/>
      </c>
      <c r="CM25" s="539" t="str">
        <f t="shared" si="55"/>
        <v/>
      </c>
      <c r="CN25" s="540" t="str">
        <f t="shared" si="56"/>
        <v/>
      </c>
      <c r="CO25" s="541" t="str">
        <f t="shared" si="57"/>
        <v/>
      </c>
      <c r="CP25" s="558" t="str">
        <f t="shared" si="58"/>
        <v/>
      </c>
      <c r="CQ25" s="559" t="str">
        <f t="shared" si="59"/>
        <v/>
      </c>
      <c r="CR25" s="699" t="str">
        <f t="shared" si="60"/>
        <v/>
      </c>
      <c r="CS25" s="700" t="str">
        <f t="shared" si="61"/>
        <v/>
      </c>
      <c r="CU25" s="758" t="str">
        <f>IF(BG25="","",VLOOKUP(BG25,#REF!,12,FALSE))</f>
        <v/>
      </c>
      <c r="CV25" s="756" t="str">
        <f>IF(BG25="","",IF(ISBLANK(BP25),VLOOKUP(BG25,#REF!,13,FALSE),BP25))</f>
        <v/>
      </c>
      <c r="CW25" s="756" t="str">
        <f>IF(BG25="","",IF(VLOOKUP(BG25,#REF!,5,FALSE)="","R",UPPER(VLOOKUP(BG25,#REF!,5,FALSE))))</f>
        <v/>
      </c>
      <c r="CX25" s="756" t="str">
        <f>IF(BG25="","",IF(ISBLANK(BR25),VLOOKUP(BG25,#REF!,6,FALSE),BR25))</f>
        <v/>
      </c>
      <c r="CY25" s="1203" t="str">
        <f>IF(BG25="","",IF(VLOOKUP(BG25,#REF!,10,FALSE)="","",(IF(BO25="X",VLOOKUP(BG25,#REF!,10,FALSE),VALUE(BO25))*-1)))</f>
        <v/>
      </c>
      <c r="CZ25" s="1042" t="str">
        <f>IF(BG25="","",IF(VLOOKUP(BG25,#REF!,11,FALSE)="","2",(VLOOKUP(BG25,#REF!,11,FALSE))))</f>
        <v/>
      </c>
      <c r="DA25" s="756" t="str">
        <f>IF(BG25="","",IF(VLOOKUP(BG25,#REF!,7,FALSE)="","",(VLOOKUP(BG25,#REF!,7,FALSE)*-1)))</f>
        <v/>
      </c>
      <c r="DB25" s="756" t="str">
        <f>IF(BG25="","",IF(VLOOKUP(BG25,#REF!,8,FALSE)="",VLOOKUP(AU25,$DF$2:$DN$9,6,FALSE),(VLOOKUP(BG25,#REF!,8,FALSE))))</f>
        <v/>
      </c>
      <c r="DC25" s="756" t="str">
        <f>IF(BG25="","",VLOOKUP(BG25,#REF!,9,FALSE))</f>
        <v/>
      </c>
      <c r="DD25" s="757">
        <f t="shared" si="62"/>
        <v>0</v>
      </c>
      <c r="DE25" s="758" t="str">
        <f>IF(BS25="","",VLOOKUP(BS25,#REF!,12,FALSE))</f>
        <v/>
      </c>
      <c r="DF25" s="756" t="str">
        <f>IF(BS25="","",IF(ISBLANK(CB25),VLOOKUP(BS25,#REF!,13,FALSE),CB25))</f>
        <v/>
      </c>
      <c r="DG25" s="756" t="str">
        <f>IF(BS25="","",IF(VLOOKUP(BS25,#REF!,5,FALSE)="","R",UPPER(VLOOKUP(BS25,#REF!,5,FALSE))))</f>
        <v/>
      </c>
      <c r="DH25" s="756" t="str">
        <f>IF(BS25="","",IF(ISBLANK(CD25),VLOOKUP(BS25,#REF!,6,FALSE),CD25))</f>
        <v/>
      </c>
      <c r="DI25" s="1203" t="str">
        <f>IF(BS25="","",IF(VLOOKUP(BS25,#REF!,10,FALSE)="","",(IF(CA25="X",VLOOKUP(BS25,#REF!,10,FALSE),VALUE(CA25))*-1)))</f>
        <v/>
      </c>
      <c r="DJ25" s="1042" t="str">
        <f>IF(BS25="","",IF(VLOOKUP(BS25,#REF!,11,FALSE)="","2",(VLOOKUP(BS25,#REF!,11,FALSE))))</f>
        <v/>
      </c>
      <c r="DK25" s="756" t="str">
        <f>IF(BS25="","",IF(VLOOKUP(BS25,#REF!,7,FALSE)="","",(VLOOKUP(BS25,#REF!,7,FALSE)*-1)))</f>
        <v/>
      </c>
      <c r="DL25" s="756" t="str">
        <f>IF(BS25="","",IF(VLOOKUP(BS25,#REF!,8,FALSE)="",VLOOKUP(AU25,$DF$2:$DN$9,6,FALSE),(VLOOKUP(BS25,#REF!,8,FALSE))))</f>
        <v/>
      </c>
      <c r="DM25" s="756" t="str">
        <f>IF(BS25="","",VLOOKUP(BS25,#REF!,9,FALSE))</f>
        <v/>
      </c>
      <c r="DN25" s="757">
        <f t="shared" si="63"/>
        <v>0</v>
      </c>
      <c r="DO25" s="759">
        <f t="shared" si="64"/>
        <v>0</v>
      </c>
      <c r="DP25" s="763" t="str">
        <f t="shared" si="65"/>
        <v/>
      </c>
      <c r="DQ25" s="763" t="str">
        <f t="shared" si="66"/>
        <v/>
      </c>
      <c r="DR25" s="763" t="str">
        <f t="shared" si="67"/>
        <v/>
      </c>
      <c r="DS25" s="762">
        <f t="shared" si="68"/>
        <v>0</v>
      </c>
      <c r="DT25" s="762" t="e">
        <f t="shared" si="69"/>
        <v>#REF!</v>
      </c>
      <c r="DU25" s="762" t="str">
        <f t="shared" si="70"/>
        <v/>
      </c>
      <c r="DV25" s="763" t="str">
        <f t="shared" si="71"/>
        <v/>
      </c>
      <c r="DW25" s="795" t="str">
        <f t="shared" si="72"/>
        <v/>
      </c>
      <c r="DX25" s="926">
        <f t="shared" si="73"/>
        <v>0</v>
      </c>
      <c r="DY25" s="763">
        <f t="shared" si="74"/>
        <v>0</v>
      </c>
      <c r="DZ25" s="762" t="e">
        <f t="shared" si="75"/>
        <v>#REF!</v>
      </c>
      <c r="EA25" s="762" t="str">
        <f t="shared" si="76"/>
        <v/>
      </c>
      <c r="EB25" s="763" t="str">
        <f t="shared" si="77"/>
        <v/>
      </c>
      <c r="EC25" s="795" t="str">
        <f t="shared" si="78"/>
        <v/>
      </c>
      <c r="ED25" s="926">
        <f t="shared" si="79"/>
        <v>0</v>
      </c>
      <c r="EE25" s="1210" t="str">
        <f t="shared" si="80"/>
        <v/>
      </c>
      <c r="EF25" s="1210" t="str">
        <f t="shared" si="81"/>
        <v/>
      </c>
      <c r="EG25" s="1210" t="str">
        <f t="shared" si="82"/>
        <v/>
      </c>
      <c r="EH25" s="795" t="e">
        <f t="shared" si="83"/>
        <v>#N/A</v>
      </c>
      <c r="EI25" s="795" t="e">
        <f t="shared" si="84"/>
        <v>#N/A</v>
      </c>
      <c r="EJ25" s="763" t="str">
        <f t="shared" si="85"/>
        <v/>
      </c>
      <c r="EK25" s="763" t="str">
        <f t="shared" si="85"/>
        <v/>
      </c>
      <c r="EL25" s="1210" t="str">
        <f t="shared" si="86"/>
        <v/>
      </c>
      <c r="EM25" s="763" t="str">
        <f t="shared" si="87"/>
        <v/>
      </c>
      <c r="EN25" s="763" t="str">
        <f t="shared" si="88"/>
        <v/>
      </c>
      <c r="EO25" s="795" t="e">
        <f t="shared" si="89"/>
        <v>#N/A</v>
      </c>
      <c r="EP25" s="795" t="e">
        <f t="shared" si="90"/>
        <v>#N/A</v>
      </c>
      <c r="EQ25" s="1210" t="str">
        <f t="shared" si="91"/>
        <v/>
      </c>
      <c r="ER25" s="763" t="str">
        <f t="shared" si="91"/>
        <v/>
      </c>
      <c r="ES25" s="763" t="str">
        <f t="shared" si="92"/>
        <v/>
      </c>
      <c r="ET25" s="763" t="str">
        <f t="shared" si="93"/>
        <v/>
      </c>
      <c r="EU25" s="770" t="str">
        <f t="shared" si="94"/>
        <v/>
      </c>
      <c r="EV25" s="765" t="str">
        <f t="shared" si="95"/>
        <v/>
      </c>
      <c r="EW25" s="770"/>
      <c r="EX25" s="770" t="str">
        <f>IF(AND(CU25="G", ISBLANK(BK25), ISBLANK(BL25)),VLOOKUP(MIN(BH25:BI25),#REF!,2),IF(OR(CU25="B",CU25="G"),MIN(BK25:BL25),""))</f>
        <v/>
      </c>
      <c r="EY25" s="770" t="str">
        <f>IF(AND(CU25="G", ISBLANK(BK25), ISBLANK(BL25)),VLOOKUP(MAX(BH25:BI25),#REF!,2),IF(OR(CU25="B",CU25="G"),MAX(BK25:BL25),""))</f>
        <v/>
      </c>
      <c r="EZ25" s="770" t="str">
        <f t="shared" si="96"/>
        <v/>
      </c>
      <c r="FA25" s="770" t="str">
        <f>IF(AND(DE25="G", ISBLANK(BW25), ISBLANK(BX25)),VLOOKUP(MIN(BT25:BU25),#REF!,2),IF(OR(DE25="B", DE25="G"),MIN(BW25:BX25),""))</f>
        <v/>
      </c>
      <c r="FB25" s="770" t="str">
        <f>IF(AND(DE25="G", ISBLANK(BW25), ISBLANK(BX25)),VLOOKUP(MAX(BT25:BU25),#REF!,2),IF(OR(DE25="B", DE25="G"),MAX(BW25:BX25),""))</f>
        <v/>
      </c>
      <c r="FC25" s="770" t="str">
        <f t="shared" si="97"/>
        <v/>
      </c>
      <c r="FD25" s="762">
        <f t="shared" si="124"/>
        <v>0</v>
      </c>
      <c r="FE25" s="762">
        <f t="shared" si="98"/>
        <v>0</v>
      </c>
      <c r="FF25" s="762">
        <f t="shared" si="99"/>
        <v>0</v>
      </c>
      <c r="FG25" s="762" t="str">
        <f t="shared" si="100"/>
        <v/>
      </c>
      <c r="FH25" s="763" t="str">
        <f t="shared" si="101"/>
        <v/>
      </c>
      <c r="FI25" s="762">
        <f t="shared" si="125"/>
        <v>0</v>
      </c>
      <c r="FJ25" s="762">
        <f t="shared" si="102"/>
        <v>0</v>
      </c>
      <c r="FK25" s="762">
        <f t="shared" si="103"/>
        <v>0</v>
      </c>
      <c r="FL25" s="762" t="str">
        <f t="shared" si="104"/>
        <v/>
      </c>
      <c r="FM25" s="763" t="str">
        <f t="shared" si="105"/>
        <v/>
      </c>
      <c r="FN25" s="763" t="e">
        <f t="shared" si="106"/>
        <v>#VALUE!</v>
      </c>
      <c r="FO25" s="872" t="e">
        <f t="shared" si="107"/>
        <v>#VALUE!</v>
      </c>
      <c r="FP25" s="872" t="e">
        <f t="shared" si="108"/>
        <v>#VALUE!</v>
      </c>
      <c r="FQ25" s="771" t="e">
        <f t="shared" si="109"/>
        <v>#VALUE!</v>
      </c>
      <c r="FR25" s="772" t="e">
        <f t="shared" si="110"/>
        <v>#VALUE!</v>
      </c>
      <c r="FS25" s="773" t="str">
        <f t="shared" si="111"/>
        <v/>
      </c>
      <c r="FT25" s="774" t="str">
        <f t="shared" si="112"/>
        <v/>
      </c>
      <c r="FU25" s="809">
        <f t="shared" si="113"/>
        <v>0</v>
      </c>
      <c r="FV25" s="810">
        <f t="shared" si="114"/>
        <v>0</v>
      </c>
      <c r="GA25" s="542" t="str">
        <f t="shared" si="115"/>
        <v/>
      </c>
      <c r="GB25" s="562" t="str">
        <f t="shared" si="116"/>
        <v/>
      </c>
      <c r="GC25" s="564" t="str">
        <f t="shared" si="117"/>
        <v/>
      </c>
      <c r="GD25" s="565" t="str">
        <f t="shared" si="118"/>
        <v/>
      </c>
      <c r="GE25" s="563" t="str">
        <f t="shared" si="119"/>
        <v/>
      </c>
      <c r="GF25" s="543" t="str">
        <f t="shared" si="120"/>
        <v/>
      </c>
      <c r="GG25" s="1052"/>
      <c r="GH25" s="1053"/>
      <c r="GI25" s="1052"/>
      <c r="GJ25" s="1053"/>
      <c r="GK25" s="1521">
        <f t="shared" si="121"/>
        <v>0</v>
      </c>
      <c r="GL25" s="1519" t="e">
        <f t="shared" si="122"/>
        <v>#VALUE!</v>
      </c>
      <c r="GM25" s="1520" t="e">
        <f>IF(ABS(GK25-GL25)&gt;=#REF!,ABS(GK25-GL25),0)</f>
        <v>#VALUE!</v>
      </c>
      <c r="HA25" s="1187"/>
      <c r="HB25" s="1188"/>
      <c r="HC25" s="1188"/>
      <c r="HD25" s="1189"/>
      <c r="HE25" s="1190"/>
      <c r="HF25" s="1188"/>
      <c r="HG25" s="1188"/>
      <c r="HH25" s="1188"/>
      <c r="HI25" s="1191"/>
      <c r="HJ25" s="1188"/>
      <c r="HK25" s="1188"/>
      <c r="HL25" s="1188"/>
      <c r="HM25" s="1188"/>
      <c r="HN25" s="1188"/>
      <c r="HO25" s="1188"/>
      <c r="HP25" s="1188"/>
      <c r="HQ25" s="1191"/>
      <c r="HR25" s="1188"/>
      <c r="HS25" s="1188"/>
      <c r="HT25" s="1188"/>
      <c r="HU25" s="1188"/>
      <c r="HV25" s="1188"/>
      <c r="HW25" s="1190"/>
      <c r="HX25" s="1190"/>
      <c r="HY25" s="1190"/>
      <c r="HZ25" s="1190"/>
      <c r="IA25" s="1190"/>
      <c r="IB25" s="1190"/>
      <c r="IC25" s="1190"/>
      <c r="ID25" s="1190"/>
      <c r="IE25" s="1190"/>
      <c r="IF25" s="1192"/>
    </row>
    <row r="26" spans="1:240" ht="12.6" customHeight="1" x14ac:dyDescent="0.25">
      <c r="A26" s="1132" t="str">
        <f t="shared" si="1"/>
        <v/>
      </c>
      <c r="B26" s="1586" t="str">
        <f t="shared" si="2"/>
        <v/>
      </c>
      <c r="C26" s="1133" t="str">
        <f t="shared" si="3"/>
        <v/>
      </c>
      <c r="D26" s="1134" t="str">
        <f t="shared" si="4"/>
        <v/>
      </c>
      <c r="E26" s="1135" t="str">
        <f t="shared" si="5"/>
        <v/>
      </c>
      <c r="F26" s="1143" t="str">
        <f t="shared" si="6"/>
        <v/>
      </c>
      <c r="G26" s="1138" t="str">
        <f t="shared" si="7"/>
        <v/>
      </c>
      <c r="H26" s="1645" t="str">
        <f t="shared" si="8"/>
        <v/>
      </c>
      <c r="I26" s="1134" t="str">
        <f t="shared" si="9"/>
        <v/>
      </c>
      <c r="J26" s="1138" t="str">
        <f t="shared" si="10"/>
        <v/>
      </c>
      <c r="K26" s="1657" t="str">
        <f t="shared" si="11"/>
        <v/>
      </c>
      <c r="L26" s="1141" t="str">
        <f t="shared" si="12"/>
        <v/>
      </c>
      <c r="M26" s="1142" t="str">
        <f t="shared" si="13"/>
        <v/>
      </c>
      <c r="N26" s="1137" t="str">
        <f t="shared" si="14"/>
        <v/>
      </c>
      <c r="O26" s="1138" t="str">
        <f t="shared" si="15"/>
        <v/>
      </c>
      <c r="P26" s="1139" t="str">
        <f t="shared" si="16"/>
        <v/>
      </c>
      <c r="Q26" s="1134" t="str">
        <f t="shared" si="17"/>
        <v/>
      </c>
      <c r="R26" s="1138" t="str">
        <f t="shared" si="18"/>
        <v/>
      </c>
      <c r="S26" s="1140" t="str">
        <f t="shared" si="19"/>
        <v/>
      </c>
      <c r="T26" s="1143" t="str">
        <f t="shared" si="20"/>
        <v/>
      </c>
      <c r="U26" s="1138" t="str">
        <f t="shared" si="21"/>
        <v/>
      </c>
      <c r="V26" s="1134" t="str">
        <f t="shared" si="22"/>
        <v/>
      </c>
      <c r="W26" s="1138" t="str">
        <f t="shared" si="23"/>
        <v/>
      </c>
      <c r="X26" s="1142">
        <f t="shared" si="24"/>
        <v>0</v>
      </c>
      <c r="Y26" s="1647" t="str">
        <f t="shared" si="25"/>
        <v/>
      </c>
      <c r="Z26" s="1648" t="str">
        <f t="shared" si="26"/>
        <v/>
      </c>
      <c r="AA26" s="1649" t="str">
        <f t="shared" si="27"/>
        <v/>
      </c>
      <c r="AB26" s="1288"/>
      <c r="AC26" s="898" t="b">
        <v>0</v>
      </c>
      <c r="AD26" s="374">
        <f t="shared" si="28"/>
        <v>0</v>
      </c>
      <c r="AE26" s="375">
        <f t="shared" si="29"/>
        <v>0</v>
      </c>
      <c r="AF26" s="375">
        <f t="shared" si="30"/>
        <v>0</v>
      </c>
      <c r="AG26" s="375">
        <f t="shared" si="31"/>
        <v>0</v>
      </c>
      <c r="AH26" s="376">
        <f t="shared" si="32"/>
        <v>0</v>
      </c>
      <c r="AI26" s="377" t="b">
        <v>0</v>
      </c>
      <c r="AJ26" s="143">
        <f t="shared" si="33"/>
        <v>0</v>
      </c>
      <c r="AK26" s="771" t="str">
        <f t="shared" si="34"/>
        <v/>
      </c>
      <c r="AL26" s="877" t="str">
        <f t="shared" si="35"/>
        <v/>
      </c>
      <c r="AM26" s="771" t="str">
        <f t="shared" si="36"/>
        <v/>
      </c>
      <c r="AN26" s="771" t="str">
        <f t="shared" si="37"/>
        <v/>
      </c>
      <c r="AO26" s="771" t="str">
        <f t="shared" si="38"/>
        <v/>
      </c>
      <c r="AP26" s="771" t="b">
        <f>IF(ISERROR(AJ26),FALSE,IF(OR(AJ26=0,ISERROR(AL26),ISERROR(AM26),ISERROR(AN26),ISERROR(AO26)),FALSE,IF(AL26&lt;&gt;"",IF(ISERROR(VLOOKUP(SUBSTITUTE(SUBSTITUTE(C26,"R",""),"A",""),#REF!,1,FALSE)),FALSE,TRUE),TRUE)))</f>
        <v>0</v>
      </c>
      <c r="AQ26" s="945" t="e">
        <f t="shared" si="39"/>
        <v>#N/A</v>
      </c>
      <c r="AR26" s="877" t="b">
        <f t="shared" si="40"/>
        <v>0</v>
      </c>
      <c r="AS26" s="945" t="e">
        <f t="shared" si="41"/>
        <v>#N/A</v>
      </c>
      <c r="AT26" s="877" t="b">
        <f t="shared" si="42"/>
        <v>0</v>
      </c>
      <c r="AU26" s="878" t="str">
        <f t="shared" si="43"/>
        <v/>
      </c>
      <c r="AV26" s="771" t="str">
        <f t="shared" si="44"/>
        <v/>
      </c>
      <c r="AW26" s="771" t="str">
        <f t="shared" si="45"/>
        <v/>
      </c>
      <c r="AX26" s="771" t="str">
        <f t="shared" si="123"/>
        <v/>
      </c>
      <c r="AY26" s="946" t="e">
        <f t="shared" si="46"/>
        <v>#REF!</v>
      </c>
      <c r="AZ26" s="795" t="str">
        <f t="shared" si="47"/>
        <v/>
      </c>
      <c r="BA26" s="496"/>
      <c r="BB26" s="616"/>
      <c r="BC26" s="1567"/>
      <c r="BD26" s="682"/>
      <c r="BE26" s="683"/>
      <c r="BF26" s="684"/>
      <c r="BG26" s="660"/>
      <c r="BH26" s="901"/>
      <c r="BI26" s="902"/>
      <c r="BJ26" s="1508"/>
      <c r="BK26" s="661"/>
      <c r="BL26" s="662"/>
      <c r="BM26" s="663"/>
      <c r="BN26" s="664"/>
      <c r="BO26" s="616" t="str">
        <f>IF(ISERROR(CU26),"",IF(CU26="","",IF(VLOOKUP(BG26,#REF!,10,FALSE)="","","X")))</f>
        <v/>
      </c>
      <c r="BP26" s="687"/>
      <c r="BQ26" s="1430" t="str">
        <f t="shared" si="48"/>
        <v/>
      </c>
      <c r="BR26" s="839"/>
      <c r="BS26" s="660"/>
      <c r="BT26" s="661"/>
      <c r="BU26" s="662"/>
      <c r="BV26" s="1508"/>
      <c r="BW26" s="661"/>
      <c r="BX26" s="662"/>
      <c r="BY26" s="663"/>
      <c r="BZ26" s="664"/>
      <c r="CA26" s="625" t="str">
        <f>IF(ISERROR(DE26),"",IF(DE26="","",IF(VLOOKUP(BS26,#REF!,10,FALSE)="","","X")))</f>
        <v/>
      </c>
      <c r="CB26" s="687"/>
      <c r="CC26" s="1430" t="str">
        <f t="shared" si="49"/>
        <v/>
      </c>
      <c r="CD26" s="839"/>
      <c r="CE26" s="665"/>
      <c r="CF26" s="685"/>
      <c r="CG26" s="686"/>
      <c r="CH26" s="534" t="str">
        <f t="shared" si="50"/>
        <v/>
      </c>
      <c r="CI26" s="535" t="str">
        <f t="shared" si="51"/>
        <v/>
      </c>
      <c r="CJ26" s="536" t="str">
        <f t="shared" si="52"/>
        <v/>
      </c>
      <c r="CK26" s="537" t="str">
        <f t="shared" si="53"/>
        <v/>
      </c>
      <c r="CL26" s="538" t="str">
        <f t="shared" si="54"/>
        <v/>
      </c>
      <c r="CM26" s="539" t="str">
        <f t="shared" si="55"/>
        <v/>
      </c>
      <c r="CN26" s="540" t="str">
        <f t="shared" si="56"/>
        <v/>
      </c>
      <c r="CO26" s="541" t="str">
        <f t="shared" si="57"/>
        <v/>
      </c>
      <c r="CP26" s="558" t="str">
        <f t="shared" si="58"/>
        <v/>
      </c>
      <c r="CQ26" s="559" t="str">
        <f t="shared" si="59"/>
        <v/>
      </c>
      <c r="CR26" s="699" t="str">
        <f t="shared" si="60"/>
        <v/>
      </c>
      <c r="CS26" s="700" t="str">
        <f t="shared" si="61"/>
        <v/>
      </c>
      <c r="CU26" s="758" t="str">
        <f>IF(BG26="","",VLOOKUP(BG26,#REF!,12,FALSE))</f>
        <v/>
      </c>
      <c r="CV26" s="756" t="str">
        <f>IF(BG26="","",IF(ISBLANK(BP26),VLOOKUP(BG26,#REF!,13,FALSE),BP26))</f>
        <v/>
      </c>
      <c r="CW26" s="756" t="str">
        <f>IF(BG26="","",IF(VLOOKUP(BG26,#REF!,5,FALSE)="","R",UPPER(VLOOKUP(BG26,#REF!,5,FALSE))))</f>
        <v/>
      </c>
      <c r="CX26" s="756" t="str">
        <f>IF(BG26="","",IF(ISBLANK(BR26),VLOOKUP(BG26,#REF!,6,FALSE),BR26))</f>
        <v/>
      </c>
      <c r="CY26" s="1203" t="str">
        <f>IF(BG26="","",IF(VLOOKUP(BG26,#REF!,10,FALSE)="","",(IF(BO26="X",VLOOKUP(BG26,#REF!,10,FALSE),VALUE(BO26))*-1)))</f>
        <v/>
      </c>
      <c r="CZ26" s="1042" t="str">
        <f>IF(BG26="","",IF(VLOOKUP(BG26,#REF!,11,FALSE)="","2",(VLOOKUP(BG26,#REF!,11,FALSE))))</f>
        <v/>
      </c>
      <c r="DA26" s="756" t="str">
        <f>IF(BG26="","",IF(VLOOKUP(BG26,#REF!,7,FALSE)="","",(VLOOKUP(BG26,#REF!,7,FALSE)*-1)))</f>
        <v/>
      </c>
      <c r="DB26" s="756" t="str">
        <f>IF(BG26="","",IF(VLOOKUP(BG26,#REF!,8,FALSE)="",VLOOKUP(AU26,$DF$2:$DN$9,6,FALSE),(VLOOKUP(BG26,#REF!,8,FALSE))))</f>
        <v/>
      </c>
      <c r="DC26" s="756" t="str">
        <f>IF(BG26="","",VLOOKUP(BG26,#REF!,9,FALSE))</f>
        <v/>
      </c>
      <c r="DD26" s="757">
        <f t="shared" si="62"/>
        <v>0</v>
      </c>
      <c r="DE26" s="758" t="str">
        <f>IF(BS26="","",VLOOKUP(BS26,#REF!,12,FALSE))</f>
        <v/>
      </c>
      <c r="DF26" s="756" t="str">
        <f>IF(BS26="","",IF(ISBLANK(CB26),VLOOKUP(BS26,#REF!,13,FALSE),CB26))</f>
        <v/>
      </c>
      <c r="DG26" s="756" t="str">
        <f>IF(BS26="","",IF(VLOOKUP(BS26,#REF!,5,FALSE)="","R",UPPER(VLOOKUP(BS26,#REF!,5,FALSE))))</f>
        <v/>
      </c>
      <c r="DH26" s="756" t="str">
        <f>IF(BS26="","",IF(ISBLANK(CD26),VLOOKUP(BS26,#REF!,6,FALSE),CD26))</f>
        <v/>
      </c>
      <c r="DI26" s="1203" t="str">
        <f>IF(BS26="","",IF(VLOOKUP(BS26,#REF!,10,FALSE)="","",(IF(CA26="X",VLOOKUP(BS26,#REF!,10,FALSE),VALUE(CA26))*-1)))</f>
        <v/>
      </c>
      <c r="DJ26" s="1042" t="str">
        <f>IF(BS26="","",IF(VLOOKUP(BS26,#REF!,11,FALSE)="","2",(VLOOKUP(BS26,#REF!,11,FALSE))))</f>
        <v/>
      </c>
      <c r="DK26" s="756" t="str">
        <f>IF(BS26="","",IF(VLOOKUP(BS26,#REF!,7,FALSE)="","",(VLOOKUP(BS26,#REF!,7,FALSE)*-1)))</f>
        <v/>
      </c>
      <c r="DL26" s="756" t="str">
        <f>IF(BS26="","",IF(VLOOKUP(BS26,#REF!,8,FALSE)="",VLOOKUP(AU26,$DF$2:$DN$9,6,FALSE),(VLOOKUP(BS26,#REF!,8,FALSE))))</f>
        <v/>
      </c>
      <c r="DM26" s="756" t="str">
        <f>IF(BS26="","",VLOOKUP(BS26,#REF!,9,FALSE))</f>
        <v/>
      </c>
      <c r="DN26" s="757">
        <f t="shared" si="63"/>
        <v>0</v>
      </c>
      <c r="DO26" s="759">
        <f t="shared" si="64"/>
        <v>0</v>
      </c>
      <c r="DP26" s="763" t="str">
        <f t="shared" si="65"/>
        <v/>
      </c>
      <c r="DQ26" s="763" t="str">
        <f t="shared" si="66"/>
        <v/>
      </c>
      <c r="DR26" s="763" t="str">
        <f t="shared" si="67"/>
        <v/>
      </c>
      <c r="DS26" s="762">
        <f t="shared" si="68"/>
        <v>0</v>
      </c>
      <c r="DT26" s="762" t="e">
        <f t="shared" si="69"/>
        <v>#REF!</v>
      </c>
      <c r="DU26" s="762" t="str">
        <f t="shared" si="70"/>
        <v/>
      </c>
      <c r="DV26" s="763" t="str">
        <f t="shared" si="71"/>
        <v/>
      </c>
      <c r="DW26" s="795" t="str">
        <f t="shared" si="72"/>
        <v/>
      </c>
      <c r="DX26" s="926">
        <f t="shared" si="73"/>
        <v>0</v>
      </c>
      <c r="DY26" s="763">
        <f t="shared" si="74"/>
        <v>0</v>
      </c>
      <c r="DZ26" s="762" t="e">
        <f t="shared" si="75"/>
        <v>#REF!</v>
      </c>
      <c r="EA26" s="762" t="str">
        <f t="shared" si="76"/>
        <v/>
      </c>
      <c r="EB26" s="763" t="str">
        <f t="shared" si="77"/>
        <v/>
      </c>
      <c r="EC26" s="795" t="str">
        <f t="shared" si="78"/>
        <v/>
      </c>
      <c r="ED26" s="926">
        <f t="shared" si="79"/>
        <v>0</v>
      </c>
      <c r="EE26" s="1210" t="str">
        <f t="shared" si="80"/>
        <v/>
      </c>
      <c r="EF26" s="1210" t="str">
        <f t="shared" si="81"/>
        <v/>
      </c>
      <c r="EG26" s="1210" t="str">
        <f t="shared" si="82"/>
        <v/>
      </c>
      <c r="EH26" s="795" t="e">
        <f t="shared" si="83"/>
        <v>#N/A</v>
      </c>
      <c r="EI26" s="795" t="e">
        <f t="shared" si="84"/>
        <v>#N/A</v>
      </c>
      <c r="EJ26" s="763" t="str">
        <f t="shared" si="85"/>
        <v/>
      </c>
      <c r="EK26" s="763" t="str">
        <f t="shared" si="85"/>
        <v/>
      </c>
      <c r="EL26" s="1210" t="str">
        <f t="shared" si="86"/>
        <v/>
      </c>
      <c r="EM26" s="763" t="str">
        <f t="shared" si="87"/>
        <v/>
      </c>
      <c r="EN26" s="763" t="str">
        <f t="shared" si="88"/>
        <v/>
      </c>
      <c r="EO26" s="795" t="e">
        <f t="shared" si="89"/>
        <v>#N/A</v>
      </c>
      <c r="EP26" s="795" t="e">
        <f t="shared" si="90"/>
        <v>#N/A</v>
      </c>
      <c r="EQ26" s="1210" t="str">
        <f t="shared" si="91"/>
        <v/>
      </c>
      <c r="ER26" s="763" t="str">
        <f t="shared" si="91"/>
        <v/>
      </c>
      <c r="ES26" s="763" t="str">
        <f t="shared" si="92"/>
        <v/>
      </c>
      <c r="ET26" s="763" t="str">
        <f t="shared" si="93"/>
        <v/>
      </c>
      <c r="EU26" s="770" t="str">
        <f t="shared" si="94"/>
        <v/>
      </c>
      <c r="EV26" s="765" t="str">
        <f t="shared" si="95"/>
        <v/>
      </c>
      <c r="EW26" s="770"/>
      <c r="EX26" s="770" t="str">
        <f>IF(AND(CU26="G", ISBLANK(BK26), ISBLANK(BL26)),VLOOKUP(MIN(BH26:BI26),#REF!,2),IF(OR(CU26="B",CU26="G"),MIN(BK26:BL26),""))</f>
        <v/>
      </c>
      <c r="EY26" s="770" t="str">
        <f>IF(AND(CU26="G", ISBLANK(BK26), ISBLANK(BL26)),VLOOKUP(MAX(BH26:BI26),#REF!,2),IF(OR(CU26="B",CU26="G"),MAX(BK26:BL26),""))</f>
        <v/>
      </c>
      <c r="EZ26" s="770" t="str">
        <f t="shared" si="96"/>
        <v/>
      </c>
      <c r="FA26" s="770" t="str">
        <f>IF(AND(DE26="G", ISBLANK(BW26), ISBLANK(BX26)),VLOOKUP(MIN(BT26:BU26),#REF!,2),IF(OR(DE26="B", DE26="G"),MIN(BW26:BX26),""))</f>
        <v/>
      </c>
      <c r="FB26" s="770" t="str">
        <f>IF(AND(DE26="G", ISBLANK(BW26), ISBLANK(BX26)),VLOOKUP(MAX(BT26:BU26),#REF!,2),IF(OR(DE26="B", DE26="G"),MAX(BW26:BX26),""))</f>
        <v/>
      </c>
      <c r="FC26" s="770" t="str">
        <f t="shared" si="97"/>
        <v/>
      </c>
      <c r="FD26" s="762">
        <f t="shared" si="124"/>
        <v>0</v>
      </c>
      <c r="FE26" s="762">
        <f t="shared" si="98"/>
        <v>0</v>
      </c>
      <c r="FF26" s="762">
        <f t="shared" si="99"/>
        <v>0</v>
      </c>
      <c r="FG26" s="762" t="str">
        <f t="shared" si="100"/>
        <v/>
      </c>
      <c r="FH26" s="763" t="str">
        <f t="shared" si="101"/>
        <v/>
      </c>
      <c r="FI26" s="762">
        <f t="shared" si="125"/>
        <v>0</v>
      </c>
      <c r="FJ26" s="762">
        <f t="shared" si="102"/>
        <v>0</v>
      </c>
      <c r="FK26" s="762">
        <f t="shared" si="103"/>
        <v>0</v>
      </c>
      <c r="FL26" s="762" t="str">
        <f t="shared" si="104"/>
        <v/>
      </c>
      <c r="FM26" s="763" t="str">
        <f t="shared" si="105"/>
        <v/>
      </c>
      <c r="FN26" s="763" t="e">
        <f t="shared" si="106"/>
        <v>#VALUE!</v>
      </c>
      <c r="FO26" s="872" t="e">
        <f t="shared" si="107"/>
        <v>#VALUE!</v>
      </c>
      <c r="FP26" s="872" t="e">
        <f t="shared" si="108"/>
        <v>#VALUE!</v>
      </c>
      <c r="FQ26" s="771" t="e">
        <f t="shared" si="109"/>
        <v>#VALUE!</v>
      </c>
      <c r="FR26" s="772" t="e">
        <f t="shared" si="110"/>
        <v>#VALUE!</v>
      </c>
      <c r="FS26" s="773" t="str">
        <f t="shared" si="111"/>
        <v/>
      </c>
      <c r="FT26" s="774" t="str">
        <f t="shared" si="112"/>
        <v/>
      </c>
      <c r="FU26" s="809">
        <f t="shared" si="113"/>
        <v>0</v>
      </c>
      <c r="FV26" s="810">
        <f t="shared" si="114"/>
        <v>0</v>
      </c>
      <c r="GA26" s="542" t="str">
        <f t="shared" si="115"/>
        <v/>
      </c>
      <c r="GB26" s="562" t="str">
        <f t="shared" si="116"/>
        <v/>
      </c>
      <c r="GC26" s="564" t="str">
        <f t="shared" si="117"/>
        <v/>
      </c>
      <c r="GD26" s="565" t="str">
        <f t="shared" si="118"/>
        <v/>
      </c>
      <c r="GE26" s="563" t="str">
        <f t="shared" si="119"/>
        <v/>
      </c>
      <c r="GF26" s="543" t="str">
        <f t="shared" si="120"/>
        <v/>
      </c>
      <c r="GG26" s="1052"/>
      <c r="GH26" s="1053"/>
      <c r="GI26" s="1052"/>
      <c r="GJ26" s="1053"/>
      <c r="GK26" s="1521">
        <f t="shared" si="121"/>
        <v>0</v>
      </c>
      <c r="GL26" s="1519" t="e">
        <f t="shared" si="122"/>
        <v>#VALUE!</v>
      </c>
      <c r="GM26" s="1520" t="e">
        <f>IF(ABS(GK26-GL26)&gt;=#REF!,ABS(GK26-GL26),0)</f>
        <v>#VALUE!</v>
      </c>
      <c r="HA26" s="1187"/>
      <c r="HB26" s="1188"/>
      <c r="HC26" s="1188"/>
      <c r="HD26" s="1189"/>
      <c r="HE26" s="1190"/>
      <c r="HF26" s="1188"/>
      <c r="HG26" s="1188"/>
      <c r="HH26" s="1188"/>
      <c r="HI26" s="1191"/>
      <c r="HJ26" s="1188"/>
      <c r="HK26" s="1188"/>
      <c r="HL26" s="1188"/>
      <c r="HM26" s="1188"/>
      <c r="HN26" s="1188"/>
      <c r="HO26" s="1188"/>
      <c r="HP26" s="1188"/>
      <c r="HQ26" s="1191"/>
      <c r="HR26" s="1188"/>
      <c r="HS26" s="1188"/>
      <c r="HT26" s="1188"/>
      <c r="HU26" s="1188"/>
      <c r="HV26" s="1188"/>
      <c r="HW26" s="1190"/>
      <c r="HX26" s="1190"/>
      <c r="HY26" s="1190"/>
      <c r="HZ26" s="1190"/>
      <c r="IA26" s="1190"/>
      <c r="IB26" s="1190"/>
      <c r="IC26" s="1190"/>
      <c r="ID26" s="1190"/>
      <c r="IE26" s="1190"/>
      <c r="IF26" s="1192"/>
    </row>
    <row r="27" spans="1:240" ht="12.6" customHeight="1" x14ac:dyDescent="0.25">
      <c r="A27" s="1132" t="str">
        <f t="shared" si="1"/>
        <v/>
      </c>
      <c r="B27" s="1586" t="str">
        <f t="shared" si="2"/>
        <v/>
      </c>
      <c r="C27" s="1133" t="str">
        <f t="shared" si="3"/>
        <v/>
      </c>
      <c r="D27" s="1134" t="str">
        <f t="shared" si="4"/>
        <v/>
      </c>
      <c r="E27" s="1135" t="str">
        <f t="shared" si="5"/>
        <v/>
      </c>
      <c r="F27" s="1143" t="str">
        <f t="shared" si="6"/>
        <v/>
      </c>
      <c r="G27" s="1138" t="str">
        <f t="shared" si="7"/>
        <v/>
      </c>
      <c r="H27" s="1645" t="str">
        <f t="shared" si="8"/>
        <v/>
      </c>
      <c r="I27" s="1134" t="str">
        <f t="shared" si="9"/>
        <v/>
      </c>
      <c r="J27" s="1138" t="str">
        <f t="shared" si="10"/>
        <v/>
      </c>
      <c r="K27" s="1657" t="str">
        <f t="shared" si="11"/>
        <v/>
      </c>
      <c r="L27" s="1141" t="str">
        <f t="shared" si="12"/>
        <v/>
      </c>
      <c r="M27" s="1142" t="str">
        <f t="shared" si="13"/>
        <v/>
      </c>
      <c r="N27" s="1137" t="str">
        <f t="shared" si="14"/>
        <v/>
      </c>
      <c r="O27" s="1138" t="str">
        <f t="shared" si="15"/>
        <v/>
      </c>
      <c r="P27" s="1139" t="str">
        <f t="shared" si="16"/>
        <v/>
      </c>
      <c r="Q27" s="1134" t="str">
        <f t="shared" si="17"/>
        <v/>
      </c>
      <c r="R27" s="1138" t="str">
        <f t="shared" si="18"/>
        <v/>
      </c>
      <c r="S27" s="1140" t="str">
        <f t="shared" si="19"/>
        <v/>
      </c>
      <c r="T27" s="1143" t="str">
        <f t="shared" si="20"/>
        <v/>
      </c>
      <c r="U27" s="1138" t="str">
        <f t="shared" si="21"/>
        <v/>
      </c>
      <c r="V27" s="1134" t="str">
        <f t="shared" si="22"/>
        <v/>
      </c>
      <c r="W27" s="1138" t="str">
        <f t="shared" si="23"/>
        <v/>
      </c>
      <c r="X27" s="1142">
        <f t="shared" si="24"/>
        <v>0</v>
      </c>
      <c r="Y27" s="1647" t="str">
        <f t="shared" si="25"/>
        <v/>
      </c>
      <c r="Z27" s="1648" t="str">
        <f t="shared" si="26"/>
        <v/>
      </c>
      <c r="AA27" s="1649" t="str">
        <f t="shared" si="27"/>
        <v/>
      </c>
      <c r="AB27" s="1288"/>
      <c r="AC27" s="898" t="b">
        <v>0</v>
      </c>
      <c r="AD27" s="374">
        <f t="shared" si="28"/>
        <v>0</v>
      </c>
      <c r="AE27" s="375">
        <f t="shared" si="29"/>
        <v>0</v>
      </c>
      <c r="AF27" s="375">
        <f t="shared" si="30"/>
        <v>0</v>
      </c>
      <c r="AG27" s="375">
        <f t="shared" si="31"/>
        <v>0</v>
      </c>
      <c r="AH27" s="376">
        <f t="shared" si="32"/>
        <v>0</v>
      </c>
      <c r="AI27" s="377" t="b">
        <v>0</v>
      </c>
      <c r="AJ27" s="143">
        <f t="shared" si="33"/>
        <v>0</v>
      </c>
      <c r="AK27" s="771" t="str">
        <f t="shared" si="34"/>
        <v/>
      </c>
      <c r="AL27" s="877" t="str">
        <f t="shared" si="35"/>
        <v/>
      </c>
      <c r="AM27" s="771" t="str">
        <f t="shared" si="36"/>
        <v/>
      </c>
      <c r="AN27" s="771" t="str">
        <f t="shared" si="37"/>
        <v/>
      </c>
      <c r="AO27" s="771" t="str">
        <f t="shared" si="38"/>
        <v/>
      </c>
      <c r="AP27" s="771" t="b">
        <f>IF(ISERROR(AJ27),FALSE,IF(OR(AJ27=0,ISERROR(AL27),ISERROR(AM27),ISERROR(AN27),ISERROR(AO27)),FALSE,IF(AL27&lt;&gt;"",IF(ISERROR(VLOOKUP(SUBSTITUTE(SUBSTITUTE(C27,"R",""),"A",""),#REF!,1,FALSE)),FALSE,TRUE),TRUE)))</f>
        <v>0</v>
      </c>
      <c r="AQ27" s="945" t="e">
        <f t="shared" si="39"/>
        <v>#N/A</v>
      </c>
      <c r="AR27" s="877" t="b">
        <f t="shared" si="40"/>
        <v>0</v>
      </c>
      <c r="AS27" s="945" t="e">
        <f t="shared" si="41"/>
        <v>#N/A</v>
      </c>
      <c r="AT27" s="877" t="b">
        <f t="shared" si="42"/>
        <v>0</v>
      </c>
      <c r="AU27" s="878" t="str">
        <f t="shared" si="43"/>
        <v/>
      </c>
      <c r="AV27" s="771" t="str">
        <f t="shared" si="44"/>
        <v/>
      </c>
      <c r="AW27" s="771" t="str">
        <f t="shared" si="45"/>
        <v/>
      </c>
      <c r="AX27" s="771" t="str">
        <f t="shared" si="123"/>
        <v/>
      </c>
      <c r="AY27" s="946" t="e">
        <f t="shared" si="46"/>
        <v>#REF!</v>
      </c>
      <c r="AZ27" s="795" t="str">
        <f t="shared" si="47"/>
        <v/>
      </c>
      <c r="BA27" s="496"/>
      <c r="BB27" s="616"/>
      <c r="BC27" s="1567"/>
      <c r="BD27" s="682"/>
      <c r="BE27" s="683"/>
      <c r="BF27" s="684"/>
      <c r="BG27" s="660"/>
      <c r="BH27" s="901"/>
      <c r="BI27" s="902"/>
      <c r="BJ27" s="1508"/>
      <c r="BK27" s="661"/>
      <c r="BL27" s="662"/>
      <c r="BM27" s="663"/>
      <c r="BN27" s="664"/>
      <c r="BO27" s="616" t="str">
        <f>IF(ISERROR(CU27),"",IF(CU27="","",IF(VLOOKUP(BG27,#REF!,10,FALSE)="","","X")))</f>
        <v/>
      </c>
      <c r="BP27" s="687"/>
      <c r="BQ27" s="1430" t="str">
        <f t="shared" si="48"/>
        <v/>
      </c>
      <c r="BR27" s="839"/>
      <c r="BS27" s="660"/>
      <c r="BT27" s="661"/>
      <c r="BU27" s="662"/>
      <c r="BV27" s="1508"/>
      <c r="BW27" s="661"/>
      <c r="BX27" s="662"/>
      <c r="BY27" s="663"/>
      <c r="BZ27" s="664"/>
      <c r="CA27" s="625" t="str">
        <f>IF(ISERROR(DE27),"",IF(DE27="","",IF(VLOOKUP(BS27,#REF!,10,FALSE)="","","X")))</f>
        <v/>
      </c>
      <c r="CB27" s="687"/>
      <c r="CC27" s="1430" t="str">
        <f t="shared" si="49"/>
        <v/>
      </c>
      <c r="CD27" s="839"/>
      <c r="CE27" s="665"/>
      <c r="CF27" s="685"/>
      <c r="CG27" s="686"/>
      <c r="CH27" s="534" t="str">
        <f t="shared" si="50"/>
        <v/>
      </c>
      <c r="CI27" s="535" t="str">
        <f t="shared" si="51"/>
        <v/>
      </c>
      <c r="CJ27" s="536" t="str">
        <f t="shared" si="52"/>
        <v/>
      </c>
      <c r="CK27" s="537" t="str">
        <f t="shared" si="53"/>
        <v/>
      </c>
      <c r="CL27" s="538" t="str">
        <f t="shared" si="54"/>
        <v/>
      </c>
      <c r="CM27" s="539" t="str">
        <f t="shared" si="55"/>
        <v/>
      </c>
      <c r="CN27" s="540" t="str">
        <f t="shared" si="56"/>
        <v/>
      </c>
      <c r="CO27" s="541" t="str">
        <f t="shared" si="57"/>
        <v/>
      </c>
      <c r="CP27" s="558" t="str">
        <f t="shared" si="58"/>
        <v/>
      </c>
      <c r="CQ27" s="559" t="str">
        <f t="shared" si="59"/>
        <v/>
      </c>
      <c r="CR27" s="699" t="str">
        <f t="shared" si="60"/>
        <v/>
      </c>
      <c r="CS27" s="700" t="str">
        <f t="shared" si="61"/>
        <v/>
      </c>
      <c r="CU27" s="758" t="str">
        <f>IF(BG27="","",VLOOKUP(BG27,#REF!,12,FALSE))</f>
        <v/>
      </c>
      <c r="CV27" s="756" t="str">
        <f>IF(BG27="","",IF(ISBLANK(BP27),VLOOKUP(BG27,#REF!,13,FALSE),BP27))</f>
        <v/>
      </c>
      <c r="CW27" s="756" t="str">
        <f>IF(BG27="","",IF(VLOOKUP(BG27,#REF!,5,FALSE)="","R",UPPER(VLOOKUP(BG27,#REF!,5,FALSE))))</f>
        <v/>
      </c>
      <c r="CX27" s="756" t="str">
        <f>IF(BG27="","",IF(ISBLANK(BR27),VLOOKUP(BG27,#REF!,6,FALSE),BR27))</f>
        <v/>
      </c>
      <c r="CY27" s="1203" t="str">
        <f>IF(BG27="","",IF(VLOOKUP(BG27,#REF!,10,FALSE)="","",(IF(BO27="X",VLOOKUP(BG27,#REF!,10,FALSE),VALUE(BO27))*-1)))</f>
        <v/>
      </c>
      <c r="CZ27" s="1042" t="str">
        <f>IF(BG27="","",IF(VLOOKUP(BG27,#REF!,11,FALSE)="","2",(VLOOKUP(BG27,#REF!,11,FALSE))))</f>
        <v/>
      </c>
      <c r="DA27" s="756" t="str">
        <f>IF(BG27="","",IF(VLOOKUP(BG27,#REF!,7,FALSE)="","",(VLOOKUP(BG27,#REF!,7,FALSE)*-1)))</f>
        <v/>
      </c>
      <c r="DB27" s="756" t="str">
        <f>IF(BG27="","",IF(VLOOKUP(BG27,#REF!,8,FALSE)="",VLOOKUP(AU27,$DF$2:$DN$9,6,FALSE),(VLOOKUP(BG27,#REF!,8,FALSE))))</f>
        <v/>
      </c>
      <c r="DC27" s="756" t="str">
        <f>IF(BG27="","",VLOOKUP(BG27,#REF!,9,FALSE))</f>
        <v/>
      </c>
      <c r="DD27" s="757">
        <f t="shared" si="62"/>
        <v>0</v>
      </c>
      <c r="DE27" s="758" t="str">
        <f>IF(BS27="","",VLOOKUP(BS27,#REF!,12,FALSE))</f>
        <v/>
      </c>
      <c r="DF27" s="756" t="str">
        <f>IF(BS27="","",IF(ISBLANK(CB27),VLOOKUP(BS27,#REF!,13,FALSE),CB27))</f>
        <v/>
      </c>
      <c r="DG27" s="756" t="str">
        <f>IF(BS27="","",IF(VLOOKUP(BS27,#REF!,5,FALSE)="","R",UPPER(VLOOKUP(BS27,#REF!,5,FALSE))))</f>
        <v/>
      </c>
      <c r="DH27" s="756" t="str">
        <f>IF(BS27="","",IF(ISBLANK(CD27),VLOOKUP(BS27,#REF!,6,FALSE),CD27))</f>
        <v/>
      </c>
      <c r="DI27" s="1203" t="str">
        <f>IF(BS27="","",IF(VLOOKUP(BS27,#REF!,10,FALSE)="","",(IF(CA27="X",VLOOKUP(BS27,#REF!,10,FALSE),VALUE(CA27))*-1)))</f>
        <v/>
      </c>
      <c r="DJ27" s="1042" t="str">
        <f>IF(BS27="","",IF(VLOOKUP(BS27,#REF!,11,FALSE)="","2",(VLOOKUP(BS27,#REF!,11,FALSE))))</f>
        <v/>
      </c>
      <c r="DK27" s="756" t="str">
        <f>IF(BS27="","",IF(VLOOKUP(BS27,#REF!,7,FALSE)="","",(VLOOKUP(BS27,#REF!,7,FALSE)*-1)))</f>
        <v/>
      </c>
      <c r="DL27" s="756" t="str">
        <f>IF(BS27="","",IF(VLOOKUP(BS27,#REF!,8,FALSE)="",VLOOKUP(AU27,$DF$2:$DN$9,6,FALSE),(VLOOKUP(BS27,#REF!,8,FALSE))))</f>
        <v/>
      </c>
      <c r="DM27" s="756" t="str">
        <f>IF(BS27="","",VLOOKUP(BS27,#REF!,9,FALSE))</f>
        <v/>
      </c>
      <c r="DN27" s="757">
        <f t="shared" si="63"/>
        <v>0</v>
      </c>
      <c r="DO27" s="759">
        <f t="shared" si="64"/>
        <v>0</v>
      </c>
      <c r="DP27" s="763" t="str">
        <f t="shared" si="65"/>
        <v/>
      </c>
      <c r="DQ27" s="763" t="str">
        <f t="shared" si="66"/>
        <v/>
      </c>
      <c r="DR27" s="763" t="str">
        <f t="shared" si="67"/>
        <v/>
      </c>
      <c r="DS27" s="762">
        <f t="shared" si="68"/>
        <v>0</v>
      </c>
      <c r="DT27" s="762" t="e">
        <f t="shared" si="69"/>
        <v>#REF!</v>
      </c>
      <c r="DU27" s="762" t="str">
        <f t="shared" si="70"/>
        <v/>
      </c>
      <c r="DV27" s="763" t="str">
        <f t="shared" si="71"/>
        <v/>
      </c>
      <c r="DW27" s="795" t="str">
        <f t="shared" si="72"/>
        <v/>
      </c>
      <c r="DX27" s="926">
        <f t="shared" si="73"/>
        <v>0</v>
      </c>
      <c r="DY27" s="763">
        <f t="shared" si="74"/>
        <v>0</v>
      </c>
      <c r="DZ27" s="762" t="e">
        <f t="shared" si="75"/>
        <v>#REF!</v>
      </c>
      <c r="EA27" s="762" t="str">
        <f t="shared" si="76"/>
        <v/>
      </c>
      <c r="EB27" s="763" t="str">
        <f t="shared" si="77"/>
        <v/>
      </c>
      <c r="EC27" s="795" t="str">
        <f t="shared" si="78"/>
        <v/>
      </c>
      <c r="ED27" s="926">
        <f t="shared" si="79"/>
        <v>0</v>
      </c>
      <c r="EE27" s="1210" t="str">
        <f t="shared" si="80"/>
        <v/>
      </c>
      <c r="EF27" s="1210" t="str">
        <f t="shared" si="81"/>
        <v/>
      </c>
      <c r="EG27" s="1210" t="str">
        <f t="shared" si="82"/>
        <v/>
      </c>
      <c r="EH27" s="795" t="e">
        <f t="shared" si="83"/>
        <v>#N/A</v>
      </c>
      <c r="EI27" s="795" t="e">
        <f t="shared" si="84"/>
        <v>#N/A</v>
      </c>
      <c r="EJ27" s="763" t="str">
        <f t="shared" si="85"/>
        <v/>
      </c>
      <c r="EK27" s="763" t="str">
        <f t="shared" si="85"/>
        <v/>
      </c>
      <c r="EL27" s="1210" t="str">
        <f t="shared" si="86"/>
        <v/>
      </c>
      <c r="EM27" s="763" t="str">
        <f t="shared" si="87"/>
        <v/>
      </c>
      <c r="EN27" s="763" t="str">
        <f t="shared" si="88"/>
        <v/>
      </c>
      <c r="EO27" s="795" t="e">
        <f t="shared" si="89"/>
        <v>#N/A</v>
      </c>
      <c r="EP27" s="795" t="e">
        <f t="shared" si="90"/>
        <v>#N/A</v>
      </c>
      <c r="EQ27" s="1210" t="str">
        <f t="shared" si="91"/>
        <v/>
      </c>
      <c r="ER27" s="763" t="str">
        <f t="shared" si="91"/>
        <v/>
      </c>
      <c r="ES27" s="763" t="str">
        <f t="shared" si="92"/>
        <v/>
      </c>
      <c r="ET27" s="763" t="str">
        <f t="shared" si="93"/>
        <v/>
      </c>
      <c r="EU27" s="770" t="str">
        <f t="shared" si="94"/>
        <v/>
      </c>
      <c r="EV27" s="765" t="str">
        <f t="shared" si="95"/>
        <v/>
      </c>
      <c r="EW27" s="770"/>
      <c r="EX27" s="770" t="str">
        <f>IF(AND(CU27="G", ISBLANK(BK27), ISBLANK(BL27)),VLOOKUP(MIN(BH27:BI27),#REF!,2),IF(OR(CU27="B",CU27="G"),MIN(BK27:BL27),""))</f>
        <v/>
      </c>
      <c r="EY27" s="770" t="str">
        <f>IF(AND(CU27="G", ISBLANK(BK27), ISBLANK(BL27)),VLOOKUP(MAX(BH27:BI27),#REF!,2),IF(OR(CU27="B",CU27="G"),MAX(BK27:BL27),""))</f>
        <v/>
      </c>
      <c r="EZ27" s="770" t="str">
        <f t="shared" si="96"/>
        <v/>
      </c>
      <c r="FA27" s="770" t="str">
        <f>IF(AND(DE27="G", ISBLANK(BW27), ISBLANK(BX27)),VLOOKUP(MIN(BT27:BU27),#REF!,2),IF(OR(DE27="B", DE27="G"),MIN(BW27:BX27),""))</f>
        <v/>
      </c>
      <c r="FB27" s="770" t="str">
        <f>IF(AND(DE27="G", ISBLANK(BW27), ISBLANK(BX27)),VLOOKUP(MAX(BT27:BU27),#REF!,2),IF(OR(DE27="B", DE27="G"),MAX(BW27:BX27),""))</f>
        <v/>
      </c>
      <c r="FC27" s="770" t="str">
        <f t="shared" si="97"/>
        <v/>
      </c>
      <c r="FD27" s="762">
        <f t="shared" si="124"/>
        <v>0</v>
      </c>
      <c r="FE27" s="762">
        <f t="shared" si="98"/>
        <v>0</v>
      </c>
      <c r="FF27" s="762">
        <f t="shared" si="99"/>
        <v>0</v>
      </c>
      <c r="FG27" s="762" t="str">
        <f t="shared" si="100"/>
        <v/>
      </c>
      <c r="FH27" s="763" t="str">
        <f t="shared" si="101"/>
        <v/>
      </c>
      <c r="FI27" s="762">
        <f t="shared" si="125"/>
        <v>0</v>
      </c>
      <c r="FJ27" s="762">
        <f t="shared" si="102"/>
        <v>0</v>
      </c>
      <c r="FK27" s="762">
        <f t="shared" si="103"/>
        <v>0</v>
      </c>
      <c r="FL27" s="762" t="str">
        <f t="shared" si="104"/>
        <v/>
      </c>
      <c r="FM27" s="763" t="str">
        <f t="shared" si="105"/>
        <v/>
      </c>
      <c r="FN27" s="763" t="e">
        <f t="shared" si="106"/>
        <v>#VALUE!</v>
      </c>
      <c r="FO27" s="872" t="e">
        <f t="shared" si="107"/>
        <v>#VALUE!</v>
      </c>
      <c r="FP27" s="872" t="e">
        <f t="shared" si="108"/>
        <v>#VALUE!</v>
      </c>
      <c r="FQ27" s="771" t="e">
        <f t="shared" si="109"/>
        <v>#VALUE!</v>
      </c>
      <c r="FR27" s="772" t="e">
        <f t="shared" si="110"/>
        <v>#VALUE!</v>
      </c>
      <c r="FS27" s="773" t="str">
        <f t="shared" si="111"/>
        <v/>
      </c>
      <c r="FT27" s="774" t="str">
        <f t="shared" si="112"/>
        <v/>
      </c>
      <c r="FU27" s="809">
        <f t="shared" si="113"/>
        <v>0</v>
      </c>
      <c r="FV27" s="810">
        <f t="shared" si="114"/>
        <v>0</v>
      </c>
      <c r="GA27" s="542" t="str">
        <f t="shared" si="115"/>
        <v/>
      </c>
      <c r="GB27" s="562" t="str">
        <f t="shared" si="116"/>
        <v/>
      </c>
      <c r="GC27" s="564" t="str">
        <f t="shared" si="117"/>
        <v/>
      </c>
      <c r="GD27" s="565" t="str">
        <f t="shared" si="118"/>
        <v/>
      </c>
      <c r="GE27" s="563" t="str">
        <f t="shared" si="119"/>
        <v/>
      </c>
      <c r="GF27" s="543" t="str">
        <f t="shared" si="120"/>
        <v/>
      </c>
      <c r="GG27" s="1052"/>
      <c r="GH27" s="1053"/>
      <c r="GI27" s="1052"/>
      <c r="GJ27" s="1053"/>
      <c r="GK27" s="1521">
        <f t="shared" si="121"/>
        <v>0</v>
      </c>
      <c r="GL27" s="1519" t="e">
        <f t="shared" si="122"/>
        <v>#VALUE!</v>
      </c>
      <c r="GM27" s="1520" t="e">
        <f>IF(ABS(GK27-GL27)&gt;=#REF!,ABS(GK27-GL27),0)</f>
        <v>#VALUE!</v>
      </c>
      <c r="HA27" s="1187"/>
      <c r="HB27" s="1188"/>
      <c r="HC27" s="1188"/>
      <c r="HD27" s="1189"/>
      <c r="HE27" s="1190"/>
      <c r="HF27" s="1188"/>
      <c r="HG27" s="1188"/>
      <c r="HH27" s="1188"/>
      <c r="HI27" s="1191"/>
      <c r="HJ27" s="1188"/>
      <c r="HK27" s="1188"/>
      <c r="HL27" s="1188"/>
      <c r="HM27" s="1188"/>
      <c r="HN27" s="1188"/>
      <c r="HO27" s="1188"/>
      <c r="HP27" s="1188"/>
      <c r="HQ27" s="1191"/>
      <c r="HR27" s="1188"/>
      <c r="HS27" s="1188"/>
      <c r="HT27" s="1188"/>
      <c r="HU27" s="1188"/>
      <c r="HV27" s="1188"/>
      <c r="HW27" s="1190"/>
      <c r="HX27" s="1190"/>
      <c r="HY27" s="1190"/>
      <c r="HZ27" s="1190"/>
      <c r="IA27" s="1190"/>
      <c r="IB27" s="1190"/>
      <c r="IC27" s="1190"/>
      <c r="ID27" s="1190"/>
      <c r="IE27" s="1190"/>
      <c r="IF27" s="1192"/>
    </row>
    <row r="28" spans="1:240" ht="12.6" customHeight="1" x14ac:dyDescent="0.25">
      <c r="A28" s="1132" t="str">
        <f t="shared" si="1"/>
        <v/>
      </c>
      <c r="B28" s="1586" t="str">
        <f t="shared" si="2"/>
        <v/>
      </c>
      <c r="C28" s="1133" t="str">
        <f t="shared" si="3"/>
        <v/>
      </c>
      <c r="D28" s="1134" t="str">
        <f t="shared" si="4"/>
        <v/>
      </c>
      <c r="E28" s="1135" t="str">
        <f t="shared" si="5"/>
        <v/>
      </c>
      <c r="F28" s="1143" t="str">
        <f t="shared" si="6"/>
        <v/>
      </c>
      <c r="G28" s="1138" t="str">
        <f t="shared" si="7"/>
        <v/>
      </c>
      <c r="H28" s="1645" t="str">
        <f t="shared" si="8"/>
        <v/>
      </c>
      <c r="I28" s="1134" t="str">
        <f t="shared" si="9"/>
        <v/>
      </c>
      <c r="J28" s="1138" t="str">
        <f t="shared" si="10"/>
        <v/>
      </c>
      <c r="K28" s="1657" t="str">
        <f t="shared" si="11"/>
        <v/>
      </c>
      <c r="L28" s="1141" t="str">
        <f t="shared" si="12"/>
        <v/>
      </c>
      <c r="M28" s="1142" t="str">
        <f t="shared" si="13"/>
        <v/>
      </c>
      <c r="N28" s="1137" t="str">
        <f t="shared" si="14"/>
        <v/>
      </c>
      <c r="O28" s="1138" t="str">
        <f t="shared" si="15"/>
        <v/>
      </c>
      <c r="P28" s="1139" t="str">
        <f t="shared" si="16"/>
        <v/>
      </c>
      <c r="Q28" s="1134" t="str">
        <f t="shared" si="17"/>
        <v/>
      </c>
      <c r="R28" s="1138" t="str">
        <f t="shared" si="18"/>
        <v/>
      </c>
      <c r="S28" s="1140" t="str">
        <f t="shared" si="19"/>
        <v/>
      </c>
      <c r="T28" s="1143" t="str">
        <f t="shared" si="20"/>
        <v/>
      </c>
      <c r="U28" s="1138" t="str">
        <f t="shared" si="21"/>
        <v/>
      </c>
      <c r="V28" s="1134" t="str">
        <f t="shared" si="22"/>
        <v/>
      </c>
      <c r="W28" s="1138" t="str">
        <f t="shared" si="23"/>
        <v/>
      </c>
      <c r="X28" s="1142">
        <f t="shared" si="24"/>
        <v>0</v>
      </c>
      <c r="Y28" s="1647" t="str">
        <f t="shared" si="25"/>
        <v/>
      </c>
      <c r="Z28" s="1648" t="str">
        <f t="shared" si="26"/>
        <v/>
      </c>
      <c r="AA28" s="1649" t="str">
        <f t="shared" si="27"/>
        <v/>
      </c>
      <c r="AB28" s="1288"/>
      <c r="AC28" s="898" t="b">
        <v>0</v>
      </c>
      <c r="AD28" s="374">
        <f t="shared" si="28"/>
        <v>0</v>
      </c>
      <c r="AE28" s="375">
        <f t="shared" si="29"/>
        <v>0</v>
      </c>
      <c r="AF28" s="375">
        <f t="shared" si="30"/>
        <v>0</v>
      </c>
      <c r="AG28" s="375">
        <f t="shared" si="31"/>
        <v>0</v>
      </c>
      <c r="AH28" s="376">
        <f t="shared" si="32"/>
        <v>0</v>
      </c>
      <c r="AI28" s="377" t="b">
        <v>0</v>
      </c>
      <c r="AJ28" s="143">
        <f t="shared" si="33"/>
        <v>0</v>
      </c>
      <c r="AK28" s="771" t="str">
        <f t="shared" si="34"/>
        <v/>
      </c>
      <c r="AL28" s="877" t="str">
        <f t="shared" si="35"/>
        <v/>
      </c>
      <c r="AM28" s="771" t="str">
        <f t="shared" si="36"/>
        <v/>
      </c>
      <c r="AN28" s="771" t="str">
        <f t="shared" si="37"/>
        <v/>
      </c>
      <c r="AO28" s="771" t="str">
        <f t="shared" si="38"/>
        <v/>
      </c>
      <c r="AP28" s="771" t="b">
        <f>IF(ISERROR(AJ28),FALSE,IF(OR(AJ28=0,ISERROR(AL28),ISERROR(AM28),ISERROR(AN28),ISERROR(AO28)),FALSE,IF(AL28&lt;&gt;"",IF(ISERROR(VLOOKUP(SUBSTITUTE(SUBSTITUTE(C28,"R",""),"A",""),#REF!,1,FALSE)),FALSE,TRUE),TRUE)))</f>
        <v>0</v>
      </c>
      <c r="AQ28" s="945" t="e">
        <f t="shared" si="39"/>
        <v>#N/A</v>
      </c>
      <c r="AR28" s="877" t="b">
        <f t="shared" si="40"/>
        <v>0</v>
      </c>
      <c r="AS28" s="945" t="e">
        <f t="shared" si="41"/>
        <v>#N/A</v>
      </c>
      <c r="AT28" s="877" t="b">
        <f t="shared" si="42"/>
        <v>0</v>
      </c>
      <c r="AU28" s="878" t="str">
        <f t="shared" si="43"/>
        <v/>
      </c>
      <c r="AV28" s="771" t="str">
        <f t="shared" si="44"/>
        <v/>
      </c>
      <c r="AW28" s="771" t="str">
        <f t="shared" si="45"/>
        <v/>
      </c>
      <c r="AX28" s="771" t="str">
        <f t="shared" si="123"/>
        <v/>
      </c>
      <c r="AY28" s="946" t="e">
        <f t="shared" si="46"/>
        <v>#REF!</v>
      </c>
      <c r="AZ28" s="795" t="str">
        <f t="shared" si="47"/>
        <v/>
      </c>
      <c r="BA28" s="496"/>
      <c r="BB28" s="616"/>
      <c r="BC28" s="1567"/>
      <c r="BD28" s="682"/>
      <c r="BE28" s="683"/>
      <c r="BF28" s="684"/>
      <c r="BG28" s="660"/>
      <c r="BH28" s="901"/>
      <c r="BI28" s="902"/>
      <c r="BJ28" s="1508"/>
      <c r="BK28" s="661"/>
      <c r="BL28" s="662"/>
      <c r="BM28" s="663"/>
      <c r="BN28" s="664"/>
      <c r="BO28" s="616" t="str">
        <f>IF(ISERROR(CU28),"",IF(CU28="","",IF(VLOOKUP(BG28,#REF!,10,FALSE)="","","X")))</f>
        <v/>
      </c>
      <c r="BP28" s="687"/>
      <c r="BQ28" s="1430" t="str">
        <f t="shared" si="48"/>
        <v/>
      </c>
      <c r="BR28" s="839"/>
      <c r="BS28" s="660"/>
      <c r="BT28" s="661"/>
      <c r="BU28" s="662"/>
      <c r="BV28" s="1508"/>
      <c r="BW28" s="661"/>
      <c r="BX28" s="662"/>
      <c r="BY28" s="663"/>
      <c r="BZ28" s="664"/>
      <c r="CA28" s="625" t="str">
        <f>IF(ISERROR(DE28),"",IF(DE28="","",IF(VLOOKUP(BS28,#REF!,10,FALSE)="","","X")))</f>
        <v/>
      </c>
      <c r="CB28" s="687"/>
      <c r="CC28" s="1430" t="str">
        <f t="shared" si="49"/>
        <v/>
      </c>
      <c r="CD28" s="839"/>
      <c r="CE28" s="665"/>
      <c r="CF28" s="685"/>
      <c r="CG28" s="686"/>
      <c r="CH28" s="534" t="str">
        <f t="shared" si="50"/>
        <v/>
      </c>
      <c r="CI28" s="535" t="str">
        <f t="shared" si="51"/>
        <v/>
      </c>
      <c r="CJ28" s="536" t="str">
        <f t="shared" si="52"/>
        <v/>
      </c>
      <c r="CK28" s="537" t="str">
        <f t="shared" si="53"/>
        <v/>
      </c>
      <c r="CL28" s="538" t="str">
        <f t="shared" si="54"/>
        <v/>
      </c>
      <c r="CM28" s="539" t="str">
        <f t="shared" si="55"/>
        <v/>
      </c>
      <c r="CN28" s="540" t="str">
        <f t="shared" si="56"/>
        <v/>
      </c>
      <c r="CO28" s="541" t="str">
        <f t="shared" si="57"/>
        <v/>
      </c>
      <c r="CP28" s="558" t="str">
        <f t="shared" si="58"/>
        <v/>
      </c>
      <c r="CQ28" s="559" t="str">
        <f t="shared" si="59"/>
        <v/>
      </c>
      <c r="CR28" s="699" t="str">
        <f t="shared" si="60"/>
        <v/>
      </c>
      <c r="CS28" s="700" t="str">
        <f t="shared" si="61"/>
        <v/>
      </c>
      <c r="CU28" s="758" t="str">
        <f>IF(BG28="","",VLOOKUP(BG28,#REF!,12,FALSE))</f>
        <v/>
      </c>
      <c r="CV28" s="756" t="str">
        <f>IF(BG28="","",IF(ISBLANK(BP28),VLOOKUP(BG28,#REF!,13,FALSE),BP28))</f>
        <v/>
      </c>
      <c r="CW28" s="756" t="str">
        <f>IF(BG28="","",IF(VLOOKUP(BG28,#REF!,5,FALSE)="","R",UPPER(VLOOKUP(BG28,#REF!,5,FALSE))))</f>
        <v/>
      </c>
      <c r="CX28" s="756" t="str">
        <f>IF(BG28="","",IF(ISBLANK(BR28),VLOOKUP(BG28,#REF!,6,FALSE),BR28))</f>
        <v/>
      </c>
      <c r="CY28" s="1203" t="str">
        <f>IF(BG28="","",IF(VLOOKUP(BG28,#REF!,10,FALSE)="","",(IF(BO28="X",VLOOKUP(BG28,#REF!,10,FALSE),VALUE(BO28))*-1)))</f>
        <v/>
      </c>
      <c r="CZ28" s="1042" t="str">
        <f>IF(BG28="","",IF(VLOOKUP(BG28,#REF!,11,FALSE)="","2",(VLOOKUP(BG28,#REF!,11,FALSE))))</f>
        <v/>
      </c>
      <c r="DA28" s="756" t="str">
        <f>IF(BG28="","",IF(VLOOKUP(BG28,#REF!,7,FALSE)="","",(VLOOKUP(BG28,#REF!,7,FALSE)*-1)))</f>
        <v/>
      </c>
      <c r="DB28" s="756" t="str">
        <f>IF(BG28="","",IF(VLOOKUP(BG28,#REF!,8,FALSE)="",VLOOKUP(AU28,$DF$2:$DN$9,6,FALSE),(VLOOKUP(BG28,#REF!,8,FALSE))))</f>
        <v/>
      </c>
      <c r="DC28" s="756" t="str">
        <f>IF(BG28="","",VLOOKUP(BG28,#REF!,9,FALSE))</f>
        <v/>
      </c>
      <c r="DD28" s="757">
        <f t="shared" si="62"/>
        <v>0</v>
      </c>
      <c r="DE28" s="758" t="str">
        <f>IF(BS28="","",VLOOKUP(BS28,#REF!,12,FALSE))</f>
        <v/>
      </c>
      <c r="DF28" s="756" t="str">
        <f>IF(BS28="","",IF(ISBLANK(CB28),VLOOKUP(BS28,#REF!,13,FALSE),CB28))</f>
        <v/>
      </c>
      <c r="DG28" s="756" t="str">
        <f>IF(BS28="","",IF(VLOOKUP(BS28,#REF!,5,FALSE)="","R",UPPER(VLOOKUP(BS28,#REF!,5,FALSE))))</f>
        <v/>
      </c>
      <c r="DH28" s="756" t="str">
        <f>IF(BS28="","",IF(ISBLANK(CD28),VLOOKUP(BS28,#REF!,6,FALSE),CD28))</f>
        <v/>
      </c>
      <c r="DI28" s="1203" t="str">
        <f>IF(BS28="","",IF(VLOOKUP(BS28,#REF!,10,FALSE)="","",(IF(CA28="X",VLOOKUP(BS28,#REF!,10,FALSE),VALUE(CA28))*-1)))</f>
        <v/>
      </c>
      <c r="DJ28" s="1042" t="str">
        <f>IF(BS28="","",IF(VLOOKUP(BS28,#REF!,11,FALSE)="","2",(VLOOKUP(BS28,#REF!,11,FALSE))))</f>
        <v/>
      </c>
      <c r="DK28" s="756" t="str">
        <f>IF(BS28="","",IF(VLOOKUP(BS28,#REF!,7,FALSE)="","",(VLOOKUP(BS28,#REF!,7,FALSE)*-1)))</f>
        <v/>
      </c>
      <c r="DL28" s="756" t="str">
        <f>IF(BS28="","",IF(VLOOKUP(BS28,#REF!,8,FALSE)="",VLOOKUP(AU28,$DF$2:$DN$9,6,FALSE),(VLOOKUP(BS28,#REF!,8,FALSE))))</f>
        <v/>
      </c>
      <c r="DM28" s="756" t="str">
        <f>IF(BS28="","",VLOOKUP(BS28,#REF!,9,FALSE))</f>
        <v/>
      </c>
      <c r="DN28" s="757">
        <f t="shared" si="63"/>
        <v>0</v>
      </c>
      <c r="DO28" s="759">
        <f t="shared" si="64"/>
        <v>0</v>
      </c>
      <c r="DP28" s="763" t="str">
        <f t="shared" si="65"/>
        <v/>
      </c>
      <c r="DQ28" s="763" t="str">
        <f t="shared" si="66"/>
        <v/>
      </c>
      <c r="DR28" s="763" t="str">
        <f t="shared" si="67"/>
        <v/>
      </c>
      <c r="DS28" s="762">
        <f t="shared" si="68"/>
        <v>0</v>
      </c>
      <c r="DT28" s="762" t="e">
        <f t="shared" si="69"/>
        <v>#REF!</v>
      </c>
      <c r="DU28" s="762" t="str">
        <f t="shared" si="70"/>
        <v/>
      </c>
      <c r="DV28" s="763" t="str">
        <f t="shared" si="71"/>
        <v/>
      </c>
      <c r="DW28" s="795" t="str">
        <f t="shared" si="72"/>
        <v/>
      </c>
      <c r="DX28" s="926">
        <f t="shared" si="73"/>
        <v>0</v>
      </c>
      <c r="DY28" s="763">
        <f t="shared" si="74"/>
        <v>0</v>
      </c>
      <c r="DZ28" s="762" t="e">
        <f t="shared" si="75"/>
        <v>#REF!</v>
      </c>
      <c r="EA28" s="762" t="str">
        <f t="shared" si="76"/>
        <v/>
      </c>
      <c r="EB28" s="763" t="str">
        <f t="shared" si="77"/>
        <v/>
      </c>
      <c r="EC28" s="795" t="str">
        <f t="shared" si="78"/>
        <v/>
      </c>
      <c r="ED28" s="926">
        <f t="shared" si="79"/>
        <v>0</v>
      </c>
      <c r="EE28" s="1210" t="str">
        <f t="shared" si="80"/>
        <v/>
      </c>
      <c r="EF28" s="1210" t="str">
        <f t="shared" si="81"/>
        <v/>
      </c>
      <c r="EG28" s="1210" t="str">
        <f t="shared" si="82"/>
        <v/>
      </c>
      <c r="EH28" s="795" t="e">
        <f t="shared" si="83"/>
        <v>#N/A</v>
      </c>
      <c r="EI28" s="795" t="e">
        <f t="shared" si="84"/>
        <v>#N/A</v>
      </c>
      <c r="EJ28" s="763" t="str">
        <f t="shared" si="85"/>
        <v/>
      </c>
      <c r="EK28" s="763" t="str">
        <f t="shared" si="85"/>
        <v/>
      </c>
      <c r="EL28" s="1210" t="str">
        <f t="shared" si="86"/>
        <v/>
      </c>
      <c r="EM28" s="763" t="str">
        <f t="shared" si="87"/>
        <v/>
      </c>
      <c r="EN28" s="763" t="str">
        <f t="shared" si="88"/>
        <v/>
      </c>
      <c r="EO28" s="795" t="e">
        <f t="shared" si="89"/>
        <v>#N/A</v>
      </c>
      <c r="EP28" s="795" t="e">
        <f t="shared" si="90"/>
        <v>#N/A</v>
      </c>
      <c r="EQ28" s="1210" t="str">
        <f t="shared" si="91"/>
        <v/>
      </c>
      <c r="ER28" s="763" t="str">
        <f t="shared" si="91"/>
        <v/>
      </c>
      <c r="ES28" s="763" t="str">
        <f t="shared" si="92"/>
        <v/>
      </c>
      <c r="ET28" s="763" t="str">
        <f t="shared" si="93"/>
        <v/>
      </c>
      <c r="EU28" s="770" t="str">
        <f t="shared" si="94"/>
        <v/>
      </c>
      <c r="EV28" s="765" t="str">
        <f t="shared" si="95"/>
        <v/>
      </c>
      <c r="EW28" s="770"/>
      <c r="EX28" s="770" t="str">
        <f>IF(AND(CU28="G", ISBLANK(BK28), ISBLANK(BL28)),VLOOKUP(MIN(BH28:BI28),#REF!,2),IF(OR(CU28="B",CU28="G"),MIN(BK28:BL28),""))</f>
        <v/>
      </c>
      <c r="EY28" s="770" t="str">
        <f>IF(AND(CU28="G", ISBLANK(BK28), ISBLANK(BL28)),VLOOKUP(MAX(BH28:BI28),#REF!,2),IF(OR(CU28="B",CU28="G"),MAX(BK28:BL28),""))</f>
        <v/>
      </c>
      <c r="EZ28" s="770" t="str">
        <f t="shared" si="96"/>
        <v/>
      </c>
      <c r="FA28" s="770" t="str">
        <f>IF(AND(DE28="G", ISBLANK(BW28), ISBLANK(BX28)),VLOOKUP(MIN(BT28:BU28),#REF!,2),IF(OR(DE28="B", DE28="G"),MIN(BW28:BX28),""))</f>
        <v/>
      </c>
      <c r="FB28" s="770" t="str">
        <f>IF(AND(DE28="G", ISBLANK(BW28), ISBLANK(BX28)),VLOOKUP(MAX(BT28:BU28),#REF!,2),IF(OR(DE28="B", DE28="G"),MAX(BW28:BX28),""))</f>
        <v/>
      </c>
      <c r="FC28" s="770" t="str">
        <f t="shared" si="97"/>
        <v/>
      </c>
      <c r="FD28" s="762">
        <f t="shared" si="124"/>
        <v>0</v>
      </c>
      <c r="FE28" s="762">
        <f t="shared" si="98"/>
        <v>0</v>
      </c>
      <c r="FF28" s="762">
        <f t="shared" si="99"/>
        <v>0</v>
      </c>
      <c r="FG28" s="762" t="str">
        <f t="shared" si="100"/>
        <v/>
      </c>
      <c r="FH28" s="763" t="str">
        <f t="shared" si="101"/>
        <v/>
      </c>
      <c r="FI28" s="762">
        <f t="shared" si="125"/>
        <v>0</v>
      </c>
      <c r="FJ28" s="762">
        <f t="shared" si="102"/>
        <v>0</v>
      </c>
      <c r="FK28" s="762">
        <f t="shared" si="103"/>
        <v>0</v>
      </c>
      <c r="FL28" s="762" t="str">
        <f t="shared" si="104"/>
        <v/>
      </c>
      <c r="FM28" s="763" t="str">
        <f t="shared" si="105"/>
        <v/>
      </c>
      <c r="FN28" s="763" t="e">
        <f t="shared" si="106"/>
        <v>#VALUE!</v>
      </c>
      <c r="FO28" s="872" t="e">
        <f t="shared" si="107"/>
        <v>#VALUE!</v>
      </c>
      <c r="FP28" s="872" t="e">
        <f t="shared" si="108"/>
        <v>#VALUE!</v>
      </c>
      <c r="FQ28" s="771" t="e">
        <f t="shared" si="109"/>
        <v>#VALUE!</v>
      </c>
      <c r="FR28" s="772" t="e">
        <f t="shared" si="110"/>
        <v>#VALUE!</v>
      </c>
      <c r="FS28" s="773" t="str">
        <f t="shared" si="111"/>
        <v/>
      </c>
      <c r="FT28" s="774" t="str">
        <f t="shared" si="112"/>
        <v/>
      </c>
      <c r="FU28" s="809">
        <f t="shared" si="113"/>
        <v>0</v>
      </c>
      <c r="FV28" s="810">
        <f t="shared" si="114"/>
        <v>0</v>
      </c>
      <c r="GA28" s="542" t="str">
        <f t="shared" si="115"/>
        <v/>
      </c>
      <c r="GB28" s="562" t="str">
        <f t="shared" si="116"/>
        <v/>
      </c>
      <c r="GC28" s="564" t="str">
        <f t="shared" si="117"/>
        <v/>
      </c>
      <c r="GD28" s="565" t="str">
        <f t="shared" si="118"/>
        <v/>
      </c>
      <c r="GE28" s="563" t="str">
        <f t="shared" si="119"/>
        <v/>
      </c>
      <c r="GF28" s="543" t="str">
        <f t="shared" si="120"/>
        <v/>
      </c>
      <c r="GG28" s="1052"/>
      <c r="GH28" s="1053"/>
      <c r="GI28" s="1052"/>
      <c r="GJ28" s="1053"/>
      <c r="GK28" s="1521">
        <f t="shared" si="121"/>
        <v>0</v>
      </c>
      <c r="GL28" s="1519" t="e">
        <f t="shared" si="122"/>
        <v>#VALUE!</v>
      </c>
      <c r="GM28" s="1520" t="e">
        <f>IF(ABS(GK28-GL28)&gt;=#REF!,ABS(GK28-GL28),0)</f>
        <v>#VALUE!</v>
      </c>
      <c r="HA28" s="1187"/>
      <c r="HB28" s="1188"/>
      <c r="HC28" s="1188"/>
      <c r="HD28" s="1189"/>
      <c r="HE28" s="1190"/>
      <c r="HF28" s="1188"/>
      <c r="HG28" s="1188"/>
      <c r="HH28" s="1188"/>
      <c r="HI28" s="1191"/>
      <c r="HJ28" s="1188"/>
      <c r="HK28" s="1188"/>
      <c r="HL28" s="1188"/>
      <c r="HM28" s="1188"/>
      <c r="HN28" s="1188"/>
      <c r="HO28" s="1188"/>
      <c r="HP28" s="1188"/>
      <c r="HQ28" s="1191"/>
      <c r="HR28" s="1188"/>
      <c r="HS28" s="1188"/>
      <c r="HT28" s="1188"/>
      <c r="HU28" s="1188"/>
      <c r="HV28" s="1188"/>
      <c r="HW28" s="1190"/>
      <c r="HX28" s="1190"/>
      <c r="HY28" s="1190"/>
      <c r="HZ28" s="1190"/>
      <c r="IA28" s="1190"/>
      <c r="IB28" s="1190"/>
      <c r="IC28" s="1190"/>
      <c r="ID28" s="1190"/>
      <c r="IE28" s="1190"/>
      <c r="IF28" s="1192"/>
    </row>
    <row r="29" spans="1:240" ht="12.6" customHeight="1" x14ac:dyDescent="0.25">
      <c r="A29" s="1132" t="str">
        <f t="shared" si="1"/>
        <v/>
      </c>
      <c r="B29" s="1586" t="str">
        <f t="shared" si="2"/>
        <v/>
      </c>
      <c r="C29" s="1133" t="str">
        <f t="shared" si="3"/>
        <v/>
      </c>
      <c r="D29" s="1134" t="str">
        <f t="shared" si="4"/>
        <v/>
      </c>
      <c r="E29" s="1135" t="str">
        <f t="shared" si="5"/>
        <v/>
      </c>
      <c r="F29" s="1143" t="str">
        <f t="shared" si="6"/>
        <v/>
      </c>
      <c r="G29" s="1138" t="str">
        <f t="shared" si="7"/>
        <v/>
      </c>
      <c r="H29" s="1645" t="str">
        <f t="shared" si="8"/>
        <v/>
      </c>
      <c r="I29" s="1134" t="str">
        <f t="shared" si="9"/>
        <v/>
      </c>
      <c r="J29" s="1138" t="str">
        <f t="shared" si="10"/>
        <v/>
      </c>
      <c r="K29" s="1657" t="str">
        <f t="shared" si="11"/>
        <v/>
      </c>
      <c r="L29" s="1141" t="str">
        <f t="shared" si="12"/>
        <v/>
      </c>
      <c r="M29" s="1142" t="str">
        <f t="shared" si="13"/>
        <v/>
      </c>
      <c r="N29" s="1137" t="str">
        <f t="shared" si="14"/>
        <v/>
      </c>
      <c r="O29" s="1138" t="str">
        <f t="shared" si="15"/>
        <v/>
      </c>
      <c r="P29" s="1139" t="str">
        <f t="shared" si="16"/>
        <v/>
      </c>
      <c r="Q29" s="1134" t="str">
        <f t="shared" si="17"/>
        <v/>
      </c>
      <c r="R29" s="1138" t="str">
        <f t="shared" si="18"/>
        <v/>
      </c>
      <c r="S29" s="1140" t="str">
        <f t="shared" si="19"/>
        <v/>
      </c>
      <c r="T29" s="1143" t="str">
        <f t="shared" si="20"/>
        <v/>
      </c>
      <c r="U29" s="1138" t="str">
        <f t="shared" si="21"/>
        <v/>
      </c>
      <c r="V29" s="1134" t="str">
        <f t="shared" si="22"/>
        <v/>
      </c>
      <c r="W29" s="1138" t="str">
        <f t="shared" si="23"/>
        <v/>
      </c>
      <c r="X29" s="1142">
        <f t="shared" si="24"/>
        <v>0</v>
      </c>
      <c r="Y29" s="1647" t="str">
        <f t="shared" si="25"/>
        <v/>
      </c>
      <c r="Z29" s="1648" t="str">
        <f t="shared" si="26"/>
        <v/>
      </c>
      <c r="AA29" s="1649" t="str">
        <f t="shared" si="27"/>
        <v/>
      </c>
      <c r="AB29" s="1288"/>
      <c r="AC29" s="898" t="b">
        <v>0</v>
      </c>
      <c r="AD29" s="374">
        <f t="shared" si="28"/>
        <v>0</v>
      </c>
      <c r="AE29" s="375">
        <f t="shared" si="29"/>
        <v>0</v>
      </c>
      <c r="AF29" s="375">
        <f t="shared" si="30"/>
        <v>0</v>
      </c>
      <c r="AG29" s="375">
        <f t="shared" si="31"/>
        <v>0</v>
      </c>
      <c r="AH29" s="376">
        <f t="shared" si="32"/>
        <v>0</v>
      </c>
      <c r="AI29" s="377" t="b">
        <v>0</v>
      </c>
      <c r="AJ29" s="143">
        <f t="shared" si="33"/>
        <v>0</v>
      </c>
      <c r="AK29" s="771" t="str">
        <f t="shared" si="34"/>
        <v/>
      </c>
      <c r="AL29" s="877" t="str">
        <f t="shared" si="35"/>
        <v/>
      </c>
      <c r="AM29" s="771" t="str">
        <f t="shared" si="36"/>
        <v/>
      </c>
      <c r="AN29" s="771" t="str">
        <f t="shared" si="37"/>
        <v/>
      </c>
      <c r="AO29" s="771" t="str">
        <f t="shared" si="38"/>
        <v/>
      </c>
      <c r="AP29" s="771" t="b">
        <f>IF(ISERROR(AJ29),FALSE,IF(OR(AJ29=0,ISERROR(AL29),ISERROR(AM29),ISERROR(AN29),ISERROR(AO29)),FALSE,IF(AL29&lt;&gt;"",IF(ISERROR(VLOOKUP(SUBSTITUTE(SUBSTITUTE(C29,"R",""),"A",""),#REF!,1,FALSE)),FALSE,TRUE),TRUE)))</f>
        <v>0</v>
      </c>
      <c r="AQ29" s="945" t="e">
        <f t="shared" si="39"/>
        <v>#N/A</v>
      </c>
      <c r="AR29" s="877" t="b">
        <f t="shared" si="40"/>
        <v>0</v>
      </c>
      <c r="AS29" s="945" t="e">
        <f t="shared" si="41"/>
        <v>#N/A</v>
      </c>
      <c r="AT29" s="877" t="b">
        <f t="shared" si="42"/>
        <v>0</v>
      </c>
      <c r="AU29" s="878" t="str">
        <f t="shared" si="43"/>
        <v/>
      </c>
      <c r="AV29" s="771" t="str">
        <f t="shared" si="44"/>
        <v/>
      </c>
      <c r="AW29" s="771" t="str">
        <f t="shared" si="45"/>
        <v/>
      </c>
      <c r="AX29" s="771" t="str">
        <f t="shared" si="123"/>
        <v/>
      </c>
      <c r="AY29" s="946" t="e">
        <f t="shared" si="46"/>
        <v>#REF!</v>
      </c>
      <c r="AZ29" s="795" t="str">
        <f t="shared" si="47"/>
        <v/>
      </c>
      <c r="BA29" s="496"/>
      <c r="BB29" s="616"/>
      <c r="BC29" s="1567"/>
      <c r="BD29" s="682"/>
      <c r="BE29" s="683"/>
      <c r="BF29" s="684"/>
      <c r="BG29" s="660"/>
      <c r="BH29" s="901"/>
      <c r="BI29" s="902"/>
      <c r="BJ29" s="1508"/>
      <c r="BK29" s="661"/>
      <c r="BL29" s="662"/>
      <c r="BM29" s="663"/>
      <c r="BN29" s="664"/>
      <c r="BO29" s="616" t="str">
        <f>IF(ISERROR(CU29),"",IF(CU29="","",IF(VLOOKUP(BG29,#REF!,10,FALSE)="","","X")))</f>
        <v/>
      </c>
      <c r="BP29" s="687"/>
      <c r="BQ29" s="1430" t="str">
        <f t="shared" si="48"/>
        <v/>
      </c>
      <c r="BR29" s="839"/>
      <c r="BS29" s="660"/>
      <c r="BT29" s="661"/>
      <c r="BU29" s="662"/>
      <c r="BV29" s="1508"/>
      <c r="BW29" s="661"/>
      <c r="BX29" s="662"/>
      <c r="BY29" s="663"/>
      <c r="BZ29" s="664"/>
      <c r="CA29" s="625" t="str">
        <f>IF(ISERROR(DE29),"",IF(DE29="","",IF(VLOOKUP(BS29,#REF!,10,FALSE)="","","X")))</f>
        <v/>
      </c>
      <c r="CB29" s="687"/>
      <c r="CC29" s="1430" t="str">
        <f t="shared" si="49"/>
        <v/>
      </c>
      <c r="CD29" s="839"/>
      <c r="CE29" s="665"/>
      <c r="CF29" s="685"/>
      <c r="CG29" s="686"/>
      <c r="CH29" s="534" t="str">
        <f t="shared" si="50"/>
        <v/>
      </c>
      <c r="CI29" s="535" t="str">
        <f t="shared" si="51"/>
        <v/>
      </c>
      <c r="CJ29" s="536" t="str">
        <f t="shared" si="52"/>
        <v/>
      </c>
      <c r="CK29" s="537" t="str">
        <f t="shared" si="53"/>
        <v/>
      </c>
      <c r="CL29" s="538" t="str">
        <f t="shared" si="54"/>
        <v/>
      </c>
      <c r="CM29" s="539" t="str">
        <f t="shared" si="55"/>
        <v/>
      </c>
      <c r="CN29" s="540" t="str">
        <f t="shared" si="56"/>
        <v/>
      </c>
      <c r="CO29" s="541" t="str">
        <f t="shared" si="57"/>
        <v/>
      </c>
      <c r="CP29" s="558" t="str">
        <f t="shared" si="58"/>
        <v/>
      </c>
      <c r="CQ29" s="559" t="str">
        <f t="shared" si="59"/>
        <v/>
      </c>
      <c r="CR29" s="699" t="str">
        <f t="shared" si="60"/>
        <v/>
      </c>
      <c r="CS29" s="700" t="str">
        <f t="shared" si="61"/>
        <v/>
      </c>
      <c r="CU29" s="758" t="str">
        <f>IF(BG29="","",VLOOKUP(BG29,#REF!,12,FALSE))</f>
        <v/>
      </c>
      <c r="CV29" s="756" t="str">
        <f>IF(BG29="","",IF(ISBLANK(BP29),VLOOKUP(BG29,#REF!,13,FALSE),BP29))</f>
        <v/>
      </c>
      <c r="CW29" s="756" t="str">
        <f>IF(BG29="","",IF(VLOOKUP(BG29,#REF!,5,FALSE)="","R",UPPER(VLOOKUP(BG29,#REF!,5,FALSE))))</f>
        <v/>
      </c>
      <c r="CX29" s="756" t="str">
        <f>IF(BG29="","",IF(ISBLANK(BR29),VLOOKUP(BG29,#REF!,6,FALSE),BR29))</f>
        <v/>
      </c>
      <c r="CY29" s="1203" t="str">
        <f>IF(BG29="","",IF(VLOOKUP(BG29,#REF!,10,FALSE)="","",(IF(BO29="X",VLOOKUP(BG29,#REF!,10,FALSE),VALUE(BO29))*-1)))</f>
        <v/>
      </c>
      <c r="CZ29" s="1042" t="str">
        <f>IF(BG29="","",IF(VLOOKUP(BG29,#REF!,11,FALSE)="","2",(VLOOKUP(BG29,#REF!,11,FALSE))))</f>
        <v/>
      </c>
      <c r="DA29" s="756" t="str">
        <f>IF(BG29="","",IF(VLOOKUP(BG29,#REF!,7,FALSE)="","",(VLOOKUP(BG29,#REF!,7,FALSE)*-1)))</f>
        <v/>
      </c>
      <c r="DB29" s="756" t="str">
        <f>IF(BG29="","",IF(VLOOKUP(BG29,#REF!,8,FALSE)="",VLOOKUP(AU29,$DF$2:$DN$9,6,FALSE),(VLOOKUP(BG29,#REF!,8,FALSE))))</f>
        <v/>
      </c>
      <c r="DC29" s="756" t="str">
        <f>IF(BG29="","",VLOOKUP(BG29,#REF!,9,FALSE))</f>
        <v/>
      </c>
      <c r="DD29" s="757">
        <f t="shared" si="62"/>
        <v>0</v>
      </c>
      <c r="DE29" s="758" t="str">
        <f>IF(BS29="","",VLOOKUP(BS29,#REF!,12,FALSE))</f>
        <v/>
      </c>
      <c r="DF29" s="756" t="str">
        <f>IF(BS29="","",IF(ISBLANK(CB29),VLOOKUP(BS29,#REF!,13,FALSE),CB29))</f>
        <v/>
      </c>
      <c r="DG29" s="756" t="str">
        <f>IF(BS29="","",IF(VLOOKUP(BS29,#REF!,5,FALSE)="","R",UPPER(VLOOKUP(BS29,#REF!,5,FALSE))))</f>
        <v/>
      </c>
      <c r="DH29" s="756" t="str">
        <f>IF(BS29="","",IF(ISBLANK(CD29),VLOOKUP(BS29,#REF!,6,FALSE),CD29))</f>
        <v/>
      </c>
      <c r="DI29" s="1203" t="str">
        <f>IF(BS29="","",IF(VLOOKUP(BS29,#REF!,10,FALSE)="","",(IF(CA29="X",VLOOKUP(BS29,#REF!,10,FALSE),VALUE(CA29))*-1)))</f>
        <v/>
      </c>
      <c r="DJ29" s="1042" t="str">
        <f>IF(BS29="","",IF(VLOOKUP(BS29,#REF!,11,FALSE)="","2",(VLOOKUP(BS29,#REF!,11,FALSE))))</f>
        <v/>
      </c>
      <c r="DK29" s="756" t="str">
        <f>IF(BS29="","",IF(VLOOKUP(BS29,#REF!,7,FALSE)="","",(VLOOKUP(BS29,#REF!,7,FALSE)*-1)))</f>
        <v/>
      </c>
      <c r="DL29" s="756" t="str">
        <f>IF(BS29="","",IF(VLOOKUP(BS29,#REF!,8,FALSE)="",VLOOKUP(AU29,$DF$2:$DN$9,6,FALSE),(VLOOKUP(BS29,#REF!,8,FALSE))))</f>
        <v/>
      </c>
      <c r="DM29" s="756" t="str">
        <f>IF(BS29="","",VLOOKUP(BS29,#REF!,9,FALSE))</f>
        <v/>
      </c>
      <c r="DN29" s="757">
        <f t="shared" si="63"/>
        <v>0</v>
      </c>
      <c r="DO29" s="759">
        <f t="shared" si="64"/>
        <v>0</v>
      </c>
      <c r="DP29" s="763" t="str">
        <f t="shared" si="65"/>
        <v/>
      </c>
      <c r="DQ29" s="763" t="str">
        <f t="shared" si="66"/>
        <v/>
      </c>
      <c r="DR29" s="763" t="str">
        <f t="shared" si="67"/>
        <v/>
      </c>
      <c r="DS29" s="762">
        <f t="shared" si="68"/>
        <v>0</v>
      </c>
      <c r="DT29" s="762" t="e">
        <f t="shared" si="69"/>
        <v>#REF!</v>
      </c>
      <c r="DU29" s="762" t="str">
        <f t="shared" si="70"/>
        <v/>
      </c>
      <c r="DV29" s="763" t="str">
        <f t="shared" si="71"/>
        <v/>
      </c>
      <c r="DW29" s="795" t="str">
        <f t="shared" si="72"/>
        <v/>
      </c>
      <c r="DX29" s="926">
        <f t="shared" si="73"/>
        <v>0</v>
      </c>
      <c r="DY29" s="763">
        <f t="shared" si="74"/>
        <v>0</v>
      </c>
      <c r="DZ29" s="762" t="e">
        <f t="shared" si="75"/>
        <v>#REF!</v>
      </c>
      <c r="EA29" s="762" t="str">
        <f t="shared" si="76"/>
        <v/>
      </c>
      <c r="EB29" s="763" t="str">
        <f t="shared" si="77"/>
        <v/>
      </c>
      <c r="EC29" s="795" t="str">
        <f t="shared" si="78"/>
        <v/>
      </c>
      <c r="ED29" s="926">
        <f t="shared" si="79"/>
        <v>0</v>
      </c>
      <c r="EE29" s="1210" t="str">
        <f t="shared" si="80"/>
        <v/>
      </c>
      <c r="EF29" s="1210" t="str">
        <f t="shared" si="81"/>
        <v/>
      </c>
      <c r="EG29" s="1210" t="str">
        <f t="shared" si="82"/>
        <v/>
      </c>
      <c r="EH29" s="795" t="e">
        <f t="shared" si="83"/>
        <v>#N/A</v>
      </c>
      <c r="EI29" s="795" t="e">
        <f t="shared" si="84"/>
        <v>#N/A</v>
      </c>
      <c r="EJ29" s="763" t="str">
        <f t="shared" si="85"/>
        <v/>
      </c>
      <c r="EK29" s="763" t="str">
        <f t="shared" si="85"/>
        <v/>
      </c>
      <c r="EL29" s="1210" t="str">
        <f t="shared" si="86"/>
        <v/>
      </c>
      <c r="EM29" s="763" t="str">
        <f t="shared" si="87"/>
        <v/>
      </c>
      <c r="EN29" s="763" t="str">
        <f t="shared" si="88"/>
        <v/>
      </c>
      <c r="EO29" s="795" t="e">
        <f t="shared" si="89"/>
        <v>#N/A</v>
      </c>
      <c r="EP29" s="795" t="e">
        <f t="shared" si="90"/>
        <v>#N/A</v>
      </c>
      <c r="EQ29" s="1210" t="str">
        <f t="shared" si="91"/>
        <v/>
      </c>
      <c r="ER29" s="763" t="str">
        <f t="shared" si="91"/>
        <v/>
      </c>
      <c r="ES29" s="763" t="str">
        <f t="shared" si="92"/>
        <v/>
      </c>
      <c r="ET29" s="763" t="str">
        <f t="shared" si="93"/>
        <v/>
      </c>
      <c r="EU29" s="770" t="str">
        <f t="shared" si="94"/>
        <v/>
      </c>
      <c r="EV29" s="765" t="str">
        <f t="shared" si="95"/>
        <v/>
      </c>
      <c r="EW29" s="770"/>
      <c r="EX29" s="770" t="str">
        <f>IF(AND(CU29="G", ISBLANK(BK29), ISBLANK(BL29)),VLOOKUP(MIN(BH29:BI29),#REF!,2),IF(OR(CU29="B",CU29="G"),MIN(BK29:BL29),""))</f>
        <v/>
      </c>
      <c r="EY29" s="770" t="str">
        <f>IF(AND(CU29="G", ISBLANK(BK29), ISBLANK(BL29)),VLOOKUP(MAX(BH29:BI29),#REF!,2),IF(OR(CU29="B",CU29="G"),MAX(BK29:BL29),""))</f>
        <v/>
      </c>
      <c r="EZ29" s="770" t="str">
        <f t="shared" si="96"/>
        <v/>
      </c>
      <c r="FA29" s="770" t="str">
        <f>IF(AND(DE29="G", ISBLANK(BW29), ISBLANK(BX29)),VLOOKUP(MIN(BT29:BU29),#REF!,2),IF(OR(DE29="B", DE29="G"),MIN(BW29:BX29),""))</f>
        <v/>
      </c>
      <c r="FB29" s="770" t="str">
        <f>IF(AND(DE29="G", ISBLANK(BW29), ISBLANK(BX29)),VLOOKUP(MAX(BT29:BU29),#REF!,2),IF(OR(DE29="B", DE29="G"),MAX(BW29:BX29),""))</f>
        <v/>
      </c>
      <c r="FC29" s="770" t="str">
        <f t="shared" si="97"/>
        <v/>
      </c>
      <c r="FD29" s="762">
        <f t="shared" si="124"/>
        <v>0</v>
      </c>
      <c r="FE29" s="762">
        <f t="shared" si="98"/>
        <v>0</v>
      </c>
      <c r="FF29" s="762">
        <f t="shared" si="99"/>
        <v>0</v>
      </c>
      <c r="FG29" s="762" t="str">
        <f t="shared" si="100"/>
        <v/>
      </c>
      <c r="FH29" s="763" t="str">
        <f t="shared" si="101"/>
        <v/>
      </c>
      <c r="FI29" s="762">
        <f t="shared" si="125"/>
        <v>0</v>
      </c>
      <c r="FJ29" s="762">
        <f t="shared" si="102"/>
        <v>0</v>
      </c>
      <c r="FK29" s="762">
        <f t="shared" si="103"/>
        <v>0</v>
      </c>
      <c r="FL29" s="762" t="str">
        <f t="shared" si="104"/>
        <v/>
      </c>
      <c r="FM29" s="763" t="str">
        <f t="shared" si="105"/>
        <v/>
      </c>
      <c r="FN29" s="763" t="e">
        <f t="shared" si="106"/>
        <v>#VALUE!</v>
      </c>
      <c r="FO29" s="872" t="e">
        <f t="shared" si="107"/>
        <v>#VALUE!</v>
      </c>
      <c r="FP29" s="872" t="e">
        <f t="shared" si="108"/>
        <v>#VALUE!</v>
      </c>
      <c r="FQ29" s="771" t="e">
        <f t="shared" si="109"/>
        <v>#VALUE!</v>
      </c>
      <c r="FR29" s="772" t="e">
        <f t="shared" si="110"/>
        <v>#VALUE!</v>
      </c>
      <c r="FS29" s="773" t="str">
        <f t="shared" si="111"/>
        <v/>
      </c>
      <c r="FT29" s="774" t="str">
        <f t="shared" si="112"/>
        <v/>
      </c>
      <c r="FU29" s="809">
        <f t="shared" si="113"/>
        <v>0</v>
      </c>
      <c r="FV29" s="810">
        <f t="shared" si="114"/>
        <v>0</v>
      </c>
      <c r="GA29" s="542" t="str">
        <f t="shared" si="115"/>
        <v/>
      </c>
      <c r="GB29" s="562" t="str">
        <f t="shared" si="116"/>
        <v/>
      </c>
      <c r="GC29" s="564" t="str">
        <f t="shared" si="117"/>
        <v/>
      </c>
      <c r="GD29" s="565" t="str">
        <f t="shared" si="118"/>
        <v/>
      </c>
      <c r="GE29" s="563" t="str">
        <f t="shared" si="119"/>
        <v/>
      </c>
      <c r="GF29" s="543" t="str">
        <f t="shared" si="120"/>
        <v/>
      </c>
      <c r="GG29" s="1052"/>
      <c r="GH29" s="1053"/>
      <c r="GI29" s="1052"/>
      <c r="GJ29" s="1053"/>
      <c r="GK29" s="1521">
        <f t="shared" si="121"/>
        <v>0</v>
      </c>
      <c r="GL29" s="1519" t="e">
        <f t="shared" si="122"/>
        <v>#VALUE!</v>
      </c>
      <c r="GM29" s="1520" t="e">
        <f>IF(ABS(GK29-GL29)&gt;=#REF!,ABS(GK29-GL29),0)</f>
        <v>#VALUE!</v>
      </c>
      <c r="HA29" s="1187"/>
      <c r="HB29" s="1188"/>
      <c r="HC29" s="1188"/>
      <c r="HD29" s="1189"/>
      <c r="HE29" s="1190"/>
      <c r="HF29" s="1188"/>
      <c r="HG29" s="1188"/>
      <c r="HH29" s="1188"/>
      <c r="HI29" s="1191"/>
      <c r="HJ29" s="1188"/>
      <c r="HK29" s="1188"/>
      <c r="HL29" s="1188"/>
      <c r="HM29" s="1188"/>
      <c r="HN29" s="1188"/>
      <c r="HO29" s="1188"/>
      <c r="HP29" s="1188"/>
      <c r="HQ29" s="1191"/>
      <c r="HR29" s="1188"/>
      <c r="HS29" s="1188"/>
      <c r="HT29" s="1188"/>
      <c r="HU29" s="1188"/>
      <c r="HV29" s="1188"/>
      <c r="HW29" s="1190"/>
      <c r="HX29" s="1190"/>
      <c r="HY29" s="1190"/>
      <c r="HZ29" s="1190"/>
      <c r="IA29" s="1190"/>
      <c r="IB29" s="1190"/>
      <c r="IC29" s="1190"/>
      <c r="ID29" s="1190"/>
      <c r="IE29" s="1190"/>
      <c r="IF29" s="1192"/>
    </row>
    <row r="30" spans="1:240" ht="12.6" customHeight="1" x14ac:dyDescent="0.25">
      <c r="A30" s="1132" t="str">
        <f t="shared" si="1"/>
        <v/>
      </c>
      <c r="B30" s="1586" t="str">
        <f t="shared" si="2"/>
        <v/>
      </c>
      <c r="C30" s="1133" t="str">
        <f t="shared" si="3"/>
        <v/>
      </c>
      <c r="D30" s="1134" t="str">
        <f t="shared" si="4"/>
        <v/>
      </c>
      <c r="E30" s="1135" t="str">
        <f t="shared" si="5"/>
        <v/>
      </c>
      <c r="F30" s="1143" t="str">
        <f t="shared" si="6"/>
        <v/>
      </c>
      <c r="G30" s="1138" t="str">
        <f t="shared" si="7"/>
        <v/>
      </c>
      <c r="H30" s="1645" t="str">
        <f t="shared" si="8"/>
        <v/>
      </c>
      <c r="I30" s="1134" t="str">
        <f t="shared" si="9"/>
        <v/>
      </c>
      <c r="J30" s="1138" t="str">
        <f t="shared" si="10"/>
        <v/>
      </c>
      <c r="K30" s="1657" t="str">
        <f t="shared" si="11"/>
        <v/>
      </c>
      <c r="L30" s="1141" t="str">
        <f t="shared" si="12"/>
        <v/>
      </c>
      <c r="M30" s="1142" t="str">
        <f t="shared" si="13"/>
        <v/>
      </c>
      <c r="N30" s="1137" t="str">
        <f t="shared" si="14"/>
        <v/>
      </c>
      <c r="O30" s="1138" t="str">
        <f t="shared" si="15"/>
        <v/>
      </c>
      <c r="P30" s="1139" t="str">
        <f t="shared" si="16"/>
        <v/>
      </c>
      <c r="Q30" s="1134" t="str">
        <f t="shared" si="17"/>
        <v/>
      </c>
      <c r="R30" s="1138" t="str">
        <f t="shared" si="18"/>
        <v/>
      </c>
      <c r="S30" s="1140" t="str">
        <f t="shared" si="19"/>
        <v/>
      </c>
      <c r="T30" s="1143" t="str">
        <f t="shared" si="20"/>
        <v/>
      </c>
      <c r="U30" s="1138" t="str">
        <f t="shared" si="21"/>
        <v/>
      </c>
      <c r="V30" s="1134" t="str">
        <f t="shared" si="22"/>
        <v/>
      </c>
      <c r="W30" s="1138" t="str">
        <f t="shared" si="23"/>
        <v/>
      </c>
      <c r="X30" s="1142">
        <f t="shared" si="24"/>
        <v>0</v>
      </c>
      <c r="Y30" s="1647" t="str">
        <f t="shared" si="25"/>
        <v/>
      </c>
      <c r="Z30" s="1648" t="str">
        <f t="shared" si="26"/>
        <v/>
      </c>
      <c r="AA30" s="1649" t="str">
        <f t="shared" si="27"/>
        <v/>
      </c>
      <c r="AB30" s="1288"/>
      <c r="AC30" s="898" t="b">
        <v>0</v>
      </c>
      <c r="AD30" s="374">
        <f t="shared" si="28"/>
        <v>0</v>
      </c>
      <c r="AE30" s="375">
        <f t="shared" si="29"/>
        <v>0</v>
      </c>
      <c r="AF30" s="375">
        <f t="shared" si="30"/>
        <v>0</v>
      </c>
      <c r="AG30" s="375">
        <f t="shared" si="31"/>
        <v>0</v>
      </c>
      <c r="AH30" s="376">
        <f t="shared" si="32"/>
        <v>0</v>
      </c>
      <c r="AI30" s="377" t="b">
        <v>0</v>
      </c>
      <c r="AJ30" s="143">
        <f t="shared" si="33"/>
        <v>0</v>
      </c>
      <c r="AK30" s="771" t="str">
        <f t="shared" si="34"/>
        <v/>
      </c>
      <c r="AL30" s="877" t="str">
        <f t="shared" si="35"/>
        <v/>
      </c>
      <c r="AM30" s="771" t="str">
        <f t="shared" si="36"/>
        <v/>
      </c>
      <c r="AN30" s="771" t="str">
        <f t="shared" si="37"/>
        <v/>
      </c>
      <c r="AO30" s="771" t="str">
        <f t="shared" si="38"/>
        <v/>
      </c>
      <c r="AP30" s="771" t="b">
        <f>IF(ISERROR(AJ30),FALSE,IF(OR(AJ30=0,ISERROR(AL30),ISERROR(AM30),ISERROR(AN30),ISERROR(AO30)),FALSE,IF(AL30&lt;&gt;"",IF(ISERROR(VLOOKUP(SUBSTITUTE(SUBSTITUTE(C30,"R",""),"A",""),#REF!,1,FALSE)),FALSE,TRUE),TRUE)))</f>
        <v>0</v>
      </c>
      <c r="AQ30" s="945" t="e">
        <f t="shared" si="39"/>
        <v>#N/A</v>
      </c>
      <c r="AR30" s="877" t="b">
        <f t="shared" si="40"/>
        <v>0</v>
      </c>
      <c r="AS30" s="945" t="e">
        <f t="shared" si="41"/>
        <v>#N/A</v>
      </c>
      <c r="AT30" s="877" t="b">
        <f t="shared" si="42"/>
        <v>0</v>
      </c>
      <c r="AU30" s="878" t="str">
        <f t="shared" si="43"/>
        <v/>
      </c>
      <c r="AV30" s="771" t="str">
        <f t="shared" si="44"/>
        <v/>
      </c>
      <c r="AW30" s="771" t="str">
        <f t="shared" si="45"/>
        <v/>
      </c>
      <c r="AX30" s="771" t="str">
        <f t="shared" si="123"/>
        <v/>
      </c>
      <c r="AY30" s="946" t="e">
        <f t="shared" si="46"/>
        <v>#REF!</v>
      </c>
      <c r="AZ30" s="795" t="str">
        <f t="shared" si="47"/>
        <v/>
      </c>
      <c r="BA30" s="496"/>
      <c r="BB30" s="616"/>
      <c r="BC30" s="1567"/>
      <c r="BD30" s="682"/>
      <c r="BE30" s="683"/>
      <c r="BF30" s="684"/>
      <c r="BG30" s="660"/>
      <c r="BH30" s="901"/>
      <c r="BI30" s="902"/>
      <c r="BJ30" s="1508"/>
      <c r="BK30" s="661"/>
      <c r="BL30" s="662"/>
      <c r="BM30" s="663"/>
      <c r="BN30" s="664"/>
      <c r="BO30" s="616" t="str">
        <f>IF(ISERROR(CU30),"",IF(CU30="","",IF(VLOOKUP(BG30,#REF!,10,FALSE)="","","X")))</f>
        <v/>
      </c>
      <c r="BP30" s="687"/>
      <c r="BQ30" s="1430" t="str">
        <f t="shared" si="48"/>
        <v/>
      </c>
      <c r="BR30" s="839"/>
      <c r="BS30" s="660"/>
      <c r="BT30" s="661"/>
      <c r="BU30" s="662"/>
      <c r="BV30" s="1508"/>
      <c r="BW30" s="661"/>
      <c r="BX30" s="662"/>
      <c r="BY30" s="663"/>
      <c r="BZ30" s="664"/>
      <c r="CA30" s="625" t="str">
        <f>IF(ISERROR(DE30),"",IF(DE30="","",IF(VLOOKUP(BS30,#REF!,10,FALSE)="","","X")))</f>
        <v/>
      </c>
      <c r="CB30" s="687"/>
      <c r="CC30" s="1430" t="str">
        <f t="shared" si="49"/>
        <v/>
      </c>
      <c r="CD30" s="839"/>
      <c r="CE30" s="665"/>
      <c r="CF30" s="685"/>
      <c r="CG30" s="686"/>
      <c r="CH30" s="534" t="str">
        <f t="shared" si="50"/>
        <v/>
      </c>
      <c r="CI30" s="535" t="str">
        <f t="shared" si="51"/>
        <v/>
      </c>
      <c r="CJ30" s="536" t="str">
        <f t="shared" si="52"/>
        <v/>
      </c>
      <c r="CK30" s="537" t="str">
        <f t="shared" si="53"/>
        <v/>
      </c>
      <c r="CL30" s="538" t="str">
        <f t="shared" si="54"/>
        <v/>
      </c>
      <c r="CM30" s="539" t="str">
        <f t="shared" si="55"/>
        <v/>
      </c>
      <c r="CN30" s="540" t="str">
        <f t="shared" si="56"/>
        <v/>
      </c>
      <c r="CO30" s="541" t="str">
        <f t="shared" si="57"/>
        <v/>
      </c>
      <c r="CP30" s="558" t="str">
        <f t="shared" si="58"/>
        <v/>
      </c>
      <c r="CQ30" s="559" t="str">
        <f t="shared" si="59"/>
        <v/>
      </c>
      <c r="CR30" s="699" t="str">
        <f t="shared" si="60"/>
        <v/>
      </c>
      <c r="CS30" s="700" t="str">
        <f t="shared" si="61"/>
        <v/>
      </c>
      <c r="CU30" s="758" t="str">
        <f>IF(BG30="","",VLOOKUP(BG30,#REF!,12,FALSE))</f>
        <v/>
      </c>
      <c r="CV30" s="756" t="str">
        <f>IF(BG30="","",IF(ISBLANK(BP30),VLOOKUP(BG30,#REF!,13,FALSE),BP30))</f>
        <v/>
      </c>
      <c r="CW30" s="756" t="str">
        <f>IF(BG30="","",IF(VLOOKUP(BG30,#REF!,5,FALSE)="","R",UPPER(VLOOKUP(BG30,#REF!,5,FALSE))))</f>
        <v/>
      </c>
      <c r="CX30" s="756" t="str">
        <f>IF(BG30="","",IF(ISBLANK(BR30),VLOOKUP(BG30,#REF!,6,FALSE),BR30))</f>
        <v/>
      </c>
      <c r="CY30" s="1203" t="str">
        <f>IF(BG30="","",IF(VLOOKUP(BG30,#REF!,10,FALSE)="","",(IF(BO30="X",VLOOKUP(BG30,#REF!,10,FALSE),VALUE(BO30))*-1)))</f>
        <v/>
      </c>
      <c r="CZ30" s="1042" t="str">
        <f>IF(BG30="","",IF(VLOOKUP(BG30,#REF!,11,FALSE)="","2",(VLOOKUP(BG30,#REF!,11,FALSE))))</f>
        <v/>
      </c>
      <c r="DA30" s="756" t="str">
        <f>IF(BG30="","",IF(VLOOKUP(BG30,#REF!,7,FALSE)="","",(VLOOKUP(BG30,#REF!,7,FALSE)*-1)))</f>
        <v/>
      </c>
      <c r="DB30" s="756" t="str">
        <f>IF(BG30="","",IF(VLOOKUP(BG30,#REF!,8,FALSE)="",VLOOKUP(AU30,$DF$2:$DN$9,6,FALSE),(VLOOKUP(BG30,#REF!,8,FALSE))))</f>
        <v/>
      </c>
      <c r="DC30" s="756" t="str">
        <f>IF(BG30="","",VLOOKUP(BG30,#REF!,9,FALSE))</f>
        <v/>
      </c>
      <c r="DD30" s="757">
        <f t="shared" si="62"/>
        <v>0</v>
      </c>
      <c r="DE30" s="758" t="str">
        <f>IF(BS30="","",VLOOKUP(BS30,#REF!,12,FALSE))</f>
        <v/>
      </c>
      <c r="DF30" s="756" t="str">
        <f>IF(BS30="","",IF(ISBLANK(CB30),VLOOKUP(BS30,#REF!,13,FALSE),CB30))</f>
        <v/>
      </c>
      <c r="DG30" s="756" t="str">
        <f>IF(BS30="","",IF(VLOOKUP(BS30,#REF!,5,FALSE)="","R",UPPER(VLOOKUP(BS30,#REF!,5,FALSE))))</f>
        <v/>
      </c>
      <c r="DH30" s="756" t="str">
        <f>IF(BS30="","",IF(ISBLANK(CD30),VLOOKUP(BS30,#REF!,6,FALSE),CD30))</f>
        <v/>
      </c>
      <c r="DI30" s="1203" t="str">
        <f>IF(BS30="","",IF(VLOOKUP(BS30,#REF!,10,FALSE)="","",(IF(CA30="X",VLOOKUP(BS30,#REF!,10,FALSE),VALUE(CA30))*-1)))</f>
        <v/>
      </c>
      <c r="DJ30" s="1042" t="str">
        <f>IF(BS30="","",IF(VLOOKUP(BS30,#REF!,11,FALSE)="","2",(VLOOKUP(BS30,#REF!,11,FALSE))))</f>
        <v/>
      </c>
      <c r="DK30" s="756" t="str">
        <f>IF(BS30="","",IF(VLOOKUP(BS30,#REF!,7,FALSE)="","",(VLOOKUP(BS30,#REF!,7,FALSE)*-1)))</f>
        <v/>
      </c>
      <c r="DL30" s="756" t="str">
        <f>IF(BS30="","",IF(VLOOKUP(BS30,#REF!,8,FALSE)="",VLOOKUP(AU30,$DF$2:$DN$9,6,FALSE),(VLOOKUP(BS30,#REF!,8,FALSE))))</f>
        <v/>
      </c>
      <c r="DM30" s="756" t="str">
        <f>IF(BS30="","",VLOOKUP(BS30,#REF!,9,FALSE))</f>
        <v/>
      </c>
      <c r="DN30" s="757">
        <f t="shared" si="63"/>
        <v>0</v>
      </c>
      <c r="DO30" s="759">
        <f t="shared" si="64"/>
        <v>0</v>
      </c>
      <c r="DP30" s="763" t="str">
        <f t="shared" si="65"/>
        <v/>
      </c>
      <c r="DQ30" s="763" t="str">
        <f t="shared" si="66"/>
        <v/>
      </c>
      <c r="DR30" s="763" t="str">
        <f t="shared" si="67"/>
        <v/>
      </c>
      <c r="DS30" s="762">
        <f t="shared" si="68"/>
        <v>0</v>
      </c>
      <c r="DT30" s="762" t="e">
        <f t="shared" si="69"/>
        <v>#REF!</v>
      </c>
      <c r="DU30" s="762" t="str">
        <f t="shared" si="70"/>
        <v/>
      </c>
      <c r="DV30" s="763" t="str">
        <f t="shared" si="71"/>
        <v/>
      </c>
      <c r="DW30" s="795" t="str">
        <f t="shared" si="72"/>
        <v/>
      </c>
      <c r="DX30" s="926">
        <f t="shared" si="73"/>
        <v>0</v>
      </c>
      <c r="DY30" s="763">
        <f t="shared" si="74"/>
        <v>0</v>
      </c>
      <c r="DZ30" s="762" t="e">
        <f t="shared" si="75"/>
        <v>#REF!</v>
      </c>
      <c r="EA30" s="762" t="str">
        <f t="shared" si="76"/>
        <v/>
      </c>
      <c r="EB30" s="763" t="str">
        <f t="shared" si="77"/>
        <v/>
      </c>
      <c r="EC30" s="795" t="str">
        <f t="shared" si="78"/>
        <v/>
      </c>
      <c r="ED30" s="926">
        <f t="shared" si="79"/>
        <v>0</v>
      </c>
      <c r="EE30" s="1210" t="str">
        <f t="shared" si="80"/>
        <v/>
      </c>
      <c r="EF30" s="1210" t="str">
        <f t="shared" si="81"/>
        <v/>
      </c>
      <c r="EG30" s="1210" t="str">
        <f t="shared" si="82"/>
        <v/>
      </c>
      <c r="EH30" s="795" t="e">
        <f t="shared" si="83"/>
        <v>#N/A</v>
      </c>
      <c r="EI30" s="795" t="e">
        <f t="shared" si="84"/>
        <v>#N/A</v>
      </c>
      <c r="EJ30" s="763" t="str">
        <f t="shared" si="85"/>
        <v/>
      </c>
      <c r="EK30" s="763" t="str">
        <f t="shared" si="85"/>
        <v/>
      </c>
      <c r="EL30" s="1210" t="str">
        <f t="shared" si="86"/>
        <v/>
      </c>
      <c r="EM30" s="763" t="str">
        <f t="shared" si="87"/>
        <v/>
      </c>
      <c r="EN30" s="763" t="str">
        <f t="shared" si="88"/>
        <v/>
      </c>
      <c r="EO30" s="795" t="e">
        <f t="shared" si="89"/>
        <v>#N/A</v>
      </c>
      <c r="EP30" s="795" t="e">
        <f t="shared" si="90"/>
        <v>#N/A</v>
      </c>
      <c r="EQ30" s="1210" t="str">
        <f t="shared" si="91"/>
        <v/>
      </c>
      <c r="ER30" s="763" t="str">
        <f t="shared" si="91"/>
        <v/>
      </c>
      <c r="ES30" s="763" t="str">
        <f t="shared" si="92"/>
        <v/>
      </c>
      <c r="ET30" s="763" t="str">
        <f t="shared" si="93"/>
        <v/>
      </c>
      <c r="EU30" s="770" t="str">
        <f t="shared" si="94"/>
        <v/>
      </c>
      <c r="EV30" s="765" t="str">
        <f t="shared" si="95"/>
        <v/>
      </c>
      <c r="EW30" s="770"/>
      <c r="EX30" s="770" t="str">
        <f>IF(AND(CU30="G", ISBLANK(BK30), ISBLANK(BL30)),VLOOKUP(MIN(BH30:BI30),#REF!,2),IF(OR(CU30="B",CU30="G"),MIN(BK30:BL30),""))</f>
        <v/>
      </c>
      <c r="EY30" s="770" t="str">
        <f>IF(AND(CU30="G", ISBLANK(BK30), ISBLANK(BL30)),VLOOKUP(MAX(BH30:BI30),#REF!,2),IF(OR(CU30="B",CU30="G"),MAX(BK30:BL30),""))</f>
        <v/>
      </c>
      <c r="EZ30" s="770" t="str">
        <f t="shared" si="96"/>
        <v/>
      </c>
      <c r="FA30" s="770" t="str">
        <f>IF(AND(DE30="G", ISBLANK(BW30), ISBLANK(BX30)),VLOOKUP(MIN(BT30:BU30),#REF!,2),IF(OR(DE30="B", DE30="G"),MIN(BW30:BX30),""))</f>
        <v/>
      </c>
      <c r="FB30" s="770" t="str">
        <f>IF(AND(DE30="G", ISBLANK(BW30), ISBLANK(BX30)),VLOOKUP(MAX(BT30:BU30),#REF!,2),IF(OR(DE30="B", DE30="G"),MAX(BW30:BX30),""))</f>
        <v/>
      </c>
      <c r="FC30" s="770" t="str">
        <f t="shared" si="97"/>
        <v/>
      </c>
      <c r="FD30" s="762">
        <f t="shared" si="124"/>
        <v>0</v>
      </c>
      <c r="FE30" s="762">
        <f t="shared" si="98"/>
        <v>0</v>
      </c>
      <c r="FF30" s="762">
        <f t="shared" si="99"/>
        <v>0</v>
      </c>
      <c r="FG30" s="762" t="str">
        <f t="shared" si="100"/>
        <v/>
      </c>
      <c r="FH30" s="763" t="str">
        <f t="shared" si="101"/>
        <v/>
      </c>
      <c r="FI30" s="762">
        <f t="shared" si="125"/>
        <v>0</v>
      </c>
      <c r="FJ30" s="762">
        <f t="shared" si="102"/>
        <v>0</v>
      </c>
      <c r="FK30" s="762">
        <f t="shared" si="103"/>
        <v>0</v>
      </c>
      <c r="FL30" s="762" t="str">
        <f t="shared" si="104"/>
        <v/>
      </c>
      <c r="FM30" s="763" t="str">
        <f t="shared" si="105"/>
        <v/>
      </c>
      <c r="FN30" s="763" t="e">
        <f t="shared" si="106"/>
        <v>#VALUE!</v>
      </c>
      <c r="FO30" s="872" t="e">
        <f t="shared" si="107"/>
        <v>#VALUE!</v>
      </c>
      <c r="FP30" s="872" t="e">
        <f t="shared" si="108"/>
        <v>#VALUE!</v>
      </c>
      <c r="FQ30" s="771" t="e">
        <f t="shared" si="109"/>
        <v>#VALUE!</v>
      </c>
      <c r="FR30" s="772" t="e">
        <f t="shared" si="110"/>
        <v>#VALUE!</v>
      </c>
      <c r="FS30" s="773" t="str">
        <f t="shared" si="111"/>
        <v/>
      </c>
      <c r="FT30" s="774" t="str">
        <f t="shared" si="112"/>
        <v/>
      </c>
      <c r="FU30" s="809">
        <f t="shared" si="113"/>
        <v>0</v>
      </c>
      <c r="FV30" s="810">
        <f t="shared" si="114"/>
        <v>0</v>
      </c>
      <c r="GA30" s="542" t="str">
        <f t="shared" si="115"/>
        <v/>
      </c>
      <c r="GB30" s="562" t="str">
        <f t="shared" si="116"/>
        <v/>
      </c>
      <c r="GC30" s="564" t="str">
        <f t="shared" si="117"/>
        <v/>
      </c>
      <c r="GD30" s="565" t="str">
        <f t="shared" si="118"/>
        <v/>
      </c>
      <c r="GE30" s="563" t="str">
        <f t="shared" si="119"/>
        <v/>
      </c>
      <c r="GF30" s="543" t="str">
        <f t="shared" si="120"/>
        <v/>
      </c>
      <c r="GG30" s="1052"/>
      <c r="GH30" s="1053"/>
      <c r="GI30" s="1052"/>
      <c r="GJ30" s="1053"/>
      <c r="GK30" s="1521">
        <f t="shared" si="121"/>
        <v>0</v>
      </c>
      <c r="GL30" s="1519" t="e">
        <f t="shared" si="122"/>
        <v>#VALUE!</v>
      </c>
      <c r="GM30" s="1520" t="e">
        <f>IF(ABS(GK30-GL30)&gt;=#REF!,ABS(GK30-GL30),0)</f>
        <v>#VALUE!</v>
      </c>
      <c r="HA30" s="1187"/>
      <c r="HB30" s="1188"/>
      <c r="HC30" s="1188"/>
      <c r="HD30" s="1189"/>
      <c r="HE30" s="1190"/>
      <c r="HF30" s="1188"/>
      <c r="HG30" s="1188"/>
      <c r="HH30" s="1188"/>
      <c r="HI30" s="1191"/>
      <c r="HJ30" s="1188"/>
      <c r="HK30" s="1188"/>
      <c r="HL30" s="1188"/>
      <c r="HM30" s="1188"/>
      <c r="HN30" s="1188"/>
      <c r="HO30" s="1188"/>
      <c r="HP30" s="1188"/>
      <c r="HQ30" s="1191"/>
      <c r="HR30" s="1188"/>
      <c r="HS30" s="1188"/>
      <c r="HT30" s="1188"/>
      <c r="HU30" s="1188"/>
      <c r="HV30" s="1188"/>
      <c r="HW30" s="1190"/>
      <c r="HX30" s="1190"/>
      <c r="HY30" s="1190"/>
      <c r="HZ30" s="1190"/>
      <c r="IA30" s="1190"/>
      <c r="IB30" s="1190"/>
      <c r="IC30" s="1190"/>
      <c r="ID30" s="1190"/>
      <c r="IE30" s="1190"/>
      <c r="IF30" s="1192"/>
    </row>
    <row r="31" spans="1:240" ht="12.6" customHeight="1" x14ac:dyDescent="0.25">
      <c r="A31" s="1132" t="str">
        <f t="shared" si="1"/>
        <v/>
      </c>
      <c r="B31" s="1586" t="str">
        <f t="shared" si="2"/>
        <v/>
      </c>
      <c r="C31" s="1133" t="str">
        <f t="shared" si="3"/>
        <v/>
      </c>
      <c r="D31" s="1134" t="str">
        <f t="shared" si="4"/>
        <v/>
      </c>
      <c r="E31" s="1135" t="str">
        <f t="shared" si="5"/>
        <v/>
      </c>
      <c r="F31" s="1143" t="str">
        <f t="shared" si="6"/>
        <v/>
      </c>
      <c r="G31" s="1138" t="str">
        <f t="shared" si="7"/>
        <v/>
      </c>
      <c r="H31" s="1645" t="str">
        <f t="shared" si="8"/>
        <v/>
      </c>
      <c r="I31" s="1134" t="str">
        <f t="shared" si="9"/>
        <v/>
      </c>
      <c r="J31" s="1138" t="str">
        <f t="shared" si="10"/>
        <v/>
      </c>
      <c r="K31" s="1657" t="str">
        <f t="shared" si="11"/>
        <v/>
      </c>
      <c r="L31" s="1141" t="str">
        <f t="shared" si="12"/>
        <v/>
      </c>
      <c r="M31" s="1142" t="str">
        <f t="shared" si="13"/>
        <v/>
      </c>
      <c r="N31" s="1137" t="str">
        <f t="shared" si="14"/>
        <v/>
      </c>
      <c r="O31" s="1138" t="str">
        <f t="shared" si="15"/>
        <v/>
      </c>
      <c r="P31" s="1139" t="str">
        <f t="shared" si="16"/>
        <v/>
      </c>
      <c r="Q31" s="1134" t="str">
        <f t="shared" si="17"/>
        <v/>
      </c>
      <c r="R31" s="1138" t="str">
        <f t="shared" si="18"/>
        <v/>
      </c>
      <c r="S31" s="1140" t="str">
        <f t="shared" si="19"/>
        <v/>
      </c>
      <c r="T31" s="1143" t="str">
        <f t="shared" si="20"/>
        <v/>
      </c>
      <c r="U31" s="1138" t="str">
        <f t="shared" si="21"/>
        <v/>
      </c>
      <c r="V31" s="1134" t="str">
        <f t="shared" si="22"/>
        <v/>
      </c>
      <c r="W31" s="1138" t="str">
        <f t="shared" si="23"/>
        <v/>
      </c>
      <c r="X31" s="1142">
        <f t="shared" si="24"/>
        <v>0</v>
      </c>
      <c r="Y31" s="1647" t="str">
        <f t="shared" si="25"/>
        <v/>
      </c>
      <c r="Z31" s="1648" t="str">
        <f t="shared" si="26"/>
        <v/>
      </c>
      <c r="AA31" s="1649" t="str">
        <f t="shared" si="27"/>
        <v/>
      </c>
      <c r="AB31" s="1288"/>
      <c r="AC31" s="898" t="b">
        <v>0</v>
      </c>
      <c r="AD31" s="374">
        <f t="shared" si="28"/>
        <v>0</v>
      </c>
      <c r="AE31" s="375">
        <f t="shared" si="29"/>
        <v>0</v>
      </c>
      <c r="AF31" s="375">
        <f t="shared" si="30"/>
        <v>0</v>
      </c>
      <c r="AG31" s="375">
        <f t="shared" si="31"/>
        <v>0</v>
      </c>
      <c r="AH31" s="376">
        <f t="shared" si="32"/>
        <v>0</v>
      </c>
      <c r="AI31" s="377" t="b">
        <v>0</v>
      </c>
      <c r="AJ31" s="143">
        <f t="shared" si="33"/>
        <v>0</v>
      </c>
      <c r="AK31" s="771" t="str">
        <f t="shared" si="34"/>
        <v/>
      </c>
      <c r="AL31" s="877" t="str">
        <f t="shared" si="35"/>
        <v/>
      </c>
      <c r="AM31" s="771" t="str">
        <f t="shared" si="36"/>
        <v/>
      </c>
      <c r="AN31" s="771" t="str">
        <f t="shared" si="37"/>
        <v/>
      </c>
      <c r="AO31" s="771" t="str">
        <f t="shared" si="38"/>
        <v/>
      </c>
      <c r="AP31" s="771" t="b">
        <f>IF(ISERROR(AJ31),FALSE,IF(OR(AJ31=0,ISERROR(AL31),ISERROR(AM31),ISERROR(AN31),ISERROR(AO31)),FALSE,IF(AL31&lt;&gt;"",IF(ISERROR(VLOOKUP(SUBSTITUTE(SUBSTITUTE(C31,"R",""),"A",""),#REF!,1,FALSE)),FALSE,TRUE),TRUE)))</f>
        <v>0</v>
      </c>
      <c r="AQ31" s="945" t="e">
        <f t="shared" si="39"/>
        <v>#N/A</v>
      </c>
      <c r="AR31" s="877" t="b">
        <f t="shared" si="40"/>
        <v>0</v>
      </c>
      <c r="AS31" s="945" t="e">
        <f t="shared" si="41"/>
        <v>#N/A</v>
      </c>
      <c r="AT31" s="877" t="b">
        <f t="shared" si="42"/>
        <v>0</v>
      </c>
      <c r="AU31" s="878" t="str">
        <f t="shared" si="43"/>
        <v/>
      </c>
      <c r="AV31" s="771" t="str">
        <f t="shared" si="44"/>
        <v/>
      </c>
      <c r="AW31" s="771" t="str">
        <f t="shared" si="45"/>
        <v/>
      </c>
      <c r="AX31" s="771" t="str">
        <f t="shared" si="123"/>
        <v/>
      </c>
      <c r="AY31" s="946" t="e">
        <f t="shared" si="46"/>
        <v>#REF!</v>
      </c>
      <c r="AZ31" s="795" t="str">
        <f t="shared" si="47"/>
        <v/>
      </c>
      <c r="BA31" s="496"/>
      <c r="BB31" s="616"/>
      <c r="BC31" s="1567"/>
      <c r="BD31" s="682"/>
      <c r="BE31" s="683"/>
      <c r="BF31" s="684"/>
      <c r="BG31" s="660"/>
      <c r="BH31" s="901"/>
      <c r="BI31" s="902"/>
      <c r="BJ31" s="1508"/>
      <c r="BK31" s="661"/>
      <c r="BL31" s="662"/>
      <c r="BM31" s="663"/>
      <c r="BN31" s="664"/>
      <c r="BO31" s="616" t="str">
        <f>IF(ISERROR(CU31),"",IF(CU31="","",IF(VLOOKUP(BG31,#REF!,10,FALSE)="","","X")))</f>
        <v/>
      </c>
      <c r="BP31" s="687"/>
      <c r="BQ31" s="1430" t="str">
        <f t="shared" si="48"/>
        <v/>
      </c>
      <c r="BR31" s="839"/>
      <c r="BS31" s="660"/>
      <c r="BT31" s="661"/>
      <c r="BU31" s="662"/>
      <c r="BV31" s="1508"/>
      <c r="BW31" s="661"/>
      <c r="BX31" s="662"/>
      <c r="BY31" s="663"/>
      <c r="BZ31" s="664"/>
      <c r="CA31" s="625" t="str">
        <f>IF(ISERROR(DE31),"",IF(DE31="","",IF(VLOOKUP(BS31,#REF!,10,FALSE)="","","X")))</f>
        <v/>
      </c>
      <c r="CB31" s="687"/>
      <c r="CC31" s="1430" t="str">
        <f t="shared" si="49"/>
        <v/>
      </c>
      <c r="CD31" s="839"/>
      <c r="CE31" s="665"/>
      <c r="CF31" s="685"/>
      <c r="CG31" s="686"/>
      <c r="CH31" s="534" t="str">
        <f t="shared" si="50"/>
        <v/>
      </c>
      <c r="CI31" s="535" t="str">
        <f t="shared" si="51"/>
        <v/>
      </c>
      <c r="CJ31" s="536" t="str">
        <f t="shared" si="52"/>
        <v/>
      </c>
      <c r="CK31" s="537" t="str">
        <f t="shared" si="53"/>
        <v/>
      </c>
      <c r="CL31" s="538" t="str">
        <f t="shared" si="54"/>
        <v/>
      </c>
      <c r="CM31" s="539" t="str">
        <f t="shared" si="55"/>
        <v/>
      </c>
      <c r="CN31" s="540" t="str">
        <f t="shared" si="56"/>
        <v/>
      </c>
      <c r="CO31" s="541" t="str">
        <f t="shared" si="57"/>
        <v/>
      </c>
      <c r="CP31" s="558" t="str">
        <f t="shared" si="58"/>
        <v/>
      </c>
      <c r="CQ31" s="559" t="str">
        <f t="shared" si="59"/>
        <v/>
      </c>
      <c r="CR31" s="699" t="str">
        <f t="shared" si="60"/>
        <v/>
      </c>
      <c r="CS31" s="700" t="str">
        <f t="shared" si="61"/>
        <v/>
      </c>
      <c r="CU31" s="758" t="str">
        <f>IF(BG31="","",VLOOKUP(BG31,#REF!,12,FALSE))</f>
        <v/>
      </c>
      <c r="CV31" s="756" t="str">
        <f>IF(BG31="","",IF(ISBLANK(BP31),VLOOKUP(BG31,#REF!,13,FALSE),BP31))</f>
        <v/>
      </c>
      <c r="CW31" s="756" t="str">
        <f>IF(BG31="","",IF(VLOOKUP(BG31,#REF!,5,FALSE)="","R",UPPER(VLOOKUP(BG31,#REF!,5,FALSE))))</f>
        <v/>
      </c>
      <c r="CX31" s="756" t="str">
        <f>IF(BG31="","",IF(ISBLANK(BR31),VLOOKUP(BG31,#REF!,6,FALSE),BR31))</f>
        <v/>
      </c>
      <c r="CY31" s="1203" t="str">
        <f>IF(BG31="","",IF(VLOOKUP(BG31,#REF!,10,FALSE)="","",(IF(BO31="X",VLOOKUP(BG31,#REF!,10,FALSE),VALUE(BO31))*-1)))</f>
        <v/>
      </c>
      <c r="CZ31" s="1042" t="str">
        <f>IF(BG31="","",IF(VLOOKUP(BG31,#REF!,11,FALSE)="","2",(VLOOKUP(BG31,#REF!,11,FALSE))))</f>
        <v/>
      </c>
      <c r="DA31" s="756" t="str">
        <f>IF(BG31="","",IF(VLOOKUP(BG31,#REF!,7,FALSE)="","",(VLOOKUP(BG31,#REF!,7,FALSE)*-1)))</f>
        <v/>
      </c>
      <c r="DB31" s="756" t="str">
        <f>IF(BG31="","",IF(VLOOKUP(BG31,#REF!,8,FALSE)="",VLOOKUP(AU31,$DF$2:$DN$9,6,FALSE),(VLOOKUP(BG31,#REF!,8,FALSE))))</f>
        <v/>
      </c>
      <c r="DC31" s="756" t="str">
        <f>IF(BG31="","",VLOOKUP(BG31,#REF!,9,FALSE))</f>
        <v/>
      </c>
      <c r="DD31" s="757">
        <f t="shared" si="62"/>
        <v>0</v>
      </c>
      <c r="DE31" s="758" t="str">
        <f>IF(BS31="","",VLOOKUP(BS31,#REF!,12,FALSE))</f>
        <v/>
      </c>
      <c r="DF31" s="756" t="str">
        <f>IF(BS31="","",IF(ISBLANK(CB31),VLOOKUP(BS31,#REF!,13,FALSE),CB31))</f>
        <v/>
      </c>
      <c r="DG31" s="756" t="str">
        <f>IF(BS31="","",IF(VLOOKUP(BS31,#REF!,5,FALSE)="","R",UPPER(VLOOKUP(BS31,#REF!,5,FALSE))))</f>
        <v/>
      </c>
      <c r="DH31" s="756" t="str">
        <f>IF(BS31="","",IF(ISBLANK(CD31),VLOOKUP(BS31,#REF!,6,FALSE),CD31))</f>
        <v/>
      </c>
      <c r="DI31" s="1203" t="str">
        <f>IF(BS31="","",IF(VLOOKUP(BS31,#REF!,10,FALSE)="","",(IF(CA31="X",VLOOKUP(BS31,#REF!,10,FALSE),VALUE(CA31))*-1)))</f>
        <v/>
      </c>
      <c r="DJ31" s="1042" t="str">
        <f>IF(BS31="","",IF(VLOOKUP(BS31,#REF!,11,FALSE)="","2",(VLOOKUP(BS31,#REF!,11,FALSE))))</f>
        <v/>
      </c>
      <c r="DK31" s="756" t="str">
        <f>IF(BS31="","",IF(VLOOKUP(BS31,#REF!,7,FALSE)="","",(VLOOKUP(BS31,#REF!,7,FALSE)*-1)))</f>
        <v/>
      </c>
      <c r="DL31" s="756" t="str">
        <f>IF(BS31="","",IF(VLOOKUP(BS31,#REF!,8,FALSE)="",VLOOKUP(AU31,$DF$2:$DN$9,6,FALSE),(VLOOKUP(BS31,#REF!,8,FALSE))))</f>
        <v/>
      </c>
      <c r="DM31" s="756" t="str">
        <f>IF(BS31="","",VLOOKUP(BS31,#REF!,9,FALSE))</f>
        <v/>
      </c>
      <c r="DN31" s="757">
        <f t="shared" si="63"/>
        <v>0</v>
      </c>
      <c r="DO31" s="759">
        <f t="shared" si="64"/>
        <v>0</v>
      </c>
      <c r="DP31" s="763" t="str">
        <f t="shared" si="65"/>
        <v/>
      </c>
      <c r="DQ31" s="763" t="str">
        <f t="shared" si="66"/>
        <v/>
      </c>
      <c r="DR31" s="763" t="str">
        <f t="shared" si="67"/>
        <v/>
      </c>
      <c r="DS31" s="762">
        <f t="shared" si="68"/>
        <v>0</v>
      </c>
      <c r="DT31" s="762" t="e">
        <f t="shared" si="69"/>
        <v>#REF!</v>
      </c>
      <c r="DU31" s="762" t="str">
        <f t="shared" si="70"/>
        <v/>
      </c>
      <c r="DV31" s="763" t="str">
        <f t="shared" si="71"/>
        <v/>
      </c>
      <c r="DW31" s="795" t="str">
        <f t="shared" si="72"/>
        <v/>
      </c>
      <c r="DX31" s="926">
        <f t="shared" si="73"/>
        <v>0</v>
      </c>
      <c r="DY31" s="763">
        <f t="shared" si="74"/>
        <v>0</v>
      </c>
      <c r="DZ31" s="762" t="e">
        <f t="shared" si="75"/>
        <v>#REF!</v>
      </c>
      <c r="EA31" s="762" t="str">
        <f t="shared" si="76"/>
        <v/>
      </c>
      <c r="EB31" s="763" t="str">
        <f t="shared" si="77"/>
        <v/>
      </c>
      <c r="EC31" s="795" t="str">
        <f t="shared" si="78"/>
        <v/>
      </c>
      <c r="ED31" s="926">
        <f t="shared" si="79"/>
        <v>0</v>
      </c>
      <c r="EE31" s="1210" t="str">
        <f t="shared" si="80"/>
        <v/>
      </c>
      <c r="EF31" s="1210" t="str">
        <f t="shared" si="81"/>
        <v/>
      </c>
      <c r="EG31" s="1210" t="str">
        <f t="shared" si="82"/>
        <v/>
      </c>
      <c r="EH31" s="795" t="e">
        <f t="shared" si="83"/>
        <v>#N/A</v>
      </c>
      <c r="EI31" s="795" t="e">
        <f t="shared" si="84"/>
        <v>#N/A</v>
      </c>
      <c r="EJ31" s="763" t="str">
        <f t="shared" si="85"/>
        <v/>
      </c>
      <c r="EK31" s="763" t="str">
        <f t="shared" si="85"/>
        <v/>
      </c>
      <c r="EL31" s="1210" t="str">
        <f t="shared" si="86"/>
        <v/>
      </c>
      <c r="EM31" s="763" t="str">
        <f t="shared" si="87"/>
        <v/>
      </c>
      <c r="EN31" s="763" t="str">
        <f t="shared" si="88"/>
        <v/>
      </c>
      <c r="EO31" s="795" t="e">
        <f t="shared" si="89"/>
        <v>#N/A</v>
      </c>
      <c r="EP31" s="795" t="e">
        <f t="shared" si="90"/>
        <v>#N/A</v>
      </c>
      <c r="EQ31" s="1210" t="str">
        <f t="shared" si="91"/>
        <v/>
      </c>
      <c r="ER31" s="763" t="str">
        <f t="shared" si="91"/>
        <v/>
      </c>
      <c r="ES31" s="763" t="str">
        <f t="shared" si="92"/>
        <v/>
      </c>
      <c r="ET31" s="763" t="str">
        <f t="shared" si="93"/>
        <v/>
      </c>
      <c r="EU31" s="770" t="str">
        <f t="shared" si="94"/>
        <v/>
      </c>
      <c r="EV31" s="765" t="str">
        <f t="shared" si="95"/>
        <v/>
      </c>
      <c r="EW31" s="770"/>
      <c r="EX31" s="770" t="str">
        <f>IF(AND(CU31="G", ISBLANK(BK31), ISBLANK(BL31)),VLOOKUP(MIN(BH31:BI31),#REF!,2),IF(OR(CU31="B",CU31="G"),MIN(BK31:BL31),""))</f>
        <v/>
      </c>
      <c r="EY31" s="770" t="str">
        <f>IF(AND(CU31="G", ISBLANK(BK31), ISBLANK(BL31)),VLOOKUP(MAX(BH31:BI31),#REF!,2),IF(OR(CU31="B",CU31="G"),MAX(BK31:BL31),""))</f>
        <v/>
      </c>
      <c r="EZ31" s="770" t="str">
        <f t="shared" si="96"/>
        <v/>
      </c>
      <c r="FA31" s="770" t="str">
        <f>IF(AND(DE31="G", ISBLANK(BW31), ISBLANK(BX31)),VLOOKUP(MIN(BT31:BU31),#REF!,2),IF(OR(DE31="B", DE31="G"),MIN(BW31:BX31),""))</f>
        <v/>
      </c>
      <c r="FB31" s="770" t="str">
        <f>IF(AND(DE31="G", ISBLANK(BW31), ISBLANK(BX31)),VLOOKUP(MAX(BT31:BU31),#REF!,2),IF(OR(DE31="B", DE31="G"),MAX(BW31:BX31),""))</f>
        <v/>
      </c>
      <c r="FC31" s="770" t="str">
        <f t="shared" si="97"/>
        <v/>
      </c>
      <c r="FD31" s="762">
        <f t="shared" si="124"/>
        <v>0</v>
      </c>
      <c r="FE31" s="762">
        <f t="shared" si="98"/>
        <v>0</v>
      </c>
      <c r="FF31" s="762">
        <f t="shared" si="99"/>
        <v>0</v>
      </c>
      <c r="FG31" s="762" t="str">
        <f t="shared" si="100"/>
        <v/>
      </c>
      <c r="FH31" s="763" t="str">
        <f t="shared" si="101"/>
        <v/>
      </c>
      <c r="FI31" s="762">
        <f t="shared" si="125"/>
        <v>0</v>
      </c>
      <c r="FJ31" s="762">
        <f t="shared" si="102"/>
        <v>0</v>
      </c>
      <c r="FK31" s="762">
        <f t="shared" si="103"/>
        <v>0</v>
      </c>
      <c r="FL31" s="762" t="str">
        <f t="shared" si="104"/>
        <v/>
      </c>
      <c r="FM31" s="763" t="str">
        <f t="shared" si="105"/>
        <v/>
      </c>
      <c r="FN31" s="763" t="e">
        <f t="shared" si="106"/>
        <v>#VALUE!</v>
      </c>
      <c r="FO31" s="872" t="e">
        <f t="shared" si="107"/>
        <v>#VALUE!</v>
      </c>
      <c r="FP31" s="872" t="e">
        <f t="shared" si="108"/>
        <v>#VALUE!</v>
      </c>
      <c r="FQ31" s="771" t="e">
        <f t="shared" si="109"/>
        <v>#VALUE!</v>
      </c>
      <c r="FR31" s="772" t="e">
        <f t="shared" si="110"/>
        <v>#VALUE!</v>
      </c>
      <c r="FS31" s="773" t="str">
        <f t="shared" si="111"/>
        <v/>
      </c>
      <c r="FT31" s="774" t="str">
        <f t="shared" si="112"/>
        <v/>
      </c>
      <c r="FU31" s="809">
        <f t="shared" si="113"/>
        <v>0</v>
      </c>
      <c r="FV31" s="810">
        <f t="shared" si="114"/>
        <v>0</v>
      </c>
      <c r="GA31" s="542" t="str">
        <f t="shared" si="115"/>
        <v/>
      </c>
      <c r="GB31" s="562" t="str">
        <f t="shared" si="116"/>
        <v/>
      </c>
      <c r="GC31" s="564" t="str">
        <f t="shared" si="117"/>
        <v/>
      </c>
      <c r="GD31" s="565" t="str">
        <f t="shared" si="118"/>
        <v/>
      </c>
      <c r="GE31" s="563" t="str">
        <f t="shared" si="119"/>
        <v/>
      </c>
      <c r="GF31" s="543" t="str">
        <f t="shared" si="120"/>
        <v/>
      </c>
      <c r="GG31" s="1052"/>
      <c r="GH31" s="1053"/>
      <c r="GI31" s="1052"/>
      <c r="GJ31" s="1053"/>
      <c r="GK31" s="1521">
        <f t="shared" si="121"/>
        <v>0</v>
      </c>
      <c r="GL31" s="1519" t="e">
        <f t="shared" si="122"/>
        <v>#VALUE!</v>
      </c>
      <c r="GM31" s="1520" t="e">
        <f>IF(ABS(GK31-GL31)&gt;=#REF!,ABS(GK31-GL31),0)</f>
        <v>#VALUE!</v>
      </c>
      <c r="HA31" s="1187"/>
      <c r="HB31" s="1188"/>
      <c r="HC31" s="1188"/>
      <c r="HD31" s="1189"/>
      <c r="HE31" s="1190"/>
      <c r="HF31" s="1188"/>
      <c r="HG31" s="1188"/>
      <c r="HH31" s="1188"/>
      <c r="HI31" s="1191"/>
      <c r="HJ31" s="1188"/>
      <c r="HK31" s="1188"/>
      <c r="HL31" s="1188"/>
      <c r="HM31" s="1188"/>
      <c r="HN31" s="1188"/>
      <c r="HO31" s="1188"/>
      <c r="HP31" s="1188"/>
      <c r="HQ31" s="1191"/>
      <c r="HR31" s="1188"/>
      <c r="HS31" s="1188"/>
      <c r="HT31" s="1188"/>
      <c r="HU31" s="1188"/>
      <c r="HV31" s="1188"/>
      <c r="HW31" s="1190"/>
      <c r="HX31" s="1190"/>
      <c r="HY31" s="1190"/>
      <c r="HZ31" s="1190"/>
      <c r="IA31" s="1190"/>
      <c r="IB31" s="1190"/>
      <c r="IC31" s="1190"/>
      <c r="ID31" s="1190"/>
      <c r="IE31" s="1190"/>
      <c r="IF31" s="1192"/>
    </row>
    <row r="32" spans="1:240" ht="12.6" customHeight="1" x14ac:dyDescent="0.25">
      <c r="A32" s="1132" t="str">
        <f t="shared" si="1"/>
        <v/>
      </c>
      <c r="B32" s="1586" t="str">
        <f t="shared" si="2"/>
        <v/>
      </c>
      <c r="C32" s="1133" t="str">
        <f t="shared" si="3"/>
        <v/>
      </c>
      <c r="D32" s="1134" t="str">
        <f t="shared" si="4"/>
        <v/>
      </c>
      <c r="E32" s="1135" t="str">
        <f t="shared" si="5"/>
        <v/>
      </c>
      <c r="F32" s="1143" t="str">
        <f t="shared" si="6"/>
        <v/>
      </c>
      <c r="G32" s="1138" t="str">
        <f t="shared" si="7"/>
        <v/>
      </c>
      <c r="H32" s="1645" t="str">
        <f t="shared" si="8"/>
        <v/>
      </c>
      <c r="I32" s="1134" t="str">
        <f t="shared" si="9"/>
        <v/>
      </c>
      <c r="J32" s="1138" t="str">
        <f t="shared" si="10"/>
        <v/>
      </c>
      <c r="K32" s="1657" t="str">
        <f t="shared" si="11"/>
        <v/>
      </c>
      <c r="L32" s="1141" t="str">
        <f t="shared" si="12"/>
        <v/>
      </c>
      <c r="M32" s="1142" t="str">
        <f t="shared" si="13"/>
        <v/>
      </c>
      <c r="N32" s="1137" t="str">
        <f t="shared" si="14"/>
        <v/>
      </c>
      <c r="O32" s="1138" t="str">
        <f t="shared" si="15"/>
        <v/>
      </c>
      <c r="P32" s="1139" t="str">
        <f t="shared" si="16"/>
        <v/>
      </c>
      <c r="Q32" s="1134" t="str">
        <f t="shared" si="17"/>
        <v/>
      </c>
      <c r="R32" s="1138" t="str">
        <f t="shared" si="18"/>
        <v/>
      </c>
      <c r="S32" s="1140" t="str">
        <f t="shared" si="19"/>
        <v/>
      </c>
      <c r="T32" s="1143" t="str">
        <f t="shared" si="20"/>
        <v/>
      </c>
      <c r="U32" s="1138" t="str">
        <f t="shared" si="21"/>
        <v/>
      </c>
      <c r="V32" s="1134" t="str">
        <f t="shared" si="22"/>
        <v/>
      </c>
      <c r="W32" s="1138" t="str">
        <f t="shared" si="23"/>
        <v/>
      </c>
      <c r="X32" s="1142">
        <f t="shared" si="24"/>
        <v>0</v>
      </c>
      <c r="Y32" s="1647" t="str">
        <f t="shared" si="25"/>
        <v/>
      </c>
      <c r="Z32" s="1648" t="str">
        <f t="shared" si="26"/>
        <v/>
      </c>
      <c r="AA32" s="1649" t="str">
        <f t="shared" si="27"/>
        <v/>
      </c>
      <c r="AB32" s="1288"/>
      <c r="AC32" s="898" t="b">
        <v>0</v>
      </c>
      <c r="AD32" s="374">
        <f t="shared" si="28"/>
        <v>0</v>
      </c>
      <c r="AE32" s="375">
        <f t="shared" si="29"/>
        <v>0</v>
      </c>
      <c r="AF32" s="375">
        <f t="shared" si="30"/>
        <v>0</v>
      </c>
      <c r="AG32" s="375">
        <f t="shared" si="31"/>
        <v>0</v>
      </c>
      <c r="AH32" s="376">
        <f t="shared" si="32"/>
        <v>0</v>
      </c>
      <c r="AI32" s="377" t="b">
        <v>0</v>
      </c>
      <c r="AJ32" s="143">
        <f t="shared" si="33"/>
        <v>0</v>
      </c>
      <c r="AK32" s="771" t="str">
        <f t="shared" si="34"/>
        <v/>
      </c>
      <c r="AL32" s="877" t="str">
        <f t="shared" si="35"/>
        <v/>
      </c>
      <c r="AM32" s="771" t="str">
        <f t="shared" si="36"/>
        <v/>
      </c>
      <c r="AN32" s="771" t="str">
        <f t="shared" si="37"/>
        <v/>
      </c>
      <c r="AO32" s="771" t="str">
        <f t="shared" si="38"/>
        <v/>
      </c>
      <c r="AP32" s="771" t="b">
        <f>IF(ISERROR(AJ32),FALSE,IF(OR(AJ32=0,ISERROR(AL32),ISERROR(AM32),ISERROR(AN32),ISERROR(AO32)),FALSE,IF(AL32&lt;&gt;"",IF(ISERROR(VLOOKUP(SUBSTITUTE(SUBSTITUTE(C32,"R",""),"A",""),#REF!,1,FALSE)),FALSE,TRUE),TRUE)))</f>
        <v>0</v>
      </c>
      <c r="AQ32" s="945" t="e">
        <f t="shared" si="39"/>
        <v>#N/A</v>
      </c>
      <c r="AR32" s="877" t="b">
        <f t="shared" si="40"/>
        <v>0</v>
      </c>
      <c r="AS32" s="945" t="e">
        <f t="shared" si="41"/>
        <v>#N/A</v>
      </c>
      <c r="AT32" s="877" t="b">
        <f t="shared" si="42"/>
        <v>0</v>
      </c>
      <c r="AU32" s="878" t="str">
        <f t="shared" si="43"/>
        <v/>
      </c>
      <c r="AV32" s="771" t="str">
        <f t="shared" si="44"/>
        <v/>
      </c>
      <c r="AW32" s="771" t="str">
        <f t="shared" si="45"/>
        <v/>
      </c>
      <c r="AX32" s="771" t="str">
        <f t="shared" si="123"/>
        <v/>
      </c>
      <c r="AY32" s="946" t="e">
        <f t="shared" si="46"/>
        <v>#REF!</v>
      </c>
      <c r="AZ32" s="795" t="str">
        <f t="shared" si="47"/>
        <v/>
      </c>
      <c r="BA32" s="496"/>
      <c r="BB32" s="616"/>
      <c r="BC32" s="1567"/>
      <c r="BD32" s="682"/>
      <c r="BE32" s="683"/>
      <c r="BF32" s="684"/>
      <c r="BG32" s="660"/>
      <c r="BH32" s="901"/>
      <c r="BI32" s="902"/>
      <c r="BJ32" s="1508"/>
      <c r="BK32" s="661"/>
      <c r="BL32" s="662"/>
      <c r="BM32" s="663"/>
      <c r="BN32" s="664"/>
      <c r="BO32" s="616" t="str">
        <f>IF(ISERROR(CU32),"",IF(CU32="","",IF(VLOOKUP(BG32,#REF!,10,FALSE)="","","X")))</f>
        <v/>
      </c>
      <c r="BP32" s="687"/>
      <c r="BQ32" s="1430" t="str">
        <f t="shared" si="48"/>
        <v/>
      </c>
      <c r="BR32" s="839"/>
      <c r="BS32" s="660"/>
      <c r="BT32" s="661"/>
      <c r="BU32" s="662"/>
      <c r="BV32" s="1508"/>
      <c r="BW32" s="661"/>
      <c r="BX32" s="662"/>
      <c r="BY32" s="663"/>
      <c r="BZ32" s="664"/>
      <c r="CA32" s="625" t="str">
        <f>IF(ISERROR(DE32),"",IF(DE32="","",IF(VLOOKUP(BS32,#REF!,10,FALSE)="","","X")))</f>
        <v/>
      </c>
      <c r="CB32" s="687"/>
      <c r="CC32" s="1430" t="str">
        <f t="shared" si="49"/>
        <v/>
      </c>
      <c r="CD32" s="839"/>
      <c r="CE32" s="665"/>
      <c r="CF32" s="685"/>
      <c r="CG32" s="686"/>
      <c r="CH32" s="534" t="str">
        <f t="shared" si="50"/>
        <v/>
      </c>
      <c r="CI32" s="535" t="str">
        <f t="shared" si="51"/>
        <v/>
      </c>
      <c r="CJ32" s="536" t="str">
        <f t="shared" si="52"/>
        <v/>
      </c>
      <c r="CK32" s="537" t="str">
        <f t="shared" si="53"/>
        <v/>
      </c>
      <c r="CL32" s="538" t="str">
        <f t="shared" si="54"/>
        <v/>
      </c>
      <c r="CM32" s="539" t="str">
        <f t="shared" si="55"/>
        <v/>
      </c>
      <c r="CN32" s="540" t="str">
        <f t="shared" si="56"/>
        <v/>
      </c>
      <c r="CO32" s="541" t="str">
        <f t="shared" si="57"/>
        <v/>
      </c>
      <c r="CP32" s="558" t="str">
        <f t="shared" si="58"/>
        <v/>
      </c>
      <c r="CQ32" s="559" t="str">
        <f t="shared" si="59"/>
        <v/>
      </c>
      <c r="CR32" s="699" t="str">
        <f t="shared" si="60"/>
        <v/>
      </c>
      <c r="CS32" s="700" t="str">
        <f t="shared" si="61"/>
        <v/>
      </c>
      <c r="CU32" s="758" t="str">
        <f>IF(BG32="","",VLOOKUP(BG32,#REF!,12,FALSE))</f>
        <v/>
      </c>
      <c r="CV32" s="756" t="str">
        <f>IF(BG32="","",IF(ISBLANK(BP32),VLOOKUP(BG32,#REF!,13,FALSE),BP32))</f>
        <v/>
      </c>
      <c r="CW32" s="756" t="str">
        <f>IF(BG32="","",IF(VLOOKUP(BG32,#REF!,5,FALSE)="","R",UPPER(VLOOKUP(BG32,#REF!,5,FALSE))))</f>
        <v/>
      </c>
      <c r="CX32" s="756" t="str">
        <f>IF(BG32="","",IF(ISBLANK(BR32),VLOOKUP(BG32,#REF!,6,FALSE),BR32))</f>
        <v/>
      </c>
      <c r="CY32" s="1203" t="str">
        <f>IF(BG32="","",IF(VLOOKUP(BG32,#REF!,10,FALSE)="","",(IF(BO32="X",VLOOKUP(BG32,#REF!,10,FALSE),VALUE(BO32))*-1)))</f>
        <v/>
      </c>
      <c r="CZ32" s="1042" t="str">
        <f>IF(BG32="","",IF(VLOOKUP(BG32,#REF!,11,FALSE)="","2",(VLOOKUP(BG32,#REF!,11,FALSE))))</f>
        <v/>
      </c>
      <c r="DA32" s="756" t="str">
        <f>IF(BG32="","",IF(VLOOKUP(BG32,#REF!,7,FALSE)="","",(VLOOKUP(BG32,#REF!,7,FALSE)*-1)))</f>
        <v/>
      </c>
      <c r="DB32" s="756" t="str">
        <f>IF(BG32="","",IF(VLOOKUP(BG32,#REF!,8,FALSE)="",VLOOKUP(AU32,$DF$2:$DN$9,6,FALSE),(VLOOKUP(BG32,#REF!,8,FALSE))))</f>
        <v/>
      </c>
      <c r="DC32" s="756" t="str">
        <f>IF(BG32="","",VLOOKUP(BG32,#REF!,9,FALSE))</f>
        <v/>
      </c>
      <c r="DD32" s="757">
        <f t="shared" si="62"/>
        <v>0</v>
      </c>
      <c r="DE32" s="758" t="str">
        <f>IF(BS32="","",VLOOKUP(BS32,#REF!,12,FALSE))</f>
        <v/>
      </c>
      <c r="DF32" s="756" t="str">
        <f>IF(BS32="","",IF(ISBLANK(CB32),VLOOKUP(BS32,#REF!,13,FALSE),CB32))</f>
        <v/>
      </c>
      <c r="DG32" s="756" t="str">
        <f>IF(BS32="","",IF(VLOOKUP(BS32,#REF!,5,FALSE)="","R",UPPER(VLOOKUP(BS32,#REF!,5,FALSE))))</f>
        <v/>
      </c>
      <c r="DH32" s="756" t="str">
        <f>IF(BS32="","",IF(ISBLANK(CD32),VLOOKUP(BS32,#REF!,6,FALSE),CD32))</f>
        <v/>
      </c>
      <c r="DI32" s="1203" t="str">
        <f>IF(BS32="","",IF(VLOOKUP(BS32,#REF!,10,FALSE)="","",(IF(CA32="X",VLOOKUP(BS32,#REF!,10,FALSE),VALUE(CA32))*-1)))</f>
        <v/>
      </c>
      <c r="DJ32" s="1042" t="str">
        <f>IF(BS32="","",IF(VLOOKUP(BS32,#REF!,11,FALSE)="","2",(VLOOKUP(BS32,#REF!,11,FALSE))))</f>
        <v/>
      </c>
      <c r="DK32" s="756" t="str">
        <f>IF(BS32="","",IF(VLOOKUP(BS32,#REF!,7,FALSE)="","",(VLOOKUP(BS32,#REF!,7,FALSE)*-1)))</f>
        <v/>
      </c>
      <c r="DL32" s="756" t="str">
        <f>IF(BS32="","",IF(VLOOKUP(BS32,#REF!,8,FALSE)="",VLOOKUP(AU32,$DF$2:$DN$9,6,FALSE),(VLOOKUP(BS32,#REF!,8,FALSE))))</f>
        <v/>
      </c>
      <c r="DM32" s="756" t="str">
        <f>IF(BS32="","",VLOOKUP(BS32,#REF!,9,FALSE))</f>
        <v/>
      </c>
      <c r="DN32" s="757">
        <f t="shared" si="63"/>
        <v>0</v>
      </c>
      <c r="DO32" s="759">
        <f t="shared" si="64"/>
        <v>0</v>
      </c>
      <c r="DP32" s="763" t="str">
        <f t="shared" si="65"/>
        <v/>
      </c>
      <c r="DQ32" s="763" t="str">
        <f t="shared" si="66"/>
        <v/>
      </c>
      <c r="DR32" s="763" t="str">
        <f t="shared" si="67"/>
        <v/>
      </c>
      <c r="DS32" s="762">
        <f t="shared" si="68"/>
        <v>0</v>
      </c>
      <c r="DT32" s="762" t="e">
        <f t="shared" si="69"/>
        <v>#REF!</v>
      </c>
      <c r="DU32" s="762" t="str">
        <f t="shared" si="70"/>
        <v/>
      </c>
      <c r="DV32" s="763" t="str">
        <f t="shared" si="71"/>
        <v/>
      </c>
      <c r="DW32" s="795" t="str">
        <f t="shared" si="72"/>
        <v/>
      </c>
      <c r="DX32" s="926">
        <f t="shared" si="73"/>
        <v>0</v>
      </c>
      <c r="DY32" s="763">
        <f t="shared" si="74"/>
        <v>0</v>
      </c>
      <c r="DZ32" s="762" t="e">
        <f t="shared" si="75"/>
        <v>#REF!</v>
      </c>
      <c r="EA32" s="762" t="str">
        <f t="shared" si="76"/>
        <v/>
      </c>
      <c r="EB32" s="763" t="str">
        <f t="shared" si="77"/>
        <v/>
      </c>
      <c r="EC32" s="795" t="str">
        <f t="shared" si="78"/>
        <v/>
      </c>
      <c r="ED32" s="926">
        <f t="shared" si="79"/>
        <v>0</v>
      </c>
      <c r="EE32" s="1210" t="str">
        <f t="shared" si="80"/>
        <v/>
      </c>
      <c r="EF32" s="1210" t="str">
        <f t="shared" si="81"/>
        <v/>
      </c>
      <c r="EG32" s="1210" t="str">
        <f t="shared" si="82"/>
        <v/>
      </c>
      <c r="EH32" s="795" t="e">
        <f t="shared" si="83"/>
        <v>#N/A</v>
      </c>
      <c r="EI32" s="795" t="e">
        <f t="shared" si="84"/>
        <v>#N/A</v>
      </c>
      <c r="EJ32" s="763" t="str">
        <f t="shared" si="85"/>
        <v/>
      </c>
      <c r="EK32" s="763" t="str">
        <f t="shared" si="85"/>
        <v/>
      </c>
      <c r="EL32" s="1210" t="str">
        <f t="shared" si="86"/>
        <v/>
      </c>
      <c r="EM32" s="763" t="str">
        <f t="shared" si="87"/>
        <v/>
      </c>
      <c r="EN32" s="763" t="str">
        <f t="shared" si="88"/>
        <v/>
      </c>
      <c r="EO32" s="795" t="e">
        <f t="shared" si="89"/>
        <v>#N/A</v>
      </c>
      <c r="EP32" s="795" t="e">
        <f t="shared" si="90"/>
        <v>#N/A</v>
      </c>
      <c r="EQ32" s="1210" t="str">
        <f t="shared" si="91"/>
        <v/>
      </c>
      <c r="ER32" s="763" t="str">
        <f t="shared" si="91"/>
        <v/>
      </c>
      <c r="ES32" s="763" t="str">
        <f t="shared" si="92"/>
        <v/>
      </c>
      <c r="ET32" s="763" t="str">
        <f t="shared" si="93"/>
        <v/>
      </c>
      <c r="EU32" s="770" t="str">
        <f t="shared" si="94"/>
        <v/>
      </c>
      <c r="EV32" s="765" t="str">
        <f t="shared" si="95"/>
        <v/>
      </c>
      <c r="EW32" s="770"/>
      <c r="EX32" s="770" t="str">
        <f>IF(AND(CU32="G", ISBLANK(BK32), ISBLANK(BL32)),VLOOKUP(MIN(BH32:BI32),#REF!,2),IF(OR(CU32="B",CU32="G"),MIN(BK32:BL32),""))</f>
        <v/>
      </c>
      <c r="EY32" s="770" t="str">
        <f>IF(AND(CU32="G", ISBLANK(BK32), ISBLANK(BL32)),VLOOKUP(MAX(BH32:BI32),#REF!,2),IF(OR(CU32="B",CU32="G"),MAX(BK32:BL32),""))</f>
        <v/>
      </c>
      <c r="EZ32" s="770" t="str">
        <f t="shared" si="96"/>
        <v/>
      </c>
      <c r="FA32" s="770" t="str">
        <f>IF(AND(DE32="G", ISBLANK(BW32), ISBLANK(BX32)),VLOOKUP(MIN(BT32:BU32),#REF!,2),IF(OR(DE32="B", DE32="G"),MIN(BW32:BX32),""))</f>
        <v/>
      </c>
      <c r="FB32" s="770" t="str">
        <f>IF(AND(DE32="G", ISBLANK(BW32), ISBLANK(BX32)),VLOOKUP(MAX(BT32:BU32),#REF!,2),IF(OR(DE32="B", DE32="G"),MAX(BW32:BX32),""))</f>
        <v/>
      </c>
      <c r="FC32" s="770" t="str">
        <f t="shared" si="97"/>
        <v/>
      </c>
      <c r="FD32" s="762">
        <f t="shared" si="124"/>
        <v>0</v>
      </c>
      <c r="FE32" s="762">
        <f t="shared" si="98"/>
        <v>0</v>
      </c>
      <c r="FF32" s="762">
        <f t="shared" si="99"/>
        <v>0</v>
      </c>
      <c r="FG32" s="762" t="str">
        <f t="shared" si="100"/>
        <v/>
      </c>
      <c r="FH32" s="763" t="str">
        <f t="shared" si="101"/>
        <v/>
      </c>
      <c r="FI32" s="762">
        <f t="shared" si="125"/>
        <v>0</v>
      </c>
      <c r="FJ32" s="762">
        <f t="shared" si="102"/>
        <v>0</v>
      </c>
      <c r="FK32" s="762">
        <f t="shared" si="103"/>
        <v>0</v>
      </c>
      <c r="FL32" s="762" t="str">
        <f t="shared" si="104"/>
        <v/>
      </c>
      <c r="FM32" s="763" t="str">
        <f t="shared" si="105"/>
        <v/>
      </c>
      <c r="FN32" s="763" t="e">
        <f t="shared" si="106"/>
        <v>#VALUE!</v>
      </c>
      <c r="FO32" s="872" t="e">
        <f t="shared" si="107"/>
        <v>#VALUE!</v>
      </c>
      <c r="FP32" s="872" t="e">
        <f t="shared" si="108"/>
        <v>#VALUE!</v>
      </c>
      <c r="FQ32" s="771" t="e">
        <f t="shared" si="109"/>
        <v>#VALUE!</v>
      </c>
      <c r="FR32" s="772" t="e">
        <f t="shared" si="110"/>
        <v>#VALUE!</v>
      </c>
      <c r="FS32" s="773" t="str">
        <f t="shared" si="111"/>
        <v/>
      </c>
      <c r="FT32" s="774" t="str">
        <f t="shared" si="112"/>
        <v/>
      </c>
      <c r="FU32" s="809">
        <f t="shared" si="113"/>
        <v>0</v>
      </c>
      <c r="FV32" s="810">
        <f t="shared" si="114"/>
        <v>0</v>
      </c>
      <c r="GA32" s="542" t="str">
        <f t="shared" si="115"/>
        <v/>
      </c>
      <c r="GB32" s="562" t="str">
        <f t="shared" si="116"/>
        <v/>
      </c>
      <c r="GC32" s="564" t="str">
        <f t="shared" si="117"/>
        <v/>
      </c>
      <c r="GD32" s="565" t="str">
        <f t="shared" si="118"/>
        <v/>
      </c>
      <c r="GE32" s="563" t="str">
        <f t="shared" si="119"/>
        <v/>
      </c>
      <c r="GF32" s="543" t="str">
        <f t="shared" si="120"/>
        <v/>
      </c>
      <c r="GG32" s="1052"/>
      <c r="GH32" s="1053"/>
      <c r="GI32" s="1052"/>
      <c r="GJ32" s="1053"/>
      <c r="GK32" s="1521">
        <f t="shared" si="121"/>
        <v>0</v>
      </c>
      <c r="GL32" s="1519" t="e">
        <f t="shared" si="122"/>
        <v>#VALUE!</v>
      </c>
      <c r="GM32" s="1520" t="e">
        <f>IF(ABS(GK32-GL32)&gt;=#REF!,ABS(GK32-GL32),0)</f>
        <v>#VALUE!</v>
      </c>
      <c r="HA32" s="1187"/>
      <c r="HB32" s="1188"/>
      <c r="HC32" s="1188"/>
      <c r="HD32" s="1189"/>
      <c r="HE32" s="1190"/>
      <c r="HF32" s="1188"/>
      <c r="HG32" s="1188"/>
      <c r="HH32" s="1188"/>
      <c r="HI32" s="1191"/>
      <c r="HJ32" s="1188"/>
      <c r="HK32" s="1188"/>
      <c r="HL32" s="1188"/>
      <c r="HM32" s="1188"/>
      <c r="HN32" s="1188"/>
      <c r="HO32" s="1188"/>
      <c r="HP32" s="1188"/>
      <c r="HQ32" s="1191"/>
      <c r="HR32" s="1188"/>
      <c r="HS32" s="1188"/>
      <c r="HT32" s="1188"/>
      <c r="HU32" s="1188"/>
      <c r="HV32" s="1188"/>
      <c r="HW32" s="1190"/>
      <c r="HX32" s="1190"/>
      <c r="HY32" s="1190"/>
      <c r="HZ32" s="1190"/>
      <c r="IA32" s="1190"/>
      <c r="IB32" s="1190"/>
      <c r="IC32" s="1190"/>
      <c r="ID32" s="1190"/>
      <c r="IE32" s="1190"/>
      <c r="IF32" s="1192"/>
    </row>
    <row r="33" spans="1:240" ht="12.6" customHeight="1" x14ac:dyDescent="0.25">
      <c r="A33" s="1132" t="str">
        <f t="shared" si="1"/>
        <v/>
      </c>
      <c r="B33" s="1586" t="str">
        <f t="shared" si="2"/>
        <v/>
      </c>
      <c r="C33" s="1133" t="str">
        <f t="shared" si="3"/>
        <v/>
      </c>
      <c r="D33" s="1134" t="str">
        <f t="shared" si="4"/>
        <v/>
      </c>
      <c r="E33" s="1135" t="str">
        <f t="shared" si="5"/>
        <v/>
      </c>
      <c r="F33" s="1143" t="str">
        <f t="shared" si="6"/>
        <v/>
      </c>
      <c r="G33" s="1138" t="str">
        <f t="shared" si="7"/>
        <v/>
      </c>
      <c r="H33" s="1645" t="str">
        <f t="shared" si="8"/>
        <v/>
      </c>
      <c r="I33" s="1134" t="str">
        <f t="shared" si="9"/>
        <v/>
      </c>
      <c r="J33" s="1138" t="str">
        <f t="shared" si="10"/>
        <v/>
      </c>
      <c r="K33" s="1657" t="str">
        <f t="shared" si="11"/>
        <v/>
      </c>
      <c r="L33" s="1141" t="str">
        <f t="shared" si="12"/>
        <v/>
      </c>
      <c r="M33" s="1142" t="str">
        <f t="shared" si="13"/>
        <v/>
      </c>
      <c r="N33" s="1137" t="str">
        <f t="shared" si="14"/>
        <v/>
      </c>
      <c r="O33" s="1138" t="str">
        <f t="shared" si="15"/>
        <v/>
      </c>
      <c r="P33" s="1139" t="str">
        <f t="shared" si="16"/>
        <v/>
      </c>
      <c r="Q33" s="1134" t="str">
        <f t="shared" si="17"/>
        <v/>
      </c>
      <c r="R33" s="1138" t="str">
        <f t="shared" si="18"/>
        <v/>
      </c>
      <c r="S33" s="1140" t="str">
        <f t="shared" si="19"/>
        <v/>
      </c>
      <c r="T33" s="1143" t="str">
        <f t="shared" si="20"/>
        <v/>
      </c>
      <c r="U33" s="1138" t="str">
        <f t="shared" si="21"/>
        <v/>
      </c>
      <c r="V33" s="1134" t="str">
        <f t="shared" si="22"/>
        <v/>
      </c>
      <c r="W33" s="1138" t="str">
        <f t="shared" si="23"/>
        <v/>
      </c>
      <c r="X33" s="1142">
        <f t="shared" si="24"/>
        <v>0</v>
      </c>
      <c r="Y33" s="1647" t="str">
        <f t="shared" si="25"/>
        <v/>
      </c>
      <c r="Z33" s="1648" t="str">
        <f t="shared" si="26"/>
        <v/>
      </c>
      <c r="AA33" s="1649" t="str">
        <f t="shared" si="27"/>
        <v/>
      </c>
      <c r="AB33" s="1288"/>
      <c r="AC33" s="898" t="b">
        <v>0</v>
      </c>
      <c r="AD33" s="374">
        <f t="shared" si="28"/>
        <v>0</v>
      </c>
      <c r="AE33" s="375">
        <f t="shared" si="29"/>
        <v>0</v>
      </c>
      <c r="AF33" s="375">
        <f t="shared" si="30"/>
        <v>0</v>
      </c>
      <c r="AG33" s="375">
        <f t="shared" si="31"/>
        <v>0</v>
      </c>
      <c r="AH33" s="376">
        <f t="shared" si="32"/>
        <v>0</v>
      </c>
      <c r="AI33" s="377" t="b">
        <v>0</v>
      </c>
      <c r="AJ33" s="143">
        <f t="shared" si="33"/>
        <v>0</v>
      </c>
      <c r="AK33" s="771" t="str">
        <f t="shared" si="34"/>
        <v/>
      </c>
      <c r="AL33" s="877" t="str">
        <f t="shared" si="35"/>
        <v/>
      </c>
      <c r="AM33" s="771" t="str">
        <f t="shared" si="36"/>
        <v/>
      </c>
      <c r="AN33" s="771" t="str">
        <f t="shared" si="37"/>
        <v/>
      </c>
      <c r="AO33" s="771" t="str">
        <f t="shared" si="38"/>
        <v/>
      </c>
      <c r="AP33" s="771" t="b">
        <f>IF(ISERROR(AJ33),FALSE,IF(OR(AJ33=0,ISERROR(AL33),ISERROR(AM33),ISERROR(AN33),ISERROR(AO33)),FALSE,IF(AL33&lt;&gt;"",IF(ISERROR(VLOOKUP(SUBSTITUTE(SUBSTITUTE(C33,"R",""),"A",""),#REF!,1,FALSE)),FALSE,TRUE),TRUE)))</f>
        <v>0</v>
      </c>
      <c r="AQ33" s="945" t="e">
        <f t="shared" si="39"/>
        <v>#N/A</v>
      </c>
      <c r="AR33" s="877" t="b">
        <f t="shared" si="40"/>
        <v>0</v>
      </c>
      <c r="AS33" s="945" t="e">
        <f t="shared" si="41"/>
        <v>#N/A</v>
      </c>
      <c r="AT33" s="877" t="b">
        <f t="shared" si="42"/>
        <v>0</v>
      </c>
      <c r="AU33" s="878" t="str">
        <f t="shared" si="43"/>
        <v/>
      </c>
      <c r="AV33" s="771" t="str">
        <f t="shared" si="44"/>
        <v/>
      </c>
      <c r="AW33" s="771" t="str">
        <f t="shared" si="45"/>
        <v/>
      </c>
      <c r="AX33" s="771" t="str">
        <f t="shared" si="123"/>
        <v/>
      </c>
      <c r="AY33" s="946" t="e">
        <f t="shared" si="46"/>
        <v>#REF!</v>
      </c>
      <c r="AZ33" s="795" t="str">
        <f t="shared" si="47"/>
        <v/>
      </c>
      <c r="BA33" s="496"/>
      <c r="BB33" s="616"/>
      <c r="BC33" s="1567"/>
      <c r="BD33" s="682"/>
      <c r="BE33" s="683"/>
      <c r="BF33" s="684"/>
      <c r="BG33" s="660"/>
      <c r="BH33" s="901"/>
      <c r="BI33" s="902"/>
      <c r="BJ33" s="1508"/>
      <c r="BK33" s="661"/>
      <c r="BL33" s="662"/>
      <c r="BM33" s="663"/>
      <c r="BN33" s="664"/>
      <c r="BO33" s="616" t="str">
        <f>IF(ISERROR(CU33),"",IF(CU33="","",IF(VLOOKUP(BG33,#REF!,10,FALSE)="","","X")))</f>
        <v/>
      </c>
      <c r="BP33" s="687"/>
      <c r="BQ33" s="1430" t="str">
        <f t="shared" si="48"/>
        <v/>
      </c>
      <c r="BR33" s="839"/>
      <c r="BS33" s="660"/>
      <c r="BT33" s="661"/>
      <c r="BU33" s="662"/>
      <c r="BV33" s="1508"/>
      <c r="BW33" s="661"/>
      <c r="BX33" s="662"/>
      <c r="BY33" s="663"/>
      <c r="BZ33" s="664"/>
      <c r="CA33" s="625" t="str">
        <f>IF(ISERROR(DE33),"",IF(DE33="","",IF(VLOOKUP(BS33,#REF!,10,FALSE)="","","X")))</f>
        <v/>
      </c>
      <c r="CB33" s="687"/>
      <c r="CC33" s="1430" t="str">
        <f t="shared" si="49"/>
        <v/>
      </c>
      <c r="CD33" s="839"/>
      <c r="CE33" s="665"/>
      <c r="CF33" s="685"/>
      <c r="CG33" s="686"/>
      <c r="CH33" s="534" t="str">
        <f t="shared" si="50"/>
        <v/>
      </c>
      <c r="CI33" s="535" t="str">
        <f t="shared" si="51"/>
        <v/>
      </c>
      <c r="CJ33" s="536" t="str">
        <f t="shared" si="52"/>
        <v/>
      </c>
      <c r="CK33" s="537" t="str">
        <f t="shared" si="53"/>
        <v/>
      </c>
      <c r="CL33" s="538" t="str">
        <f t="shared" si="54"/>
        <v/>
      </c>
      <c r="CM33" s="539" t="str">
        <f t="shared" si="55"/>
        <v/>
      </c>
      <c r="CN33" s="540" t="str">
        <f t="shared" si="56"/>
        <v/>
      </c>
      <c r="CO33" s="541" t="str">
        <f t="shared" si="57"/>
        <v/>
      </c>
      <c r="CP33" s="558" t="str">
        <f t="shared" si="58"/>
        <v/>
      </c>
      <c r="CQ33" s="559" t="str">
        <f t="shared" si="59"/>
        <v/>
      </c>
      <c r="CR33" s="699" t="str">
        <f t="shared" si="60"/>
        <v/>
      </c>
      <c r="CS33" s="700" t="str">
        <f t="shared" si="61"/>
        <v/>
      </c>
      <c r="CU33" s="758" t="str">
        <f>IF(BG33="","",VLOOKUP(BG33,#REF!,12,FALSE))</f>
        <v/>
      </c>
      <c r="CV33" s="756" t="str">
        <f>IF(BG33="","",IF(ISBLANK(BP33),VLOOKUP(BG33,#REF!,13,FALSE),BP33))</f>
        <v/>
      </c>
      <c r="CW33" s="756" t="str">
        <f>IF(BG33="","",IF(VLOOKUP(BG33,#REF!,5,FALSE)="","R",UPPER(VLOOKUP(BG33,#REF!,5,FALSE))))</f>
        <v/>
      </c>
      <c r="CX33" s="756" t="str">
        <f>IF(BG33="","",IF(ISBLANK(BR33),VLOOKUP(BG33,#REF!,6,FALSE),BR33))</f>
        <v/>
      </c>
      <c r="CY33" s="1203" t="str">
        <f>IF(BG33="","",IF(VLOOKUP(BG33,#REF!,10,FALSE)="","",(IF(BO33="X",VLOOKUP(BG33,#REF!,10,FALSE),VALUE(BO33))*-1)))</f>
        <v/>
      </c>
      <c r="CZ33" s="1042" t="str">
        <f>IF(BG33="","",IF(VLOOKUP(BG33,#REF!,11,FALSE)="","2",(VLOOKUP(BG33,#REF!,11,FALSE))))</f>
        <v/>
      </c>
      <c r="DA33" s="756" t="str">
        <f>IF(BG33="","",IF(VLOOKUP(BG33,#REF!,7,FALSE)="","",(VLOOKUP(BG33,#REF!,7,FALSE)*-1)))</f>
        <v/>
      </c>
      <c r="DB33" s="756" t="str">
        <f>IF(BG33="","",IF(VLOOKUP(BG33,#REF!,8,FALSE)="",VLOOKUP(AU33,$DF$2:$DN$9,6,FALSE),(VLOOKUP(BG33,#REF!,8,FALSE))))</f>
        <v/>
      </c>
      <c r="DC33" s="756" t="str">
        <f>IF(BG33="","",VLOOKUP(BG33,#REF!,9,FALSE))</f>
        <v/>
      </c>
      <c r="DD33" s="757">
        <f t="shared" si="62"/>
        <v>0</v>
      </c>
      <c r="DE33" s="758" t="str">
        <f>IF(BS33="","",VLOOKUP(BS33,#REF!,12,FALSE))</f>
        <v/>
      </c>
      <c r="DF33" s="756" t="str">
        <f>IF(BS33="","",IF(ISBLANK(CB33),VLOOKUP(BS33,#REF!,13,FALSE),CB33))</f>
        <v/>
      </c>
      <c r="DG33" s="756" t="str">
        <f>IF(BS33="","",IF(VLOOKUP(BS33,#REF!,5,FALSE)="","R",UPPER(VLOOKUP(BS33,#REF!,5,FALSE))))</f>
        <v/>
      </c>
      <c r="DH33" s="756" t="str">
        <f>IF(BS33="","",IF(ISBLANK(CD33),VLOOKUP(BS33,#REF!,6,FALSE),CD33))</f>
        <v/>
      </c>
      <c r="DI33" s="1203" t="str">
        <f>IF(BS33="","",IF(VLOOKUP(BS33,#REF!,10,FALSE)="","",(IF(CA33="X",VLOOKUP(BS33,#REF!,10,FALSE),VALUE(CA33))*-1)))</f>
        <v/>
      </c>
      <c r="DJ33" s="1042" t="str">
        <f>IF(BS33="","",IF(VLOOKUP(BS33,#REF!,11,FALSE)="","2",(VLOOKUP(BS33,#REF!,11,FALSE))))</f>
        <v/>
      </c>
      <c r="DK33" s="756" t="str">
        <f>IF(BS33="","",IF(VLOOKUP(BS33,#REF!,7,FALSE)="","",(VLOOKUP(BS33,#REF!,7,FALSE)*-1)))</f>
        <v/>
      </c>
      <c r="DL33" s="756" t="str">
        <f>IF(BS33="","",IF(VLOOKUP(BS33,#REF!,8,FALSE)="",VLOOKUP(AU33,$DF$2:$DN$9,6,FALSE),(VLOOKUP(BS33,#REF!,8,FALSE))))</f>
        <v/>
      </c>
      <c r="DM33" s="756" t="str">
        <f>IF(BS33="","",VLOOKUP(BS33,#REF!,9,FALSE))</f>
        <v/>
      </c>
      <c r="DN33" s="757">
        <f t="shared" si="63"/>
        <v>0</v>
      </c>
      <c r="DO33" s="759">
        <f t="shared" si="64"/>
        <v>0</v>
      </c>
      <c r="DP33" s="763" t="str">
        <f t="shared" si="65"/>
        <v/>
      </c>
      <c r="DQ33" s="763" t="str">
        <f t="shared" si="66"/>
        <v/>
      </c>
      <c r="DR33" s="763" t="str">
        <f t="shared" si="67"/>
        <v/>
      </c>
      <c r="DS33" s="762">
        <f t="shared" si="68"/>
        <v>0</v>
      </c>
      <c r="DT33" s="762" t="e">
        <f t="shared" si="69"/>
        <v>#REF!</v>
      </c>
      <c r="DU33" s="762" t="str">
        <f t="shared" si="70"/>
        <v/>
      </c>
      <c r="DV33" s="763" t="str">
        <f t="shared" si="71"/>
        <v/>
      </c>
      <c r="DW33" s="795" t="str">
        <f t="shared" si="72"/>
        <v/>
      </c>
      <c r="DX33" s="926">
        <f t="shared" si="73"/>
        <v>0</v>
      </c>
      <c r="DY33" s="763">
        <f t="shared" si="74"/>
        <v>0</v>
      </c>
      <c r="DZ33" s="762" t="e">
        <f t="shared" si="75"/>
        <v>#REF!</v>
      </c>
      <c r="EA33" s="762" t="str">
        <f t="shared" si="76"/>
        <v/>
      </c>
      <c r="EB33" s="763" t="str">
        <f t="shared" si="77"/>
        <v/>
      </c>
      <c r="EC33" s="795" t="str">
        <f t="shared" si="78"/>
        <v/>
      </c>
      <c r="ED33" s="926">
        <f t="shared" si="79"/>
        <v>0</v>
      </c>
      <c r="EE33" s="1210" t="str">
        <f t="shared" si="80"/>
        <v/>
      </c>
      <c r="EF33" s="1210" t="str">
        <f t="shared" si="81"/>
        <v/>
      </c>
      <c r="EG33" s="1210" t="str">
        <f t="shared" si="82"/>
        <v/>
      </c>
      <c r="EH33" s="795" t="e">
        <f t="shared" si="83"/>
        <v>#N/A</v>
      </c>
      <c r="EI33" s="795" t="e">
        <f t="shared" si="84"/>
        <v>#N/A</v>
      </c>
      <c r="EJ33" s="763" t="str">
        <f t="shared" si="85"/>
        <v/>
      </c>
      <c r="EK33" s="763" t="str">
        <f t="shared" si="85"/>
        <v/>
      </c>
      <c r="EL33" s="1210" t="str">
        <f t="shared" si="86"/>
        <v/>
      </c>
      <c r="EM33" s="763" t="str">
        <f t="shared" si="87"/>
        <v/>
      </c>
      <c r="EN33" s="763" t="str">
        <f t="shared" si="88"/>
        <v/>
      </c>
      <c r="EO33" s="795" t="e">
        <f t="shared" si="89"/>
        <v>#N/A</v>
      </c>
      <c r="EP33" s="795" t="e">
        <f t="shared" si="90"/>
        <v>#N/A</v>
      </c>
      <c r="EQ33" s="1210" t="str">
        <f t="shared" si="91"/>
        <v/>
      </c>
      <c r="ER33" s="763" t="str">
        <f t="shared" si="91"/>
        <v/>
      </c>
      <c r="ES33" s="763" t="str">
        <f t="shared" si="92"/>
        <v/>
      </c>
      <c r="ET33" s="763" t="str">
        <f t="shared" si="93"/>
        <v/>
      </c>
      <c r="EU33" s="770" t="str">
        <f t="shared" si="94"/>
        <v/>
      </c>
      <c r="EV33" s="765" t="str">
        <f t="shared" si="95"/>
        <v/>
      </c>
      <c r="EW33" s="770"/>
      <c r="EX33" s="770" t="str">
        <f>IF(AND(CU33="G", ISBLANK(BK33), ISBLANK(BL33)),VLOOKUP(MIN(BH33:BI33),#REF!,2),IF(OR(CU33="B",CU33="G"),MIN(BK33:BL33),""))</f>
        <v/>
      </c>
      <c r="EY33" s="770" t="str">
        <f>IF(AND(CU33="G", ISBLANK(BK33), ISBLANK(BL33)),VLOOKUP(MAX(BH33:BI33),#REF!,2),IF(OR(CU33="B",CU33="G"),MAX(BK33:BL33),""))</f>
        <v/>
      </c>
      <c r="EZ33" s="770" t="str">
        <f t="shared" si="96"/>
        <v/>
      </c>
      <c r="FA33" s="770" t="str">
        <f>IF(AND(DE33="G", ISBLANK(BW33), ISBLANK(BX33)),VLOOKUP(MIN(BT33:BU33),#REF!,2),IF(OR(DE33="B", DE33="G"),MIN(BW33:BX33),""))</f>
        <v/>
      </c>
      <c r="FB33" s="770" t="str">
        <f>IF(AND(DE33="G", ISBLANK(BW33), ISBLANK(BX33)),VLOOKUP(MAX(BT33:BU33),#REF!,2),IF(OR(DE33="B", DE33="G"),MAX(BW33:BX33),""))</f>
        <v/>
      </c>
      <c r="FC33" s="770" t="str">
        <f t="shared" si="97"/>
        <v/>
      </c>
      <c r="FD33" s="762">
        <f t="shared" si="124"/>
        <v>0</v>
      </c>
      <c r="FE33" s="762">
        <f t="shared" si="98"/>
        <v>0</v>
      </c>
      <c r="FF33" s="762">
        <f t="shared" si="99"/>
        <v>0</v>
      </c>
      <c r="FG33" s="762" t="str">
        <f t="shared" si="100"/>
        <v/>
      </c>
      <c r="FH33" s="763" t="str">
        <f t="shared" si="101"/>
        <v/>
      </c>
      <c r="FI33" s="762">
        <f t="shared" si="125"/>
        <v>0</v>
      </c>
      <c r="FJ33" s="762">
        <f t="shared" si="102"/>
        <v>0</v>
      </c>
      <c r="FK33" s="762">
        <f t="shared" si="103"/>
        <v>0</v>
      </c>
      <c r="FL33" s="762" t="str">
        <f t="shared" si="104"/>
        <v/>
      </c>
      <c r="FM33" s="763" t="str">
        <f t="shared" si="105"/>
        <v/>
      </c>
      <c r="FN33" s="763" t="e">
        <f t="shared" si="106"/>
        <v>#VALUE!</v>
      </c>
      <c r="FO33" s="872" t="e">
        <f t="shared" si="107"/>
        <v>#VALUE!</v>
      </c>
      <c r="FP33" s="872" t="e">
        <f t="shared" si="108"/>
        <v>#VALUE!</v>
      </c>
      <c r="FQ33" s="771" t="e">
        <f t="shared" si="109"/>
        <v>#VALUE!</v>
      </c>
      <c r="FR33" s="772" t="e">
        <f t="shared" si="110"/>
        <v>#VALUE!</v>
      </c>
      <c r="FS33" s="773" t="str">
        <f t="shared" si="111"/>
        <v/>
      </c>
      <c r="FT33" s="774" t="str">
        <f t="shared" si="112"/>
        <v/>
      </c>
      <c r="FU33" s="809">
        <f t="shared" si="113"/>
        <v>0</v>
      </c>
      <c r="FV33" s="810">
        <f t="shared" si="114"/>
        <v>0</v>
      </c>
      <c r="GA33" s="542" t="str">
        <f t="shared" si="115"/>
        <v/>
      </c>
      <c r="GB33" s="562" t="str">
        <f t="shared" si="116"/>
        <v/>
      </c>
      <c r="GC33" s="564" t="str">
        <f t="shared" si="117"/>
        <v/>
      </c>
      <c r="GD33" s="565" t="str">
        <f t="shared" si="118"/>
        <v/>
      </c>
      <c r="GE33" s="563" t="str">
        <f t="shared" si="119"/>
        <v/>
      </c>
      <c r="GF33" s="543" t="str">
        <f t="shared" si="120"/>
        <v/>
      </c>
      <c r="GG33" s="1052"/>
      <c r="GH33" s="1053"/>
      <c r="GI33" s="1052"/>
      <c r="GJ33" s="1053"/>
      <c r="GK33" s="1521">
        <f t="shared" si="121"/>
        <v>0</v>
      </c>
      <c r="GL33" s="1519" t="e">
        <f t="shared" si="122"/>
        <v>#VALUE!</v>
      </c>
      <c r="GM33" s="1520" t="e">
        <f>IF(ABS(GK33-GL33)&gt;=#REF!,ABS(GK33-GL33),0)</f>
        <v>#VALUE!</v>
      </c>
      <c r="HA33" s="1187"/>
      <c r="HB33" s="1188"/>
      <c r="HC33" s="1188"/>
      <c r="HD33" s="1189"/>
      <c r="HE33" s="1190"/>
      <c r="HF33" s="1188"/>
      <c r="HG33" s="1188"/>
      <c r="HH33" s="1188"/>
      <c r="HI33" s="1191"/>
      <c r="HJ33" s="1188"/>
      <c r="HK33" s="1188"/>
      <c r="HL33" s="1188"/>
      <c r="HM33" s="1188"/>
      <c r="HN33" s="1188"/>
      <c r="HO33" s="1188"/>
      <c r="HP33" s="1188"/>
      <c r="HQ33" s="1191"/>
      <c r="HR33" s="1188"/>
      <c r="HS33" s="1188"/>
      <c r="HT33" s="1188"/>
      <c r="HU33" s="1188"/>
      <c r="HV33" s="1188"/>
      <c r="HW33" s="1190"/>
      <c r="HX33" s="1190"/>
      <c r="HY33" s="1190"/>
      <c r="HZ33" s="1190"/>
      <c r="IA33" s="1190"/>
      <c r="IB33" s="1190"/>
      <c r="IC33" s="1190"/>
      <c r="ID33" s="1190"/>
      <c r="IE33" s="1190"/>
      <c r="IF33" s="1192"/>
    </row>
    <row r="34" spans="1:240" ht="12.6" customHeight="1" x14ac:dyDescent="0.25">
      <c r="A34" s="1132" t="str">
        <f t="shared" si="1"/>
        <v/>
      </c>
      <c r="B34" s="1586" t="str">
        <f t="shared" si="2"/>
        <v/>
      </c>
      <c r="C34" s="1133" t="str">
        <f t="shared" si="3"/>
        <v/>
      </c>
      <c r="D34" s="1134" t="str">
        <f t="shared" si="4"/>
        <v/>
      </c>
      <c r="E34" s="1135" t="str">
        <f t="shared" si="5"/>
        <v/>
      </c>
      <c r="F34" s="1143" t="str">
        <f t="shared" si="6"/>
        <v/>
      </c>
      <c r="G34" s="1138" t="str">
        <f t="shared" si="7"/>
        <v/>
      </c>
      <c r="H34" s="1645" t="str">
        <f t="shared" si="8"/>
        <v/>
      </c>
      <c r="I34" s="1134" t="str">
        <f t="shared" si="9"/>
        <v/>
      </c>
      <c r="J34" s="1138" t="str">
        <f t="shared" si="10"/>
        <v/>
      </c>
      <c r="K34" s="1657" t="str">
        <f t="shared" si="11"/>
        <v/>
      </c>
      <c r="L34" s="1141" t="str">
        <f t="shared" si="12"/>
        <v/>
      </c>
      <c r="M34" s="1142" t="str">
        <f t="shared" si="13"/>
        <v/>
      </c>
      <c r="N34" s="1137" t="str">
        <f t="shared" si="14"/>
        <v/>
      </c>
      <c r="O34" s="1138" t="str">
        <f t="shared" si="15"/>
        <v/>
      </c>
      <c r="P34" s="1139" t="str">
        <f t="shared" si="16"/>
        <v/>
      </c>
      <c r="Q34" s="1134" t="str">
        <f t="shared" si="17"/>
        <v/>
      </c>
      <c r="R34" s="1138" t="str">
        <f t="shared" si="18"/>
        <v/>
      </c>
      <c r="S34" s="1140" t="str">
        <f t="shared" si="19"/>
        <v/>
      </c>
      <c r="T34" s="1143" t="str">
        <f t="shared" si="20"/>
        <v/>
      </c>
      <c r="U34" s="1138" t="str">
        <f t="shared" si="21"/>
        <v/>
      </c>
      <c r="V34" s="1134" t="str">
        <f t="shared" si="22"/>
        <v/>
      </c>
      <c r="W34" s="1138" t="str">
        <f t="shared" si="23"/>
        <v/>
      </c>
      <c r="X34" s="1142">
        <f t="shared" si="24"/>
        <v>0</v>
      </c>
      <c r="Y34" s="1647" t="str">
        <f t="shared" si="25"/>
        <v/>
      </c>
      <c r="Z34" s="1648" t="str">
        <f t="shared" si="26"/>
        <v/>
      </c>
      <c r="AA34" s="1649" t="str">
        <f t="shared" si="27"/>
        <v/>
      </c>
      <c r="AB34" s="1288"/>
      <c r="AC34" s="898" t="b">
        <v>0</v>
      </c>
      <c r="AD34" s="374">
        <f t="shared" si="28"/>
        <v>0</v>
      </c>
      <c r="AE34" s="375">
        <f t="shared" si="29"/>
        <v>0</v>
      </c>
      <c r="AF34" s="375">
        <f t="shared" si="30"/>
        <v>0</v>
      </c>
      <c r="AG34" s="375">
        <f t="shared" si="31"/>
        <v>0</v>
      </c>
      <c r="AH34" s="376">
        <f t="shared" si="32"/>
        <v>0</v>
      </c>
      <c r="AI34" s="377" t="b">
        <v>0</v>
      </c>
      <c r="AJ34" s="143">
        <f t="shared" si="33"/>
        <v>0</v>
      </c>
      <c r="AK34" s="771" t="str">
        <f t="shared" si="34"/>
        <v/>
      </c>
      <c r="AL34" s="877" t="str">
        <f t="shared" si="35"/>
        <v/>
      </c>
      <c r="AM34" s="771" t="str">
        <f t="shared" si="36"/>
        <v/>
      </c>
      <c r="AN34" s="771" t="str">
        <f t="shared" si="37"/>
        <v/>
      </c>
      <c r="AO34" s="771" t="str">
        <f t="shared" si="38"/>
        <v/>
      </c>
      <c r="AP34" s="771" t="b">
        <f>IF(ISERROR(AJ34),FALSE,IF(OR(AJ34=0,ISERROR(AL34),ISERROR(AM34),ISERROR(AN34),ISERROR(AO34)),FALSE,IF(AL34&lt;&gt;"",IF(ISERROR(VLOOKUP(SUBSTITUTE(SUBSTITUTE(C34,"R",""),"A",""),#REF!,1,FALSE)),FALSE,TRUE),TRUE)))</f>
        <v>0</v>
      </c>
      <c r="AQ34" s="945" t="e">
        <f t="shared" si="39"/>
        <v>#N/A</v>
      </c>
      <c r="AR34" s="877" t="b">
        <f t="shared" si="40"/>
        <v>0</v>
      </c>
      <c r="AS34" s="945" t="e">
        <f t="shared" si="41"/>
        <v>#N/A</v>
      </c>
      <c r="AT34" s="877" t="b">
        <f t="shared" si="42"/>
        <v>0</v>
      </c>
      <c r="AU34" s="878" t="str">
        <f t="shared" si="43"/>
        <v/>
      </c>
      <c r="AV34" s="771" t="str">
        <f t="shared" si="44"/>
        <v/>
      </c>
      <c r="AW34" s="771" t="str">
        <f t="shared" si="45"/>
        <v/>
      </c>
      <c r="AX34" s="771" t="str">
        <f t="shared" si="123"/>
        <v/>
      </c>
      <c r="AY34" s="946" t="e">
        <f t="shared" si="46"/>
        <v>#REF!</v>
      </c>
      <c r="AZ34" s="795" t="str">
        <f t="shared" si="47"/>
        <v/>
      </c>
      <c r="BA34" s="496"/>
      <c r="BB34" s="616"/>
      <c r="BC34" s="1567"/>
      <c r="BD34" s="682"/>
      <c r="BE34" s="683"/>
      <c r="BF34" s="684"/>
      <c r="BG34" s="660"/>
      <c r="BH34" s="901"/>
      <c r="BI34" s="902"/>
      <c r="BJ34" s="1508"/>
      <c r="BK34" s="661"/>
      <c r="BL34" s="662"/>
      <c r="BM34" s="663"/>
      <c r="BN34" s="664"/>
      <c r="BO34" s="616" t="str">
        <f>IF(ISERROR(CU34),"",IF(CU34="","",IF(VLOOKUP(BG34,#REF!,10,FALSE)="","","X")))</f>
        <v/>
      </c>
      <c r="BP34" s="687"/>
      <c r="BQ34" s="1430" t="str">
        <f t="shared" si="48"/>
        <v/>
      </c>
      <c r="BR34" s="839"/>
      <c r="BS34" s="660"/>
      <c r="BT34" s="661"/>
      <c r="BU34" s="662"/>
      <c r="BV34" s="1508"/>
      <c r="BW34" s="661"/>
      <c r="BX34" s="662"/>
      <c r="BY34" s="663"/>
      <c r="BZ34" s="664"/>
      <c r="CA34" s="625" t="str">
        <f>IF(ISERROR(DE34),"",IF(DE34="","",IF(VLOOKUP(BS34,#REF!,10,FALSE)="","","X")))</f>
        <v/>
      </c>
      <c r="CB34" s="687"/>
      <c r="CC34" s="1430" t="str">
        <f t="shared" si="49"/>
        <v/>
      </c>
      <c r="CD34" s="839"/>
      <c r="CE34" s="665"/>
      <c r="CF34" s="685"/>
      <c r="CG34" s="686"/>
      <c r="CH34" s="534" t="str">
        <f t="shared" si="50"/>
        <v/>
      </c>
      <c r="CI34" s="535" t="str">
        <f t="shared" si="51"/>
        <v/>
      </c>
      <c r="CJ34" s="536" t="str">
        <f t="shared" si="52"/>
        <v/>
      </c>
      <c r="CK34" s="537" t="str">
        <f t="shared" si="53"/>
        <v/>
      </c>
      <c r="CL34" s="538" t="str">
        <f t="shared" si="54"/>
        <v/>
      </c>
      <c r="CM34" s="539" t="str">
        <f t="shared" si="55"/>
        <v/>
      </c>
      <c r="CN34" s="540" t="str">
        <f t="shared" si="56"/>
        <v/>
      </c>
      <c r="CO34" s="541" t="str">
        <f t="shared" si="57"/>
        <v/>
      </c>
      <c r="CP34" s="558" t="str">
        <f t="shared" si="58"/>
        <v/>
      </c>
      <c r="CQ34" s="559" t="str">
        <f t="shared" si="59"/>
        <v/>
      </c>
      <c r="CR34" s="699" t="str">
        <f t="shared" si="60"/>
        <v/>
      </c>
      <c r="CS34" s="700" t="str">
        <f t="shared" si="61"/>
        <v/>
      </c>
      <c r="CU34" s="758" t="str">
        <f>IF(BG34="","",VLOOKUP(BG34,#REF!,12,FALSE))</f>
        <v/>
      </c>
      <c r="CV34" s="756" t="str">
        <f>IF(BG34="","",IF(ISBLANK(BP34),VLOOKUP(BG34,#REF!,13,FALSE),BP34))</f>
        <v/>
      </c>
      <c r="CW34" s="756" t="str">
        <f>IF(BG34="","",IF(VLOOKUP(BG34,#REF!,5,FALSE)="","R",UPPER(VLOOKUP(BG34,#REF!,5,FALSE))))</f>
        <v/>
      </c>
      <c r="CX34" s="756" t="str">
        <f>IF(BG34="","",IF(ISBLANK(BR34),VLOOKUP(BG34,#REF!,6,FALSE),BR34))</f>
        <v/>
      </c>
      <c r="CY34" s="1203" t="str">
        <f>IF(BG34="","",IF(VLOOKUP(BG34,#REF!,10,FALSE)="","",(IF(BO34="X",VLOOKUP(BG34,#REF!,10,FALSE),VALUE(BO34))*-1)))</f>
        <v/>
      </c>
      <c r="CZ34" s="1042" t="str">
        <f>IF(BG34="","",IF(VLOOKUP(BG34,#REF!,11,FALSE)="","2",(VLOOKUP(BG34,#REF!,11,FALSE))))</f>
        <v/>
      </c>
      <c r="DA34" s="756" t="str">
        <f>IF(BG34="","",IF(VLOOKUP(BG34,#REF!,7,FALSE)="","",(VLOOKUP(BG34,#REF!,7,FALSE)*-1)))</f>
        <v/>
      </c>
      <c r="DB34" s="756" t="str">
        <f>IF(BG34="","",IF(VLOOKUP(BG34,#REF!,8,FALSE)="",VLOOKUP(AU34,$DF$2:$DN$9,6,FALSE),(VLOOKUP(BG34,#REF!,8,FALSE))))</f>
        <v/>
      </c>
      <c r="DC34" s="756" t="str">
        <f>IF(BG34="","",VLOOKUP(BG34,#REF!,9,FALSE))</f>
        <v/>
      </c>
      <c r="DD34" s="757">
        <f t="shared" si="62"/>
        <v>0</v>
      </c>
      <c r="DE34" s="758" t="str">
        <f>IF(BS34="","",VLOOKUP(BS34,#REF!,12,FALSE))</f>
        <v/>
      </c>
      <c r="DF34" s="756" t="str">
        <f>IF(BS34="","",IF(ISBLANK(CB34),VLOOKUP(BS34,#REF!,13,FALSE),CB34))</f>
        <v/>
      </c>
      <c r="DG34" s="756" t="str">
        <f>IF(BS34="","",IF(VLOOKUP(BS34,#REF!,5,FALSE)="","R",UPPER(VLOOKUP(BS34,#REF!,5,FALSE))))</f>
        <v/>
      </c>
      <c r="DH34" s="756" t="str">
        <f>IF(BS34="","",IF(ISBLANK(CD34),VLOOKUP(BS34,#REF!,6,FALSE),CD34))</f>
        <v/>
      </c>
      <c r="DI34" s="1203" t="str">
        <f>IF(BS34="","",IF(VLOOKUP(BS34,#REF!,10,FALSE)="","",(IF(CA34="X",VLOOKUP(BS34,#REF!,10,FALSE),VALUE(CA34))*-1)))</f>
        <v/>
      </c>
      <c r="DJ34" s="1042" t="str">
        <f>IF(BS34="","",IF(VLOOKUP(BS34,#REF!,11,FALSE)="","2",(VLOOKUP(BS34,#REF!,11,FALSE))))</f>
        <v/>
      </c>
      <c r="DK34" s="756" t="str">
        <f>IF(BS34="","",IF(VLOOKUP(BS34,#REF!,7,FALSE)="","",(VLOOKUP(BS34,#REF!,7,FALSE)*-1)))</f>
        <v/>
      </c>
      <c r="DL34" s="756" t="str">
        <f>IF(BS34="","",IF(VLOOKUP(BS34,#REF!,8,FALSE)="",VLOOKUP(AU34,$DF$2:$DN$9,6,FALSE),(VLOOKUP(BS34,#REF!,8,FALSE))))</f>
        <v/>
      </c>
      <c r="DM34" s="756" t="str">
        <f>IF(BS34="","",VLOOKUP(BS34,#REF!,9,FALSE))</f>
        <v/>
      </c>
      <c r="DN34" s="757">
        <f t="shared" si="63"/>
        <v>0</v>
      </c>
      <c r="DO34" s="759">
        <f t="shared" si="64"/>
        <v>0</v>
      </c>
      <c r="DP34" s="763" t="str">
        <f t="shared" si="65"/>
        <v/>
      </c>
      <c r="DQ34" s="763" t="str">
        <f t="shared" si="66"/>
        <v/>
      </c>
      <c r="DR34" s="763" t="str">
        <f t="shared" si="67"/>
        <v/>
      </c>
      <c r="DS34" s="762">
        <f t="shared" si="68"/>
        <v>0</v>
      </c>
      <c r="DT34" s="762" t="e">
        <f t="shared" si="69"/>
        <v>#REF!</v>
      </c>
      <c r="DU34" s="762" t="str">
        <f t="shared" si="70"/>
        <v/>
      </c>
      <c r="DV34" s="763" t="str">
        <f t="shared" si="71"/>
        <v/>
      </c>
      <c r="DW34" s="795" t="str">
        <f t="shared" si="72"/>
        <v/>
      </c>
      <c r="DX34" s="926">
        <f t="shared" si="73"/>
        <v>0</v>
      </c>
      <c r="DY34" s="763">
        <f t="shared" si="74"/>
        <v>0</v>
      </c>
      <c r="DZ34" s="762" t="e">
        <f t="shared" si="75"/>
        <v>#REF!</v>
      </c>
      <c r="EA34" s="762" t="str">
        <f t="shared" si="76"/>
        <v/>
      </c>
      <c r="EB34" s="763" t="str">
        <f t="shared" si="77"/>
        <v/>
      </c>
      <c r="EC34" s="795" t="str">
        <f t="shared" si="78"/>
        <v/>
      </c>
      <c r="ED34" s="926">
        <f t="shared" si="79"/>
        <v>0</v>
      </c>
      <c r="EE34" s="1210" t="str">
        <f t="shared" si="80"/>
        <v/>
      </c>
      <c r="EF34" s="1210" t="str">
        <f t="shared" si="81"/>
        <v/>
      </c>
      <c r="EG34" s="1210" t="str">
        <f t="shared" si="82"/>
        <v/>
      </c>
      <c r="EH34" s="795" t="e">
        <f t="shared" si="83"/>
        <v>#N/A</v>
      </c>
      <c r="EI34" s="795" t="e">
        <f t="shared" si="84"/>
        <v>#N/A</v>
      </c>
      <c r="EJ34" s="763" t="str">
        <f t="shared" si="85"/>
        <v/>
      </c>
      <c r="EK34" s="763" t="str">
        <f t="shared" si="85"/>
        <v/>
      </c>
      <c r="EL34" s="1210" t="str">
        <f t="shared" si="86"/>
        <v/>
      </c>
      <c r="EM34" s="763" t="str">
        <f t="shared" si="87"/>
        <v/>
      </c>
      <c r="EN34" s="763" t="str">
        <f t="shared" si="88"/>
        <v/>
      </c>
      <c r="EO34" s="795" t="e">
        <f t="shared" si="89"/>
        <v>#N/A</v>
      </c>
      <c r="EP34" s="795" t="e">
        <f t="shared" si="90"/>
        <v>#N/A</v>
      </c>
      <c r="EQ34" s="1210" t="str">
        <f t="shared" si="91"/>
        <v/>
      </c>
      <c r="ER34" s="763" t="str">
        <f t="shared" si="91"/>
        <v/>
      </c>
      <c r="ES34" s="763" t="str">
        <f t="shared" si="92"/>
        <v/>
      </c>
      <c r="ET34" s="763" t="str">
        <f t="shared" si="93"/>
        <v/>
      </c>
      <c r="EU34" s="770" t="str">
        <f t="shared" si="94"/>
        <v/>
      </c>
      <c r="EV34" s="765" t="str">
        <f t="shared" si="95"/>
        <v/>
      </c>
      <c r="EW34" s="770"/>
      <c r="EX34" s="770" t="str">
        <f>IF(AND(CU34="G", ISBLANK(BK34), ISBLANK(BL34)),VLOOKUP(MIN(BH34:BI34),#REF!,2),IF(OR(CU34="B",CU34="G"),MIN(BK34:BL34),""))</f>
        <v/>
      </c>
      <c r="EY34" s="770" t="str">
        <f>IF(AND(CU34="G", ISBLANK(BK34), ISBLANK(BL34)),VLOOKUP(MAX(BH34:BI34),#REF!,2),IF(OR(CU34="B",CU34="G"),MAX(BK34:BL34),""))</f>
        <v/>
      </c>
      <c r="EZ34" s="770" t="str">
        <f t="shared" si="96"/>
        <v/>
      </c>
      <c r="FA34" s="770" t="str">
        <f>IF(AND(DE34="G", ISBLANK(BW34), ISBLANK(BX34)),VLOOKUP(MIN(BT34:BU34),#REF!,2),IF(OR(DE34="B", DE34="G"),MIN(BW34:BX34),""))</f>
        <v/>
      </c>
      <c r="FB34" s="770" t="str">
        <f>IF(AND(DE34="G", ISBLANK(BW34), ISBLANK(BX34)),VLOOKUP(MAX(BT34:BU34),#REF!,2),IF(OR(DE34="B", DE34="G"),MAX(BW34:BX34),""))</f>
        <v/>
      </c>
      <c r="FC34" s="770" t="str">
        <f t="shared" si="97"/>
        <v/>
      </c>
      <c r="FD34" s="762">
        <f t="shared" si="124"/>
        <v>0</v>
      </c>
      <c r="FE34" s="762">
        <f t="shared" si="98"/>
        <v>0</v>
      </c>
      <c r="FF34" s="762">
        <f t="shared" si="99"/>
        <v>0</v>
      </c>
      <c r="FG34" s="762" t="str">
        <f t="shared" si="100"/>
        <v/>
      </c>
      <c r="FH34" s="763" t="str">
        <f t="shared" si="101"/>
        <v/>
      </c>
      <c r="FI34" s="762">
        <f t="shared" si="125"/>
        <v>0</v>
      </c>
      <c r="FJ34" s="762">
        <f t="shared" si="102"/>
        <v>0</v>
      </c>
      <c r="FK34" s="762">
        <f t="shared" si="103"/>
        <v>0</v>
      </c>
      <c r="FL34" s="762" t="str">
        <f t="shared" si="104"/>
        <v/>
      </c>
      <c r="FM34" s="763" t="str">
        <f t="shared" si="105"/>
        <v/>
      </c>
      <c r="FN34" s="763" t="e">
        <f t="shared" si="106"/>
        <v>#VALUE!</v>
      </c>
      <c r="FO34" s="872" t="e">
        <f t="shared" si="107"/>
        <v>#VALUE!</v>
      </c>
      <c r="FP34" s="872" t="e">
        <f t="shared" si="108"/>
        <v>#VALUE!</v>
      </c>
      <c r="FQ34" s="771" t="e">
        <f t="shared" si="109"/>
        <v>#VALUE!</v>
      </c>
      <c r="FR34" s="772" t="e">
        <f t="shared" si="110"/>
        <v>#VALUE!</v>
      </c>
      <c r="FS34" s="773" t="str">
        <f t="shared" si="111"/>
        <v/>
      </c>
      <c r="FT34" s="774" t="str">
        <f t="shared" si="112"/>
        <v/>
      </c>
      <c r="FU34" s="809">
        <f t="shared" si="113"/>
        <v>0</v>
      </c>
      <c r="FV34" s="810">
        <f t="shared" si="114"/>
        <v>0</v>
      </c>
      <c r="GA34" s="542" t="str">
        <f t="shared" si="115"/>
        <v/>
      </c>
      <c r="GB34" s="562" t="str">
        <f t="shared" si="116"/>
        <v/>
      </c>
      <c r="GC34" s="564" t="str">
        <f t="shared" si="117"/>
        <v/>
      </c>
      <c r="GD34" s="565" t="str">
        <f t="shared" si="118"/>
        <v/>
      </c>
      <c r="GE34" s="563" t="str">
        <f t="shared" si="119"/>
        <v/>
      </c>
      <c r="GF34" s="543" t="str">
        <f t="shared" si="120"/>
        <v/>
      </c>
      <c r="GG34" s="1052"/>
      <c r="GH34" s="1053"/>
      <c r="GI34" s="1052"/>
      <c r="GJ34" s="1053"/>
      <c r="GK34" s="1521">
        <f t="shared" si="121"/>
        <v>0</v>
      </c>
      <c r="GL34" s="1519" t="e">
        <f t="shared" si="122"/>
        <v>#VALUE!</v>
      </c>
      <c r="GM34" s="1520" t="e">
        <f>IF(ABS(GK34-GL34)&gt;=#REF!,ABS(GK34-GL34),0)</f>
        <v>#VALUE!</v>
      </c>
      <c r="HA34" s="1187"/>
      <c r="HB34" s="1188"/>
      <c r="HC34" s="1188"/>
      <c r="HD34" s="1189"/>
      <c r="HE34" s="1190"/>
      <c r="HF34" s="1188"/>
      <c r="HG34" s="1188"/>
      <c r="HH34" s="1188"/>
      <c r="HI34" s="1191"/>
      <c r="HJ34" s="1188"/>
      <c r="HK34" s="1188"/>
      <c r="HL34" s="1188"/>
      <c r="HM34" s="1188"/>
      <c r="HN34" s="1188"/>
      <c r="HO34" s="1188"/>
      <c r="HP34" s="1188"/>
      <c r="HQ34" s="1191"/>
      <c r="HR34" s="1188"/>
      <c r="HS34" s="1188"/>
      <c r="HT34" s="1188"/>
      <c r="HU34" s="1188"/>
      <c r="HV34" s="1188"/>
      <c r="HW34" s="1190"/>
      <c r="HX34" s="1190"/>
      <c r="HY34" s="1190"/>
      <c r="HZ34" s="1190"/>
      <c r="IA34" s="1190"/>
      <c r="IB34" s="1190"/>
      <c r="IC34" s="1190"/>
      <c r="ID34" s="1190"/>
      <c r="IE34" s="1190"/>
      <c r="IF34" s="1192"/>
    </row>
    <row r="35" spans="1:240" ht="12.6" customHeight="1" x14ac:dyDescent="0.25">
      <c r="A35" s="1132" t="str">
        <f t="shared" si="1"/>
        <v/>
      </c>
      <c r="B35" s="1586" t="str">
        <f t="shared" si="2"/>
        <v/>
      </c>
      <c r="C35" s="1133" t="str">
        <f t="shared" si="3"/>
        <v/>
      </c>
      <c r="D35" s="1134" t="str">
        <f t="shared" si="4"/>
        <v/>
      </c>
      <c r="E35" s="1135" t="str">
        <f t="shared" si="5"/>
        <v/>
      </c>
      <c r="F35" s="1143" t="str">
        <f t="shared" si="6"/>
        <v/>
      </c>
      <c r="G35" s="1138" t="str">
        <f t="shared" si="7"/>
        <v/>
      </c>
      <c r="H35" s="1645" t="str">
        <f t="shared" si="8"/>
        <v/>
      </c>
      <c r="I35" s="1134" t="str">
        <f t="shared" si="9"/>
        <v/>
      </c>
      <c r="J35" s="1138" t="str">
        <f t="shared" si="10"/>
        <v/>
      </c>
      <c r="K35" s="1657" t="str">
        <f t="shared" si="11"/>
        <v/>
      </c>
      <c r="L35" s="1141" t="str">
        <f t="shared" si="12"/>
        <v/>
      </c>
      <c r="M35" s="1142" t="str">
        <f t="shared" si="13"/>
        <v/>
      </c>
      <c r="N35" s="1137" t="str">
        <f t="shared" si="14"/>
        <v/>
      </c>
      <c r="O35" s="1138" t="str">
        <f t="shared" si="15"/>
        <v/>
      </c>
      <c r="P35" s="1139" t="str">
        <f t="shared" si="16"/>
        <v/>
      </c>
      <c r="Q35" s="1134" t="str">
        <f t="shared" si="17"/>
        <v/>
      </c>
      <c r="R35" s="1138" t="str">
        <f t="shared" si="18"/>
        <v/>
      </c>
      <c r="S35" s="1140" t="str">
        <f t="shared" si="19"/>
        <v/>
      </c>
      <c r="T35" s="1143" t="str">
        <f t="shared" si="20"/>
        <v/>
      </c>
      <c r="U35" s="1138" t="str">
        <f t="shared" si="21"/>
        <v/>
      </c>
      <c r="V35" s="1134" t="str">
        <f t="shared" si="22"/>
        <v/>
      </c>
      <c r="W35" s="1138" t="str">
        <f t="shared" si="23"/>
        <v/>
      </c>
      <c r="X35" s="1142">
        <f t="shared" si="24"/>
        <v>0</v>
      </c>
      <c r="Y35" s="1647" t="str">
        <f t="shared" si="25"/>
        <v/>
      </c>
      <c r="Z35" s="1648" t="str">
        <f t="shared" si="26"/>
        <v/>
      </c>
      <c r="AA35" s="1649" t="str">
        <f t="shared" si="27"/>
        <v/>
      </c>
      <c r="AB35" s="1288"/>
      <c r="AC35" s="898" t="b">
        <v>0</v>
      </c>
      <c r="AD35" s="374">
        <f t="shared" si="28"/>
        <v>0</v>
      </c>
      <c r="AE35" s="375">
        <f t="shared" si="29"/>
        <v>0</v>
      </c>
      <c r="AF35" s="375">
        <f t="shared" si="30"/>
        <v>0</v>
      </c>
      <c r="AG35" s="375">
        <f t="shared" si="31"/>
        <v>0</v>
      </c>
      <c r="AH35" s="376">
        <f t="shared" si="32"/>
        <v>0</v>
      </c>
      <c r="AI35" s="377" t="b">
        <v>0</v>
      </c>
      <c r="AJ35" s="143">
        <f t="shared" si="33"/>
        <v>0</v>
      </c>
      <c r="AK35" s="771" t="str">
        <f t="shared" si="34"/>
        <v/>
      </c>
      <c r="AL35" s="877" t="str">
        <f t="shared" si="35"/>
        <v/>
      </c>
      <c r="AM35" s="771" t="str">
        <f t="shared" si="36"/>
        <v/>
      </c>
      <c r="AN35" s="771" t="str">
        <f t="shared" si="37"/>
        <v/>
      </c>
      <c r="AO35" s="771" t="str">
        <f t="shared" si="38"/>
        <v/>
      </c>
      <c r="AP35" s="771" t="b">
        <f>IF(ISERROR(AJ35),FALSE,IF(OR(AJ35=0,ISERROR(AL35),ISERROR(AM35),ISERROR(AN35),ISERROR(AO35)),FALSE,IF(AL35&lt;&gt;"",IF(ISERROR(VLOOKUP(SUBSTITUTE(SUBSTITUTE(C35,"R",""),"A",""),#REF!,1,FALSE)),FALSE,TRUE),TRUE)))</f>
        <v>0</v>
      </c>
      <c r="AQ35" s="945" t="e">
        <f t="shared" si="39"/>
        <v>#N/A</v>
      </c>
      <c r="AR35" s="877" t="b">
        <f t="shared" si="40"/>
        <v>0</v>
      </c>
      <c r="AS35" s="945" t="e">
        <f t="shared" si="41"/>
        <v>#N/A</v>
      </c>
      <c r="AT35" s="877" t="b">
        <f t="shared" si="42"/>
        <v>0</v>
      </c>
      <c r="AU35" s="878" t="str">
        <f t="shared" si="43"/>
        <v/>
      </c>
      <c r="AV35" s="771" t="str">
        <f t="shared" si="44"/>
        <v/>
      </c>
      <c r="AW35" s="771" t="str">
        <f t="shared" si="45"/>
        <v/>
      </c>
      <c r="AX35" s="771" t="str">
        <f t="shared" si="123"/>
        <v/>
      </c>
      <c r="AY35" s="946" t="e">
        <f t="shared" si="46"/>
        <v>#REF!</v>
      </c>
      <c r="AZ35" s="795" t="str">
        <f t="shared" si="47"/>
        <v/>
      </c>
      <c r="BA35" s="496"/>
      <c r="BB35" s="616"/>
      <c r="BC35" s="1567"/>
      <c r="BD35" s="682"/>
      <c r="BE35" s="683"/>
      <c r="BF35" s="684"/>
      <c r="BG35" s="660"/>
      <c r="BH35" s="901"/>
      <c r="BI35" s="902"/>
      <c r="BJ35" s="1508"/>
      <c r="BK35" s="661"/>
      <c r="BL35" s="662"/>
      <c r="BM35" s="663"/>
      <c r="BN35" s="664"/>
      <c r="BO35" s="616" t="str">
        <f>IF(ISERROR(CU35),"",IF(CU35="","",IF(VLOOKUP(BG35,#REF!,10,FALSE)="","","X")))</f>
        <v/>
      </c>
      <c r="BP35" s="687"/>
      <c r="BQ35" s="1430" t="str">
        <f t="shared" si="48"/>
        <v/>
      </c>
      <c r="BR35" s="839"/>
      <c r="BS35" s="660"/>
      <c r="BT35" s="661"/>
      <c r="BU35" s="662"/>
      <c r="BV35" s="1508"/>
      <c r="BW35" s="661"/>
      <c r="BX35" s="662"/>
      <c r="BY35" s="663"/>
      <c r="BZ35" s="664"/>
      <c r="CA35" s="625" t="str">
        <f>IF(ISERROR(DE35),"",IF(DE35="","",IF(VLOOKUP(BS35,#REF!,10,FALSE)="","","X")))</f>
        <v/>
      </c>
      <c r="CB35" s="687"/>
      <c r="CC35" s="1430" t="str">
        <f t="shared" si="49"/>
        <v/>
      </c>
      <c r="CD35" s="839"/>
      <c r="CE35" s="665"/>
      <c r="CF35" s="685"/>
      <c r="CG35" s="686"/>
      <c r="CH35" s="534" t="str">
        <f t="shared" si="50"/>
        <v/>
      </c>
      <c r="CI35" s="535" t="str">
        <f t="shared" si="51"/>
        <v/>
      </c>
      <c r="CJ35" s="536" t="str">
        <f t="shared" si="52"/>
        <v/>
      </c>
      <c r="CK35" s="537" t="str">
        <f t="shared" si="53"/>
        <v/>
      </c>
      <c r="CL35" s="538" t="str">
        <f t="shared" si="54"/>
        <v/>
      </c>
      <c r="CM35" s="539" t="str">
        <f t="shared" si="55"/>
        <v/>
      </c>
      <c r="CN35" s="540" t="str">
        <f t="shared" si="56"/>
        <v/>
      </c>
      <c r="CO35" s="541" t="str">
        <f t="shared" si="57"/>
        <v/>
      </c>
      <c r="CP35" s="558" t="str">
        <f t="shared" si="58"/>
        <v/>
      </c>
      <c r="CQ35" s="559" t="str">
        <f t="shared" si="59"/>
        <v/>
      </c>
      <c r="CR35" s="699" t="str">
        <f t="shared" si="60"/>
        <v/>
      </c>
      <c r="CS35" s="700" t="str">
        <f t="shared" si="61"/>
        <v/>
      </c>
      <c r="CU35" s="758" t="str">
        <f>IF(BG35="","",VLOOKUP(BG35,#REF!,12,FALSE))</f>
        <v/>
      </c>
      <c r="CV35" s="756" t="str">
        <f>IF(BG35="","",IF(ISBLANK(BP35),VLOOKUP(BG35,#REF!,13,FALSE),BP35))</f>
        <v/>
      </c>
      <c r="CW35" s="756" t="str">
        <f>IF(BG35="","",IF(VLOOKUP(BG35,#REF!,5,FALSE)="","R",UPPER(VLOOKUP(BG35,#REF!,5,FALSE))))</f>
        <v/>
      </c>
      <c r="CX35" s="756" t="str">
        <f>IF(BG35="","",IF(ISBLANK(BR35),VLOOKUP(BG35,#REF!,6,FALSE),BR35))</f>
        <v/>
      </c>
      <c r="CY35" s="1203" t="str">
        <f>IF(BG35="","",IF(VLOOKUP(BG35,#REF!,10,FALSE)="","",(IF(BO35="X",VLOOKUP(BG35,#REF!,10,FALSE),VALUE(BO35))*-1)))</f>
        <v/>
      </c>
      <c r="CZ35" s="1042" t="str">
        <f>IF(BG35="","",IF(VLOOKUP(BG35,#REF!,11,FALSE)="","2",(VLOOKUP(BG35,#REF!,11,FALSE))))</f>
        <v/>
      </c>
      <c r="DA35" s="756" t="str">
        <f>IF(BG35="","",IF(VLOOKUP(BG35,#REF!,7,FALSE)="","",(VLOOKUP(BG35,#REF!,7,FALSE)*-1)))</f>
        <v/>
      </c>
      <c r="DB35" s="756" t="str">
        <f>IF(BG35="","",IF(VLOOKUP(BG35,#REF!,8,FALSE)="",VLOOKUP(AU35,$DF$2:$DN$9,6,FALSE),(VLOOKUP(BG35,#REF!,8,FALSE))))</f>
        <v/>
      </c>
      <c r="DC35" s="756" t="str">
        <f>IF(BG35="","",VLOOKUP(BG35,#REF!,9,FALSE))</f>
        <v/>
      </c>
      <c r="DD35" s="757">
        <f t="shared" si="62"/>
        <v>0</v>
      </c>
      <c r="DE35" s="758" t="str">
        <f>IF(BS35="","",VLOOKUP(BS35,#REF!,12,FALSE))</f>
        <v/>
      </c>
      <c r="DF35" s="756" t="str">
        <f>IF(BS35="","",IF(ISBLANK(CB35),VLOOKUP(BS35,#REF!,13,FALSE),CB35))</f>
        <v/>
      </c>
      <c r="DG35" s="756" t="str">
        <f>IF(BS35="","",IF(VLOOKUP(BS35,#REF!,5,FALSE)="","R",UPPER(VLOOKUP(BS35,#REF!,5,FALSE))))</f>
        <v/>
      </c>
      <c r="DH35" s="756" t="str">
        <f>IF(BS35="","",IF(ISBLANK(CD35),VLOOKUP(BS35,#REF!,6,FALSE),CD35))</f>
        <v/>
      </c>
      <c r="DI35" s="1203" t="str">
        <f>IF(BS35="","",IF(VLOOKUP(BS35,#REF!,10,FALSE)="","",(IF(CA35="X",VLOOKUP(BS35,#REF!,10,FALSE),VALUE(CA35))*-1)))</f>
        <v/>
      </c>
      <c r="DJ35" s="1042" t="str">
        <f>IF(BS35="","",IF(VLOOKUP(BS35,#REF!,11,FALSE)="","2",(VLOOKUP(BS35,#REF!,11,FALSE))))</f>
        <v/>
      </c>
      <c r="DK35" s="756" t="str">
        <f>IF(BS35="","",IF(VLOOKUP(BS35,#REF!,7,FALSE)="","",(VLOOKUP(BS35,#REF!,7,FALSE)*-1)))</f>
        <v/>
      </c>
      <c r="DL35" s="756" t="str">
        <f>IF(BS35="","",IF(VLOOKUP(BS35,#REF!,8,FALSE)="",VLOOKUP(AU35,$DF$2:$DN$9,6,FALSE),(VLOOKUP(BS35,#REF!,8,FALSE))))</f>
        <v/>
      </c>
      <c r="DM35" s="756" t="str">
        <f>IF(BS35="","",VLOOKUP(BS35,#REF!,9,FALSE))</f>
        <v/>
      </c>
      <c r="DN35" s="757">
        <f t="shared" si="63"/>
        <v>0</v>
      </c>
      <c r="DO35" s="759">
        <f t="shared" si="64"/>
        <v>0</v>
      </c>
      <c r="DP35" s="763" t="str">
        <f t="shared" si="65"/>
        <v/>
      </c>
      <c r="DQ35" s="763" t="str">
        <f t="shared" si="66"/>
        <v/>
      </c>
      <c r="DR35" s="763" t="str">
        <f t="shared" si="67"/>
        <v/>
      </c>
      <c r="DS35" s="762">
        <f t="shared" si="68"/>
        <v>0</v>
      </c>
      <c r="DT35" s="762" t="e">
        <f t="shared" si="69"/>
        <v>#REF!</v>
      </c>
      <c r="DU35" s="762" t="str">
        <f t="shared" si="70"/>
        <v/>
      </c>
      <c r="DV35" s="763" t="str">
        <f t="shared" si="71"/>
        <v/>
      </c>
      <c r="DW35" s="795" t="str">
        <f t="shared" si="72"/>
        <v/>
      </c>
      <c r="DX35" s="926">
        <f t="shared" si="73"/>
        <v>0</v>
      </c>
      <c r="DY35" s="763">
        <f t="shared" si="74"/>
        <v>0</v>
      </c>
      <c r="DZ35" s="762" t="e">
        <f t="shared" si="75"/>
        <v>#REF!</v>
      </c>
      <c r="EA35" s="762" t="str">
        <f t="shared" si="76"/>
        <v/>
      </c>
      <c r="EB35" s="763" t="str">
        <f t="shared" si="77"/>
        <v/>
      </c>
      <c r="EC35" s="795" t="str">
        <f t="shared" si="78"/>
        <v/>
      </c>
      <c r="ED35" s="926">
        <f t="shared" si="79"/>
        <v>0</v>
      </c>
      <c r="EE35" s="1210" t="str">
        <f t="shared" si="80"/>
        <v/>
      </c>
      <c r="EF35" s="1210" t="str">
        <f t="shared" si="81"/>
        <v/>
      </c>
      <c r="EG35" s="1210" t="str">
        <f t="shared" si="82"/>
        <v/>
      </c>
      <c r="EH35" s="795" t="e">
        <f t="shared" si="83"/>
        <v>#N/A</v>
      </c>
      <c r="EI35" s="795" t="e">
        <f t="shared" si="84"/>
        <v>#N/A</v>
      </c>
      <c r="EJ35" s="763" t="str">
        <f t="shared" si="85"/>
        <v/>
      </c>
      <c r="EK35" s="763" t="str">
        <f t="shared" si="85"/>
        <v/>
      </c>
      <c r="EL35" s="1210" t="str">
        <f t="shared" si="86"/>
        <v/>
      </c>
      <c r="EM35" s="763" t="str">
        <f t="shared" si="87"/>
        <v/>
      </c>
      <c r="EN35" s="763" t="str">
        <f t="shared" si="88"/>
        <v/>
      </c>
      <c r="EO35" s="795" t="e">
        <f t="shared" si="89"/>
        <v>#N/A</v>
      </c>
      <c r="EP35" s="795" t="e">
        <f t="shared" si="90"/>
        <v>#N/A</v>
      </c>
      <c r="EQ35" s="1210" t="str">
        <f t="shared" si="91"/>
        <v/>
      </c>
      <c r="ER35" s="763" t="str">
        <f t="shared" si="91"/>
        <v/>
      </c>
      <c r="ES35" s="763" t="str">
        <f t="shared" si="92"/>
        <v/>
      </c>
      <c r="ET35" s="763" t="str">
        <f t="shared" si="93"/>
        <v/>
      </c>
      <c r="EU35" s="770" t="str">
        <f t="shared" si="94"/>
        <v/>
      </c>
      <c r="EV35" s="765" t="str">
        <f t="shared" si="95"/>
        <v/>
      </c>
      <c r="EW35" s="770"/>
      <c r="EX35" s="770" t="str">
        <f>IF(AND(CU35="G", ISBLANK(BK35), ISBLANK(BL35)),VLOOKUP(MIN(BH35:BI35),#REF!,2),IF(OR(CU35="B",CU35="G"),MIN(BK35:BL35),""))</f>
        <v/>
      </c>
      <c r="EY35" s="770" t="str">
        <f>IF(AND(CU35="G", ISBLANK(BK35), ISBLANK(BL35)),VLOOKUP(MAX(BH35:BI35),#REF!,2),IF(OR(CU35="B",CU35="G"),MAX(BK35:BL35),""))</f>
        <v/>
      </c>
      <c r="EZ35" s="770" t="str">
        <f t="shared" si="96"/>
        <v/>
      </c>
      <c r="FA35" s="770" t="str">
        <f>IF(AND(DE35="G", ISBLANK(BW35), ISBLANK(BX35)),VLOOKUP(MIN(BT35:BU35),#REF!,2),IF(OR(DE35="B", DE35="G"),MIN(BW35:BX35),""))</f>
        <v/>
      </c>
      <c r="FB35" s="770" t="str">
        <f>IF(AND(DE35="G", ISBLANK(BW35), ISBLANK(BX35)),VLOOKUP(MAX(BT35:BU35),#REF!,2),IF(OR(DE35="B", DE35="G"),MAX(BW35:BX35),""))</f>
        <v/>
      </c>
      <c r="FC35" s="770" t="str">
        <f t="shared" si="97"/>
        <v/>
      </c>
      <c r="FD35" s="762">
        <f t="shared" si="124"/>
        <v>0</v>
      </c>
      <c r="FE35" s="762">
        <f t="shared" si="98"/>
        <v>0</v>
      </c>
      <c r="FF35" s="762">
        <f t="shared" si="99"/>
        <v>0</v>
      </c>
      <c r="FG35" s="762" t="str">
        <f t="shared" si="100"/>
        <v/>
      </c>
      <c r="FH35" s="763" t="str">
        <f t="shared" si="101"/>
        <v/>
      </c>
      <c r="FI35" s="762">
        <f t="shared" si="125"/>
        <v>0</v>
      </c>
      <c r="FJ35" s="762">
        <f t="shared" si="102"/>
        <v>0</v>
      </c>
      <c r="FK35" s="762">
        <f t="shared" si="103"/>
        <v>0</v>
      </c>
      <c r="FL35" s="762" t="str">
        <f t="shared" si="104"/>
        <v/>
      </c>
      <c r="FM35" s="763" t="str">
        <f t="shared" si="105"/>
        <v/>
      </c>
      <c r="FN35" s="763" t="e">
        <f t="shared" si="106"/>
        <v>#VALUE!</v>
      </c>
      <c r="FO35" s="872" t="e">
        <f t="shared" si="107"/>
        <v>#VALUE!</v>
      </c>
      <c r="FP35" s="872" t="e">
        <f t="shared" si="108"/>
        <v>#VALUE!</v>
      </c>
      <c r="FQ35" s="771" t="e">
        <f t="shared" si="109"/>
        <v>#VALUE!</v>
      </c>
      <c r="FR35" s="772" t="e">
        <f t="shared" si="110"/>
        <v>#VALUE!</v>
      </c>
      <c r="FS35" s="773" t="str">
        <f t="shared" si="111"/>
        <v/>
      </c>
      <c r="FT35" s="774" t="str">
        <f t="shared" si="112"/>
        <v/>
      </c>
      <c r="FU35" s="809">
        <f t="shared" si="113"/>
        <v>0</v>
      </c>
      <c r="FV35" s="810">
        <f t="shared" si="114"/>
        <v>0</v>
      </c>
      <c r="GA35" s="542" t="str">
        <f t="shared" si="115"/>
        <v/>
      </c>
      <c r="GB35" s="562" t="str">
        <f t="shared" si="116"/>
        <v/>
      </c>
      <c r="GC35" s="564" t="str">
        <f t="shared" si="117"/>
        <v/>
      </c>
      <c r="GD35" s="565" t="str">
        <f t="shared" si="118"/>
        <v/>
      </c>
      <c r="GE35" s="563" t="str">
        <f t="shared" si="119"/>
        <v/>
      </c>
      <c r="GF35" s="543" t="str">
        <f t="shared" si="120"/>
        <v/>
      </c>
      <c r="GG35" s="1052"/>
      <c r="GH35" s="1053"/>
      <c r="GI35" s="1052"/>
      <c r="GJ35" s="1053"/>
      <c r="GK35" s="1521">
        <f t="shared" si="121"/>
        <v>0</v>
      </c>
      <c r="GL35" s="1519" t="e">
        <f t="shared" si="122"/>
        <v>#VALUE!</v>
      </c>
      <c r="GM35" s="1520" t="e">
        <f>IF(ABS(GK35-GL35)&gt;=#REF!,ABS(GK35-GL35),0)</f>
        <v>#VALUE!</v>
      </c>
      <c r="HA35" s="1187"/>
      <c r="HB35" s="1188"/>
      <c r="HC35" s="1188"/>
      <c r="HD35" s="1189"/>
      <c r="HE35" s="1190"/>
      <c r="HF35" s="1188"/>
      <c r="HG35" s="1188"/>
      <c r="HH35" s="1188"/>
      <c r="HI35" s="1191"/>
      <c r="HJ35" s="1188"/>
      <c r="HK35" s="1188"/>
      <c r="HL35" s="1188"/>
      <c r="HM35" s="1188"/>
      <c r="HN35" s="1188"/>
      <c r="HO35" s="1188"/>
      <c r="HP35" s="1188"/>
      <c r="HQ35" s="1191"/>
      <c r="HR35" s="1188"/>
      <c r="HS35" s="1188"/>
      <c r="HT35" s="1188"/>
      <c r="HU35" s="1188"/>
      <c r="HV35" s="1188"/>
      <c r="HW35" s="1190"/>
      <c r="HX35" s="1190"/>
      <c r="HY35" s="1190"/>
      <c r="HZ35" s="1190"/>
      <c r="IA35" s="1190"/>
      <c r="IB35" s="1190"/>
      <c r="IC35" s="1190"/>
      <c r="ID35" s="1190"/>
      <c r="IE35" s="1190"/>
      <c r="IF35" s="1192"/>
    </row>
    <row r="36" spans="1:240" ht="12.6" customHeight="1" x14ac:dyDescent="0.25">
      <c r="A36" s="1132" t="str">
        <f t="shared" si="1"/>
        <v/>
      </c>
      <c r="B36" s="1586" t="str">
        <f t="shared" si="2"/>
        <v/>
      </c>
      <c r="C36" s="1133" t="str">
        <f t="shared" si="3"/>
        <v/>
      </c>
      <c r="D36" s="1134" t="str">
        <f t="shared" si="4"/>
        <v/>
      </c>
      <c r="E36" s="1135" t="str">
        <f t="shared" si="5"/>
        <v/>
      </c>
      <c r="F36" s="1143" t="str">
        <f t="shared" si="6"/>
        <v/>
      </c>
      <c r="G36" s="1138" t="str">
        <f t="shared" si="7"/>
        <v/>
      </c>
      <c r="H36" s="1645" t="str">
        <f t="shared" si="8"/>
        <v/>
      </c>
      <c r="I36" s="1134" t="str">
        <f t="shared" si="9"/>
        <v/>
      </c>
      <c r="J36" s="1138" t="str">
        <f t="shared" si="10"/>
        <v/>
      </c>
      <c r="K36" s="1657" t="str">
        <f t="shared" si="11"/>
        <v/>
      </c>
      <c r="L36" s="1141" t="str">
        <f t="shared" si="12"/>
        <v/>
      </c>
      <c r="M36" s="1142" t="str">
        <f t="shared" si="13"/>
        <v/>
      </c>
      <c r="N36" s="1137" t="str">
        <f t="shared" si="14"/>
        <v/>
      </c>
      <c r="O36" s="1138" t="str">
        <f t="shared" si="15"/>
        <v/>
      </c>
      <c r="P36" s="1139" t="str">
        <f t="shared" si="16"/>
        <v/>
      </c>
      <c r="Q36" s="1134" t="str">
        <f t="shared" si="17"/>
        <v/>
      </c>
      <c r="R36" s="1138" t="str">
        <f t="shared" si="18"/>
        <v/>
      </c>
      <c r="S36" s="1140" t="str">
        <f t="shared" si="19"/>
        <v/>
      </c>
      <c r="T36" s="1143" t="str">
        <f t="shared" si="20"/>
        <v/>
      </c>
      <c r="U36" s="1138" t="str">
        <f t="shared" si="21"/>
        <v/>
      </c>
      <c r="V36" s="1134" t="str">
        <f t="shared" si="22"/>
        <v/>
      </c>
      <c r="W36" s="1138" t="str">
        <f t="shared" si="23"/>
        <v/>
      </c>
      <c r="X36" s="1142">
        <f t="shared" si="24"/>
        <v>0</v>
      </c>
      <c r="Y36" s="1647" t="str">
        <f t="shared" si="25"/>
        <v/>
      </c>
      <c r="Z36" s="1648" t="str">
        <f t="shared" si="26"/>
        <v/>
      </c>
      <c r="AA36" s="1649" t="str">
        <f t="shared" si="27"/>
        <v/>
      </c>
      <c r="AB36" s="1288"/>
      <c r="AC36" s="898" t="b">
        <v>0</v>
      </c>
      <c r="AD36" s="374">
        <f t="shared" si="28"/>
        <v>0</v>
      </c>
      <c r="AE36" s="375">
        <f t="shared" si="29"/>
        <v>0</v>
      </c>
      <c r="AF36" s="375">
        <f t="shared" si="30"/>
        <v>0</v>
      </c>
      <c r="AG36" s="375">
        <f t="shared" si="31"/>
        <v>0</v>
      </c>
      <c r="AH36" s="376">
        <f t="shared" si="32"/>
        <v>0</v>
      </c>
      <c r="AI36" s="377" t="b">
        <v>0</v>
      </c>
      <c r="AJ36" s="143">
        <f t="shared" si="33"/>
        <v>0</v>
      </c>
      <c r="AK36" s="771" t="str">
        <f t="shared" si="34"/>
        <v/>
      </c>
      <c r="AL36" s="877" t="str">
        <f t="shared" si="35"/>
        <v/>
      </c>
      <c r="AM36" s="771" t="str">
        <f t="shared" si="36"/>
        <v/>
      </c>
      <c r="AN36" s="771" t="str">
        <f t="shared" si="37"/>
        <v/>
      </c>
      <c r="AO36" s="771" t="str">
        <f t="shared" si="38"/>
        <v/>
      </c>
      <c r="AP36" s="771" t="b">
        <f>IF(ISERROR(AJ36),FALSE,IF(OR(AJ36=0,ISERROR(AL36),ISERROR(AM36),ISERROR(AN36),ISERROR(AO36)),FALSE,IF(AL36&lt;&gt;"",IF(ISERROR(VLOOKUP(SUBSTITUTE(SUBSTITUTE(C36,"R",""),"A",""),#REF!,1,FALSE)),FALSE,TRUE),TRUE)))</f>
        <v>0</v>
      </c>
      <c r="AQ36" s="945" t="e">
        <f t="shared" si="39"/>
        <v>#N/A</v>
      </c>
      <c r="AR36" s="877" t="b">
        <f t="shared" si="40"/>
        <v>0</v>
      </c>
      <c r="AS36" s="945" t="e">
        <f t="shared" si="41"/>
        <v>#N/A</v>
      </c>
      <c r="AT36" s="877" t="b">
        <f t="shared" si="42"/>
        <v>0</v>
      </c>
      <c r="AU36" s="878" t="str">
        <f t="shared" si="43"/>
        <v/>
      </c>
      <c r="AV36" s="771" t="str">
        <f t="shared" si="44"/>
        <v/>
      </c>
      <c r="AW36" s="771" t="str">
        <f t="shared" si="45"/>
        <v/>
      </c>
      <c r="AX36" s="771" t="str">
        <f t="shared" si="123"/>
        <v/>
      </c>
      <c r="AY36" s="946" t="e">
        <f t="shared" si="46"/>
        <v>#REF!</v>
      </c>
      <c r="AZ36" s="795" t="str">
        <f t="shared" si="47"/>
        <v/>
      </c>
      <c r="BA36" s="496"/>
      <c r="BB36" s="616"/>
      <c r="BC36" s="1567"/>
      <c r="BD36" s="682"/>
      <c r="BE36" s="683"/>
      <c r="BF36" s="684"/>
      <c r="BG36" s="660"/>
      <c r="BH36" s="901"/>
      <c r="BI36" s="902"/>
      <c r="BJ36" s="1508"/>
      <c r="BK36" s="661"/>
      <c r="BL36" s="662"/>
      <c r="BM36" s="663"/>
      <c r="BN36" s="664"/>
      <c r="BO36" s="616" t="str">
        <f>IF(ISERROR(CU36),"",IF(CU36="","",IF(VLOOKUP(BG36,#REF!,10,FALSE)="","","X")))</f>
        <v/>
      </c>
      <c r="BP36" s="687"/>
      <c r="BQ36" s="1430" t="str">
        <f t="shared" si="48"/>
        <v/>
      </c>
      <c r="BR36" s="839"/>
      <c r="BS36" s="660"/>
      <c r="BT36" s="661"/>
      <c r="BU36" s="662"/>
      <c r="BV36" s="1508"/>
      <c r="BW36" s="661"/>
      <c r="BX36" s="662"/>
      <c r="BY36" s="663"/>
      <c r="BZ36" s="664"/>
      <c r="CA36" s="625" t="str">
        <f>IF(ISERROR(DE36),"",IF(DE36="","",IF(VLOOKUP(BS36,#REF!,10,FALSE)="","","X")))</f>
        <v/>
      </c>
      <c r="CB36" s="687"/>
      <c r="CC36" s="1430" t="str">
        <f t="shared" si="49"/>
        <v/>
      </c>
      <c r="CD36" s="839"/>
      <c r="CE36" s="665"/>
      <c r="CF36" s="685"/>
      <c r="CG36" s="686"/>
      <c r="CH36" s="534" t="str">
        <f t="shared" si="50"/>
        <v/>
      </c>
      <c r="CI36" s="535" t="str">
        <f t="shared" si="51"/>
        <v/>
      </c>
      <c r="CJ36" s="536" t="str">
        <f t="shared" si="52"/>
        <v/>
      </c>
      <c r="CK36" s="537" t="str">
        <f t="shared" si="53"/>
        <v/>
      </c>
      <c r="CL36" s="538" t="str">
        <f t="shared" si="54"/>
        <v/>
      </c>
      <c r="CM36" s="539" t="str">
        <f t="shared" si="55"/>
        <v/>
      </c>
      <c r="CN36" s="540" t="str">
        <f t="shared" si="56"/>
        <v/>
      </c>
      <c r="CO36" s="541" t="str">
        <f t="shared" si="57"/>
        <v/>
      </c>
      <c r="CP36" s="558" t="str">
        <f t="shared" si="58"/>
        <v/>
      </c>
      <c r="CQ36" s="559" t="str">
        <f t="shared" si="59"/>
        <v/>
      </c>
      <c r="CR36" s="699" t="str">
        <f t="shared" si="60"/>
        <v/>
      </c>
      <c r="CS36" s="700" t="str">
        <f t="shared" si="61"/>
        <v/>
      </c>
      <c r="CU36" s="758" t="str">
        <f>IF(BG36="","",VLOOKUP(BG36,#REF!,12,FALSE))</f>
        <v/>
      </c>
      <c r="CV36" s="756" t="str">
        <f>IF(BG36="","",IF(ISBLANK(BP36),VLOOKUP(BG36,#REF!,13,FALSE),BP36))</f>
        <v/>
      </c>
      <c r="CW36" s="756" t="str">
        <f>IF(BG36="","",IF(VLOOKUP(BG36,#REF!,5,FALSE)="","R",UPPER(VLOOKUP(BG36,#REF!,5,FALSE))))</f>
        <v/>
      </c>
      <c r="CX36" s="756" t="str">
        <f>IF(BG36="","",IF(ISBLANK(BR36),VLOOKUP(BG36,#REF!,6,FALSE),BR36))</f>
        <v/>
      </c>
      <c r="CY36" s="1203" t="str">
        <f>IF(BG36="","",IF(VLOOKUP(BG36,#REF!,10,FALSE)="","",(IF(BO36="X",VLOOKUP(BG36,#REF!,10,FALSE),VALUE(BO36))*-1)))</f>
        <v/>
      </c>
      <c r="CZ36" s="1042" t="str">
        <f>IF(BG36="","",IF(VLOOKUP(BG36,#REF!,11,FALSE)="","2",(VLOOKUP(BG36,#REF!,11,FALSE))))</f>
        <v/>
      </c>
      <c r="DA36" s="756" t="str">
        <f>IF(BG36="","",IF(VLOOKUP(BG36,#REF!,7,FALSE)="","",(VLOOKUP(BG36,#REF!,7,FALSE)*-1)))</f>
        <v/>
      </c>
      <c r="DB36" s="756" t="str">
        <f>IF(BG36="","",IF(VLOOKUP(BG36,#REF!,8,FALSE)="",VLOOKUP(AU36,$DF$2:$DN$9,6,FALSE),(VLOOKUP(BG36,#REF!,8,FALSE))))</f>
        <v/>
      </c>
      <c r="DC36" s="756" t="str">
        <f>IF(BG36="","",VLOOKUP(BG36,#REF!,9,FALSE))</f>
        <v/>
      </c>
      <c r="DD36" s="757">
        <f t="shared" si="62"/>
        <v>0</v>
      </c>
      <c r="DE36" s="758" t="str">
        <f>IF(BS36="","",VLOOKUP(BS36,#REF!,12,FALSE))</f>
        <v/>
      </c>
      <c r="DF36" s="756" t="str">
        <f>IF(BS36="","",IF(ISBLANK(CB36),VLOOKUP(BS36,#REF!,13,FALSE),CB36))</f>
        <v/>
      </c>
      <c r="DG36" s="756" t="str">
        <f>IF(BS36="","",IF(VLOOKUP(BS36,#REF!,5,FALSE)="","R",UPPER(VLOOKUP(BS36,#REF!,5,FALSE))))</f>
        <v/>
      </c>
      <c r="DH36" s="756" t="str">
        <f>IF(BS36="","",IF(ISBLANK(CD36),VLOOKUP(BS36,#REF!,6,FALSE),CD36))</f>
        <v/>
      </c>
      <c r="DI36" s="1203" t="str">
        <f>IF(BS36="","",IF(VLOOKUP(BS36,#REF!,10,FALSE)="","",(IF(CA36="X",VLOOKUP(BS36,#REF!,10,FALSE),VALUE(CA36))*-1)))</f>
        <v/>
      </c>
      <c r="DJ36" s="1042" t="str">
        <f>IF(BS36="","",IF(VLOOKUP(BS36,#REF!,11,FALSE)="","2",(VLOOKUP(BS36,#REF!,11,FALSE))))</f>
        <v/>
      </c>
      <c r="DK36" s="756" t="str">
        <f>IF(BS36="","",IF(VLOOKUP(BS36,#REF!,7,FALSE)="","",(VLOOKUP(BS36,#REF!,7,FALSE)*-1)))</f>
        <v/>
      </c>
      <c r="DL36" s="756" t="str">
        <f>IF(BS36="","",IF(VLOOKUP(BS36,#REF!,8,FALSE)="",VLOOKUP(AU36,$DF$2:$DN$9,6,FALSE),(VLOOKUP(BS36,#REF!,8,FALSE))))</f>
        <v/>
      </c>
      <c r="DM36" s="756" t="str">
        <f>IF(BS36="","",VLOOKUP(BS36,#REF!,9,FALSE))</f>
        <v/>
      </c>
      <c r="DN36" s="757">
        <f t="shared" si="63"/>
        <v>0</v>
      </c>
      <c r="DO36" s="759">
        <f t="shared" si="64"/>
        <v>0</v>
      </c>
      <c r="DP36" s="763" t="str">
        <f t="shared" si="65"/>
        <v/>
      </c>
      <c r="DQ36" s="763" t="str">
        <f t="shared" si="66"/>
        <v/>
      </c>
      <c r="DR36" s="763" t="str">
        <f t="shared" si="67"/>
        <v/>
      </c>
      <c r="DS36" s="762">
        <f t="shared" si="68"/>
        <v>0</v>
      </c>
      <c r="DT36" s="762" t="e">
        <f t="shared" si="69"/>
        <v>#REF!</v>
      </c>
      <c r="DU36" s="762" t="str">
        <f t="shared" si="70"/>
        <v/>
      </c>
      <c r="DV36" s="763" t="str">
        <f t="shared" si="71"/>
        <v/>
      </c>
      <c r="DW36" s="795" t="str">
        <f t="shared" si="72"/>
        <v/>
      </c>
      <c r="DX36" s="926">
        <f t="shared" si="73"/>
        <v>0</v>
      </c>
      <c r="DY36" s="763">
        <f t="shared" si="74"/>
        <v>0</v>
      </c>
      <c r="DZ36" s="762" t="e">
        <f t="shared" si="75"/>
        <v>#REF!</v>
      </c>
      <c r="EA36" s="762" t="str">
        <f t="shared" si="76"/>
        <v/>
      </c>
      <c r="EB36" s="763" t="str">
        <f t="shared" si="77"/>
        <v/>
      </c>
      <c r="EC36" s="795" t="str">
        <f t="shared" si="78"/>
        <v/>
      </c>
      <c r="ED36" s="926">
        <f t="shared" si="79"/>
        <v>0</v>
      </c>
      <c r="EE36" s="1210" t="str">
        <f t="shared" si="80"/>
        <v/>
      </c>
      <c r="EF36" s="1210" t="str">
        <f t="shared" si="81"/>
        <v/>
      </c>
      <c r="EG36" s="1210" t="str">
        <f t="shared" si="82"/>
        <v/>
      </c>
      <c r="EH36" s="795" t="e">
        <f t="shared" si="83"/>
        <v>#N/A</v>
      </c>
      <c r="EI36" s="795" t="e">
        <f t="shared" si="84"/>
        <v>#N/A</v>
      </c>
      <c r="EJ36" s="763" t="str">
        <f t="shared" si="85"/>
        <v/>
      </c>
      <c r="EK36" s="763" t="str">
        <f t="shared" si="85"/>
        <v/>
      </c>
      <c r="EL36" s="1210" t="str">
        <f t="shared" si="86"/>
        <v/>
      </c>
      <c r="EM36" s="763" t="str">
        <f t="shared" si="87"/>
        <v/>
      </c>
      <c r="EN36" s="763" t="str">
        <f t="shared" si="88"/>
        <v/>
      </c>
      <c r="EO36" s="795" t="e">
        <f t="shared" si="89"/>
        <v>#N/A</v>
      </c>
      <c r="EP36" s="795" t="e">
        <f t="shared" si="90"/>
        <v>#N/A</v>
      </c>
      <c r="EQ36" s="1210" t="str">
        <f t="shared" si="91"/>
        <v/>
      </c>
      <c r="ER36" s="763" t="str">
        <f t="shared" si="91"/>
        <v/>
      </c>
      <c r="ES36" s="763" t="str">
        <f t="shared" si="92"/>
        <v/>
      </c>
      <c r="ET36" s="763" t="str">
        <f t="shared" si="93"/>
        <v/>
      </c>
      <c r="EU36" s="770" t="str">
        <f t="shared" si="94"/>
        <v/>
      </c>
      <c r="EV36" s="765" t="str">
        <f t="shared" si="95"/>
        <v/>
      </c>
      <c r="EW36" s="770"/>
      <c r="EX36" s="770" t="str">
        <f>IF(AND(CU36="G", ISBLANK(BK36), ISBLANK(BL36)),VLOOKUP(MIN(BH36:BI36),#REF!,2),IF(OR(CU36="B",CU36="G"),MIN(BK36:BL36),""))</f>
        <v/>
      </c>
      <c r="EY36" s="770" t="str">
        <f>IF(AND(CU36="G", ISBLANK(BK36), ISBLANK(BL36)),VLOOKUP(MAX(BH36:BI36),#REF!,2),IF(OR(CU36="B",CU36="G"),MAX(BK36:BL36),""))</f>
        <v/>
      </c>
      <c r="EZ36" s="770" t="str">
        <f t="shared" si="96"/>
        <v/>
      </c>
      <c r="FA36" s="770" t="str">
        <f>IF(AND(DE36="G", ISBLANK(BW36), ISBLANK(BX36)),VLOOKUP(MIN(BT36:BU36),#REF!,2),IF(OR(DE36="B", DE36="G"),MIN(BW36:BX36),""))</f>
        <v/>
      </c>
      <c r="FB36" s="770" t="str">
        <f>IF(AND(DE36="G", ISBLANK(BW36), ISBLANK(BX36)),VLOOKUP(MAX(BT36:BU36),#REF!,2),IF(OR(DE36="B", DE36="G"),MAX(BW36:BX36),""))</f>
        <v/>
      </c>
      <c r="FC36" s="770" t="str">
        <f t="shared" si="97"/>
        <v/>
      </c>
      <c r="FD36" s="762">
        <f t="shared" si="124"/>
        <v>0</v>
      </c>
      <c r="FE36" s="762">
        <f t="shared" si="98"/>
        <v>0</v>
      </c>
      <c r="FF36" s="762">
        <f t="shared" si="99"/>
        <v>0</v>
      </c>
      <c r="FG36" s="762" t="str">
        <f t="shared" si="100"/>
        <v/>
      </c>
      <c r="FH36" s="763" t="str">
        <f t="shared" si="101"/>
        <v/>
      </c>
      <c r="FI36" s="762">
        <f t="shared" si="125"/>
        <v>0</v>
      </c>
      <c r="FJ36" s="762">
        <f t="shared" si="102"/>
        <v>0</v>
      </c>
      <c r="FK36" s="762">
        <f t="shared" si="103"/>
        <v>0</v>
      </c>
      <c r="FL36" s="762" t="str">
        <f t="shared" si="104"/>
        <v/>
      </c>
      <c r="FM36" s="763" t="str">
        <f t="shared" si="105"/>
        <v/>
      </c>
      <c r="FN36" s="763" t="e">
        <f t="shared" si="106"/>
        <v>#VALUE!</v>
      </c>
      <c r="FO36" s="872" t="e">
        <f t="shared" si="107"/>
        <v>#VALUE!</v>
      </c>
      <c r="FP36" s="872" t="e">
        <f t="shared" si="108"/>
        <v>#VALUE!</v>
      </c>
      <c r="FQ36" s="771" t="e">
        <f t="shared" si="109"/>
        <v>#VALUE!</v>
      </c>
      <c r="FR36" s="772" t="e">
        <f t="shared" si="110"/>
        <v>#VALUE!</v>
      </c>
      <c r="FS36" s="773" t="str">
        <f t="shared" si="111"/>
        <v/>
      </c>
      <c r="FT36" s="774" t="str">
        <f t="shared" si="112"/>
        <v/>
      </c>
      <c r="FU36" s="809">
        <f t="shared" si="113"/>
        <v>0</v>
      </c>
      <c r="FV36" s="810">
        <f t="shared" si="114"/>
        <v>0</v>
      </c>
      <c r="GA36" s="542" t="str">
        <f t="shared" si="115"/>
        <v/>
      </c>
      <c r="GB36" s="562" t="str">
        <f t="shared" si="116"/>
        <v/>
      </c>
      <c r="GC36" s="564" t="str">
        <f t="shared" si="117"/>
        <v/>
      </c>
      <c r="GD36" s="565" t="str">
        <f t="shared" si="118"/>
        <v/>
      </c>
      <c r="GE36" s="563" t="str">
        <f t="shared" si="119"/>
        <v/>
      </c>
      <c r="GF36" s="543" t="str">
        <f t="shared" si="120"/>
        <v/>
      </c>
      <c r="GG36" s="1052"/>
      <c r="GH36" s="1053"/>
      <c r="GI36" s="1052"/>
      <c r="GJ36" s="1053"/>
      <c r="GK36" s="1521">
        <f t="shared" si="121"/>
        <v>0</v>
      </c>
      <c r="GL36" s="1519" t="e">
        <f t="shared" si="122"/>
        <v>#VALUE!</v>
      </c>
      <c r="GM36" s="1520" t="e">
        <f>IF(ABS(GK36-GL36)&gt;=#REF!,ABS(GK36-GL36),0)</f>
        <v>#VALUE!</v>
      </c>
      <c r="HA36" s="1187"/>
      <c r="HB36" s="1188"/>
      <c r="HC36" s="1188"/>
      <c r="HD36" s="1189"/>
      <c r="HE36" s="1190"/>
      <c r="HF36" s="1188"/>
      <c r="HG36" s="1188"/>
      <c r="HH36" s="1188"/>
      <c r="HI36" s="1191"/>
      <c r="HJ36" s="1188"/>
      <c r="HK36" s="1188"/>
      <c r="HL36" s="1188"/>
      <c r="HM36" s="1188"/>
      <c r="HN36" s="1188"/>
      <c r="HO36" s="1188"/>
      <c r="HP36" s="1188"/>
      <c r="HQ36" s="1191"/>
      <c r="HR36" s="1188"/>
      <c r="HS36" s="1188"/>
      <c r="HT36" s="1188"/>
      <c r="HU36" s="1188"/>
      <c r="HV36" s="1188"/>
      <c r="HW36" s="1190"/>
      <c r="HX36" s="1190"/>
      <c r="HY36" s="1190"/>
      <c r="HZ36" s="1190"/>
      <c r="IA36" s="1190"/>
      <c r="IB36" s="1190"/>
      <c r="IC36" s="1190"/>
      <c r="ID36" s="1190"/>
      <c r="IE36" s="1190"/>
      <c r="IF36" s="1192"/>
    </row>
    <row r="37" spans="1:240" ht="12.6" customHeight="1" x14ac:dyDescent="0.25">
      <c r="A37" s="1132" t="str">
        <f t="shared" si="1"/>
        <v/>
      </c>
      <c r="B37" s="1586" t="str">
        <f t="shared" si="2"/>
        <v/>
      </c>
      <c r="C37" s="1133" t="str">
        <f t="shared" si="3"/>
        <v/>
      </c>
      <c r="D37" s="1134" t="str">
        <f t="shared" si="4"/>
        <v/>
      </c>
      <c r="E37" s="1135" t="str">
        <f t="shared" si="5"/>
        <v/>
      </c>
      <c r="F37" s="1143" t="str">
        <f t="shared" si="6"/>
        <v/>
      </c>
      <c r="G37" s="1138" t="str">
        <f t="shared" si="7"/>
        <v/>
      </c>
      <c r="H37" s="1645" t="str">
        <f t="shared" si="8"/>
        <v/>
      </c>
      <c r="I37" s="1134" t="str">
        <f t="shared" si="9"/>
        <v/>
      </c>
      <c r="J37" s="1138" t="str">
        <f t="shared" si="10"/>
        <v/>
      </c>
      <c r="K37" s="1657" t="str">
        <f t="shared" si="11"/>
        <v/>
      </c>
      <c r="L37" s="1141" t="str">
        <f t="shared" si="12"/>
        <v/>
      </c>
      <c r="M37" s="1142" t="str">
        <f t="shared" si="13"/>
        <v/>
      </c>
      <c r="N37" s="1137" t="str">
        <f t="shared" si="14"/>
        <v/>
      </c>
      <c r="O37" s="1138" t="str">
        <f t="shared" si="15"/>
        <v/>
      </c>
      <c r="P37" s="1139" t="str">
        <f t="shared" si="16"/>
        <v/>
      </c>
      <c r="Q37" s="1134" t="str">
        <f t="shared" si="17"/>
        <v/>
      </c>
      <c r="R37" s="1138" t="str">
        <f t="shared" si="18"/>
        <v/>
      </c>
      <c r="S37" s="1140" t="str">
        <f t="shared" si="19"/>
        <v/>
      </c>
      <c r="T37" s="1143" t="str">
        <f t="shared" si="20"/>
        <v/>
      </c>
      <c r="U37" s="1138" t="str">
        <f t="shared" si="21"/>
        <v/>
      </c>
      <c r="V37" s="1134" t="str">
        <f t="shared" si="22"/>
        <v/>
      </c>
      <c r="W37" s="1138" t="str">
        <f t="shared" si="23"/>
        <v/>
      </c>
      <c r="X37" s="1142">
        <f t="shared" si="24"/>
        <v>0</v>
      </c>
      <c r="Y37" s="1647" t="str">
        <f t="shared" si="25"/>
        <v/>
      </c>
      <c r="Z37" s="1648" t="str">
        <f t="shared" si="26"/>
        <v/>
      </c>
      <c r="AA37" s="1649" t="str">
        <f t="shared" si="27"/>
        <v/>
      </c>
      <c r="AB37" s="1288"/>
      <c r="AC37" s="898" t="b">
        <v>0</v>
      </c>
      <c r="AD37" s="374">
        <f t="shared" si="28"/>
        <v>0</v>
      </c>
      <c r="AE37" s="375">
        <f t="shared" si="29"/>
        <v>0</v>
      </c>
      <c r="AF37" s="375">
        <f t="shared" si="30"/>
        <v>0</v>
      </c>
      <c r="AG37" s="375">
        <f t="shared" si="31"/>
        <v>0</v>
      </c>
      <c r="AH37" s="376">
        <f t="shared" si="32"/>
        <v>0</v>
      </c>
      <c r="AI37" s="377" t="b">
        <v>0</v>
      </c>
      <c r="AJ37" s="143">
        <f t="shared" si="33"/>
        <v>0</v>
      </c>
      <c r="AK37" s="771" t="str">
        <f t="shared" si="34"/>
        <v/>
      </c>
      <c r="AL37" s="877" t="str">
        <f t="shared" si="35"/>
        <v/>
      </c>
      <c r="AM37" s="771" t="str">
        <f t="shared" si="36"/>
        <v/>
      </c>
      <c r="AN37" s="771" t="str">
        <f t="shared" si="37"/>
        <v/>
      </c>
      <c r="AO37" s="771" t="str">
        <f t="shared" si="38"/>
        <v/>
      </c>
      <c r="AP37" s="771" t="b">
        <f>IF(ISERROR(AJ37),FALSE,IF(OR(AJ37=0,ISERROR(AL37),ISERROR(AM37),ISERROR(AN37),ISERROR(AO37)),FALSE,IF(AL37&lt;&gt;"",IF(ISERROR(VLOOKUP(SUBSTITUTE(SUBSTITUTE(C37,"R",""),"A",""),#REF!,1,FALSE)),FALSE,TRUE),TRUE)))</f>
        <v>0</v>
      </c>
      <c r="AQ37" s="945" t="e">
        <f t="shared" si="39"/>
        <v>#N/A</v>
      </c>
      <c r="AR37" s="877" t="b">
        <f t="shared" si="40"/>
        <v>0</v>
      </c>
      <c r="AS37" s="945" t="e">
        <f t="shared" si="41"/>
        <v>#N/A</v>
      </c>
      <c r="AT37" s="877" t="b">
        <f t="shared" si="42"/>
        <v>0</v>
      </c>
      <c r="AU37" s="878" t="str">
        <f t="shared" si="43"/>
        <v/>
      </c>
      <c r="AV37" s="771" t="str">
        <f t="shared" si="44"/>
        <v/>
      </c>
      <c r="AW37" s="771" t="str">
        <f t="shared" si="45"/>
        <v/>
      </c>
      <c r="AX37" s="771" t="str">
        <f t="shared" si="123"/>
        <v/>
      </c>
      <c r="AY37" s="946" t="e">
        <f t="shared" si="46"/>
        <v>#REF!</v>
      </c>
      <c r="AZ37" s="795" t="str">
        <f t="shared" si="47"/>
        <v/>
      </c>
      <c r="BA37" s="496"/>
      <c r="BB37" s="616"/>
      <c r="BC37" s="1567"/>
      <c r="BD37" s="682"/>
      <c r="BE37" s="683"/>
      <c r="BF37" s="684"/>
      <c r="BG37" s="660"/>
      <c r="BH37" s="901"/>
      <c r="BI37" s="902"/>
      <c r="BJ37" s="1508"/>
      <c r="BK37" s="661"/>
      <c r="BL37" s="662"/>
      <c r="BM37" s="663"/>
      <c r="BN37" s="664"/>
      <c r="BO37" s="616" t="str">
        <f>IF(ISERROR(CU37),"",IF(CU37="","",IF(VLOOKUP(BG37,#REF!,10,FALSE)="","","X")))</f>
        <v/>
      </c>
      <c r="BP37" s="687"/>
      <c r="BQ37" s="1430" t="str">
        <f t="shared" si="48"/>
        <v/>
      </c>
      <c r="BR37" s="839"/>
      <c r="BS37" s="660"/>
      <c r="BT37" s="661"/>
      <c r="BU37" s="662"/>
      <c r="BV37" s="1508"/>
      <c r="BW37" s="661"/>
      <c r="BX37" s="662"/>
      <c r="BY37" s="663"/>
      <c r="BZ37" s="664"/>
      <c r="CA37" s="625" t="str">
        <f>IF(ISERROR(DE37),"",IF(DE37="","",IF(VLOOKUP(BS37,#REF!,10,FALSE)="","","X")))</f>
        <v/>
      </c>
      <c r="CB37" s="687"/>
      <c r="CC37" s="1430" t="str">
        <f t="shared" si="49"/>
        <v/>
      </c>
      <c r="CD37" s="839"/>
      <c r="CE37" s="665"/>
      <c r="CF37" s="685"/>
      <c r="CG37" s="686"/>
      <c r="CH37" s="534" t="str">
        <f t="shared" si="50"/>
        <v/>
      </c>
      <c r="CI37" s="535" t="str">
        <f t="shared" si="51"/>
        <v/>
      </c>
      <c r="CJ37" s="536" t="str">
        <f t="shared" si="52"/>
        <v/>
      </c>
      <c r="CK37" s="537" t="str">
        <f t="shared" si="53"/>
        <v/>
      </c>
      <c r="CL37" s="538" t="str">
        <f t="shared" si="54"/>
        <v/>
      </c>
      <c r="CM37" s="539" t="str">
        <f t="shared" si="55"/>
        <v/>
      </c>
      <c r="CN37" s="540" t="str">
        <f t="shared" si="56"/>
        <v/>
      </c>
      <c r="CO37" s="541" t="str">
        <f t="shared" si="57"/>
        <v/>
      </c>
      <c r="CP37" s="558" t="str">
        <f t="shared" si="58"/>
        <v/>
      </c>
      <c r="CQ37" s="559" t="str">
        <f t="shared" si="59"/>
        <v/>
      </c>
      <c r="CR37" s="699" t="str">
        <f t="shared" si="60"/>
        <v/>
      </c>
      <c r="CS37" s="700" t="str">
        <f t="shared" si="61"/>
        <v/>
      </c>
      <c r="CU37" s="758" t="str">
        <f>IF(BG37="","",VLOOKUP(BG37,#REF!,12,FALSE))</f>
        <v/>
      </c>
      <c r="CV37" s="756" t="str">
        <f>IF(BG37="","",IF(ISBLANK(BP37),VLOOKUP(BG37,#REF!,13,FALSE),BP37))</f>
        <v/>
      </c>
      <c r="CW37" s="756" t="str">
        <f>IF(BG37="","",IF(VLOOKUP(BG37,#REF!,5,FALSE)="","R",UPPER(VLOOKUP(BG37,#REF!,5,FALSE))))</f>
        <v/>
      </c>
      <c r="CX37" s="756" t="str">
        <f>IF(BG37="","",IF(ISBLANK(BR37),VLOOKUP(BG37,#REF!,6,FALSE),BR37))</f>
        <v/>
      </c>
      <c r="CY37" s="1203" t="str">
        <f>IF(BG37="","",IF(VLOOKUP(BG37,#REF!,10,FALSE)="","",(IF(BO37="X",VLOOKUP(BG37,#REF!,10,FALSE),VALUE(BO37))*-1)))</f>
        <v/>
      </c>
      <c r="CZ37" s="1042" t="str">
        <f>IF(BG37="","",IF(VLOOKUP(BG37,#REF!,11,FALSE)="","2",(VLOOKUP(BG37,#REF!,11,FALSE))))</f>
        <v/>
      </c>
      <c r="DA37" s="756" t="str">
        <f>IF(BG37="","",IF(VLOOKUP(BG37,#REF!,7,FALSE)="","",(VLOOKUP(BG37,#REF!,7,FALSE)*-1)))</f>
        <v/>
      </c>
      <c r="DB37" s="756" t="str">
        <f>IF(BG37="","",IF(VLOOKUP(BG37,#REF!,8,FALSE)="",VLOOKUP(AU37,$DF$2:$DN$9,6,FALSE),(VLOOKUP(BG37,#REF!,8,FALSE))))</f>
        <v/>
      </c>
      <c r="DC37" s="756" t="str">
        <f>IF(BG37="","",VLOOKUP(BG37,#REF!,9,FALSE))</f>
        <v/>
      </c>
      <c r="DD37" s="757">
        <f t="shared" si="62"/>
        <v>0</v>
      </c>
      <c r="DE37" s="758" t="str">
        <f>IF(BS37="","",VLOOKUP(BS37,#REF!,12,FALSE))</f>
        <v/>
      </c>
      <c r="DF37" s="756" t="str">
        <f>IF(BS37="","",IF(ISBLANK(CB37),VLOOKUP(BS37,#REF!,13,FALSE),CB37))</f>
        <v/>
      </c>
      <c r="DG37" s="756" t="str">
        <f>IF(BS37="","",IF(VLOOKUP(BS37,#REF!,5,FALSE)="","R",UPPER(VLOOKUP(BS37,#REF!,5,FALSE))))</f>
        <v/>
      </c>
      <c r="DH37" s="756" t="str">
        <f>IF(BS37="","",IF(ISBLANK(CD37),VLOOKUP(BS37,#REF!,6,FALSE),CD37))</f>
        <v/>
      </c>
      <c r="DI37" s="1203" t="str">
        <f>IF(BS37="","",IF(VLOOKUP(BS37,#REF!,10,FALSE)="","",(IF(CA37="X",VLOOKUP(BS37,#REF!,10,FALSE),VALUE(CA37))*-1)))</f>
        <v/>
      </c>
      <c r="DJ37" s="1042" t="str">
        <f>IF(BS37="","",IF(VLOOKUP(BS37,#REF!,11,FALSE)="","2",(VLOOKUP(BS37,#REF!,11,FALSE))))</f>
        <v/>
      </c>
      <c r="DK37" s="756" t="str">
        <f>IF(BS37="","",IF(VLOOKUP(BS37,#REF!,7,FALSE)="","",(VLOOKUP(BS37,#REF!,7,FALSE)*-1)))</f>
        <v/>
      </c>
      <c r="DL37" s="756" t="str">
        <f>IF(BS37="","",IF(VLOOKUP(BS37,#REF!,8,FALSE)="",VLOOKUP(AU37,$DF$2:$DN$9,6,FALSE),(VLOOKUP(BS37,#REF!,8,FALSE))))</f>
        <v/>
      </c>
      <c r="DM37" s="756" t="str">
        <f>IF(BS37="","",VLOOKUP(BS37,#REF!,9,FALSE))</f>
        <v/>
      </c>
      <c r="DN37" s="757">
        <f t="shared" si="63"/>
        <v>0</v>
      </c>
      <c r="DO37" s="759">
        <f t="shared" si="64"/>
        <v>0</v>
      </c>
      <c r="DP37" s="763" t="str">
        <f t="shared" si="65"/>
        <v/>
      </c>
      <c r="DQ37" s="763" t="str">
        <f t="shared" si="66"/>
        <v/>
      </c>
      <c r="DR37" s="763" t="str">
        <f t="shared" si="67"/>
        <v/>
      </c>
      <c r="DS37" s="762">
        <f t="shared" si="68"/>
        <v>0</v>
      </c>
      <c r="DT37" s="762" t="e">
        <f t="shared" si="69"/>
        <v>#REF!</v>
      </c>
      <c r="DU37" s="762" t="str">
        <f t="shared" si="70"/>
        <v/>
      </c>
      <c r="DV37" s="763" t="str">
        <f t="shared" si="71"/>
        <v/>
      </c>
      <c r="DW37" s="795" t="str">
        <f t="shared" si="72"/>
        <v/>
      </c>
      <c r="DX37" s="926">
        <f t="shared" si="73"/>
        <v>0</v>
      </c>
      <c r="DY37" s="763">
        <f t="shared" si="74"/>
        <v>0</v>
      </c>
      <c r="DZ37" s="762" t="e">
        <f t="shared" si="75"/>
        <v>#REF!</v>
      </c>
      <c r="EA37" s="762" t="str">
        <f t="shared" si="76"/>
        <v/>
      </c>
      <c r="EB37" s="763" t="str">
        <f t="shared" si="77"/>
        <v/>
      </c>
      <c r="EC37" s="795" t="str">
        <f t="shared" si="78"/>
        <v/>
      </c>
      <c r="ED37" s="926">
        <f t="shared" si="79"/>
        <v>0</v>
      </c>
      <c r="EE37" s="1210" t="str">
        <f t="shared" si="80"/>
        <v/>
      </c>
      <c r="EF37" s="1210" t="str">
        <f t="shared" si="81"/>
        <v/>
      </c>
      <c r="EG37" s="1210" t="str">
        <f t="shared" si="82"/>
        <v/>
      </c>
      <c r="EH37" s="795" t="e">
        <f t="shared" si="83"/>
        <v>#N/A</v>
      </c>
      <c r="EI37" s="795" t="e">
        <f t="shared" si="84"/>
        <v>#N/A</v>
      </c>
      <c r="EJ37" s="763" t="str">
        <f t="shared" si="85"/>
        <v/>
      </c>
      <c r="EK37" s="763" t="str">
        <f t="shared" si="85"/>
        <v/>
      </c>
      <c r="EL37" s="1210" t="str">
        <f t="shared" si="86"/>
        <v/>
      </c>
      <c r="EM37" s="763" t="str">
        <f t="shared" si="87"/>
        <v/>
      </c>
      <c r="EN37" s="763" t="str">
        <f t="shared" si="88"/>
        <v/>
      </c>
      <c r="EO37" s="795" t="e">
        <f t="shared" si="89"/>
        <v>#N/A</v>
      </c>
      <c r="EP37" s="795" t="e">
        <f t="shared" si="90"/>
        <v>#N/A</v>
      </c>
      <c r="EQ37" s="1210" t="str">
        <f t="shared" si="91"/>
        <v/>
      </c>
      <c r="ER37" s="763" t="str">
        <f t="shared" si="91"/>
        <v/>
      </c>
      <c r="ES37" s="763" t="str">
        <f t="shared" si="92"/>
        <v/>
      </c>
      <c r="ET37" s="763" t="str">
        <f t="shared" si="93"/>
        <v/>
      </c>
      <c r="EU37" s="770" t="str">
        <f t="shared" si="94"/>
        <v/>
      </c>
      <c r="EV37" s="765" t="str">
        <f t="shared" si="95"/>
        <v/>
      </c>
      <c r="EW37" s="770"/>
      <c r="EX37" s="770" t="str">
        <f>IF(AND(CU37="G", ISBLANK(BK37), ISBLANK(BL37)),VLOOKUP(MIN(BH37:BI37),#REF!,2),IF(OR(CU37="B",CU37="G"),MIN(BK37:BL37),""))</f>
        <v/>
      </c>
      <c r="EY37" s="770" t="str">
        <f>IF(AND(CU37="G", ISBLANK(BK37), ISBLANK(BL37)),VLOOKUP(MAX(BH37:BI37),#REF!,2),IF(OR(CU37="B",CU37="G"),MAX(BK37:BL37),""))</f>
        <v/>
      </c>
      <c r="EZ37" s="770" t="str">
        <f t="shared" si="96"/>
        <v/>
      </c>
      <c r="FA37" s="770" t="str">
        <f>IF(AND(DE37="G", ISBLANK(BW37), ISBLANK(BX37)),VLOOKUP(MIN(BT37:BU37),#REF!,2),IF(OR(DE37="B", DE37="G"),MIN(BW37:BX37),""))</f>
        <v/>
      </c>
      <c r="FB37" s="770" t="str">
        <f>IF(AND(DE37="G", ISBLANK(BW37), ISBLANK(BX37)),VLOOKUP(MAX(BT37:BU37),#REF!,2),IF(OR(DE37="B", DE37="G"),MAX(BW37:BX37),""))</f>
        <v/>
      </c>
      <c r="FC37" s="770" t="str">
        <f t="shared" si="97"/>
        <v/>
      </c>
      <c r="FD37" s="762">
        <f t="shared" si="124"/>
        <v>0</v>
      </c>
      <c r="FE37" s="762">
        <f t="shared" si="98"/>
        <v>0</v>
      </c>
      <c r="FF37" s="762">
        <f t="shared" si="99"/>
        <v>0</v>
      </c>
      <c r="FG37" s="762" t="str">
        <f t="shared" si="100"/>
        <v/>
      </c>
      <c r="FH37" s="763" t="str">
        <f t="shared" si="101"/>
        <v/>
      </c>
      <c r="FI37" s="762">
        <f t="shared" si="125"/>
        <v>0</v>
      </c>
      <c r="FJ37" s="762">
        <f t="shared" si="102"/>
        <v>0</v>
      </c>
      <c r="FK37" s="762">
        <f t="shared" si="103"/>
        <v>0</v>
      </c>
      <c r="FL37" s="762" t="str">
        <f t="shared" si="104"/>
        <v/>
      </c>
      <c r="FM37" s="763" t="str">
        <f t="shared" si="105"/>
        <v/>
      </c>
      <c r="FN37" s="763" t="e">
        <f t="shared" si="106"/>
        <v>#VALUE!</v>
      </c>
      <c r="FO37" s="872" t="e">
        <f t="shared" si="107"/>
        <v>#VALUE!</v>
      </c>
      <c r="FP37" s="872" t="e">
        <f t="shared" si="108"/>
        <v>#VALUE!</v>
      </c>
      <c r="FQ37" s="771" t="e">
        <f t="shared" si="109"/>
        <v>#VALUE!</v>
      </c>
      <c r="FR37" s="772" t="e">
        <f t="shared" si="110"/>
        <v>#VALUE!</v>
      </c>
      <c r="FS37" s="773" t="str">
        <f t="shared" si="111"/>
        <v/>
      </c>
      <c r="FT37" s="774" t="str">
        <f t="shared" si="112"/>
        <v/>
      </c>
      <c r="FU37" s="809">
        <f t="shared" si="113"/>
        <v>0</v>
      </c>
      <c r="FV37" s="810">
        <f t="shared" si="114"/>
        <v>0</v>
      </c>
      <c r="GA37" s="542" t="str">
        <f t="shared" si="115"/>
        <v/>
      </c>
      <c r="GB37" s="562" t="str">
        <f t="shared" si="116"/>
        <v/>
      </c>
      <c r="GC37" s="564" t="str">
        <f t="shared" si="117"/>
        <v/>
      </c>
      <c r="GD37" s="565" t="str">
        <f t="shared" si="118"/>
        <v/>
      </c>
      <c r="GE37" s="563" t="str">
        <f t="shared" si="119"/>
        <v/>
      </c>
      <c r="GF37" s="543" t="str">
        <f t="shared" si="120"/>
        <v/>
      </c>
      <c r="GG37" s="1052"/>
      <c r="GH37" s="1053"/>
      <c r="GI37" s="1052"/>
      <c r="GJ37" s="1053"/>
      <c r="GK37" s="1521">
        <f t="shared" si="121"/>
        <v>0</v>
      </c>
      <c r="GL37" s="1519" t="e">
        <f t="shared" si="122"/>
        <v>#VALUE!</v>
      </c>
      <c r="GM37" s="1520" t="e">
        <f>IF(ABS(GK37-GL37)&gt;=#REF!,ABS(GK37-GL37),0)</f>
        <v>#VALUE!</v>
      </c>
      <c r="HA37" s="1187"/>
      <c r="HB37" s="1188"/>
      <c r="HC37" s="1188"/>
      <c r="HD37" s="1189"/>
      <c r="HE37" s="1190"/>
      <c r="HF37" s="1188"/>
      <c r="HG37" s="1188"/>
      <c r="HH37" s="1188"/>
      <c r="HI37" s="1191"/>
      <c r="HJ37" s="1188"/>
      <c r="HK37" s="1188"/>
      <c r="HL37" s="1188"/>
      <c r="HM37" s="1188"/>
      <c r="HN37" s="1188"/>
      <c r="HO37" s="1188"/>
      <c r="HP37" s="1188"/>
      <c r="HQ37" s="1191"/>
      <c r="HR37" s="1188"/>
      <c r="HS37" s="1188"/>
      <c r="HT37" s="1188"/>
      <c r="HU37" s="1188"/>
      <c r="HV37" s="1188"/>
      <c r="HW37" s="1190"/>
      <c r="HX37" s="1190"/>
      <c r="HY37" s="1190"/>
      <c r="HZ37" s="1190"/>
      <c r="IA37" s="1190"/>
      <c r="IB37" s="1190"/>
      <c r="IC37" s="1190"/>
      <c r="ID37" s="1190"/>
      <c r="IE37" s="1190"/>
      <c r="IF37" s="1192"/>
    </row>
    <row r="38" spans="1:240" ht="12.6" customHeight="1" x14ac:dyDescent="0.25">
      <c r="A38" s="1132" t="str">
        <f t="shared" si="1"/>
        <v/>
      </c>
      <c r="B38" s="1586" t="str">
        <f t="shared" si="2"/>
        <v/>
      </c>
      <c r="C38" s="1133" t="str">
        <f t="shared" si="3"/>
        <v/>
      </c>
      <c r="D38" s="1134" t="str">
        <f t="shared" si="4"/>
        <v/>
      </c>
      <c r="E38" s="1135" t="str">
        <f t="shared" si="5"/>
        <v/>
      </c>
      <c r="F38" s="1143" t="str">
        <f t="shared" si="6"/>
        <v/>
      </c>
      <c r="G38" s="1138" t="str">
        <f t="shared" si="7"/>
        <v/>
      </c>
      <c r="H38" s="1645" t="str">
        <f t="shared" si="8"/>
        <v/>
      </c>
      <c r="I38" s="1134" t="str">
        <f t="shared" si="9"/>
        <v/>
      </c>
      <c r="J38" s="1138" t="str">
        <f t="shared" si="10"/>
        <v/>
      </c>
      <c r="K38" s="1657" t="str">
        <f t="shared" si="11"/>
        <v/>
      </c>
      <c r="L38" s="1141" t="str">
        <f t="shared" si="12"/>
        <v/>
      </c>
      <c r="M38" s="1142" t="str">
        <f t="shared" si="13"/>
        <v/>
      </c>
      <c r="N38" s="1137" t="str">
        <f t="shared" si="14"/>
        <v/>
      </c>
      <c r="O38" s="1138" t="str">
        <f t="shared" si="15"/>
        <v/>
      </c>
      <c r="P38" s="1139" t="str">
        <f t="shared" si="16"/>
        <v/>
      </c>
      <c r="Q38" s="1134" t="str">
        <f t="shared" si="17"/>
        <v/>
      </c>
      <c r="R38" s="1138" t="str">
        <f t="shared" si="18"/>
        <v/>
      </c>
      <c r="S38" s="1140" t="str">
        <f t="shared" si="19"/>
        <v/>
      </c>
      <c r="T38" s="1143" t="str">
        <f t="shared" si="20"/>
        <v/>
      </c>
      <c r="U38" s="1138" t="str">
        <f t="shared" si="21"/>
        <v/>
      </c>
      <c r="V38" s="1134" t="str">
        <f t="shared" si="22"/>
        <v/>
      </c>
      <c r="W38" s="1138" t="str">
        <f t="shared" si="23"/>
        <v/>
      </c>
      <c r="X38" s="1142">
        <f t="shared" si="24"/>
        <v>0</v>
      </c>
      <c r="Y38" s="1647" t="str">
        <f t="shared" si="25"/>
        <v/>
      </c>
      <c r="Z38" s="1648" t="str">
        <f t="shared" si="26"/>
        <v/>
      </c>
      <c r="AA38" s="1649" t="str">
        <f t="shared" si="27"/>
        <v/>
      </c>
      <c r="AB38" s="1288"/>
      <c r="AC38" s="898" t="b">
        <v>0</v>
      </c>
      <c r="AD38" s="374">
        <f t="shared" si="28"/>
        <v>0</v>
      </c>
      <c r="AE38" s="375">
        <f t="shared" si="29"/>
        <v>0</v>
      </c>
      <c r="AF38" s="375">
        <f t="shared" si="30"/>
        <v>0</v>
      </c>
      <c r="AG38" s="375">
        <f t="shared" si="31"/>
        <v>0</v>
      </c>
      <c r="AH38" s="376">
        <f t="shared" si="32"/>
        <v>0</v>
      </c>
      <c r="AI38" s="377" t="b">
        <v>0</v>
      </c>
      <c r="AJ38" s="143">
        <f t="shared" si="33"/>
        <v>0</v>
      </c>
      <c r="AK38" s="771" t="str">
        <f t="shared" si="34"/>
        <v/>
      </c>
      <c r="AL38" s="877" t="str">
        <f t="shared" si="35"/>
        <v/>
      </c>
      <c r="AM38" s="771" t="str">
        <f t="shared" si="36"/>
        <v/>
      </c>
      <c r="AN38" s="771" t="str">
        <f t="shared" si="37"/>
        <v/>
      </c>
      <c r="AO38" s="771" t="str">
        <f t="shared" si="38"/>
        <v/>
      </c>
      <c r="AP38" s="771" t="b">
        <f>IF(ISERROR(AJ38),FALSE,IF(OR(AJ38=0,ISERROR(AL38),ISERROR(AM38),ISERROR(AN38),ISERROR(AO38)),FALSE,IF(AL38&lt;&gt;"",IF(ISERROR(VLOOKUP(SUBSTITUTE(SUBSTITUTE(C38,"R",""),"A",""),#REF!,1,FALSE)),FALSE,TRUE),TRUE)))</f>
        <v>0</v>
      </c>
      <c r="AQ38" s="945" t="e">
        <f t="shared" si="39"/>
        <v>#N/A</v>
      </c>
      <c r="AR38" s="877" t="b">
        <f t="shared" si="40"/>
        <v>0</v>
      </c>
      <c r="AS38" s="945" t="e">
        <f t="shared" si="41"/>
        <v>#N/A</v>
      </c>
      <c r="AT38" s="877" t="b">
        <f t="shared" si="42"/>
        <v>0</v>
      </c>
      <c r="AU38" s="878" t="str">
        <f t="shared" si="43"/>
        <v/>
      </c>
      <c r="AV38" s="771" t="str">
        <f t="shared" si="44"/>
        <v/>
      </c>
      <c r="AW38" s="771" t="str">
        <f t="shared" si="45"/>
        <v/>
      </c>
      <c r="AX38" s="771" t="str">
        <f t="shared" si="123"/>
        <v/>
      </c>
      <c r="AY38" s="946" t="e">
        <f t="shared" si="46"/>
        <v>#REF!</v>
      </c>
      <c r="AZ38" s="795" t="str">
        <f t="shared" si="47"/>
        <v/>
      </c>
      <c r="BA38" s="496"/>
      <c r="BB38" s="616"/>
      <c r="BC38" s="1567"/>
      <c r="BD38" s="682"/>
      <c r="BE38" s="683"/>
      <c r="BF38" s="684"/>
      <c r="BG38" s="660"/>
      <c r="BH38" s="901"/>
      <c r="BI38" s="902"/>
      <c r="BJ38" s="1508"/>
      <c r="BK38" s="661"/>
      <c r="BL38" s="662"/>
      <c r="BM38" s="663"/>
      <c r="BN38" s="664"/>
      <c r="BO38" s="616" t="str">
        <f>IF(ISERROR(CU38),"",IF(CU38="","",IF(VLOOKUP(BG38,#REF!,10,FALSE)="","","X")))</f>
        <v/>
      </c>
      <c r="BP38" s="687"/>
      <c r="BQ38" s="1430" t="str">
        <f t="shared" si="48"/>
        <v/>
      </c>
      <c r="BR38" s="839"/>
      <c r="BS38" s="660"/>
      <c r="BT38" s="661"/>
      <c r="BU38" s="662"/>
      <c r="BV38" s="1508"/>
      <c r="BW38" s="661"/>
      <c r="BX38" s="662"/>
      <c r="BY38" s="663"/>
      <c r="BZ38" s="664"/>
      <c r="CA38" s="625" t="str">
        <f>IF(ISERROR(DE38),"",IF(DE38="","",IF(VLOOKUP(BS38,#REF!,10,FALSE)="","","X")))</f>
        <v/>
      </c>
      <c r="CB38" s="687"/>
      <c r="CC38" s="1430" t="str">
        <f t="shared" si="49"/>
        <v/>
      </c>
      <c r="CD38" s="839"/>
      <c r="CE38" s="665"/>
      <c r="CF38" s="685"/>
      <c r="CG38" s="686"/>
      <c r="CH38" s="534" t="str">
        <f t="shared" si="50"/>
        <v/>
      </c>
      <c r="CI38" s="535" t="str">
        <f t="shared" si="51"/>
        <v/>
      </c>
      <c r="CJ38" s="536" t="str">
        <f t="shared" si="52"/>
        <v/>
      </c>
      <c r="CK38" s="537" t="str">
        <f t="shared" si="53"/>
        <v/>
      </c>
      <c r="CL38" s="538" t="str">
        <f t="shared" si="54"/>
        <v/>
      </c>
      <c r="CM38" s="539" t="str">
        <f t="shared" si="55"/>
        <v/>
      </c>
      <c r="CN38" s="540" t="str">
        <f t="shared" si="56"/>
        <v/>
      </c>
      <c r="CO38" s="541" t="str">
        <f t="shared" si="57"/>
        <v/>
      </c>
      <c r="CP38" s="558" t="str">
        <f t="shared" si="58"/>
        <v/>
      </c>
      <c r="CQ38" s="559" t="str">
        <f t="shared" si="59"/>
        <v/>
      </c>
      <c r="CR38" s="699" t="str">
        <f t="shared" si="60"/>
        <v/>
      </c>
      <c r="CS38" s="700" t="str">
        <f t="shared" si="61"/>
        <v/>
      </c>
      <c r="CU38" s="758" t="str">
        <f>IF(BG38="","",VLOOKUP(BG38,#REF!,12,FALSE))</f>
        <v/>
      </c>
      <c r="CV38" s="756" t="str">
        <f>IF(BG38="","",IF(ISBLANK(BP38),VLOOKUP(BG38,#REF!,13,FALSE),BP38))</f>
        <v/>
      </c>
      <c r="CW38" s="756" t="str">
        <f>IF(BG38="","",IF(VLOOKUP(BG38,#REF!,5,FALSE)="","R",UPPER(VLOOKUP(BG38,#REF!,5,FALSE))))</f>
        <v/>
      </c>
      <c r="CX38" s="756" t="str">
        <f>IF(BG38="","",IF(ISBLANK(BR38),VLOOKUP(BG38,#REF!,6,FALSE),BR38))</f>
        <v/>
      </c>
      <c r="CY38" s="1203" t="str">
        <f>IF(BG38="","",IF(VLOOKUP(BG38,#REF!,10,FALSE)="","",(IF(BO38="X",VLOOKUP(BG38,#REF!,10,FALSE),VALUE(BO38))*-1)))</f>
        <v/>
      </c>
      <c r="CZ38" s="1042" t="str">
        <f>IF(BG38="","",IF(VLOOKUP(BG38,#REF!,11,FALSE)="","2",(VLOOKUP(BG38,#REF!,11,FALSE))))</f>
        <v/>
      </c>
      <c r="DA38" s="756" t="str">
        <f>IF(BG38="","",IF(VLOOKUP(BG38,#REF!,7,FALSE)="","",(VLOOKUP(BG38,#REF!,7,FALSE)*-1)))</f>
        <v/>
      </c>
      <c r="DB38" s="756" t="str">
        <f>IF(BG38="","",IF(VLOOKUP(BG38,#REF!,8,FALSE)="",VLOOKUP(AU38,$DF$2:$DN$9,6,FALSE),(VLOOKUP(BG38,#REF!,8,FALSE))))</f>
        <v/>
      </c>
      <c r="DC38" s="756" t="str">
        <f>IF(BG38="","",VLOOKUP(BG38,#REF!,9,FALSE))</f>
        <v/>
      </c>
      <c r="DD38" s="757">
        <f t="shared" si="62"/>
        <v>0</v>
      </c>
      <c r="DE38" s="758" t="str">
        <f>IF(BS38="","",VLOOKUP(BS38,#REF!,12,FALSE))</f>
        <v/>
      </c>
      <c r="DF38" s="756" t="str">
        <f>IF(BS38="","",IF(ISBLANK(CB38),VLOOKUP(BS38,#REF!,13,FALSE),CB38))</f>
        <v/>
      </c>
      <c r="DG38" s="756" t="str">
        <f>IF(BS38="","",IF(VLOOKUP(BS38,#REF!,5,FALSE)="","R",UPPER(VLOOKUP(BS38,#REF!,5,FALSE))))</f>
        <v/>
      </c>
      <c r="DH38" s="756" t="str">
        <f>IF(BS38="","",IF(ISBLANK(CD38),VLOOKUP(BS38,#REF!,6,FALSE),CD38))</f>
        <v/>
      </c>
      <c r="DI38" s="1203" t="str">
        <f>IF(BS38="","",IF(VLOOKUP(BS38,#REF!,10,FALSE)="","",(IF(CA38="X",VLOOKUP(BS38,#REF!,10,FALSE),VALUE(CA38))*-1)))</f>
        <v/>
      </c>
      <c r="DJ38" s="1042" t="str">
        <f>IF(BS38="","",IF(VLOOKUP(BS38,#REF!,11,FALSE)="","2",(VLOOKUP(BS38,#REF!,11,FALSE))))</f>
        <v/>
      </c>
      <c r="DK38" s="756" t="str">
        <f>IF(BS38="","",IF(VLOOKUP(BS38,#REF!,7,FALSE)="","",(VLOOKUP(BS38,#REF!,7,FALSE)*-1)))</f>
        <v/>
      </c>
      <c r="DL38" s="756" t="str">
        <f>IF(BS38="","",IF(VLOOKUP(BS38,#REF!,8,FALSE)="",VLOOKUP(AU38,$DF$2:$DN$9,6,FALSE),(VLOOKUP(BS38,#REF!,8,FALSE))))</f>
        <v/>
      </c>
      <c r="DM38" s="756" t="str">
        <f>IF(BS38="","",VLOOKUP(BS38,#REF!,9,FALSE))</f>
        <v/>
      </c>
      <c r="DN38" s="757">
        <f t="shared" si="63"/>
        <v>0</v>
      </c>
      <c r="DO38" s="759">
        <f t="shared" si="64"/>
        <v>0</v>
      </c>
      <c r="DP38" s="763" t="str">
        <f t="shared" si="65"/>
        <v/>
      </c>
      <c r="DQ38" s="763" t="str">
        <f t="shared" si="66"/>
        <v/>
      </c>
      <c r="DR38" s="763" t="str">
        <f t="shared" si="67"/>
        <v/>
      </c>
      <c r="DS38" s="762">
        <f t="shared" si="68"/>
        <v>0</v>
      </c>
      <c r="DT38" s="762" t="e">
        <f t="shared" si="69"/>
        <v>#REF!</v>
      </c>
      <c r="DU38" s="762" t="str">
        <f t="shared" si="70"/>
        <v/>
      </c>
      <c r="DV38" s="763" t="str">
        <f t="shared" si="71"/>
        <v/>
      </c>
      <c r="DW38" s="795" t="str">
        <f t="shared" si="72"/>
        <v/>
      </c>
      <c r="DX38" s="926">
        <f t="shared" si="73"/>
        <v>0</v>
      </c>
      <c r="DY38" s="763">
        <f t="shared" si="74"/>
        <v>0</v>
      </c>
      <c r="DZ38" s="762" t="e">
        <f t="shared" si="75"/>
        <v>#REF!</v>
      </c>
      <c r="EA38" s="762" t="str">
        <f t="shared" si="76"/>
        <v/>
      </c>
      <c r="EB38" s="763" t="str">
        <f t="shared" si="77"/>
        <v/>
      </c>
      <c r="EC38" s="795" t="str">
        <f t="shared" si="78"/>
        <v/>
      </c>
      <c r="ED38" s="926">
        <f t="shared" si="79"/>
        <v>0</v>
      </c>
      <c r="EE38" s="1210" t="str">
        <f t="shared" si="80"/>
        <v/>
      </c>
      <c r="EF38" s="1210" t="str">
        <f t="shared" si="81"/>
        <v/>
      </c>
      <c r="EG38" s="1210" t="str">
        <f t="shared" si="82"/>
        <v/>
      </c>
      <c r="EH38" s="795" t="e">
        <f t="shared" si="83"/>
        <v>#N/A</v>
      </c>
      <c r="EI38" s="795" t="e">
        <f t="shared" si="84"/>
        <v>#N/A</v>
      </c>
      <c r="EJ38" s="763" t="str">
        <f t="shared" si="85"/>
        <v/>
      </c>
      <c r="EK38" s="763" t="str">
        <f t="shared" si="85"/>
        <v/>
      </c>
      <c r="EL38" s="1210" t="str">
        <f t="shared" si="86"/>
        <v/>
      </c>
      <c r="EM38" s="763" t="str">
        <f t="shared" si="87"/>
        <v/>
      </c>
      <c r="EN38" s="763" t="str">
        <f t="shared" si="88"/>
        <v/>
      </c>
      <c r="EO38" s="795" t="e">
        <f t="shared" si="89"/>
        <v>#N/A</v>
      </c>
      <c r="EP38" s="795" t="e">
        <f t="shared" si="90"/>
        <v>#N/A</v>
      </c>
      <c r="EQ38" s="1210" t="str">
        <f t="shared" si="91"/>
        <v/>
      </c>
      <c r="ER38" s="763" t="str">
        <f t="shared" si="91"/>
        <v/>
      </c>
      <c r="ES38" s="763" t="str">
        <f t="shared" si="92"/>
        <v/>
      </c>
      <c r="ET38" s="763" t="str">
        <f t="shared" si="93"/>
        <v/>
      </c>
      <c r="EU38" s="770" t="str">
        <f t="shared" si="94"/>
        <v/>
      </c>
      <c r="EV38" s="765" t="str">
        <f t="shared" si="95"/>
        <v/>
      </c>
      <c r="EW38" s="770"/>
      <c r="EX38" s="770" t="str">
        <f>IF(AND(CU38="G", ISBLANK(BK38), ISBLANK(BL38)),VLOOKUP(MIN(BH38:BI38),#REF!,2),IF(OR(CU38="B",CU38="G"),MIN(BK38:BL38),""))</f>
        <v/>
      </c>
      <c r="EY38" s="770" t="str">
        <f>IF(AND(CU38="G", ISBLANK(BK38), ISBLANK(BL38)),VLOOKUP(MAX(BH38:BI38),#REF!,2),IF(OR(CU38="B",CU38="G"),MAX(BK38:BL38),""))</f>
        <v/>
      </c>
      <c r="EZ38" s="770" t="str">
        <f t="shared" si="96"/>
        <v/>
      </c>
      <c r="FA38" s="770" t="str">
        <f>IF(AND(DE38="G", ISBLANK(BW38), ISBLANK(BX38)),VLOOKUP(MIN(BT38:BU38),#REF!,2),IF(OR(DE38="B", DE38="G"),MIN(BW38:BX38),""))</f>
        <v/>
      </c>
      <c r="FB38" s="770" t="str">
        <f>IF(AND(DE38="G", ISBLANK(BW38), ISBLANK(BX38)),VLOOKUP(MAX(BT38:BU38),#REF!,2),IF(OR(DE38="B", DE38="G"),MAX(BW38:BX38),""))</f>
        <v/>
      </c>
      <c r="FC38" s="770" t="str">
        <f t="shared" si="97"/>
        <v/>
      </c>
      <c r="FD38" s="762">
        <f t="shared" si="124"/>
        <v>0</v>
      </c>
      <c r="FE38" s="762">
        <f t="shared" si="98"/>
        <v>0</v>
      </c>
      <c r="FF38" s="762">
        <f t="shared" si="99"/>
        <v>0</v>
      </c>
      <c r="FG38" s="762" t="str">
        <f t="shared" si="100"/>
        <v/>
      </c>
      <c r="FH38" s="763" t="str">
        <f t="shared" si="101"/>
        <v/>
      </c>
      <c r="FI38" s="762">
        <f t="shared" si="125"/>
        <v>0</v>
      </c>
      <c r="FJ38" s="762">
        <f t="shared" si="102"/>
        <v>0</v>
      </c>
      <c r="FK38" s="762">
        <f t="shared" si="103"/>
        <v>0</v>
      </c>
      <c r="FL38" s="762" t="str">
        <f t="shared" si="104"/>
        <v/>
      </c>
      <c r="FM38" s="763" t="str">
        <f t="shared" si="105"/>
        <v/>
      </c>
      <c r="FN38" s="763" t="e">
        <f t="shared" si="106"/>
        <v>#VALUE!</v>
      </c>
      <c r="FO38" s="872" t="e">
        <f t="shared" si="107"/>
        <v>#VALUE!</v>
      </c>
      <c r="FP38" s="872" t="e">
        <f t="shared" si="108"/>
        <v>#VALUE!</v>
      </c>
      <c r="FQ38" s="771" t="e">
        <f t="shared" si="109"/>
        <v>#VALUE!</v>
      </c>
      <c r="FR38" s="772" t="e">
        <f t="shared" si="110"/>
        <v>#VALUE!</v>
      </c>
      <c r="FS38" s="773" t="str">
        <f t="shared" si="111"/>
        <v/>
      </c>
      <c r="FT38" s="774" t="str">
        <f t="shared" si="112"/>
        <v/>
      </c>
      <c r="FU38" s="809">
        <f t="shared" si="113"/>
        <v>0</v>
      </c>
      <c r="FV38" s="810">
        <f t="shared" si="114"/>
        <v>0</v>
      </c>
      <c r="GA38" s="542" t="str">
        <f t="shared" si="115"/>
        <v/>
      </c>
      <c r="GB38" s="562" t="str">
        <f t="shared" si="116"/>
        <v/>
      </c>
      <c r="GC38" s="564" t="str">
        <f t="shared" si="117"/>
        <v/>
      </c>
      <c r="GD38" s="565" t="str">
        <f t="shared" si="118"/>
        <v/>
      </c>
      <c r="GE38" s="563" t="str">
        <f t="shared" si="119"/>
        <v/>
      </c>
      <c r="GF38" s="543" t="str">
        <f t="shared" si="120"/>
        <v/>
      </c>
      <c r="GG38" s="1052"/>
      <c r="GH38" s="1053"/>
      <c r="GI38" s="1052"/>
      <c r="GJ38" s="1053"/>
      <c r="GK38" s="1521">
        <f t="shared" si="121"/>
        <v>0</v>
      </c>
      <c r="GL38" s="1519" t="e">
        <f t="shared" si="122"/>
        <v>#VALUE!</v>
      </c>
      <c r="GM38" s="1520" t="e">
        <f>IF(ABS(GK38-GL38)&gt;=#REF!,ABS(GK38-GL38),0)</f>
        <v>#VALUE!</v>
      </c>
      <c r="HA38" s="1187"/>
      <c r="HB38" s="1188"/>
      <c r="HC38" s="1188"/>
      <c r="HD38" s="1189"/>
      <c r="HE38" s="1190"/>
      <c r="HF38" s="1188"/>
      <c r="HG38" s="1188"/>
      <c r="HH38" s="1188"/>
      <c r="HI38" s="1191"/>
      <c r="HJ38" s="1188"/>
      <c r="HK38" s="1188"/>
      <c r="HL38" s="1188"/>
      <c r="HM38" s="1188"/>
      <c r="HN38" s="1188"/>
      <c r="HO38" s="1188"/>
      <c r="HP38" s="1188"/>
      <c r="HQ38" s="1191"/>
      <c r="HR38" s="1188"/>
      <c r="HS38" s="1188"/>
      <c r="HT38" s="1188"/>
      <c r="HU38" s="1188"/>
      <c r="HV38" s="1188"/>
      <c r="HW38" s="1190"/>
      <c r="HX38" s="1190"/>
      <c r="HY38" s="1190"/>
      <c r="HZ38" s="1190"/>
      <c r="IA38" s="1190"/>
      <c r="IB38" s="1190"/>
      <c r="IC38" s="1190"/>
      <c r="ID38" s="1190"/>
      <c r="IE38" s="1190"/>
      <c r="IF38" s="1192"/>
    </row>
    <row r="39" spans="1:240" ht="12.6" customHeight="1" x14ac:dyDescent="0.25">
      <c r="A39" s="1132" t="str">
        <f t="shared" si="1"/>
        <v/>
      </c>
      <c r="B39" s="1586" t="str">
        <f t="shared" si="2"/>
        <v/>
      </c>
      <c r="C39" s="1133" t="str">
        <f t="shared" si="3"/>
        <v/>
      </c>
      <c r="D39" s="1134" t="str">
        <f t="shared" si="4"/>
        <v/>
      </c>
      <c r="E39" s="1135" t="str">
        <f t="shared" si="5"/>
        <v/>
      </c>
      <c r="F39" s="1143" t="str">
        <f t="shared" si="6"/>
        <v/>
      </c>
      <c r="G39" s="1138" t="str">
        <f t="shared" si="7"/>
        <v/>
      </c>
      <c r="H39" s="1645" t="str">
        <f t="shared" si="8"/>
        <v/>
      </c>
      <c r="I39" s="1134" t="str">
        <f t="shared" si="9"/>
        <v/>
      </c>
      <c r="J39" s="1138" t="str">
        <f t="shared" si="10"/>
        <v/>
      </c>
      <c r="K39" s="1657" t="str">
        <f t="shared" si="11"/>
        <v/>
      </c>
      <c r="L39" s="1141" t="str">
        <f t="shared" si="12"/>
        <v/>
      </c>
      <c r="M39" s="1142" t="str">
        <f t="shared" si="13"/>
        <v/>
      </c>
      <c r="N39" s="1137" t="str">
        <f t="shared" si="14"/>
        <v/>
      </c>
      <c r="O39" s="1138" t="str">
        <f t="shared" si="15"/>
        <v/>
      </c>
      <c r="P39" s="1139" t="str">
        <f t="shared" si="16"/>
        <v/>
      </c>
      <c r="Q39" s="1134" t="str">
        <f t="shared" si="17"/>
        <v/>
      </c>
      <c r="R39" s="1138" t="str">
        <f t="shared" si="18"/>
        <v/>
      </c>
      <c r="S39" s="1140" t="str">
        <f t="shared" si="19"/>
        <v/>
      </c>
      <c r="T39" s="1143" t="str">
        <f t="shared" si="20"/>
        <v/>
      </c>
      <c r="U39" s="1138" t="str">
        <f t="shared" si="21"/>
        <v/>
      </c>
      <c r="V39" s="1134" t="str">
        <f t="shared" si="22"/>
        <v/>
      </c>
      <c r="W39" s="1138" t="str">
        <f t="shared" si="23"/>
        <v/>
      </c>
      <c r="X39" s="1142">
        <f t="shared" si="24"/>
        <v>0</v>
      </c>
      <c r="Y39" s="1647" t="str">
        <f t="shared" si="25"/>
        <v/>
      </c>
      <c r="Z39" s="1648" t="str">
        <f t="shared" si="26"/>
        <v/>
      </c>
      <c r="AA39" s="1649" t="str">
        <f t="shared" si="27"/>
        <v/>
      </c>
      <c r="AB39" s="1288"/>
      <c r="AC39" s="898" t="b">
        <v>0</v>
      </c>
      <c r="AD39" s="374">
        <f t="shared" si="28"/>
        <v>0</v>
      </c>
      <c r="AE39" s="375">
        <f t="shared" si="29"/>
        <v>0</v>
      </c>
      <c r="AF39" s="375">
        <f t="shared" si="30"/>
        <v>0</v>
      </c>
      <c r="AG39" s="375">
        <f t="shared" si="31"/>
        <v>0</v>
      </c>
      <c r="AH39" s="376">
        <f t="shared" si="32"/>
        <v>0</v>
      </c>
      <c r="AI39" s="377" t="b">
        <v>0</v>
      </c>
      <c r="AJ39" s="143">
        <f t="shared" si="33"/>
        <v>0</v>
      </c>
      <c r="AK39" s="771" t="str">
        <f t="shared" si="34"/>
        <v/>
      </c>
      <c r="AL39" s="877" t="str">
        <f t="shared" si="35"/>
        <v/>
      </c>
      <c r="AM39" s="771" t="str">
        <f t="shared" si="36"/>
        <v/>
      </c>
      <c r="AN39" s="771" t="str">
        <f t="shared" si="37"/>
        <v/>
      </c>
      <c r="AO39" s="771" t="str">
        <f t="shared" si="38"/>
        <v/>
      </c>
      <c r="AP39" s="771" t="b">
        <f>IF(ISERROR(AJ39),FALSE,IF(OR(AJ39=0,ISERROR(AL39),ISERROR(AM39),ISERROR(AN39),ISERROR(AO39)),FALSE,IF(AL39&lt;&gt;"",IF(ISERROR(VLOOKUP(SUBSTITUTE(SUBSTITUTE(C39,"R",""),"A",""),#REF!,1,FALSE)),FALSE,TRUE),TRUE)))</f>
        <v>0</v>
      </c>
      <c r="AQ39" s="945" t="e">
        <f t="shared" si="39"/>
        <v>#N/A</v>
      </c>
      <c r="AR39" s="877" t="b">
        <f t="shared" si="40"/>
        <v>0</v>
      </c>
      <c r="AS39" s="945" t="e">
        <f t="shared" si="41"/>
        <v>#N/A</v>
      </c>
      <c r="AT39" s="877" t="b">
        <f t="shared" si="42"/>
        <v>0</v>
      </c>
      <c r="AU39" s="878" t="str">
        <f t="shared" si="43"/>
        <v/>
      </c>
      <c r="AV39" s="771" t="str">
        <f t="shared" si="44"/>
        <v/>
      </c>
      <c r="AW39" s="771" t="str">
        <f t="shared" si="45"/>
        <v/>
      </c>
      <c r="AX39" s="771" t="str">
        <f t="shared" si="123"/>
        <v/>
      </c>
      <c r="AY39" s="946" t="e">
        <f t="shared" si="46"/>
        <v>#REF!</v>
      </c>
      <c r="AZ39" s="795" t="str">
        <f t="shared" si="47"/>
        <v/>
      </c>
      <c r="BA39" s="496"/>
      <c r="BB39" s="616"/>
      <c r="BC39" s="1567"/>
      <c r="BD39" s="682"/>
      <c r="BE39" s="683"/>
      <c r="BF39" s="684"/>
      <c r="BG39" s="660"/>
      <c r="BH39" s="901"/>
      <c r="BI39" s="902"/>
      <c r="BJ39" s="1508"/>
      <c r="BK39" s="661"/>
      <c r="BL39" s="662"/>
      <c r="BM39" s="663"/>
      <c r="BN39" s="664"/>
      <c r="BO39" s="616" t="str">
        <f>IF(ISERROR(CU39),"",IF(CU39="","",IF(VLOOKUP(BG39,#REF!,10,FALSE)="","","X")))</f>
        <v/>
      </c>
      <c r="BP39" s="687"/>
      <c r="BQ39" s="1430" t="str">
        <f t="shared" si="48"/>
        <v/>
      </c>
      <c r="BR39" s="839"/>
      <c r="BS39" s="660"/>
      <c r="BT39" s="661"/>
      <c r="BU39" s="662"/>
      <c r="BV39" s="1508"/>
      <c r="BW39" s="661"/>
      <c r="BX39" s="662"/>
      <c r="BY39" s="663"/>
      <c r="BZ39" s="664"/>
      <c r="CA39" s="625" t="str">
        <f>IF(ISERROR(DE39),"",IF(DE39="","",IF(VLOOKUP(BS39,#REF!,10,FALSE)="","","X")))</f>
        <v/>
      </c>
      <c r="CB39" s="687"/>
      <c r="CC39" s="1430" t="str">
        <f t="shared" si="49"/>
        <v/>
      </c>
      <c r="CD39" s="839"/>
      <c r="CE39" s="665"/>
      <c r="CF39" s="685"/>
      <c r="CG39" s="686"/>
      <c r="CH39" s="534" t="str">
        <f t="shared" si="50"/>
        <v/>
      </c>
      <c r="CI39" s="535" t="str">
        <f t="shared" si="51"/>
        <v/>
      </c>
      <c r="CJ39" s="536" t="str">
        <f t="shared" si="52"/>
        <v/>
      </c>
      <c r="CK39" s="537" t="str">
        <f t="shared" si="53"/>
        <v/>
      </c>
      <c r="CL39" s="538" t="str">
        <f t="shared" si="54"/>
        <v/>
      </c>
      <c r="CM39" s="539" t="str">
        <f t="shared" si="55"/>
        <v/>
      </c>
      <c r="CN39" s="540" t="str">
        <f t="shared" si="56"/>
        <v/>
      </c>
      <c r="CO39" s="541" t="str">
        <f t="shared" si="57"/>
        <v/>
      </c>
      <c r="CP39" s="558" t="str">
        <f t="shared" si="58"/>
        <v/>
      </c>
      <c r="CQ39" s="559" t="str">
        <f t="shared" si="59"/>
        <v/>
      </c>
      <c r="CR39" s="699" t="str">
        <f t="shared" si="60"/>
        <v/>
      </c>
      <c r="CS39" s="700" t="str">
        <f t="shared" si="61"/>
        <v/>
      </c>
      <c r="CU39" s="758" t="str">
        <f>IF(BG39="","",VLOOKUP(BG39,#REF!,12,FALSE))</f>
        <v/>
      </c>
      <c r="CV39" s="756" t="str">
        <f>IF(BG39="","",IF(ISBLANK(BP39),VLOOKUP(BG39,#REF!,13,FALSE),BP39))</f>
        <v/>
      </c>
      <c r="CW39" s="756" t="str">
        <f>IF(BG39="","",IF(VLOOKUP(BG39,#REF!,5,FALSE)="","R",UPPER(VLOOKUP(BG39,#REF!,5,FALSE))))</f>
        <v/>
      </c>
      <c r="CX39" s="756" t="str">
        <f>IF(BG39="","",IF(ISBLANK(BR39),VLOOKUP(BG39,#REF!,6,FALSE),BR39))</f>
        <v/>
      </c>
      <c r="CY39" s="1203" t="str">
        <f>IF(BG39="","",IF(VLOOKUP(BG39,#REF!,10,FALSE)="","",(IF(BO39="X",VLOOKUP(BG39,#REF!,10,FALSE),VALUE(BO39))*-1)))</f>
        <v/>
      </c>
      <c r="CZ39" s="1042" t="str">
        <f>IF(BG39="","",IF(VLOOKUP(BG39,#REF!,11,FALSE)="","2",(VLOOKUP(BG39,#REF!,11,FALSE))))</f>
        <v/>
      </c>
      <c r="DA39" s="756" t="str">
        <f>IF(BG39="","",IF(VLOOKUP(BG39,#REF!,7,FALSE)="","",(VLOOKUP(BG39,#REF!,7,FALSE)*-1)))</f>
        <v/>
      </c>
      <c r="DB39" s="756" t="str">
        <f>IF(BG39="","",IF(VLOOKUP(BG39,#REF!,8,FALSE)="",VLOOKUP(AU39,$DF$2:$DN$9,6,FALSE),(VLOOKUP(BG39,#REF!,8,FALSE))))</f>
        <v/>
      </c>
      <c r="DC39" s="756" t="str">
        <f>IF(BG39="","",VLOOKUP(BG39,#REF!,9,FALSE))</f>
        <v/>
      </c>
      <c r="DD39" s="757">
        <f t="shared" si="62"/>
        <v>0</v>
      </c>
      <c r="DE39" s="758" t="str">
        <f>IF(BS39="","",VLOOKUP(BS39,#REF!,12,FALSE))</f>
        <v/>
      </c>
      <c r="DF39" s="756" t="str">
        <f>IF(BS39="","",IF(ISBLANK(CB39),VLOOKUP(BS39,#REF!,13,FALSE),CB39))</f>
        <v/>
      </c>
      <c r="DG39" s="756" t="str">
        <f>IF(BS39="","",IF(VLOOKUP(BS39,#REF!,5,FALSE)="","R",UPPER(VLOOKUP(BS39,#REF!,5,FALSE))))</f>
        <v/>
      </c>
      <c r="DH39" s="756" t="str">
        <f>IF(BS39="","",IF(ISBLANK(CD39),VLOOKUP(BS39,#REF!,6,FALSE),CD39))</f>
        <v/>
      </c>
      <c r="DI39" s="1203" t="str">
        <f>IF(BS39="","",IF(VLOOKUP(BS39,#REF!,10,FALSE)="","",(IF(CA39="X",VLOOKUP(BS39,#REF!,10,FALSE),VALUE(CA39))*-1)))</f>
        <v/>
      </c>
      <c r="DJ39" s="1042" t="str">
        <f>IF(BS39="","",IF(VLOOKUP(BS39,#REF!,11,FALSE)="","2",(VLOOKUP(BS39,#REF!,11,FALSE))))</f>
        <v/>
      </c>
      <c r="DK39" s="756" t="str">
        <f>IF(BS39="","",IF(VLOOKUP(BS39,#REF!,7,FALSE)="","",(VLOOKUP(BS39,#REF!,7,FALSE)*-1)))</f>
        <v/>
      </c>
      <c r="DL39" s="756" t="str">
        <f>IF(BS39="","",IF(VLOOKUP(BS39,#REF!,8,FALSE)="",VLOOKUP(AU39,$DF$2:$DN$9,6,FALSE),(VLOOKUP(BS39,#REF!,8,FALSE))))</f>
        <v/>
      </c>
      <c r="DM39" s="756" t="str">
        <f>IF(BS39="","",VLOOKUP(BS39,#REF!,9,FALSE))</f>
        <v/>
      </c>
      <c r="DN39" s="757">
        <f t="shared" si="63"/>
        <v>0</v>
      </c>
      <c r="DO39" s="759">
        <f t="shared" si="64"/>
        <v>0</v>
      </c>
      <c r="DP39" s="763" t="str">
        <f t="shared" si="65"/>
        <v/>
      </c>
      <c r="DQ39" s="763" t="str">
        <f t="shared" si="66"/>
        <v/>
      </c>
      <c r="DR39" s="763" t="str">
        <f t="shared" si="67"/>
        <v/>
      </c>
      <c r="DS39" s="762">
        <f t="shared" si="68"/>
        <v>0</v>
      </c>
      <c r="DT39" s="762" t="e">
        <f t="shared" si="69"/>
        <v>#REF!</v>
      </c>
      <c r="DU39" s="762" t="str">
        <f t="shared" si="70"/>
        <v/>
      </c>
      <c r="DV39" s="763" t="str">
        <f t="shared" si="71"/>
        <v/>
      </c>
      <c r="DW39" s="795" t="str">
        <f t="shared" si="72"/>
        <v/>
      </c>
      <c r="DX39" s="926">
        <f t="shared" si="73"/>
        <v>0</v>
      </c>
      <c r="DY39" s="763">
        <f t="shared" si="74"/>
        <v>0</v>
      </c>
      <c r="DZ39" s="762" t="e">
        <f t="shared" si="75"/>
        <v>#REF!</v>
      </c>
      <c r="EA39" s="762" t="str">
        <f t="shared" si="76"/>
        <v/>
      </c>
      <c r="EB39" s="763" t="str">
        <f t="shared" si="77"/>
        <v/>
      </c>
      <c r="EC39" s="795" t="str">
        <f t="shared" si="78"/>
        <v/>
      </c>
      <c r="ED39" s="926">
        <f t="shared" si="79"/>
        <v>0</v>
      </c>
      <c r="EE39" s="1210" t="str">
        <f t="shared" si="80"/>
        <v/>
      </c>
      <c r="EF39" s="1210" t="str">
        <f t="shared" si="81"/>
        <v/>
      </c>
      <c r="EG39" s="1210" t="str">
        <f t="shared" si="82"/>
        <v/>
      </c>
      <c r="EH39" s="795" t="e">
        <f t="shared" si="83"/>
        <v>#N/A</v>
      </c>
      <c r="EI39" s="795" t="e">
        <f t="shared" si="84"/>
        <v>#N/A</v>
      </c>
      <c r="EJ39" s="763" t="str">
        <f t="shared" si="85"/>
        <v/>
      </c>
      <c r="EK39" s="763" t="str">
        <f t="shared" si="85"/>
        <v/>
      </c>
      <c r="EL39" s="1210" t="str">
        <f t="shared" si="86"/>
        <v/>
      </c>
      <c r="EM39" s="763" t="str">
        <f t="shared" si="87"/>
        <v/>
      </c>
      <c r="EN39" s="763" t="str">
        <f t="shared" si="88"/>
        <v/>
      </c>
      <c r="EO39" s="795" t="e">
        <f t="shared" si="89"/>
        <v>#N/A</v>
      </c>
      <c r="EP39" s="795" t="e">
        <f t="shared" si="90"/>
        <v>#N/A</v>
      </c>
      <c r="EQ39" s="1210" t="str">
        <f t="shared" si="91"/>
        <v/>
      </c>
      <c r="ER39" s="763" t="str">
        <f t="shared" si="91"/>
        <v/>
      </c>
      <c r="ES39" s="763" t="str">
        <f t="shared" si="92"/>
        <v/>
      </c>
      <c r="ET39" s="763" t="str">
        <f t="shared" si="93"/>
        <v/>
      </c>
      <c r="EU39" s="770" t="str">
        <f t="shared" si="94"/>
        <v/>
      </c>
      <c r="EV39" s="765" t="str">
        <f t="shared" si="95"/>
        <v/>
      </c>
      <c r="EW39" s="770"/>
      <c r="EX39" s="770" t="str">
        <f>IF(AND(CU39="G", ISBLANK(BK39), ISBLANK(BL39)),VLOOKUP(MIN(BH39:BI39),#REF!,2),IF(OR(CU39="B",CU39="G"),MIN(BK39:BL39),""))</f>
        <v/>
      </c>
      <c r="EY39" s="770" t="str">
        <f>IF(AND(CU39="G", ISBLANK(BK39), ISBLANK(BL39)),VLOOKUP(MAX(BH39:BI39),#REF!,2),IF(OR(CU39="B",CU39="G"),MAX(BK39:BL39),""))</f>
        <v/>
      </c>
      <c r="EZ39" s="770" t="str">
        <f t="shared" si="96"/>
        <v/>
      </c>
      <c r="FA39" s="770" t="str">
        <f>IF(AND(DE39="G", ISBLANK(BW39), ISBLANK(BX39)),VLOOKUP(MIN(BT39:BU39),#REF!,2),IF(OR(DE39="B", DE39="G"),MIN(BW39:BX39),""))</f>
        <v/>
      </c>
      <c r="FB39" s="770" t="str">
        <f>IF(AND(DE39="G", ISBLANK(BW39), ISBLANK(BX39)),VLOOKUP(MAX(BT39:BU39),#REF!,2),IF(OR(DE39="B", DE39="G"),MAX(BW39:BX39),""))</f>
        <v/>
      </c>
      <c r="FC39" s="770" t="str">
        <f t="shared" si="97"/>
        <v/>
      </c>
      <c r="FD39" s="762">
        <f t="shared" si="124"/>
        <v>0</v>
      </c>
      <c r="FE39" s="762">
        <f t="shared" si="98"/>
        <v>0</v>
      </c>
      <c r="FF39" s="762">
        <f t="shared" si="99"/>
        <v>0</v>
      </c>
      <c r="FG39" s="762" t="str">
        <f t="shared" si="100"/>
        <v/>
      </c>
      <c r="FH39" s="763" t="str">
        <f t="shared" si="101"/>
        <v/>
      </c>
      <c r="FI39" s="762">
        <f t="shared" si="125"/>
        <v>0</v>
      </c>
      <c r="FJ39" s="762">
        <f t="shared" si="102"/>
        <v>0</v>
      </c>
      <c r="FK39" s="762">
        <f t="shared" si="103"/>
        <v>0</v>
      </c>
      <c r="FL39" s="762" t="str">
        <f t="shared" si="104"/>
        <v/>
      </c>
      <c r="FM39" s="763" t="str">
        <f t="shared" si="105"/>
        <v/>
      </c>
      <c r="FN39" s="763" t="e">
        <f t="shared" si="106"/>
        <v>#VALUE!</v>
      </c>
      <c r="FO39" s="872" t="e">
        <f t="shared" si="107"/>
        <v>#VALUE!</v>
      </c>
      <c r="FP39" s="872" t="e">
        <f t="shared" si="108"/>
        <v>#VALUE!</v>
      </c>
      <c r="FQ39" s="771" t="e">
        <f t="shared" si="109"/>
        <v>#VALUE!</v>
      </c>
      <c r="FR39" s="772" t="e">
        <f t="shared" si="110"/>
        <v>#VALUE!</v>
      </c>
      <c r="FS39" s="773" t="str">
        <f t="shared" si="111"/>
        <v/>
      </c>
      <c r="FT39" s="774" t="str">
        <f t="shared" si="112"/>
        <v/>
      </c>
      <c r="FU39" s="809">
        <f t="shared" si="113"/>
        <v>0</v>
      </c>
      <c r="FV39" s="810">
        <f t="shared" si="114"/>
        <v>0</v>
      </c>
      <c r="GA39" s="542" t="str">
        <f t="shared" si="115"/>
        <v/>
      </c>
      <c r="GB39" s="562" t="str">
        <f t="shared" si="116"/>
        <v/>
      </c>
      <c r="GC39" s="564" t="str">
        <f t="shared" si="117"/>
        <v/>
      </c>
      <c r="GD39" s="565" t="str">
        <f t="shared" si="118"/>
        <v/>
      </c>
      <c r="GE39" s="563" t="str">
        <f t="shared" si="119"/>
        <v/>
      </c>
      <c r="GF39" s="543" t="str">
        <f t="shared" si="120"/>
        <v/>
      </c>
      <c r="GG39" s="1052"/>
      <c r="GH39" s="1053"/>
      <c r="GI39" s="1052"/>
      <c r="GJ39" s="1053"/>
      <c r="GK39" s="1521">
        <f t="shared" si="121"/>
        <v>0</v>
      </c>
      <c r="GL39" s="1519" t="e">
        <f t="shared" si="122"/>
        <v>#VALUE!</v>
      </c>
      <c r="GM39" s="1520" t="e">
        <f>IF(ABS(GK39-GL39)&gt;=#REF!,ABS(GK39-GL39),0)</f>
        <v>#VALUE!</v>
      </c>
      <c r="HA39" s="1187"/>
      <c r="HB39" s="1188"/>
      <c r="HC39" s="1188"/>
      <c r="HD39" s="1189"/>
      <c r="HE39" s="1190"/>
      <c r="HF39" s="1188"/>
      <c r="HG39" s="1188"/>
      <c r="HH39" s="1188"/>
      <c r="HI39" s="1191"/>
      <c r="HJ39" s="1188"/>
      <c r="HK39" s="1188"/>
      <c r="HL39" s="1188"/>
      <c r="HM39" s="1188"/>
      <c r="HN39" s="1188"/>
      <c r="HO39" s="1188"/>
      <c r="HP39" s="1188"/>
      <c r="HQ39" s="1191"/>
      <c r="HR39" s="1188"/>
      <c r="HS39" s="1188"/>
      <c r="HT39" s="1188"/>
      <c r="HU39" s="1188"/>
      <c r="HV39" s="1188"/>
      <c r="HW39" s="1190"/>
      <c r="HX39" s="1190"/>
      <c r="HY39" s="1190"/>
      <c r="HZ39" s="1190"/>
      <c r="IA39" s="1190"/>
      <c r="IB39" s="1190"/>
      <c r="IC39" s="1190"/>
      <c r="ID39" s="1190"/>
      <c r="IE39" s="1190"/>
      <c r="IF39" s="1192"/>
    </row>
    <row r="40" spans="1:240" ht="12.6" customHeight="1" x14ac:dyDescent="0.25">
      <c r="A40" s="1132" t="str">
        <f t="shared" si="1"/>
        <v/>
      </c>
      <c r="B40" s="1586" t="str">
        <f t="shared" si="2"/>
        <v/>
      </c>
      <c r="C40" s="1133" t="str">
        <f t="shared" si="3"/>
        <v/>
      </c>
      <c r="D40" s="1134" t="str">
        <f t="shared" si="4"/>
        <v/>
      </c>
      <c r="E40" s="1135" t="str">
        <f t="shared" si="5"/>
        <v/>
      </c>
      <c r="F40" s="1143" t="str">
        <f t="shared" si="6"/>
        <v/>
      </c>
      <c r="G40" s="1138" t="str">
        <f t="shared" si="7"/>
        <v/>
      </c>
      <c r="H40" s="1645" t="str">
        <f t="shared" si="8"/>
        <v/>
      </c>
      <c r="I40" s="1134" t="str">
        <f t="shared" si="9"/>
        <v/>
      </c>
      <c r="J40" s="1138" t="str">
        <f t="shared" si="10"/>
        <v/>
      </c>
      <c r="K40" s="1657" t="str">
        <f t="shared" si="11"/>
        <v/>
      </c>
      <c r="L40" s="1141" t="str">
        <f t="shared" si="12"/>
        <v/>
      </c>
      <c r="M40" s="1142" t="str">
        <f t="shared" si="13"/>
        <v/>
      </c>
      <c r="N40" s="1137" t="str">
        <f t="shared" si="14"/>
        <v/>
      </c>
      <c r="O40" s="1138" t="str">
        <f t="shared" si="15"/>
        <v/>
      </c>
      <c r="P40" s="1139" t="str">
        <f t="shared" si="16"/>
        <v/>
      </c>
      <c r="Q40" s="1134" t="str">
        <f t="shared" si="17"/>
        <v/>
      </c>
      <c r="R40" s="1138" t="str">
        <f t="shared" si="18"/>
        <v/>
      </c>
      <c r="S40" s="1140" t="str">
        <f t="shared" si="19"/>
        <v/>
      </c>
      <c r="T40" s="1143" t="str">
        <f t="shared" si="20"/>
        <v/>
      </c>
      <c r="U40" s="1138" t="str">
        <f t="shared" si="21"/>
        <v/>
      </c>
      <c r="V40" s="1134" t="str">
        <f t="shared" si="22"/>
        <v/>
      </c>
      <c r="W40" s="1138" t="str">
        <f t="shared" si="23"/>
        <v/>
      </c>
      <c r="X40" s="1142">
        <f t="shared" si="24"/>
        <v>0</v>
      </c>
      <c r="Y40" s="1647" t="str">
        <f t="shared" si="25"/>
        <v/>
      </c>
      <c r="Z40" s="1648" t="str">
        <f t="shared" si="26"/>
        <v/>
      </c>
      <c r="AA40" s="1649" t="str">
        <f t="shared" si="27"/>
        <v/>
      </c>
      <c r="AB40" s="1288"/>
      <c r="AC40" s="898" t="b">
        <v>0</v>
      </c>
      <c r="AD40" s="374">
        <f t="shared" si="28"/>
        <v>0</v>
      </c>
      <c r="AE40" s="375">
        <f t="shared" si="29"/>
        <v>0</v>
      </c>
      <c r="AF40" s="375">
        <f t="shared" si="30"/>
        <v>0</v>
      </c>
      <c r="AG40" s="375">
        <f t="shared" si="31"/>
        <v>0</v>
      </c>
      <c r="AH40" s="376">
        <f t="shared" si="32"/>
        <v>0</v>
      </c>
      <c r="AI40" s="377" t="b">
        <v>0</v>
      </c>
      <c r="AJ40" s="143">
        <f t="shared" si="33"/>
        <v>0</v>
      </c>
      <c r="AK40" s="771" t="str">
        <f t="shared" si="34"/>
        <v/>
      </c>
      <c r="AL40" s="877" t="str">
        <f t="shared" si="35"/>
        <v/>
      </c>
      <c r="AM40" s="771" t="str">
        <f t="shared" si="36"/>
        <v/>
      </c>
      <c r="AN40" s="771" t="str">
        <f t="shared" si="37"/>
        <v/>
      </c>
      <c r="AO40" s="771" t="str">
        <f t="shared" si="38"/>
        <v/>
      </c>
      <c r="AP40" s="771" t="b">
        <f>IF(ISERROR(AJ40),FALSE,IF(OR(AJ40=0,ISERROR(AL40),ISERROR(AM40),ISERROR(AN40),ISERROR(AO40)),FALSE,IF(AL40&lt;&gt;"",IF(ISERROR(VLOOKUP(SUBSTITUTE(SUBSTITUTE(C40,"R",""),"A",""),#REF!,1,FALSE)),FALSE,TRUE),TRUE)))</f>
        <v>0</v>
      </c>
      <c r="AQ40" s="945" t="e">
        <f t="shared" si="39"/>
        <v>#N/A</v>
      </c>
      <c r="AR40" s="877" t="b">
        <f t="shared" si="40"/>
        <v>0</v>
      </c>
      <c r="AS40" s="945" t="e">
        <f t="shared" si="41"/>
        <v>#N/A</v>
      </c>
      <c r="AT40" s="877" t="b">
        <f t="shared" si="42"/>
        <v>0</v>
      </c>
      <c r="AU40" s="878" t="str">
        <f t="shared" si="43"/>
        <v/>
      </c>
      <c r="AV40" s="771" t="str">
        <f t="shared" si="44"/>
        <v/>
      </c>
      <c r="AW40" s="771" t="str">
        <f t="shared" si="45"/>
        <v/>
      </c>
      <c r="AX40" s="771" t="str">
        <f t="shared" si="123"/>
        <v/>
      </c>
      <c r="AY40" s="946" t="e">
        <f t="shared" si="46"/>
        <v>#REF!</v>
      </c>
      <c r="AZ40" s="795" t="str">
        <f t="shared" si="47"/>
        <v/>
      </c>
      <c r="BA40" s="496"/>
      <c r="BB40" s="616"/>
      <c r="BC40" s="1567"/>
      <c r="BD40" s="682"/>
      <c r="BE40" s="683"/>
      <c r="BF40" s="684"/>
      <c r="BG40" s="660"/>
      <c r="BH40" s="901"/>
      <c r="BI40" s="902"/>
      <c r="BJ40" s="1508"/>
      <c r="BK40" s="661"/>
      <c r="BL40" s="662"/>
      <c r="BM40" s="663"/>
      <c r="BN40" s="664"/>
      <c r="BO40" s="616" t="str">
        <f>IF(ISERROR(CU40),"",IF(CU40="","",IF(VLOOKUP(BG40,#REF!,10,FALSE)="","","X")))</f>
        <v/>
      </c>
      <c r="BP40" s="687"/>
      <c r="BQ40" s="1430" t="str">
        <f t="shared" si="48"/>
        <v/>
      </c>
      <c r="BR40" s="839"/>
      <c r="BS40" s="660"/>
      <c r="BT40" s="661"/>
      <c r="BU40" s="662"/>
      <c r="BV40" s="1508"/>
      <c r="BW40" s="661"/>
      <c r="BX40" s="662"/>
      <c r="BY40" s="663"/>
      <c r="BZ40" s="664"/>
      <c r="CA40" s="625" t="str">
        <f>IF(ISERROR(DE40),"",IF(DE40="","",IF(VLOOKUP(BS40,#REF!,10,FALSE)="","","X")))</f>
        <v/>
      </c>
      <c r="CB40" s="687"/>
      <c r="CC40" s="1430" t="str">
        <f t="shared" si="49"/>
        <v/>
      </c>
      <c r="CD40" s="839"/>
      <c r="CE40" s="665"/>
      <c r="CF40" s="685"/>
      <c r="CG40" s="686"/>
      <c r="CH40" s="534" t="str">
        <f t="shared" si="50"/>
        <v/>
      </c>
      <c r="CI40" s="535" t="str">
        <f t="shared" si="51"/>
        <v/>
      </c>
      <c r="CJ40" s="536" t="str">
        <f t="shared" si="52"/>
        <v/>
      </c>
      <c r="CK40" s="537" t="str">
        <f t="shared" si="53"/>
        <v/>
      </c>
      <c r="CL40" s="538" t="str">
        <f t="shared" si="54"/>
        <v/>
      </c>
      <c r="CM40" s="539" t="str">
        <f t="shared" si="55"/>
        <v/>
      </c>
      <c r="CN40" s="540" t="str">
        <f t="shared" si="56"/>
        <v/>
      </c>
      <c r="CO40" s="541" t="str">
        <f t="shared" si="57"/>
        <v/>
      </c>
      <c r="CP40" s="558" t="str">
        <f t="shared" si="58"/>
        <v/>
      </c>
      <c r="CQ40" s="559" t="str">
        <f t="shared" si="59"/>
        <v/>
      </c>
      <c r="CR40" s="699" t="str">
        <f t="shared" si="60"/>
        <v/>
      </c>
      <c r="CS40" s="700" t="str">
        <f t="shared" si="61"/>
        <v/>
      </c>
      <c r="CU40" s="758" t="str">
        <f>IF(BG40="","",VLOOKUP(BG40,#REF!,12,FALSE))</f>
        <v/>
      </c>
      <c r="CV40" s="756" t="str">
        <f>IF(BG40="","",IF(ISBLANK(BP40),VLOOKUP(BG40,#REF!,13,FALSE),BP40))</f>
        <v/>
      </c>
      <c r="CW40" s="756" t="str">
        <f>IF(BG40="","",IF(VLOOKUP(BG40,#REF!,5,FALSE)="","R",UPPER(VLOOKUP(BG40,#REF!,5,FALSE))))</f>
        <v/>
      </c>
      <c r="CX40" s="756" t="str">
        <f>IF(BG40="","",IF(ISBLANK(BR40),VLOOKUP(BG40,#REF!,6,FALSE),BR40))</f>
        <v/>
      </c>
      <c r="CY40" s="1203" t="str">
        <f>IF(BG40="","",IF(VLOOKUP(BG40,#REF!,10,FALSE)="","",(IF(BO40="X",VLOOKUP(BG40,#REF!,10,FALSE),VALUE(BO40))*-1)))</f>
        <v/>
      </c>
      <c r="CZ40" s="1042" t="str">
        <f>IF(BG40="","",IF(VLOOKUP(BG40,#REF!,11,FALSE)="","2",(VLOOKUP(BG40,#REF!,11,FALSE))))</f>
        <v/>
      </c>
      <c r="DA40" s="756" t="str">
        <f>IF(BG40="","",IF(VLOOKUP(BG40,#REF!,7,FALSE)="","",(VLOOKUP(BG40,#REF!,7,FALSE)*-1)))</f>
        <v/>
      </c>
      <c r="DB40" s="756" t="str">
        <f>IF(BG40="","",IF(VLOOKUP(BG40,#REF!,8,FALSE)="",VLOOKUP(AU40,$DF$2:$DN$9,6,FALSE),(VLOOKUP(BG40,#REF!,8,FALSE))))</f>
        <v/>
      </c>
      <c r="DC40" s="756" t="str">
        <f>IF(BG40="","",VLOOKUP(BG40,#REF!,9,FALSE))</f>
        <v/>
      </c>
      <c r="DD40" s="757">
        <f t="shared" si="62"/>
        <v>0</v>
      </c>
      <c r="DE40" s="758" t="str">
        <f>IF(BS40="","",VLOOKUP(BS40,#REF!,12,FALSE))</f>
        <v/>
      </c>
      <c r="DF40" s="756" t="str">
        <f>IF(BS40="","",IF(ISBLANK(CB40),VLOOKUP(BS40,#REF!,13,FALSE),CB40))</f>
        <v/>
      </c>
      <c r="DG40" s="756" t="str">
        <f>IF(BS40="","",IF(VLOOKUP(BS40,#REF!,5,FALSE)="","R",UPPER(VLOOKUP(BS40,#REF!,5,FALSE))))</f>
        <v/>
      </c>
      <c r="DH40" s="756" t="str">
        <f>IF(BS40="","",IF(ISBLANK(CD40),VLOOKUP(BS40,#REF!,6,FALSE),CD40))</f>
        <v/>
      </c>
      <c r="DI40" s="1203" t="str">
        <f>IF(BS40="","",IF(VLOOKUP(BS40,#REF!,10,FALSE)="","",(IF(CA40="X",VLOOKUP(BS40,#REF!,10,FALSE),VALUE(CA40))*-1)))</f>
        <v/>
      </c>
      <c r="DJ40" s="1042" t="str">
        <f>IF(BS40="","",IF(VLOOKUP(BS40,#REF!,11,FALSE)="","2",(VLOOKUP(BS40,#REF!,11,FALSE))))</f>
        <v/>
      </c>
      <c r="DK40" s="756" t="str">
        <f>IF(BS40="","",IF(VLOOKUP(BS40,#REF!,7,FALSE)="","",(VLOOKUP(BS40,#REF!,7,FALSE)*-1)))</f>
        <v/>
      </c>
      <c r="DL40" s="756" t="str">
        <f>IF(BS40="","",IF(VLOOKUP(BS40,#REF!,8,FALSE)="",VLOOKUP(AU40,$DF$2:$DN$9,6,FALSE),(VLOOKUP(BS40,#REF!,8,FALSE))))</f>
        <v/>
      </c>
      <c r="DM40" s="756" t="str">
        <f>IF(BS40="","",VLOOKUP(BS40,#REF!,9,FALSE))</f>
        <v/>
      </c>
      <c r="DN40" s="757">
        <f t="shared" si="63"/>
        <v>0</v>
      </c>
      <c r="DO40" s="759">
        <f t="shared" si="64"/>
        <v>0</v>
      </c>
      <c r="DP40" s="763" t="str">
        <f t="shared" si="65"/>
        <v/>
      </c>
      <c r="DQ40" s="763" t="str">
        <f t="shared" si="66"/>
        <v/>
      </c>
      <c r="DR40" s="763" t="str">
        <f t="shared" si="67"/>
        <v/>
      </c>
      <c r="DS40" s="762">
        <f t="shared" si="68"/>
        <v>0</v>
      </c>
      <c r="DT40" s="762" t="e">
        <f t="shared" si="69"/>
        <v>#REF!</v>
      </c>
      <c r="DU40" s="762" t="str">
        <f t="shared" si="70"/>
        <v/>
      </c>
      <c r="DV40" s="763" t="str">
        <f t="shared" si="71"/>
        <v/>
      </c>
      <c r="DW40" s="795" t="str">
        <f t="shared" si="72"/>
        <v/>
      </c>
      <c r="DX40" s="926">
        <f t="shared" si="73"/>
        <v>0</v>
      </c>
      <c r="DY40" s="763">
        <f t="shared" si="74"/>
        <v>0</v>
      </c>
      <c r="DZ40" s="762" t="e">
        <f t="shared" si="75"/>
        <v>#REF!</v>
      </c>
      <c r="EA40" s="762" t="str">
        <f t="shared" si="76"/>
        <v/>
      </c>
      <c r="EB40" s="763" t="str">
        <f t="shared" si="77"/>
        <v/>
      </c>
      <c r="EC40" s="795" t="str">
        <f t="shared" si="78"/>
        <v/>
      </c>
      <c r="ED40" s="926">
        <f t="shared" si="79"/>
        <v>0</v>
      </c>
      <c r="EE40" s="1210" t="str">
        <f t="shared" si="80"/>
        <v/>
      </c>
      <c r="EF40" s="1210" t="str">
        <f t="shared" si="81"/>
        <v/>
      </c>
      <c r="EG40" s="1210" t="str">
        <f t="shared" si="82"/>
        <v/>
      </c>
      <c r="EH40" s="795" t="e">
        <f t="shared" si="83"/>
        <v>#N/A</v>
      </c>
      <c r="EI40" s="795" t="e">
        <f t="shared" si="84"/>
        <v>#N/A</v>
      </c>
      <c r="EJ40" s="763" t="str">
        <f t="shared" si="85"/>
        <v/>
      </c>
      <c r="EK40" s="763" t="str">
        <f t="shared" si="85"/>
        <v/>
      </c>
      <c r="EL40" s="1210" t="str">
        <f t="shared" si="86"/>
        <v/>
      </c>
      <c r="EM40" s="763" t="str">
        <f t="shared" si="87"/>
        <v/>
      </c>
      <c r="EN40" s="763" t="str">
        <f t="shared" si="88"/>
        <v/>
      </c>
      <c r="EO40" s="795" t="e">
        <f t="shared" si="89"/>
        <v>#N/A</v>
      </c>
      <c r="EP40" s="795" t="e">
        <f t="shared" si="90"/>
        <v>#N/A</v>
      </c>
      <c r="EQ40" s="1210" t="str">
        <f t="shared" si="91"/>
        <v/>
      </c>
      <c r="ER40" s="763" t="str">
        <f t="shared" si="91"/>
        <v/>
      </c>
      <c r="ES40" s="763" t="str">
        <f t="shared" si="92"/>
        <v/>
      </c>
      <c r="ET40" s="763" t="str">
        <f t="shared" si="93"/>
        <v/>
      </c>
      <c r="EU40" s="770" t="str">
        <f t="shared" si="94"/>
        <v/>
      </c>
      <c r="EV40" s="765" t="str">
        <f t="shared" si="95"/>
        <v/>
      </c>
      <c r="EW40" s="770"/>
      <c r="EX40" s="770" t="str">
        <f>IF(AND(CU40="G", ISBLANK(BK40), ISBLANK(BL40)),VLOOKUP(MIN(BH40:BI40),#REF!,2),IF(OR(CU40="B",CU40="G"),MIN(BK40:BL40),""))</f>
        <v/>
      </c>
      <c r="EY40" s="770" t="str">
        <f>IF(AND(CU40="G", ISBLANK(BK40), ISBLANK(BL40)),VLOOKUP(MAX(BH40:BI40),#REF!,2),IF(OR(CU40="B",CU40="G"),MAX(BK40:BL40),""))</f>
        <v/>
      </c>
      <c r="EZ40" s="770" t="str">
        <f t="shared" si="96"/>
        <v/>
      </c>
      <c r="FA40" s="770" t="str">
        <f>IF(AND(DE40="G", ISBLANK(BW40), ISBLANK(BX40)),VLOOKUP(MIN(BT40:BU40),#REF!,2),IF(OR(DE40="B", DE40="G"),MIN(BW40:BX40),""))</f>
        <v/>
      </c>
      <c r="FB40" s="770" t="str">
        <f>IF(AND(DE40="G", ISBLANK(BW40), ISBLANK(BX40)),VLOOKUP(MAX(BT40:BU40),#REF!,2),IF(OR(DE40="B", DE40="G"),MAX(BW40:BX40),""))</f>
        <v/>
      </c>
      <c r="FC40" s="770" t="str">
        <f t="shared" si="97"/>
        <v/>
      </c>
      <c r="FD40" s="762">
        <f t="shared" si="124"/>
        <v>0</v>
      </c>
      <c r="FE40" s="762">
        <f t="shared" si="98"/>
        <v>0</v>
      </c>
      <c r="FF40" s="762">
        <f t="shared" si="99"/>
        <v>0</v>
      </c>
      <c r="FG40" s="762" t="str">
        <f t="shared" si="100"/>
        <v/>
      </c>
      <c r="FH40" s="763" t="str">
        <f t="shared" si="101"/>
        <v/>
      </c>
      <c r="FI40" s="762">
        <f t="shared" si="125"/>
        <v>0</v>
      </c>
      <c r="FJ40" s="762">
        <f t="shared" si="102"/>
        <v>0</v>
      </c>
      <c r="FK40" s="762">
        <f t="shared" si="103"/>
        <v>0</v>
      </c>
      <c r="FL40" s="762" t="str">
        <f t="shared" si="104"/>
        <v/>
      </c>
      <c r="FM40" s="763" t="str">
        <f t="shared" si="105"/>
        <v/>
      </c>
      <c r="FN40" s="763" t="e">
        <f t="shared" si="106"/>
        <v>#VALUE!</v>
      </c>
      <c r="FO40" s="872" t="e">
        <f t="shared" si="107"/>
        <v>#VALUE!</v>
      </c>
      <c r="FP40" s="872" t="e">
        <f t="shared" si="108"/>
        <v>#VALUE!</v>
      </c>
      <c r="FQ40" s="771" t="e">
        <f t="shared" si="109"/>
        <v>#VALUE!</v>
      </c>
      <c r="FR40" s="772" t="e">
        <f t="shared" si="110"/>
        <v>#VALUE!</v>
      </c>
      <c r="FS40" s="773" t="str">
        <f t="shared" si="111"/>
        <v/>
      </c>
      <c r="FT40" s="774" t="str">
        <f t="shared" si="112"/>
        <v/>
      </c>
      <c r="FU40" s="809">
        <f t="shared" si="113"/>
        <v>0</v>
      </c>
      <c r="FV40" s="810">
        <f t="shared" si="114"/>
        <v>0</v>
      </c>
      <c r="GA40" s="542" t="str">
        <f t="shared" si="115"/>
        <v/>
      </c>
      <c r="GB40" s="562" t="str">
        <f t="shared" si="116"/>
        <v/>
      </c>
      <c r="GC40" s="564" t="str">
        <f t="shared" si="117"/>
        <v/>
      </c>
      <c r="GD40" s="565" t="str">
        <f t="shared" si="118"/>
        <v/>
      </c>
      <c r="GE40" s="563" t="str">
        <f t="shared" si="119"/>
        <v/>
      </c>
      <c r="GF40" s="543" t="str">
        <f t="shared" si="120"/>
        <v/>
      </c>
      <c r="GG40" s="1052"/>
      <c r="GH40" s="1053"/>
      <c r="GI40" s="1052"/>
      <c r="GJ40" s="1053"/>
      <c r="GK40" s="1521">
        <f t="shared" si="121"/>
        <v>0</v>
      </c>
      <c r="GL40" s="1519" t="e">
        <f t="shared" si="122"/>
        <v>#VALUE!</v>
      </c>
      <c r="GM40" s="1520" t="e">
        <f>IF(ABS(GK40-GL40)&gt;=#REF!,ABS(GK40-GL40),0)</f>
        <v>#VALUE!</v>
      </c>
      <c r="HA40" s="1187"/>
      <c r="HB40" s="1188"/>
      <c r="HC40" s="1188"/>
      <c r="HD40" s="1189"/>
      <c r="HE40" s="1190"/>
      <c r="HF40" s="1188"/>
      <c r="HG40" s="1188"/>
      <c r="HH40" s="1188"/>
      <c r="HI40" s="1191"/>
      <c r="HJ40" s="1188"/>
      <c r="HK40" s="1188"/>
      <c r="HL40" s="1188"/>
      <c r="HM40" s="1188"/>
      <c r="HN40" s="1188"/>
      <c r="HO40" s="1188"/>
      <c r="HP40" s="1188"/>
      <c r="HQ40" s="1191"/>
      <c r="HR40" s="1188"/>
      <c r="HS40" s="1188"/>
      <c r="HT40" s="1188"/>
      <c r="HU40" s="1188"/>
      <c r="HV40" s="1188"/>
      <c r="HW40" s="1190"/>
      <c r="HX40" s="1190"/>
      <c r="HY40" s="1190"/>
      <c r="HZ40" s="1190"/>
      <c r="IA40" s="1190"/>
      <c r="IB40" s="1190"/>
      <c r="IC40" s="1190"/>
      <c r="ID40" s="1190"/>
      <c r="IE40" s="1190"/>
      <c r="IF40" s="1192"/>
    </row>
    <row r="41" spans="1:240" ht="12.6" customHeight="1" x14ac:dyDescent="0.25">
      <c r="A41" s="1132" t="str">
        <f t="shared" si="1"/>
        <v/>
      </c>
      <c r="B41" s="1586" t="str">
        <f t="shared" si="2"/>
        <v/>
      </c>
      <c r="C41" s="1133" t="str">
        <f t="shared" si="3"/>
        <v/>
      </c>
      <c r="D41" s="1134" t="str">
        <f t="shared" si="4"/>
        <v/>
      </c>
      <c r="E41" s="1135" t="str">
        <f t="shared" si="5"/>
        <v/>
      </c>
      <c r="F41" s="1143" t="str">
        <f t="shared" si="6"/>
        <v/>
      </c>
      <c r="G41" s="1138" t="str">
        <f t="shared" si="7"/>
        <v/>
      </c>
      <c r="H41" s="1645" t="str">
        <f t="shared" si="8"/>
        <v/>
      </c>
      <c r="I41" s="1134" t="str">
        <f t="shared" si="9"/>
        <v/>
      </c>
      <c r="J41" s="1138" t="str">
        <f t="shared" si="10"/>
        <v/>
      </c>
      <c r="K41" s="1657" t="str">
        <f t="shared" si="11"/>
        <v/>
      </c>
      <c r="L41" s="1141" t="str">
        <f t="shared" si="12"/>
        <v/>
      </c>
      <c r="M41" s="1142" t="str">
        <f t="shared" si="13"/>
        <v/>
      </c>
      <c r="N41" s="1137" t="str">
        <f t="shared" si="14"/>
        <v/>
      </c>
      <c r="O41" s="1138" t="str">
        <f t="shared" si="15"/>
        <v/>
      </c>
      <c r="P41" s="1139" t="str">
        <f t="shared" si="16"/>
        <v/>
      </c>
      <c r="Q41" s="1134" t="str">
        <f t="shared" si="17"/>
        <v/>
      </c>
      <c r="R41" s="1138" t="str">
        <f t="shared" si="18"/>
        <v/>
      </c>
      <c r="S41" s="1140" t="str">
        <f t="shared" si="19"/>
        <v/>
      </c>
      <c r="T41" s="1143" t="str">
        <f t="shared" si="20"/>
        <v/>
      </c>
      <c r="U41" s="1138" t="str">
        <f t="shared" si="21"/>
        <v/>
      </c>
      <c r="V41" s="1134" t="str">
        <f t="shared" si="22"/>
        <v/>
      </c>
      <c r="W41" s="1138" t="str">
        <f t="shared" si="23"/>
        <v/>
      </c>
      <c r="X41" s="1142">
        <f t="shared" si="24"/>
        <v>0</v>
      </c>
      <c r="Y41" s="1647" t="str">
        <f t="shared" si="25"/>
        <v/>
      </c>
      <c r="Z41" s="1648" t="str">
        <f t="shared" si="26"/>
        <v/>
      </c>
      <c r="AA41" s="1649" t="str">
        <f t="shared" si="27"/>
        <v/>
      </c>
      <c r="AB41" s="1288"/>
      <c r="AC41" s="898" t="b">
        <v>0</v>
      </c>
      <c r="AD41" s="374">
        <f t="shared" si="28"/>
        <v>0</v>
      </c>
      <c r="AE41" s="375">
        <f t="shared" si="29"/>
        <v>0</v>
      </c>
      <c r="AF41" s="375">
        <f t="shared" si="30"/>
        <v>0</v>
      </c>
      <c r="AG41" s="375">
        <f t="shared" si="31"/>
        <v>0</v>
      </c>
      <c r="AH41" s="376">
        <f t="shared" si="32"/>
        <v>0</v>
      </c>
      <c r="AI41" s="377" t="b">
        <v>0</v>
      </c>
      <c r="AJ41" s="143">
        <f t="shared" si="33"/>
        <v>0</v>
      </c>
      <c r="AK41" s="771" t="str">
        <f t="shared" si="34"/>
        <v/>
      </c>
      <c r="AL41" s="877" t="str">
        <f t="shared" si="35"/>
        <v/>
      </c>
      <c r="AM41" s="771" t="str">
        <f t="shared" si="36"/>
        <v/>
      </c>
      <c r="AN41" s="771" t="str">
        <f t="shared" si="37"/>
        <v/>
      </c>
      <c r="AO41" s="771" t="str">
        <f t="shared" si="38"/>
        <v/>
      </c>
      <c r="AP41" s="771" t="b">
        <f>IF(ISERROR(AJ41),FALSE,IF(OR(AJ41=0,ISERROR(AL41),ISERROR(AM41),ISERROR(AN41),ISERROR(AO41)),FALSE,IF(AL41&lt;&gt;"",IF(ISERROR(VLOOKUP(SUBSTITUTE(SUBSTITUTE(C41,"R",""),"A",""),#REF!,1,FALSE)),FALSE,TRUE),TRUE)))</f>
        <v>0</v>
      </c>
      <c r="AQ41" s="945" t="e">
        <f t="shared" si="39"/>
        <v>#N/A</v>
      </c>
      <c r="AR41" s="877" t="b">
        <f t="shared" si="40"/>
        <v>0</v>
      </c>
      <c r="AS41" s="945" t="e">
        <f t="shared" si="41"/>
        <v>#N/A</v>
      </c>
      <c r="AT41" s="877" t="b">
        <f t="shared" si="42"/>
        <v>0</v>
      </c>
      <c r="AU41" s="878" t="str">
        <f t="shared" si="43"/>
        <v/>
      </c>
      <c r="AV41" s="771" t="str">
        <f t="shared" si="44"/>
        <v/>
      </c>
      <c r="AW41" s="771" t="str">
        <f t="shared" si="45"/>
        <v/>
      </c>
      <c r="AX41" s="771" t="str">
        <f t="shared" si="123"/>
        <v/>
      </c>
      <c r="AY41" s="946" t="e">
        <f t="shared" si="46"/>
        <v>#REF!</v>
      </c>
      <c r="AZ41" s="795" t="str">
        <f t="shared" si="47"/>
        <v/>
      </c>
      <c r="BA41" s="496"/>
      <c r="BB41" s="616"/>
      <c r="BC41" s="1567"/>
      <c r="BD41" s="682"/>
      <c r="BE41" s="683"/>
      <c r="BF41" s="684"/>
      <c r="BG41" s="660"/>
      <c r="BH41" s="901"/>
      <c r="BI41" s="902"/>
      <c r="BJ41" s="1508"/>
      <c r="BK41" s="661"/>
      <c r="BL41" s="662"/>
      <c r="BM41" s="663"/>
      <c r="BN41" s="664"/>
      <c r="BO41" s="616" t="str">
        <f>IF(ISERROR(CU41),"",IF(CU41="","",IF(VLOOKUP(BG41,#REF!,10,FALSE)="","","X")))</f>
        <v/>
      </c>
      <c r="BP41" s="687"/>
      <c r="BQ41" s="1430" t="str">
        <f t="shared" si="48"/>
        <v/>
      </c>
      <c r="BR41" s="839"/>
      <c r="BS41" s="660"/>
      <c r="BT41" s="661"/>
      <c r="BU41" s="662"/>
      <c r="BV41" s="1508"/>
      <c r="BW41" s="661"/>
      <c r="BX41" s="662"/>
      <c r="BY41" s="663"/>
      <c r="BZ41" s="664"/>
      <c r="CA41" s="625" t="str">
        <f>IF(ISERROR(DE41),"",IF(DE41="","",IF(VLOOKUP(BS41,#REF!,10,FALSE)="","","X")))</f>
        <v/>
      </c>
      <c r="CB41" s="687"/>
      <c r="CC41" s="1430" t="str">
        <f t="shared" si="49"/>
        <v/>
      </c>
      <c r="CD41" s="839"/>
      <c r="CE41" s="665"/>
      <c r="CF41" s="685"/>
      <c r="CG41" s="686"/>
      <c r="CH41" s="534" t="str">
        <f t="shared" si="50"/>
        <v/>
      </c>
      <c r="CI41" s="535" t="str">
        <f t="shared" si="51"/>
        <v/>
      </c>
      <c r="CJ41" s="536" t="str">
        <f t="shared" si="52"/>
        <v/>
      </c>
      <c r="CK41" s="537" t="str">
        <f t="shared" si="53"/>
        <v/>
      </c>
      <c r="CL41" s="538" t="str">
        <f t="shared" si="54"/>
        <v/>
      </c>
      <c r="CM41" s="539" t="str">
        <f t="shared" si="55"/>
        <v/>
      </c>
      <c r="CN41" s="540" t="str">
        <f t="shared" si="56"/>
        <v/>
      </c>
      <c r="CO41" s="541" t="str">
        <f t="shared" si="57"/>
        <v/>
      </c>
      <c r="CP41" s="558" t="str">
        <f t="shared" si="58"/>
        <v/>
      </c>
      <c r="CQ41" s="559" t="str">
        <f t="shared" si="59"/>
        <v/>
      </c>
      <c r="CR41" s="699" t="str">
        <f t="shared" si="60"/>
        <v/>
      </c>
      <c r="CS41" s="700" t="str">
        <f t="shared" si="61"/>
        <v/>
      </c>
      <c r="CU41" s="758" t="str">
        <f>IF(BG41="","",VLOOKUP(BG41,#REF!,12,FALSE))</f>
        <v/>
      </c>
      <c r="CV41" s="756" t="str">
        <f>IF(BG41="","",IF(ISBLANK(BP41),VLOOKUP(BG41,#REF!,13,FALSE),BP41))</f>
        <v/>
      </c>
      <c r="CW41" s="756" t="str">
        <f>IF(BG41="","",IF(VLOOKUP(BG41,#REF!,5,FALSE)="","R",UPPER(VLOOKUP(BG41,#REF!,5,FALSE))))</f>
        <v/>
      </c>
      <c r="CX41" s="756" t="str">
        <f>IF(BG41="","",IF(ISBLANK(BR41),VLOOKUP(BG41,#REF!,6,FALSE),BR41))</f>
        <v/>
      </c>
      <c r="CY41" s="1203" t="str">
        <f>IF(BG41="","",IF(VLOOKUP(BG41,#REF!,10,FALSE)="","",(IF(BO41="X",VLOOKUP(BG41,#REF!,10,FALSE),VALUE(BO41))*-1)))</f>
        <v/>
      </c>
      <c r="CZ41" s="1042" t="str">
        <f>IF(BG41="","",IF(VLOOKUP(BG41,#REF!,11,FALSE)="","2",(VLOOKUP(BG41,#REF!,11,FALSE))))</f>
        <v/>
      </c>
      <c r="DA41" s="756" t="str">
        <f>IF(BG41="","",IF(VLOOKUP(BG41,#REF!,7,FALSE)="","",(VLOOKUP(BG41,#REF!,7,FALSE)*-1)))</f>
        <v/>
      </c>
      <c r="DB41" s="756" t="str">
        <f>IF(BG41="","",IF(VLOOKUP(BG41,#REF!,8,FALSE)="",VLOOKUP(AU41,$DF$2:$DN$9,6,FALSE),(VLOOKUP(BG41,#REF!,8,FALSE))))</f>
        <v/>
      </c>
      <c r="DC41" s="756" t="str">
        <f>IF(BG41="","",VLOOKUP(BG41,#REF!,9,FALSE))</f>
        <v/>
      </c>
      <c r="DD41" s="757">
        <f t="shared" si="62"/>
        <v>0</v>
      </c>
      <c r="DE41" s="758" t="str">
        <f>IF(BS41="","",VLOOKUP(BS41,#REF!,12,FALSE))</f>
        <v/>
      </c>
      <c r="DF41" s="756" t="str">
        <f>IF(BS41="","",IF(ISBLANK(CB41),VLOOKUP(BS41,#REF!,13,FALSE),CB41))</f>
        <v/>
      </c>
      <c r="DG41" s="756" t="str">
        <f>IF(BS41="","",IF(VLOOKUP(BS41,#REF!,5,FALSE)="","R",UPPER(VLOOKUP(BS41,#REF!,5,FALSE))))</f>
        <v/>
      </c>
      <c r="DH41" s="756" t="str">
        <f>IF(BS41="","",IF(ISBLANK(CD41),VLOOKUP(BS41,#REF!,6,FALSE),CD41))</f>
        <v/>
      </c>
      <c r="DI41" s="1203" t="str">
        <f>IF(BS41="","",IF(VLOOKUP(BS41,#REF!,10,FALSE)="","",(IF(CA41="X",VLOOKUP(BS41,#REF!,10,FALSE),VALUE(CA41))*-1)))</f>
        <v/>
      </c>
      <c r="DJ41" s="1042" t="str">
        <f>IF(BS41="","",IF(VLOOKUP(BS41,#REF!,11,FALSE)="","2",(VLOOKUP(BS41,#REF!,11,FALSE))))</f>
        <v/>
      </c>
      <c r="DK41" s="756" t="str">
        <f>IF(BS41="","",IF(VLOOKUP(BS41,#REF!,7,FALSE)="","",(VLOOKUP(BS41,#REF!,7,FALSE)*-1)))</f>
        <v/>
      </c>
      <c r="DL41" s="756" t="str">
        <f>IF(BS41="","",IF(VLOOKUP(BS41,#REF!,8,FALSE)="",VLOOKUP(AU41,$DF$2:$DN$9,6,FALSE),(VLOOKUP(BS41,#REF!,8,FALSE))))</f>
        <v/>
      </c>
      <c r="DM41" s="756" t="str">
        <f>IF(BS41="","",VLOOKUP(BS41,#REF!,9,FALSE))</f>
        <v/>
      </c>
      <c r="DN41" s="757">
        <f t="shared" si="63"/>
        <v>0</v>
      </c>
      <c r="DO41" s="759">
        <f t="shared" si="64"/>
        <v>0</v>
      </c>
      <c r="DP41" s="763" t="str">
        <f t="shared" si="65"/>
        <v/>
      </c>
      <c r="DQ41" s="763" t="str">
        <f t="shared" si="66"/>
        <v/>
      </c>
      <c r="DR41" s="763" t="str">
        <f t="shared" si="67"/>
        <v/>
      </c>
      <c r="DS41" s="762">
        <f t="shared" si="68"/>
        <v>0</v>
      </c>
      <c r="DT41" s="762" t="e">
        <f t="shared" si="69"/>
        <v>#REF!</v>
      </c>
      <c r="DU41" s="762" t="str">
        <f t="shared" si="70"/>
        <v/>
      </c>
      <c r="DV41" s="763" t="str">
        <f t="shared" si="71"/>
        <v/>
      </c>
      <c r="DW41" s="795" t="str">
        <f t="shared" si="72"/>
        <v/>
      </c>
      <c r="DX41" s="926">
        <f t="shared" si="73"/>
        <v>0</v>
      </c>
      <c r="DY41" s="763">
        <f t="shared" si="74"/>
        <v>0</v>
      </c>
      <c r="DZ41" s="762" t="e">
        <f t="shared" si="75"/>
        <v>#REF!</v>
      </c>
      <c r="EA41" s="762" t="str">
        <f t="shared" si="76"/>
        <v/>
      </c>
      <c r="EB41" s="763" t="str">
        <f t="shared" si="77"/>
        <v/>
      </c>
      <c r="EC41" s="795" t="str">
        <f t="shared" si="78"/>
        <v/>
      </c>
      <c r="ED41" s="926">
        <f t="shared" si="79"/>
        <v>0</v>
      </c>
      <c r="EE41" s="1210" t="str">
        <f t="shared" si="80"/>
        <v/>
      </c>
      <c r="EF41" s="1210" t="str">
        <f t="shared" si="81"/>
        <v/>
      </c>
      <c r="EG41" s="1210" t="str">
        <f t="shared" si="82"/>
        <v/>
      </c>
      <c r="EH41" s="795" t="e">
        <f t="shared" si="83"/>
        <v>#N/A</v>
      </c>
      <c r="EI41" s="795" t="e">
        <f t="shared" si="84"/>
        <v>#N/A</v>
      </c>
      <c r="EJ41" s="763" t="str">
        <f t="shared" si="85"/>
        <v/>
      </c>
      <c r="EK41" s="763" t="str">
        <f t="shared" si="85"/>
        <v/>
      </c>
      <c r="EL41" s="1210" t="str">
        <f t="shared" si="86"/>
        <v/>
      </c>
      <c r="EM41" s="763" t="str">
        <f t="shared" si="87"/>
        <v/>
      </c>
      <c r="EN41" s="763" t="str">
        <f t="shared" si="88"/>
        <v/>
      </c>
      <c r="EO41" s="795" t="e">
        <f t="shared" si="89"/>
        <v>#N/A</v>
      </c>
      <c r="EP41" s="795" t="e">
        <f t="shared" si="90"/>
        <v>#N/A</v>
      </c>
      <c r="EQ41" s="1210" t="str">
        <f t="shared" si="91"/>
        <v/>
      </c>
      <c r="ER41" s="763" t="str">
        <f t="shared" si="91"/>
        <v/>
      </c>
      <c r="ES41" s="763" t="str">
        <f t="shared" si="92"/>
        <v/>
      </c>
      <c r="ET41" s="763" t="str">
        <f t="shared" si="93"/>
        <v/>
      </c>
      <c r="EU41" s="770" t="str">
        <f t="shared" si="94"/>
        <v/>
      </c>
      <c r="EV41" s="765" t="str">
        <f t="shared" si="95"/>
        <v/>
      </c>
      <c r="EW41" s="770"/>
      <c r="EX41" s="770" t="str">
        <f>IF(AND(CU41="G", ISBLANK(BK41), ISBLANK(BL41)),VLOOKUP(MIN(BH41:BI41),#REF!,2),IF(OR(CU41="B",CU41="G"),MIN(BK41:BL41),""))</f>
        <v/>
      </c>
      <c r="EY41" s="770" t="str">
        <f>IF(AND(CU41="G", ISBLANK(BK41), ISBLANK(BL41)),VLOOKUP(MAX(BH41:BI41),#REF!,2),IF(OR(CU41="B",CU41="G"),MAX(BK41:BL41),""))</f>
        <v/>
      </c>
      <c r="EZ41" s="770" t="str">
        <f t="shared" si="96"/>
        <v/>
      </c>
      <c r="FA41" s="770" t="str">
        <f>IF(AND(DE41="G", ISBLANK(BW41), ISBLANK(BX41)),VLOOKUP(MIN(BT41:BU41),#REF!,2),IF(OR(DE41="B", DE41="G"),MIN(BW41:BX41),""))</f>
        <v/>
      </c>
      <c r="FB41" s="770" t="str">
        <f>IF(AND(DE41="G", ISBLANK(BW41), ISBLANK(BX41)),VLOOKUP(MAX(BT41:BU41),#REF!,2),IF(OR(DE41="B", DE41="G"),MAX(BW41:BX41),""))</f>
        <v/>
      </c>
      <c r="FC41" s="770" t="str">
        <f t="shared" si="97"/>
        <v/>
      </c>
      <c r="FD41" s="762">
        <f t="shared" si="124"/>
        <v>0</v>
      </c>
      <c r="FE41" s="762">
        <f t="shared" si="98"/>
        <v>0</v>
      </c>
      <c r="FF41" s="762">
        <f t="shared" si="99"/>
        <v>0</v>
      </c>
      <c r="FG41" s="762" t="str">
        <f t="shared" si="100"/>
        <v/>
      </c>
      <c r="FH41" s="763" t="str">
        <f t="shared" si="101"/>
        <v/>
      </c>
      <c r="FI41" s="762">
        <f t="shared" si="125"/>
        <v>0</v>
      </c>
      <c r="FJ41" s="762">
        <f t="shared" si="102"/>
        <v>0</v>
      </c>
      <c r="FK41" s="762">
        <f t="shared" si="103"/>
        <v>0</v>
      </c>
      <c r="FL41" s="762" t="str">
        <f t="shared" si="104"/>
        <v/>
      </c>
      <c r="FM41" s="763" t="str">
        <f t="shared" si="105"/>
        <v/>
      </c>
      <c r="FN41" s="763" t="e">
        <f t="shared" si="106"/>
        <v>#VALUE!</v>
      </c>
      <c r="FO41" s="872" t="e">
        <f t="shared" si="107"/>
        <v>#VALUE!</v>
      </c>
      <c r="FP41" s="872" t="e">
        <f t="shared" si="108"/>
        <v>#VALUE!</v>
      </c>
      <c r="FQ41" s="771" t="e">
        <f t="shared" si="109"/>
        <v>#VALUE!</v>
      </c>
      <c r="FR41" s="772" t="e">
        <f t="shared" si="110"/>
        <v>#VALUE!</v>
      </c>
      <c r="FS41" s="773" t="str">
        <f t="shared" si="111"/>
        <v/>
      </c>
      <c r="FT41" s="774" t="str">
        <f t="shared" si="112"/>
        <v/>
      </c>
      <c r="FU41" s="809">
        <f t="shared" si="113"/>
        <v>0</v>
      </c>
      <c r="FV41" s="810">
        <f t="shared" si="114"/>
        <v>0</v>
      </c>
      <c r="GA41" s="542" t="str">
        <f t="shared" si="115"/>
        <v/>
      </c>
      <c r="GB41" s="562" t="str">
        <f t="shared" si="116"/>
        <v/>
      </c>
      <c r="GC41" s="564" t="str">
        <f t="shared" si="117"/>
        <v/>
      </c>
      <c r="GD41" s="565" t="str">
        <f t="shared" si="118"/>
        <v/>
      </c>
      <c r="GE41" s="563" t="str">
        <f t="shared" si="119"/>
        <v/>
      </c>
      <c r="GF41" s="543" t="str">
        <f t="shared" si="120"/>
        <v/>
      </c>
      <c r="GG41" s="1052"/>
      <c r="GH41" s="1053"/>
      <c r="GI41" s="1052"/>
      <c r="GJ41" s="1053"/>
      <c r="GK41" s="1521">
        <f t="shared" si="121"/>
        <v>0</v>
      </c>
      <c r="GL41" s="1519" t="e">
        <f t="shared" si="122"/>
        <v>#VALUE!</v>
      </c>
      <c r="GM41" s="1520" t="e">
        <f>IF(ABS(GK41-GL41)&gt;=#REF!,ABS(GK41-GL41),0)</f>
        <v>#VALUE!</v>
      </c>
      <c r="HA41" s="1187"/>
      <c r="HB41" s="1188"/>
      <c r="HC41" s="1188"/>
      <c r="HD41" s="1189"/>
      <c r="HE41" s="1190"/>
      <c r="HF41" s="1188"/>
      <c r="HG41" s="1188"/>
      <c r="HH41" s="1188"/>
      <c r="HI41" s="1191"/>
      <c r="HJ41" s="1188"/>
      <c r="HK41" s="1188"/>
      <c r="HL41" s="1188"/>
      <c r="HM41" s="1188"/>
      <c r="HN41" s="1188"/>
      <c r="HO41" s="1188"/>
      <c r="HP41" s="1188"/>
      <c r="HQ41" s="1191"/>
      <c r="HR41" s="1188"/>
      <c r="HS41" s="1188"/>
      <c r="HT41" s="1188"/>
      <c r="HU41" s="1188"/>
      <c r="HV41" s="1188"/>
      <c r="HW41" s="1190"/>
      <c r="HX41" s="1190"/>
      <c r="HY41" s="1190"/>
      <c r="HZ41" s="1190"/>
      <c r="IA41" s="1190"/>
      <c r="IB41" s="1190"/>
      <c r="IC41" s="1190"/>
      <c r="ID41" s="1190"/>
      <c r="IE41" s="1190"/>
      <c r="IF41" s="1192"/>
    </row>
    <row r="42" spans="1:240" ht="12.6" customHeight="1" x14ac:dyDescent="0.25">
      <c r="A42" s="1132" t="str">
        <f t="shared" si="1"/>
        <v/>
      </c>
      <c r="B42" s="1586" t="str">
        <f t="shared" si="2"/>
        <v/>
      </c>
      <c r="C42" s="1133" t="str">
        <f t="shared" si="3"/>
        <v/>
      </c>
      <c r="D42" s="1134" t="str">
        <f t="shared" si="4"/>
        <v/>
      </c>
      <c r="E42" s="1135" t="str">
        <f t="shared" si="5"/>
        <v/>
      </c>
      <c r="F42" s="1143" t="str">
        <f t="shared" si="6"/>
        <v/>
      </c>
      <c r="G42" s="1138" t="str">
        <f t="shared" si="7"/>
        <v/>
      </c>
      <c r="H42" s="1645" t="str">
        <f t="shared" si="8"/>
        <v/>
      </c>
      <c r="I42" s="1134" t="str">
        <f t="shared" si="9"/>
        <v/>
      </c>
      <c r="J42" s="1138" t="str">
        <f t="shared" si="10"/>
        <v/>
      </c>
      <c r="K42" s="1657" t="str">
        <f t="shared" si="11"/>
        <v/>
      </c>
      <c r="L42" s="1141" t="str">
        <f t="shared" si="12"/>
        <v/>
      </c>
      <c r="M42" s="1142" t="str">
        <f t="shared" si="13"/>
        <v/>
      </c>
      <c r="N42" s="1137" t="str">
        <f t="shared" si="14"/>
        <v/>
      </c>
      <c r="O42" s="1138" t="str">
        <f t="shared" si="15"/>
        <v/>
      </c>
      <c r="P42" s="1139" t="str">
        <f t="shared" si="16"/>
        <v/>
      </c>
      <c r="Q42" s="1134" t="str">
        <f t="shared" si="17"/>
        <v/>
      </c>
      <c r="R42" s="1138" t="str">
        <f t="shared" si="18"/>
        <v/>
      </c>
      <c r="S42" s="1140" t="str">
        <f t="shared" si="19"/>
        <v/>
      </c>
      <c r="T42" s="1143" t="str">
        <f t="shared" si="20"/>
        <v/>
      </c>
      <c r="U42" s="1138" t="str">
        <f t="shared" si="21"/>
        <v/>
      </c>
      <c r="V42" s="1134" t="str">
        <f t="shared" si="22"/>
        <v/>
      </c>
      <c r="W42" s="1138" t="str">
        <f t="shared" si="23"/>
        <v/>
      </c>
      <c r="X42" s="1142">
        <f t="shared" si="24"/>
        <v>0</v>
      </c>
      <c r="Y42" s="1647" t="str">
        <f t="shared" si="25"/>
        <v/>
      </c>
      <c r="Z42" s="1648" t="str">
        <f t="shared" si="26"/>
        <v/>
      </c>
      <c r="AA42" s="1649" t="str">
        <f t="shared" si="27"/>
        <v/>
      </c>
      <c r="AB42" s="1288"/>
      <c r="AC42" s="898" t="b">
        <v>0</v>
      </c>
      <c r="AD42" s="374">
        <f t="shared" si="28"/>
        <v>0</v>
      </c>
      <c r="AE42" s="375">
        <f t="shared" si="29"/>
        <v>0</v>
      </c>
      <c r="AF42" s="375">
        <f t="shared" si="30"/>
        <v>0</v>
      </c>
      <c r="AG42" s="375">
        <f t="shared" si="31"/>
        <v>0</v>
      </c>
      <c r="AH42" s="376">
        <f t="shared" si="32"/>
        <v>0</v>
      </c>
      <c r="AI42" s="377" t="b">
        <v>0</v>
      </c>
      <c r="AJ42" s="143">
        <f t="shared" si="33"/>
        <v>0</v>
      </c>
      <c r="AK42" s="771" t="str">
        <f t="shared" si="34"/>
        <v/>
      </c>
      <c r="AL42" s="877" t="str">
        <f t="shared" si="35"/>
        <v/>
      </c>
      <c r="AM42" s="771" t="str">
        <f t="shared" si="36"/>
        <v/>
      </c>
      <c r="AN42" s="771" t="str">
        <f t="shared" si="37"/>
        <v/>
      </c>
      <c r="AO42" s="771" t="str">
        <f t="shared" si="38"/>
        <v/>
      </c>
      <c r="AP42" s="771" t="b">
        <f>IF(ISERROR(AJ42),FALSE,IF(OR(AJ42=0,ISERROR(AL42),ISERROR(AM42),ISERROR(AN42),ISERROR(AO42)),FALSE,IF(AL42&lt;&gt;"",IF(ISERROR(VLOOKUP(SUBSTITUTE(SUBSTITUTE(C42,"R",""),"A",""),#REF!,1,FALSE)),FALSE,TRUE),TRUE)))</f>
        <v>0</v>
      </c>
      <c r="AQ42" s="945" t="e">
        <f t="shared" si="39"/>
        <v>#N/A</v>
      </c>
      <c r="AR42" s="877" t="b">
        <f t="shared" si="40"/>
        <v>0</v>
      </c>
      <c r="AS42" s="945" t="e">
        <f t="shared" si="41"/>
        <v>#N/A</v>
      </c>
      <c r="AT42" s="877" t="b">
        <f t="shared" si="42"/>
        <v>0</v>
      </c>
      <c r="AU42" s="878" t="str">
        <f t="shared" si="43"/>
        <v/>
      </c>
      <c r="AV42" s="771" t="str">
        <f t="shared" si="44"/>
        <v/>
      </c>
      <c r="AW42" s="771" t="str">
        <f t="shared" si="45"/>
        <v/>
      </c>
      <c r="AX42" s="771" t="str">
        <f t="shared" si="123"/>
        <v/>
      </c>
      <c r="AY42" s="946" t="e">
        <f t="shared" si="46"/>
        <v>#REF!</v>
      </c>
      <c r="AZ42" s="795" t="str">
        <f t="shared" si="47"/>
        <v/>
      </c>
      <c r="BA42" s="496"/>
      <c r="BB42" s="616"/>
      <c r="BC42" s="1567"/>
      <c r="BD42" s="682"/>
      <c r="BE42" s="683"/>
      <c r="BF42" s="684"/>
      <c r="BG42" s="660"/>
      <c r="BH42" s="901"/>
      <c r="BI42" s="902"/>
      <c r="BJ42" s="1508"/>
      <c r="BK42" s="661"/>
      <c r="BL42" s="662"/>
      <c r="BM42" s="663"/>
      <c r="BN42" s="664"/>
      <c r="BO42" s="616" t="str">
        <f>IF(ISERROR(CU42),"",IF(CU42="","",IF(VLOOKUP(BG42,#REF!,10,FALSE)="","","X")))</f>
        <v/>
      </c>
      <c r="BP42" s="687"/>
      <c r="BQ42" s="1430" t="str">
        <f t="shared" si="48"/>
        <v/>
      </c>
      <c r="BR42" s="839"/>
      <c r="BS42" s="660"/>
      <c r="BT42" s="661"/>
      <c r="BU42" s="662"/>
      <c r="BV42" s="1508"/>
      <c r="BW42" s="661"/>
      <c r="BX42" s="662"/>
      <c r="BY42" s="663"/>
      <c r="BZ42" s="664"/>
      <c r="CA42" s="625" t="str">
        <f>IF(ISERROR(DE42),"",IF(DE42="","",IF(VLOOKUP(BS42,#REF!,10,FALSE)="","","X")))</f>
        <v/>
      </c>
      <c r="CB42" s="687"/>
      <c r="CC42" s="1430" t="str">
        <f t="shared" si="49"/>
        <v/>
      </c>
      <c r="CD42" s="839"/>
      <c r="CE42" s="665"/>
      <c r="CF42" s="685"/>
      <c r="CG42" s="686"/>
      <c r="CH42" s="534" t="str">
        <f t="shared" si="50"/>
        <v/>
      </c>
      <c r="CI42" s="535" t="str">
        <f t="shared" si="51"/>
        <v/>
      </c>
      <c r="CJ42" s="536" t="str">
        <f t="shared" si="52"/>
        <v/>
      </c>
      <c r="CK42" s="537" t="str">
        <f t="shared" si="53"/>
        <v/>
      </c>
      <c r="CL42" s="538" t="str">
        <f t="shared" si="54"/>
        <v/>
      </c>
      <c r="CM42" s="539" t="str">
        <f t="shared" si="55"/>
        <v/>
      </c>
      <c r="CN42" s="540" t="str">
        <f t="shared" si="56"/>
        <v/>
      </c>
      <c r="CO42" s="541" t="str">
        <f t="shared" si="57"/>
        <v/>
      </c>
      <c r="CP42" s="558" t="str">
        <f t="shared" si="58"/>
        <v/>
      </c>
      <c r="CQ42" s="559" t="str">
        <f t="shared" si="59"/>
        <v/>
      </c>
      <c r="CR42" s="699" t="str">
        <f t="shared" si="60"/>
        <v/>
      </c>
      <c r="CS42" s="700" t="str">
        <f t="shared" si="61"/>
        <v/>
      </c>
      <c r="CU42" s="758" t="str">
        <f>IF(BG42="","",VLOOKUP(BG42,#REF!,12,FALSE))</f>
        <v/>
      </c>
      <c r="CV42" s="756" t="str">
        <f>IF(BG42="","",IF(ISBLANK(BP42),VLOOKUP(BG42,#REF!,13,FALSE),BP42))</f>
        <v/>
      </c>
      <c r="CW42" s="756" t="str">
        <f>IF(BG42="","",IF(VLOOKUP(BG42,#REF!,5,FALSE)="","R",UPPER(VLOOKUP(BG42,#REF!,5,FALSE))))</f>
        <v/>
      </c>
      <c r="CX42" s="756" t="str">
        <f>IF(BG42="","",IF(ISBLANK(BR42),VLOOKUP(BG42,#REF!,6,FALSE),BR42))</f>
        <v/>
      </c>
      <c r="CY42" s="1203" t="str">
        <f>IF(BG42="","",IF(VLOOKUP(BG42,#REF!,10,FALSE)="","",(IF(BO42="X",VLOOKUP(BG42,#REF!,10,FALSE),VALUE(BO42))*-1)))</f>
        <v/>
      </c>
      <c r="CZ42" s="1042" t="str">
        <f>IF(BG42="","",IF(VLOOKUP(BG42,#REF!,11,FALSE)="","2",(VLOOKUP(BG42,#REF!,11,FALSE))))</f>
        <v/>
      </c>
      <c r="DA42" s="756" t="str">
        <f>IF(BG42="","",IF(VLOOKUP(BG42,#REF!,7,FALSE)="","",(VLOOKUP(BG42,#REF!,7,FALSE)*-1)))</f>
        <v/>
      </c>
      <c r="DB42" s="756" t="str">
        <f>IF(BG42="","",IF(VLOOKUP(BG42,#REF!,8,FALSE)="",VLOOKUP(AU42,$DF$2:$DN$9,6,FALSE),(VLOOKUP(BG42,#REF!,8,FALSE))))</f>
        <v/>
      </c>
      <c r="DC42" s="756" t="str">
        <f>IF(BG42="","",VLOOKUP(BG42,#REF!,9,FALSE))</f>
        <v/>
      </c>
      <c r="DD42" s="757">
        <f t="shared" si="62"/>
        <v>0</v>
      </c>
      <c r="DE42" s="758" t="str">
        <f>IF(BS42="","",VLOOKUP(BS42,#REF!,12,FALSE))</f>
        <v/>
      </c>
      <c r="DF42" s="756" t="str">
        <f>IF(BS42="","",IF(ISBLANK(CB42),VLOOKUP(BS42,#REF!,13,FALSE),CB42))</f>
        <v/>
      </c>
      <c r="DG42" s="756" t="str">
        <f>IF(BS42="","",IF(VLOOKUP(BS42,#REF!,5,FALSE)="","R",UPPER(VLOOKUP(BS42,#REF!,5,FALSE))))</f>
        <v/>
      </c>
      <c r="DH42" s="756" t="str">
        <f>IF(BS42="","",IF(ISBLANK(CD42),VLOOKUP(BS42,#REF!,6,FALSE),CD42))</f>
        <v/>
      </c>
      <c r="DI42" s="1203" t="str">
        <f>IF(BS42="","",IF(VLOOKUP(BS42,#REF!,10,FALSE)="","",(IF(CA42="X",VLOOKUP(BS42,#REF!,10,FALSE),VALUE(CA42))*-1)))</f>
        <v/>
      </c>
      <c r="DJ42" s="1042" t="str">
        <f>IF(BS42="","",IF(VLOOKUP(BS42,#REF!,11,FALSE)="","2",(VLOOKUP(BS42,#REF!,11,FALSE))))</f>
        <v/>
      </c>
      <c r="DK42" s="756" t="str">
        <f>IF(BS42="","",IF(VLOOKUP(BS42,#REF!,7,FALSE)="","",(VLOOKUP(BS42,#REF!,7,FALSE)*-1)))</f>
        <v/>
      </c>
      <c r="DL42" s="756" t="str">
        <f>IF(BS42="","",IF(VLOOKUP(BS42,#REF!,8,FALSE)="",VLOOKUP(AU42,$DF$2:$DN$9,6,FALSE),(VLOOKUP(BS42,#REF!,8,FALSE))))</f>
        <v/>
      </c>
      <c r="DM42" s="756" t="str">
        <f>IF(BS42="","",VLOOKUP(BS42,#REF!,9,FALSE))</f>
        <v/>
      </c>
      <c r="DN42" s="757">
        <f t="shared" si="63"/>
        <v>0</v>
      </c>
      <c r="DO42" s="759">
        <f t="shared" si="64"/>
        <v>0</v>
      </c>
      <c r="DP42" s="763" t="str">
        <f t="shared" si="65"/>
        <v/>
      </c>
      <c r="DQ42" s="763" t="str">
        <f t="shared" si="66"/>
        <v/>
      </c>
      <c r="DR42" s="763" t="str">
        <f t="shared" si="67"/>
        <v/>
      </c>
      <c r="DS42" s="762">
        <f t="shared" si="68"/>
        <v>0</v>
      </c>
      <c r="DT42" s="762" t="e">
        <f t="shared" si="69"/>
        <v>#REF!</v>
      </c>
      <c r="DU42" s="762" t="str">
        <f t="shared" si="70"/>
        <v/>
      </c>
      <c r="DV42" s="763" t="str">
        <f t="shared" si="71"/>
        <v/>
      </c>
      <c r="DW42" s="795" t="str">
        <f t="shared" si="72"/>
        <v/>
      </c>
      <c r="DX42" s="926">
        <f t="shared" si="73"/>
        <v>0</v>
      </c>
      <c r="DY42" s="763">
        <f t="shared" si="74"/>
        <v>0</v>
      </c>
      <c r="DZ42" s="762" t="e">
        <f t="shared" si="75"/>
        <v>#REF!</v>
      </c>
      <c r="EA42" s="762" t="str">
        <f t="shared" si="76"/>
        <v/>
      </c>
      <c r="EB42" s="763" t="str">
        <f t="shared" si="77"/>
        <v/>
      </c>
      <c r="EC42" s="795" t="str">
        <f t="shared" si="78"/>
        <v/>
      </c>
      <c r="ED42" s="926">
        <f t="shared" si="79"/>
        <v>0</v>
      </c>
      <c r="EE42" s="1210" t="str">
        <f t="shared" si="80"/>
        <v/>
      </c>
      <c r="EF42" s="1210" t="str">
        <f t="shared" si="81"/>
        <v/>
      </c>
      <c r="EG42" s="1210" t="str">
        <f t="shared" si="82"/>
        <v/>
      </c>
      <c r="EH42" s="795" t="e">
        <f t="shared" si="83"/>
        <v>#N/A</v>
      </c>
      <c r="EI42" s="795" t="e">
        <f t="shared" si="84"/>
        <v>#N/A</v>
      </c>
      <c r="EJ42" s="763" t="str">
        <f t="shared" si="85"/>
        <v/>
      </c>
      <c r="EK42" s="763" t="str">
        <f t="shared" si="85"/>
        <v/>
      </c>
      <c r="EL42" s="1210" t="str">
        <f t="shared" si="86"/>
        <v/>
      </c>
      <c r="EM42" s="763" t="str">
        <f t="shared" si="87"/>
        <v/>
      </c>
      <c r="EN42" s="763" t="str">
        <f t="shared" si="88"/>
        <v/>
      </c>
      <c r="EO42" s="795" t="e">
        <f t="shared" si="89"/>
        <v>#N/A</v>
      </c>
      <c r="EP42" s="795" t="e">
        <f t="shared" si="90"/>
        <v>#N/A</v>
      </c>
      <c r="EQ42" s="1210" t="str">
        <f t="shared" si="91"/>
        <v/>
      </c>
      <c r="ER42" s="763" t="str">
        <f t="shared" si="91"/>
        <v/>
      </c>
      <c r="ES42" s="763" t="str">
        <f t="shared" si="92"/>
        <v/>
      </c>
      <c r="ET42" s="763" t="str">
        <f t="shared" si="93"/>
        <v/>
      </c>
      <c r="EU42" s="770" t="str">
        <f t="shared" si="94"/>
        <v/>
      </c>
      <c r="EV42" s="765" t="str">
        <f t="shared" si="95"/>
        <v/>
      </c>
      <c r="EW42" s="770"/>
      <c r="EX42" s="770" t="str">
        <f>IF(AND(CU42="G", ISBLANK(BK42), ISBLANK(BL42)),VLOOKUP(MIN(BH42:BI42),#REF!,2),IF(OR(CU42="B",CU42="G"),MIN(BK42:BL42),""))</f>
        <v/>
      </c>
      <c r="EY42" s="770" t="str">
        <f>IF(AND(CU42="G", ISBLANK(BK42), ISBLANK(BL42)),VLOOKUP(MAX(BH42:BI42),#REF!,2),IF(OR(CU42="B",CU42="G"),MAX(BK42:BL42),""))</f>
        <v/>
      </c>
      <c r="EZ42" s="770" t="str">
        <f t="shared" si="96"/>
        <v/>
      </c>
      <c r="FA42" s="770" t="str">
        <f>IF(AND(DE42="G", ISBLANK(BW42), ISBLANK(BX42)),VLOOKUP(MIN(BT42:BU42),#REF!,2),IF(OR(DE42="B", DE42="G"),MIN(BW42:BX42),""))</f>
        <v/>
      </c>
      <c r="FB42" s="770" t="str">
        <f>IF(AND(DE42="G", ISBLANK(BW42), ISBLANK(BX42)),VLOOKUP(MAX(BT42:BU42),#REF!,2),IF(OR(DE42="B", DE42="G"),MAX(BW42:BX42),""))</f>
        <v/>
      </c>
      <c r="FC42" s="770" t="str">
        <f t="shared" si="97"/>
        <v/>
      </c>
      <c r="FD42" s="762">
        <f t="shared" si="124"/>
        <v>0</v>
      </c>
      <c r="FE42" s="762">
        <f t="shared" si="98"/>
        <v>0</v>
      </c>
      <c r="FF42" s="762">
        <f t="shared" si="99"/>
        <v>0</v>
      </c>
      <c r="FG42" s="762" t="str">
        <f t="shared" si="100"/>
        <v/>
      </c>
      <c r="FH42" s="763" t="str">
        <f t="shared" si="101"/>
        <v/>
      </c>
      <c r="FI42" s="762">
        <f t="shared" si="125"/>
        <v>0</v>
      </c>
      <c r="FJ42" s="762">
        <f t="shared" si="102"/>
        <v>0</v>
      </c>
      <c r="FK42" s="762">
        <f t="shared" si="103"/>
        <v>0</v>
      </c>
      <c r="FL42" s="762" t="str">
        <f t="shared" si="104"/>
        <v/>
      </c>
      <c r="FM42" s="763" t="str">
        <f t="shared" si="105"/>
        <v/>
      </c>
      <c r="FN42" s="763" t="e">
        <f t="shared" si="106"/>
        <v>#VALUE!</v>
      </c>
      <c r="FO42" s="872" t="e">
        <f t="shared" si="107"/>
        <v>#VALUE!</v>
      </c>
      <c r="FP42" s="872" t="e">
        <f t="shared" si="108"/>
        <v>#VALUE!</v>
      </c>
      <c r="FQ42" s="771" t="e">
        <f t="shared" si="109"/>
        <v>#VALUE!</v>
      </c>
      <c r="FR42" s="772" t="e">
        <f t="shared" si="110"/>
        <v>#VALUE!</v>
      </c>
      <c r="FS42" s="773" t="str">
        <f t="shared" si="111"/>
        <v/>
      </c>
      <c r="FT42" s="774" t="str">
        <f t="shared" si="112"/>
        <v/>
      </c>
      <c r="FU42" s="809">
        <f t="shared" si="113"/>
        <v>0</v>
      </c>
      <c r="FV42" s="810">
        <f t="shared" si="114"/>
        <v>0</v>
      </c>
      <c r="GA42" s="542" t="str">
        <f t="shared" si="115"/>
        <v/>
      </c>
      <c r="GB42" s="562" t="str">
        <f t="shared" si="116"/>
        <v/>
      </c>
      <c r="GC42" s="564" t="str">
        <f t="shared" si="117"/>
        <v/>
      </c>
      <c r="GD42" s="565" t="str">
        <f t="shared" si="118"/>
        <v/>
      </c>
      <c r="GE42" s="563" t="str">
        <f t="shared" si="119"/>
        <v/>
      </c>
      <c r="GF42" s="543" t="str">
        <f t="shared" si="120"/>
        <v/>
      </c>
      <c r="GG42" s="1052"/>
      <c r="GH42" s="1053"/>
      <c r="GI42" s="1052"/>
      <c r="GJ42" s="1053"/>
      <c r="GK42" s="1521">
        <f t="shared" si="121"/>
        <v>0</v>
      </c>
      <c r="GL42" s="1519" t="e">
        <f t="shared" si="122"/>
        <v>#VALUE!</v>
      </c>
      <c r="GM42" s="1520" t="e">
        <f>IF(ABS(GK42-GL42)&gt;=#REF!,ABS(GK42-GL42),0)</f>
        <v>#VALUE!</v>
      </c>
      <c r="HA42" s="1187"/>
      <c r="HB42" s="1188"/>
      <c r="HC42" s="1188"/>
      <c r="HD42" s="1189"/>
      <c r="HE42" s="1190"/>
      <c r="HF42" s="1188"/>
      <c r="HG42" s="1188"/>
      <c r="HH42" s="1188"/>
      <c r="HI42" s="1191"/>
      <c r="HJ42" s="1188"/>
      <c r="HK42" s="1188"/>
      <c r="HL42" s="1188"/>
      <c r="HM42" s="1188"/>
      <c r="HN42" s="1188"/>
      <c r="HO42" s="1188"/>
      <c r="HP42" s="1188"/>
      <c r="HQ42" s="1191"/>
      <c r="HR42" s="1188"/>
      <c r="HS42" s="1188"/>
      <c r="HT42" s="1188"/>
      <c r="HU42" s="1188"/>
      <c r="HV42" s="1188"/>
      <c r="HW42" s="1190"/>
      <c r="HX42" s="1190"/>
      <c r="HY42" s="1190"/>
      <c r="HZ42" s="1190"/>
      <c r="IA42" s="1190"/>
      <c r="IB42" s="1190"/>
      <c r="IC42" s="1190"/>
      <c r="ID42" s="1190"/>
      <c r="IE42" s="1190"/>
      <c r="IF42" s="1192"/>
    </row>
    <row r="43" spans="1:240" ht="12.6" customHeight="1" x14ac:dyDescent="0.25">
      <c r="A43" s="1132" t="str">
        <f t="shared" si="1"/>
        <v/>
      </c>
      <c r="B43" s="1586" t="str">
        <f t="shared" si="2"/>
        <v/>
      </c>
      <c r="C43" s="1133" t="str">
        <f t="shared" si="3"/>
        <v/>
      </c>
      <c r="D43" s="1134" t="str">
        <f t="shared" si="4"/>
        <v/>
      </c>
      <c r="E43" s="1135" t="str">
        <f t="shared" si="5"/>
        <v/>
      </c>
      <c r="F43" s="1143" t="str">
        <f t="shared" si="6"/>
        <v/>
      </c>
      <c r="G43" s="1138" t="str">
        <f t="shared" si="7"/>
        <v/>
      </c>
      <c r="H43" s="1645" t="str">
        <f t="shared" si="8"/>
        <v/>
      </c>
      <c r="I43" s="1134" t="str">
        <f t="shared" si="9"/>
        <v/>
      </c>
      <c r="J43" s="1138" t="str">
        <f t="shared" si="10"/>
        <v/>
      </c>
      <c r="K43" s="1657" t="str">
        <f t="shared" si="11"/>
        <v/>
      </c>
      <c r="L43" s="1141" t="str">
        <f t="shared" si="12"/>
        <v/>
      </c>
      <c r="M43" s="1142" t="str">
        <f t="shared" si="13"/>
        <v/>
      </c>
      <c r="N43" s="1137" t="str">
        <f t="shared" si="14"/>
        <v/>
      </c>
      <c r="O43" s="1138" t="str">
        <f t="shared" si="15"/>
        <v/>
      </c>
      <c r="P43" s="1139" t="str">
        <f t="shared" si="16"/>
        <v/>
      </c>
      <c r="Q43" s="1134" t="str">
        <f t="shared" si="17"/>
        <v/>
      </c>
      <c r="R43" s="1138" t="str">
        <f t="shared" si="18"/>
        <v/>
      </c>
      <c r="S43" s="1140" t="str">
        <f t="shared" si="19"/>
        <v/>
      </c>
      <c r="T43" s="1143" t="str">
        <f t="shared" si="20"/>
        <v/>
      </c>
      <c r="U43" s="1138" t="str">
        <f t="shared" si="21"/>
        <v/>
      </c>
      <c r="V43" s="1134" t="str">
        <f t="shared" si="22"/>
        <v/>
      </c>
      <c r="W43" s="1138" t="str">
        <f t="shared" si="23"/>
        <v/>
      </c>
      <c r="X43" s="1142">
        <f t="shared" si="24"/>
        <v>0</v>
      </c>
      <c r="Y43" s="1647" t="str">
        <f t="shared" si="25"/>
        <v/>
      </c>
      <c r="Z43" s="1648" t="str">
        <f t="shared" si="26"/>
        <v/>
      </c>
      <c r="AA43" s="1649" t="str">
        <f t="shared" si="27"/>
        <v/>
      </c>
      <c r="AB43" s="1288"/>
      <c r="AC43" s="898" t="b">
        <v>0</v>
      </c>
      <c r="AD43" s="374">
        <f t="shared" si="28"/>
        <v>0</v>
      </c>
      <c r="AE43" s="375">
        <f t="shared" si="29"/>
        <v>0</v>
      </c>
      <c r="AF43" s="375">
        <f t="shared" si="30"/>
        <v>0</v>
      </c>
      <c r="AG43" s="375">
        <f t="shared" si="31"/>
        <v>0</v>
      </c>
      <c r="AH43" s="376">
        <f t="shared" si="32"/>
        <v>0</v>
      </c>
      <c r="AI43" s="377" t="b">
        <v>0</v>
      </c>
      <c r="AJ43" s="143">
        <f t="shared" si="33"/>
        <v>0</v>
      </c>
      <c r="AK43" s="771" t="str">
        <f t="shared" si="34"/>
        <v/>
      </c>
      <c r="AL43" s="877" t="str">
        <f t="shared" si="35"/>
        <v/>
      </c>
      <c r="AM43" s="771" t="str">
        <f t="shared" si="36"/>
        <v/>
      </c>
      <c r="AN43" s="771" t="str">
        <f t="shared" si="37"/>
        <v/>
      </c>
      <c r="AO43" s="771" t="str">
        <f t="shared" si="38"/>
        <v/>
      </c>
      <c r="AP43" s="771" t="b">
        <f>IF(ISERROR(AJ43),FALSE,IF(OR(AJ43=0,ISERROR(AL43),ISERROR(AM43),ISERROR(AN43),ISERROR(AO43)),FALSE,IF(AL43&lt;&gt;"",IF(ISERROR(VLOOKUP(SUBSTITUTE(SUBSTITUTE(C43,"R",""),"A",""),#REF!,1,FALSE)),FALSE,TRUE),TRUE)))</f>
        <v>0</v>
      </c>
      <c r="AQ43" s="945" t="e">
        <f t="shared" si="39"/>
        <v>#N/A</v>
      </c>
      <c r="AR43" s="877" t="b">
        <f t="shared" si="40"/>
        <v>0</v>
      </c>
      <c r="AS43" s="945" t="e">
        <f t="shared" si="41"/>
        <v>#N/A</v>
      </c>
      <c r="AT43" s="877" t="b">
        <f t="shared" si="42"/>
        <v>0</v>
      </c>
      <c r="AU43" s="878" t="str">
        <f t="shared" si="43"/>
        <v/>
      </c>
      <c r="AV43" s="771" t="str">
        <f t="shared" si="44"/>
        <v/>
      </c>
      <c r="AW43" s="771" t="str">
        <f t="shared" si="45"/>
        <v/>
      </c>
      <c r="AX43" s="771" t="str">
        <f t="shared" si="123"/>
        <v/>
      </c>
      <c r="AY43" s="946" t="e">
        <f t="shared" si="46"/>
        <v>#REF!</v>
      </c>
      <c r="AZ43" s="795" t="str">
        <f t="shared" si="47"/>
        <v/>
      </c>
      <c r="BA43" s="496"/>
      <c r="BB43" s="616"/>
      <c r="BC43" s="1567"/>
      <c r="BD43" s="682"/>
      <c r="BE43" s="683"/>
      <c r="BF43" s="684"/>
      <c r="BG43" s="660"/>
      <c r="BH43" s="901"/>
      <c r="BI43" s="902"/>
      <c r="BJ43" s="1508"/>
      <c r="BK43" s="661"/>
      <c r="BL43" s="662"/>
      <c r="BM43" s="663"/>
      <c r="BN43" s="664"/>
      <c r="BO43" s="616" t="str">
        <f>IF(ISERROR(CU43),"",IF(CU43="","",IF(VLOOKUP(BG43,#REF!,10,FALSE)="","","X")))</f>
        <v/>
      </c>
      <c r="BP43" s="687"/>
      <c r="BQ43" s="1430" t="str">
        <f t="shared" si="48"/>
        <v/>
      </c>
      <c r="BR43" s="839"/>
      <c r="BS43" s="660"/>
      <c r="BT43" s="661"/>
      <c r="BU43" s="662"/>
      <c r="BV43" s="1508"/>
      <c r="BW43" s="661"/>
      <c r="BX43" s="662"/>
      <c r="BY43" s="663"/>
      <c r="BZ43" s="664"/>
      <c r="CA43" s="625" t="str">
        <f>IF(ISERROR(DE43),"",IF(DE43="","",IF(VLOOKUP(BS43,#REF!,10,FALSE)="","","X")))</f>
        <v/>
      </c>
      <c r="CB43" s="687"/>
      <c r="CC43" s="1430" t="str">
        <f t="shared" si="49"/>
        <v/>
      </c>
      <c r="CD43" s="839"/>
      <c r="CE43" s="665"/>
      <c r="CF43" s="685"/>
      <c r="CG43" s="686"/>
      <c r="CH43" s="534" t="str">
        <f t="shared" si="50"/>
        <v/>
      </c>
      <c r="CI43" s="535" t="str">
        <f t="shared" si="51"/>
        <v/>
      </c>
      <c r="CJ43" s="536" t="str">
        <f t="shared" si="52"/>
        <v/>
      </c>
      <c r="CK43" s="537" t="str">
        <f t="shared" si="53"/>
        <v/>
      </c>
      <c r="CL43" s="538" t="str">
        <f t="shared" si="54"/>
        <v/>
      </c>
      <c r="CM43" s="539" t="str">
        <f t="shared" si="55"/>
        <v/>
      </c>
      <c r="CN43" s="540" t="str">
        <f t="shared" si="56"/>
        <v/>
      </c>
      <c r="CO43" s="541" t="str">
        <f t="shared" si="57"/>
        <v/>
      </c>
      <c r="CP43" s="558" t="str">
        <f t="shared" si="58"/>
        <v/>
      </c>
      <c r="CQ43" s="559" t="str">
        <f t="shared" si="59"/>
        <v/>
      </c>
      <c r="CR43" s="699" t="str">
        <f t="shared" si="60"/>
        <v/>
      </c>
      <c r="CS43" s="700" t="str">
        <f t="shared" si="61"/>
        <v/>
      </c>
      <c r="CU43" s="758" t="str">
        <f>IF(BG43="","",VLOOKUP(BG43,#REF!,12,FALSE))</f>
        <v/>
      </c>
      <c r="CV43" s="756" t="str">
        <f>IF(BG43="","",IF(ISBLANK(BP43),VLOOKUP(BG43,#REF!,13,FALSE),BP43))</f>
        <v/>
      </c>
      <c r="CW43" s="756" t="str">
        <f>IF(BG43="","",IF(VLOOKUP(BG43,#REF!,5,FALSE)="","R",UPPER(VLOOKUP(BG43,#REF!,5,FALSE))))</f>
        <v/>
      </c>
      <c r="CX43" s="756" t="str">
        <f>IF(BG43="","",IF(ISBLANK(BR43),VLOOKUP(BG43,#REF!,6,FALSE),BR43))</f>
        <v/>
      </c>
      <c r="CY43" s="1203" t="str">
        <f>IF(BG43="","",IF(VLOOKUP(BG43,#REF!,10,FALSE)="","",(IF(BO43="X",VLOOKUP(BG43,#REF!,10,FALSE),VALUE(BO43))*-1)))</f>
        <v/>
      </c>
      <c r="CZ43" s="1042" t="str">
        <f>IF(BG43="","",IF(VLOOKUP(BG43,#REF!,11,FALSE)="","2",(VLOOKUP(BG43,#REF!,11,FALSE))))</f>
        <v/>
      </c>
      <c r="DA43" s="756" t="str">
        <f>IF(BG43="","",IF(VLOOKUP(BG43,#REF!,7,FALSE)="","",(VLOOKUP(BG43,#REF!,7,FALSE)*-1)))</f>
        <v/>
      </c>
      <c r="DB43" s="756" t="str">
        <f>IF(BG43="","",IF(VLOOKUP(BG43,#REF!,8,FALSE)="",VLOOKUP(AU43,$DF$2:$DN$9,6,FALSE),(VLOOKUP(BG43,#REF!,8,FALSE))))</f>
        <v/>
      </c>
      <c r="DC43" s="756" t="str">
        <f>IF(BG43="","",VLOOKUP(BG43,#REF!,9,FALSE))</f>
        <v/>
      </c>
      <c r="DD43" s="757">
        <f t="shared" si="62"/>
        <v>0</v>
      </c>
      <c r="DE43" s="758" t="str">
        <f>IF(BS43="","",VLOOKUP(BS43,#REF!,12,FALSE))</f>
        <v/>
      </c>
      <c r="DF43" s="756" t="str">
        <f>IF(BS43="","",IF(ISBLANK(CB43),VLOOKUP(BS43,#REF!,13,FALSE),CB43))</f>
        <v/>
      </c>
      <c r="DG43" s="756" t="str">
        <f>IF(BS43="","",IF(VLOOKUP(BS43,#REF!,5,FALSE)="","R",UPPER(VLOOKUP(BS43,#REF!,5,FALSE))))</f>
        <v/>
      </c>
      <c r="DH43" s="756" t="str">
        <f>IF(BS43="","",IF(ISBLANK(CD43),VLOOKUP(BS43,#REF!,6,FALSE),CD43))</f>
        <v/>
      </c>
      <c r="DI43" s="1203" t="str">
        <f>IF(BS43="","",IF(VLOOKUP(BS43,#REF!,10,FALSE)="","",(IF(CA43="X",VLOOKUP(BS43,#REF!,10,FALSE),VALUE(CA43))*-1)))</f>
        <v/>
      </c>
      <c r="DJ43" s="1042" t="str">
        <f>IF(BS43="","",IF(VLOOKUP(BS43,#REF!,11,FALSE)="","2",(VLOOKUP(BS43,#REF!,11,FALSE))))</f>
        <v/>
      </c>
      <c r="DK43" s="756" t="str">
        <f>IF(BS43="","",IF(VLOOKUP(BS43,#REF!,7,FALSE)="","",(VLOOKUP(BS43,#REF!,7,FALSE)*-1)))</f>
        <v/>
      </c>
      <c r="DL43" s="756" t="str">
        <f>IF(BS43="","",IF(VLOOKUP(BS43,#REF!,8,FALSE)="",VLOOKUP(AU43,$DF$2:$DN$9,6,FALSE),(VLOOKUP(BS43,#REF!,8,FALSE))))</f>
        <v/>
      </c>
      <c r="DM43" s="756" t="str">
        <f>IF(BS43="","",VLOOKUP(BS43,#REF!,9,FALSE))</f>
        <v/>
      </c>
      <c r="DN43" s="757">
        <f t="shared" si="63"/>
        <v>0</v>
      </c>
      <c r="DO43" s="759">
        <f t="shared" si="64"/>
        <v>0</v>
      </c>
      <c r="DP43" s="763" t="str">
        <f t="shared" si="65"/>
        <v/>
      </c>
      <c r="DQ43" s="763" t="str">
        <f t="shared" si="66"/>
        <v/>
      </c>
      <c r="DR43" s="763" t="str">
        <f t="shared" si="67"/>
        <v/>
      </c>
      <c r="DS43" s="762">
        <f t="shared" si="68"/>
        <v>0</v>
      </c>
      <c r="DT43" s="762" t="e">
        <f t="shared" si="69"/>
        <v>#REF!</v>
      </c>
      <c r="DU43" s="762" t="str">
        <f t="shared" si="70"/>
        <v/>
      </c>
      <c r="DV43" s="763" t="str">
        <f t="shared" si="71"/>
        <v/>
      </c>
      <c r="DW43" s="795" t="str">
        <f t="shared" si="72"/>
        <v/>
      </c>
      <c r="DX43" s="926">
        <f t="shared" si="73"/>
        <v>0</v>
      </c>
      <c r="DY43" s="763">
        <f t="shared" si="74"/>
        <v>0</v>
      </c>
      <c r="DZ43" s="762" t="e">
        <f t="shared" si="75"/>
        <v>#REF!</v>
      </c>
      <c r="EA43" s="762" t="str">
        <f t="shared" si="76"/>
        <v/>
      </c>
      <c r="EB43" s="763" t="str">
        <f t="shared" si="77"/>
        <v/>
      </c>
      <c r="EC43" s="795" t="str">
        <f t="shared" si="78"/>
        <v/>
      </c>
      <c r="ED43" s="926">
        <f t="shared" si="79"/>
        <v>0</v>
      </c>
      <c r="EE43" s="1210" t="str">
        <f t="shared" si="80"/>
        <v/>
      </c>
      <c r="EF43" s="1210" t="str">
        <f t="shared" si="81"/>
        <v/>
      </c>
      <c r="EG43" s="1210" t="str">
        <f t="shared" si="82"/>
        <v/>
      </c>
      <c r="EH43" s="795" t="e">
        <f t="shared" si="83"/>
        <v>#N/A</v>
      </c>
      <c r="EI43" s="795" t="e">
        <f t="shared" si="84"/>
        <v>#N/A</v>
      </c>
      <c r="EJ43" s="763" t="str">
        <f t="shared" si="85"/>
        <v/>
      </c>
      <c r="EK43" s="763" t="str">
        <f t="shared" si="85"/>
        <v/>
      </c>
      <c r="EL43" s="1210" t="str">
        <f t="shared" si="86"/>
        <v/>
      </c>
      <c r="EM43" s="763" t="str">
        <f t="shared" si="87"/>
        <v/>
      </c>
      <c r="EN43" s="763" t="str">
        <f t="shared" si="88"/>
        <v/>
      </c>
      <c r="EO43" s="795" t="e">
        <f t="shared" si="89"/>
        <v>#N/A</v>
      </c>
      <c r="EP43" s="795" t="e">
        <f t="shared" si="90"/>
        <v>#N/A</v>
      </c>
      <c r="EQ43" s="1210" t="str">
        <f t="shared" si="91"/>
        <v/>
      </c>
      <c r="ER43" s="763" t="str">
        <f t="shared" si="91"/>
        <v/>
      </c>
      <c r="ES43" s="763" t="str">
        <f t="shared" si="92"/>
        <v/>
      </c>
      <c r="ET43" s="763" t="str">
        <f t="shared" si="93"/>
        <v/>
      </c>
      <c r="EU43" s="770" t="str">
        <f t="shared" si="94"/>
        <v/>
      </c>
      <c r="EV43" s="765" t="str">
        <f t="shared" si="95"/>
        <v/>
      </c>
      <c r="EW43" s="770"/>
      <c r="EX43" s="770" t="str">
        <f>IF(AND(CU43="G", ISBLANK(BK43), ISBLANK(BL43)),VLOOKUP(MIN(BH43:BI43),#REF!,2),IF(OR(CU43="B",CU43="G"),MIN(BK43:BL43),""))</f>
        <v/>
      </c>
      <c r="EY43" s="770" t="str">
        <f>IF(AND(CU43="G", ISBLANK(BK43), ISBLANK(BL43)),VLOOKUP(MAX(BH43:BI43),#REF!,2),IF(OR(CU43="B",CU43="G"),MAX(BK43:BL43),""))</f>
        <v/>
      </c>
      <c r="EZ43" s="770" t="str">
        <f t="shared" si="96"/>
        <v/>
      </c>
      <c r="FA43" s="770" t="str">
        <f>IF(AND(DE43="G", ISBLANK(BW43), ISBLANK(BX43)),VLOOKUP(MIN(BT43:BU43),#REF!,2),IF(OR(DE43="B", DE43="G"),MIN(BW43:BX43),""))</f>
        <v/>
      </c>
      <c r="FB43" s="770" t="str">
        <f>IF(AND(DE43="G", ISBLANK(BW43), ISBLANK(BX43)),VLOOKUP(MAX(BT43:BU43),#REF!,2),IF(OR(DE43="B", DE43="G"),MAX(BW43:BX43),""))</f>
        <v/>
      </c>
      <c r="FC43" s="770" t="str">
        <f t="shared" si="97"/>
        <v/>
      </c>
      <c r="FD43" s="762">
        <f t="shared" si="124"/>
        <v>0</v>
      </c>
      <c r="FE43" s="762">
        <f t="shared" si="98"/>
        <v>0</v>
      </c>
      <c r="FF43" s="762">
        <f t="shared" si="99"/>
        <v>0</v>
      </c>
      <c r="FG43" s="762" t="str">
        <f t="shared" si="100"/>
        <v/>
      </c>
      <c r="FH43" s="763" t="str">
        <f t="shared" si="101"/>
        <v/>
      </c>
      <c r="FI43" s="762">
        <f t="shared" si="125"/>
        <v>0</v>
      </c>
      <c r="FJ43" s="762">
        <f t="shared" si="102"/>
        <v>0</v>
      </c>
      <c r="FK43" s="762">
        <f t="shared" si="103"/>
        <v>0</v>
      </c>
      <c r="FL43" s="762" t="str">
        <f t="shared" si="104"/>
        <v/>
      </c>
      <c r="FM43" s="763" t="str">
        <f t="shared" si="105"/>
        <v/>
      </c>
      <c r="FN43" s="763" t="e">
        <f t="shared" si="106"/>
        <v>#VALUE!</v>
      </c>
      <c r="FO43" s="872" t="e">
        <f t="shared" si="107"/>
        <v>#VALUE!</v>
      </c>
      <c r="FP43" s="872" t="e">
        <f t="shared" si="108"/>
        <v>#VALUE!</v>
      </c>
      <c r="FQ43" s="771" t="e">
        <f t="shared" si="109"/>
        <v>#VALUE!</v>
      </c>
      <c r="FR43" s="772" t="e">
        <f t="shared" si="110"/>
        <v>#VALUE!</v>
      </c>
      <c r="FS43" s="773" t="str">
        <f t="shared" si="111"/>
        <v/>
      </c>
      <c r="FT43" s="774" t="str">
        <f t="shared" si="112"/>
        <v/>
      </c>
      <c r="FU43" s="809">
        <f t="shared" si="113"/>
        <v>0</v>
      </c>
      <c r="FV43" s="810">
        <f t="shared" si="114"/>
        <v>0</v>
      </c>
      <c r="GA43" s="542" t="str">
        <f t="shared" si="115"/>
        <v/>
      </c>
      <c r="GB43" s="562" t="str">
        <f t="shared" si="116"/>
        <v/>
      </c>
      <c r="GC43" s="564" t="str">
        <f t="shared" si="117"/>
        <v/>
      </c>
      <c r="GD43" s="565" t="str">
        <f t="shared" si="118"/>
        <v/>
      </c>
      <c r="GE43" s="563" t="str">
        <f t="shared" si="119"/>
        <v/>
      </c>
      <c r="GF43" s="543" t="str">
        <f t="shared" si="120"/>
        <v/>
      </c>
      <c r="GG43" s="1052"/>
      <c r="GH43" s="1053"/>
      <c r="GI43" s="1052"/>
      <c r="GJ43" s="1053"/>
      <c r="GK43" s="1521">
        <f t="shared" si="121"/>
        <v>0</v>
      </c>
      <c r="GL43" s="1519" t="e">
        <f t="shared" si="122"/>
        <v>#VALUE!</v>
      </c>
      <c r="GM43" s="1520" t="e">
        <f>IF(ABS(GK43-GL43)&gt;=#REF!,ABS(GK43-GL43),0)</f>
        <v>#VALUE!</v>
      </c>
      <c r="HA43" s="1187"/>
      <c r="HB43" s="1188"/>
      <c r="HC43" s="1188"/>
      <c r="HD43" s="1189"/>
      <c r="HE43" s="1190"/>
      <c r="HF43" s="1188"/>
      <c r="HG43" s="1188"/>
      <c r="HH43" s="1188"/>
      <c r="HI43" s="1191"/>
      <c r="HJ43" s="1188"/>
      <c r="HK43" s="1188"/>
      <c r="HL43" s="1188"/>
      <c r="HM43" s="1188"/>
      <c r="HN43" s="1188"/>
      <c r="HO43" s="1188"/>
      <c r="HP43" s="1188"/>
      <c r="HQ43" s="1191"/>
      <c r="HR43" s="1188"/>
      <c r="HS43" s="1188"/>
      <c r="HT43" s="1188"/>
      <c r="HU43" s="1188"/>
      <c r="HV43" s="1188"/>
      <c r="HW43" s="1190"/>
      <c r="HX43" s="1190"/>
      <c r="HY43" s="1190"/>
      <c r="HZ43" s="1190"/>
      <c r="IA43" s="1190"/>
      <c r="IB43" s="1190"/>
      <c r="IC43" s="1190"/>
      <c r="ID43" s="1190"/>
      <c r="IE43" s="1190"/>
      <c r="IF43" s="1192"/>
    </row>
    <row r="44" spans="1:240" ht="12.6" customHeight="1" x14ac:dyDescent="0.25">
      <c r="A44" s="1132" t="str">
        <f t="shared" si="1"/>
        <v/>
      </c>
      <c r="B44" s="1586" t="str">
        <f t="shared" si="2"/>
        <v/>
      </c>
      <c r="C44" s="1133" t="str">
        <f t="shared" si="3"/>
        <v/>
      </c>
      <c r="D44" s="1134" t="str">
        <f t="shared" si="4"/>
        <v/>
      </c>
      <c r="E44" s="1135" t="str">
        <f t="shared" si="5"/>
        <v/>
      </c>
      <c r="F44" s="1143" t="str">
        <f t="shared" si="6"/>
        <v/>
      </c>
      <c r="G44" s="1138" t="str">
        <f t="shared" si="7"/>
        <v/>
      </c>
      <c r="H44" s="1645" t="str">
        <f t="shared" si="8"/>
        <v/>
      </c>
      <c r="I44" s="1134" t="str">
        <f t="shared" si="9"/>
        <v/>
      </c>
      <c r="J44" s="1138" t="str">
        <f t="shared" si="10"/>
        <v/>
      </c>
      <c r="K44" s="1657" t="str">
        <f t="shared" si="11"/>
        <v/>
      </c>
      <c r="L44" s="1141" t="str">
        <f t="shared" si="12"/>
        <v/>
      </c>
      <c r="M44" s="1142" t="str">
        <f t="shared" si="13"/>
        <v/>
      </c>
      <c r="N44" s="1137" t="str">
        <f t="shared" si="14"/>
        <v/>
      </c>
      <c r="O44" s="1138" t="str">
        <f t="shared" si="15"/>
        <v/>
      </c>
      <c r="P44" s="1139" t="str">
        <f t="shared" si="16"/>
        <v/>
      </c>
      <c r="Q44" s="1134" t="str">
        <f t="shared" si="17"/>
        <v/>
      </c>
      <c r="R44" s="1138" t="str">
        <f t="shared" si="18"/>
        <v/>
      </c>
      <c r="S44" s="1140" t="str">
        <f t="shared" si="19"/>
        <v/>
      </c>
      <c r="T44" s="1143" t="str">
        <f t="shared" si="20"/>
        <v/>
      </c>
      <c r="U44" s="1138" t="str">
        <f t="shared" si="21"/>
        <v/>
      </c>
      <c r="V44" s="1134" t="str">
        <f t="shared" si="22"/>
        <v/>
      </c>
      <c r="W44" s="1138" t="str">
        <f t="shared" si="23"/>
        <v/>
      </c>
      <c r="X44" s="1142">
        <f t="shared" si="24"/>
        <v>0</v>
      </c>
      <c r="Y44" s="1647" t="str">
        <f t="shared" si="25"/>
        <v/>
      </c>
      <c r="Z44" s="1648" t="str">
        <f t="shared" si="26"/>
        <v/>
      </c>
      <c r="AA44" s="1649" t="str">
        <f t="shared" si="27"/>
        <v/>
      </c>
      <c r="AB44" s="1288"/>
      <c r="AC44" s="898" t="b">
        <v>0</v>
      </c>
      <c r="AD44" s="374">
        <f t="shared" si="28"/>
        <v>0</v>
      </c>
      <c r="AE44" s="375">
        <f t="shared" si="29"/>
        <v>0</v>
      </c>
      <c r="AF44" s="375">
        <f t="shared" si="30"/>
        <v>0</v>
      </c>
      <c r="AG44" s="375">
        <f t="shared" si="31"/>
        <v>0</v>
      </c>
      <c r="AH44" s="376">
        <f t="shared" si="32"/>
        <v>0</v>
      </c>
      <c r="AI44" s="377" t="b">
        <v>0</v>
      </c>
      <c r="AJ44" s="143">
        <f t="shared" si="33"/>
        <v>0</v>
      </c>
      <c r="AK44" s="771" t="str">
        <f t="shared" si="34"/>
        <v/>
      </c>
      <c r="AL44" s="877" t="str">
        <f t="shared" si="35"/>
        <v/>
      </c>
      <c r="AM44" s="771" t="str">
        <f t="shared" si="36"/>
        <v/>
      </c>
      <c r="AN44" s="771" t="str">
        <f t="shared" si="37"/>
        <v/>
      </c>
      <c r="AO44" s="771" t="str">
        <f t="shared" si="38"/>
        <v/>
      </c>
      <c r="AP44" s="771" t="b">
        <f>IF(ISERROR(AJ44),FALSE,IF(OR(AJ44=0,ISERROR(AL44),ISERROR(AM44),ISERROR(AN44),ISERROR(AO44)),FALSE,IF(AL44&lt;&gt;"",IF(ISERROR(VLOOKUP(SUBSTITUTE(SUBSTITUTE(C44,"R",""),"A",""),#REF!,1,FALSE)),FALSE,TRUE),TRUE)))</f>
        <v>0</v>
      </c>
      <c r="AQ44" s="945" t="e">
        <f t="shared" si="39"/>
        <v>#N/A</v>
      </c>
      <c r="AR44" s="877" t="b">
        <f t="shared" si="40"/>
        <v>0</v>
      </c>
      <c r="AS44" s="945" t="e">
        <f t="shared" si="41"/>
        <v>#N/A</v>
      </c>
      <c r="AT44" s="877" t="b">
        <f t="shared" si="42"/>
        <v>0</v>
      </c>
      <c r="AU44" s="878" t="str">
        <f t="shared" si="43"/>
        <v/>
      </c>
      <c r="AV44" s="771" t="str">
        <f t="shared" si="44"/>
        <v/>
      </c>
      <c r="AW44" s="771" t="str">
        <f t="shared" si="45"/>
        <v/>
      </c>
      <c r="AX44" s="771" t="str">
        <f t="shared" si="123"/>
        <v/>
      </c>
      <c r="AY44" s="946" t="e">
        <f t="shared" si="46"/>
        <v>#REF!</v>
      </c>
      <c r="AZ44" s="795" t="str">
        <f t="shared" si="47"/>
        <v/>
      </c>
      <c r="BA44" s="496"/>
      <c r="BB44" s="616"/>
      <c r="BC44" s="1567"/>
      <c r="BD44" s="682"/>
      <c r="BE44" s="683"/>
      <c r="BF44" s="684"/>
      <c r="BG44" s="660"/>
      <c r="BH44" s="901"/>
      <c r="BI44" s="902"/>
      <c r="BJ44" s="1508"/>
      <c r="BK44" s="661"/>
      <c r="BL44" s="662"/>
      <c r="BM44" s="663"/>
      <c r="BN44" s="664"/>
      <c r="BO44" s="616" t="str">
        <f>IF(ISERROR(CU44),"",IF(CU44="","",IF(VLOOKUP(BG44,#REF!,10,FALSE)="","","X")))</f>
        <v/>
      </c>
      <c r="BP44" s="687"/>
      <c r="BQ44" s="1430" t="str">
        <f t="shared" si="48"/>
        <v/>
      </c>
      <c r="BR44" s="839"/>
      <c r="BS44" s="660"/>
      <c r="BT44" s="661"/>
      <c r="BU44" s="662"/>
      <c r="BV44" s="1508"/>
      <c r="BW44" s="661"/>
      <c r="BX44" s="662"/>
      <c r="BY44" s="663"/>
      <c r="BZ44" s="664"/>
      <c r="CA44" s="625" t="str">
        <f>IF(ISERROR(DE44),"",IF(DE44="","",IF(VLOOKUP(BS44,#REF!,10,FALSE)="","","X")))</f>
        <v/>
      </c>
      <c r="CB44" s="687"/>
      <c r="CC44" s="1430" t="str">
        <f t="shared" si="49"/>
        <v/>
      </c>
      <c r="CD44" s="839"/>
      <c r="CE44" s="665"/>
      <c r="CF44" s="685"/>
      <c r="CG44" s="686"/>
      <c r="CH44" s="534" t="str">
        <f t="shared" si="50"/>
        <v/>
      </c>
      <c r="CI44" s="535" t="str">
        <f t="shared" si="51"/>
        <v/>
      </c>
      <c r="CJ44" s="536" t="str">
        <f t="shared" si="52"/>
        <v/>
      </c>
      <c r="CK44" s="537" t="str">
        <f t="shared" si="53"/>
        <v/>
      </c>
      <c r="CL44" s="538" t="str">
        <f t="shared" si="54"/>
        <v/>
      </c>
      <c r="CM44" s="539" t="str">
        <f t="shared" si="55"/>
        <v/>
      </c>
      <c r="CN44" s="540" t="str">
        <f t="shared" si="56"/>
        <v/>
      </c>
      <c r="CO44" s="541" t="str">
        <f t="shared" si="57"/>
        <v/>
      </c>
      <c r="CP44" s="558" t="str">
        <f t="shared" si="58"/>
        <v/>
      </c>
      <c r="CQ44" s="559" t="str">
        <f t="shared" si="59"/>
        <v/>
      </c>
      <c r="CR44" s="699" t="str">
        <f t="shared" si="60"/>
        <v/>
      </c>
      <c r="CS44" s="700" t="str">
        <f t="shared" si="61"/>
        <v/>
      </c>
      <c r="CU44" s="758" t="str">
        <f>IF(BG44="","",VLOOKUP(BG44,#REF!,12,FALSE))</f>
        <v/>
      </c>
      <c r="CV44" s="756" t="str">
        <f>IF(BG44="","",IF(ISBLANK(BP44),VLOOKUP(BG44,#REF!,13,FALSE),BP44))</f>
        <v/>
      </c>
      <c r="CW44" s="756" t="str">
        <f>IF(BG44="","",IF(VLOOKUP(BG44,#REF!,5,FALSE)="","R",UPPER(VLOOKUP(BG44,#REF!,5,FALSE))))</f>
        <v/>
      </c>
      <c r="CX44" s="756" t="str">
        <f>IF(BG44="","",IF(ISBLANK(BR44),VLOOKUP(BG44,#REF!,6,FALSE),BR44))</f>
        <v/>
      </c>
      <c r="CY44" s="1203" t="str">
        <f>IF(BG44="","",IF(VLOOKUP(BG44,#REF!,10,FALSE)="","",(IF(BO44="X",VLOOKUP(BG44,#REF!,10,FALSE),VALUE(BO44))*-1)))</f>
        <v/>
      </c>
      <c r="CZ44" s="1042" t="str">
        <f>IF(BG44="","",IF(VLOOKUP(BG44,#REF!,11,FALSE)="","2",(VLOOKUP(BG44,#REF!,11,FALSE))))</f>
        <v/>
      </c>
      <c r="DA44" s="756" t="str">
        <f>IF(BG44="","",IF(VLOOKUP(BG44,#REF!,7,FALSE)="","",(VLOOKUP(BG44,#REF!,7,FALSE)*-1)))</f>
        <v/>
      </c>
      <c r="DB44" s="756" t="str">
        <f>IF(BG44="","",IF(VLOOKUP(BG44,#REF!,8,FALSE)="",VLOOKUP(AU44,$DF$2:$DN$9,6,FALSE),(VLOOKUP(BG44,#REF!,8,FALSE))))</f>
        <v/>
      </c>
      <c r="DC44" s="756" t="str">
        <f>IF(BG44="","",VLOOKUP(BG44,#REF!,9,FALSE))</f>
        <v/>
      </c>
      <c r="DD44" s="757">
        <f t="shared" si="62"/>
        <v>0</v>
      </c>
      <c r="DE44" s="758" t="str">
        <f>IF(BS44="","",VLOOKUP(BS44,#REF!,12,FALSE))</f>
        <v/>
      </c>
      <c r="DF44" s="756" t="str">
        <f>IF(BS44="","",IF(ISBLANK(CB44),VLOOKUP(BS44,#REF!,13,FALSE),CB44))</f>
        <v/>
      </c>
      <c r="DG44" s="756" t="str">
        <f>IF(BS44="","",IF(VLOOKUP(BS44,#REF!,5,FALSE)="","R",UPPER(VLOOKUP(BS44,#REF!,5,FALSE))))</f>
        <v/>
      </c>
      <c r="DH44" s="756" t="str">
        <f>IF(BS44="","",IF(ISBLANK(CD44),VLOOKUP(BS44,#REF!,6,FALSE),CD44))</f>
        <v/>
      </c>
      <c r="DI44" s="1203" t="str">
        <f>IF(BS44="","",IF(VLOOKUP(BS44,#REF!,10,FALSE)="","",(IF(CA44="X",VLOOKUP(BS44,#REF!,10,FALSE),VALUE(CA44))*-1)))</f>
        <v/>
      </c>
      <c r="DJ44" s="1042" t="str">
        <f>IF(BS44="","",IF(VLOOKUP(BS44,#REF!,11,FALSE)="","2",(VLOOKUP(BS44,#REF!,11,FALSE))))</f>
        <v/>
      </c>
      <c r="DK44" s="756" t="str">
        <f>IF(BS44="","",IF(VLOOKUP(BS44,#REF!,7,FALSE)="","",(VLOOKUP(BS44,#REF!,7,FALSE)*-1)))</f>
        <v/>
      </c>
      <c r="DL44" s="756" t="str">
        <f>IF(BS44="","",IF(VLOOKUP(BS44,#REF!,8,FALSE)="",VLOOKUP(AU44,$DF$2:$DN$9,6,FALSE),(VLOOKUP(BS44,#REF!,8,FALSE))))</f>
        <v/>
      </c>
      <c r="DM44" s="756" t="str">
        <f>IF(BS44="","",VLOOKUP(BS44,#REF!,9,FALSE))</f>
        <v/>
      </c>
      <c r="DN44" s="757">
        <f t="shared" si="63"/>
        <v>0</v>
      </c>
      <c r="DO44" s="759">
        <f t="shared" si="64"/>
        <v>0</v>
      </c>
      <c r="DP44" s="763" t="str">
        <f t="shared" si="65"/>
        <v/>
      </c>
      <c r="DQ44" s="763" t="str">
        <f t="shared" si="66"/>
        <v/>
      </c>
      <c r="DR44" s="763" t="str">
        <f t="shared" si="67"/>
        <v/>
      </c>
      <c r="DS44" s="762">
        <f t="shared" si="68"/>
        <v>0</v>
      </c>
      <c r="DT44" s="762" t="e">
        <f t="shared" si="69"/>
        <v>#REF!</v>
      </c>
      <c r="DU44" s="762" t="str">
        <f t="shared" si="70"/>
        <v/>
      </c>
      <c r="DV44" s="763" t="str">
        <f t="shared" si="71"/>
        <v/>
      </c>
      <c r="DW44" s="795" t="str">
        <f t="shared" si="72"/>
        <v/>
      </c>
      <c r="DX44" s="926">
        <f t="shared" si="73"/>
        <v>0</v>
      </c>
      <c r="DY44" s="763">
        <f t="shared" si="74"/>
        <v>0</v>
      </c>
      <c r="DZ44" s="762" t="e">
        <f t="shared" si="75"/>
        <v>#REF!</v>
      </c>
      <c r="EA44" s="762" t="str">
        <f t="shared" si="76"/>
        <v/>
      </c>
      <c r="EB44" s="763" t="str">
        <f t="shared" si="77"/>
        <v/>
      </c>
      <c r="EC44" s="795" t="str">
        <f t="shared" si="78"/>
        <v/>
      </c>
      <c r="ED44" s="926">
        <f t="shared" si="79"/>
        <v>0</v>
      </c>
      <c r="EE44" s="1210" t="str">
        <f t="shared" si="80"/>
        <v/>
      </c>
      <c r="EF44" s="1210" t="str">
        <f t="shared" si="81"/>
        <v/>
      </c>
      <c r="EG44" s="1210" t="str">
        <f t="shared" si="82"/>
        <v/>
      </c>
      <c r="EH44" s="795" t="e">
        <f t="shared" si="83"/>
        <v>#N/A</v>
      </c>
      <c r="EI44" s="795" t="e">
        <f t="shared" si="84"/>
        <v>#N/A</v>
      </c>
      <c r="EJ44" s="763" t="str">
        <f t="shared" si="85"/>
        <v/>
      </c>
      <c r="EK44" s="763" t="str">
        <f t="shared" si="85"/>
        <v/>
      </c>
      <c r="EL44" s="1210" t="str">
        <f t="shared" si="86"/>
        <v/>
      </c>
      <c r="EM44" s="763" t="str">
        <f t="shared" si="87"/>
        <v/>
      </c>
      <c r="EN44" s="763" t="str">
        <f t="shared" si="88"/>
        <v/>
      </c>
      <c r="EO44" s="795" t="e">
        <f t="shared" si="89"/>
        <v>#N/A</v>
      </c>
      <c r="EP44" s="795" t="e">
        <f t="shared" si="90"/>
        <v>#N/A</v>
      </c>
      <c r="EQ44" s="1210" t="str">
        <f t="shared" si="91"/>
        <v/>
      </c>
      <c r="ER44" s="763" t="str">
        <f t="shared" si="91"/>
        <v/>
      </c>
      <c r="ES44" s="763" t="str">
        <f t="shared" si="92"/>
        <v/>
      </c>
      <c r="ET44" s="763" t="str">
        <f t="shared" si="93"/>
        <v/>
      </c>
      <c r="EU44" s="770" t="str">
        <f t="shared" si="94"/>
        <v/>
      </c>
      <c r="EV44" s="765" t="str">
        <f t="shared" si="95"/>
        <v/>
      </c>
      <c r="EW44" s="770"/>
      <c r="EX44" s="770" t="str">
        <f>IF(AND(CU44="G", ISBLANK(BK44), ISBLANK(BL44)),VLOOKUP(MIN(BH44:BI44),#REF!,2),IF(OR(CU44="B",CU44="G"),MIN(BK44:BL44),""))</f>
        <v/>
      </c>
      <c r="EY44" s="770" t="str">
        <f>IF(AND(CU44="G", ISBLANK(BK44), ISBLANK(BL44)),VLOOKUP(MAX(BH44:BI44),#REF!,2),IF(OR(CU44="B",CU44="G"),MAX(BK44:BL44),""))</f>
        <v/>
      </c>
      <c r="EZ44" s="770" t="str">
        <f t="shared" si="96"/>
        <v/>
      </c>
      <c r="FA44" s="770" t="str">
        <f>IF(AND(DE44="G", ISBLANK(BW44), ISBLANK(BX44)),VLOOKUP(MIN(BT44:BU44),#REF!,2),IF(OR(DE44="B", DE44="G"),MIN(BW44:BX44),""))</f>
        <v/>
      </c>
      <c r="FB44" s="770" t="str">
        <f>IF(AND(DE44="G", ISBLANK(BW44), ISBLANK(BX44)),VLOOKUP(MAX(BT44:BU44),#REF!,2),IF(OR(DE44="B", DE44="G"),MAX(BW44:BX44),""))</f>
        <v/>
      </c>
      <c r="FC44" s="770" t="str">
        <f t="shared" si="97"/>
        <v/>
      </c>
      <c r="FD44" s="762">
        <f t="shared" si="124"/>
        <v>0</v>
      </c>
      <c r="FE44" s="762">
        <f t="shared" si="98"/>
        <v>0</v>
      </c>
      <c r="FF44" s="762">
        <f t="shared" si="99"/>
        <v>0</v>
      </c>
      <c r="FG44" s="762" t="str">
        <f t="shared" si="100"/>
        <v/>
      </c>
      <c r="FH44" s="763" t="str">
        <f t="shared" si="101"/>
        <v/>
      </c>
      <c r="FI44" s="762">
        <f t="shared" si="125"/>
        <v>0</v>
      </c>
      <c r="FJ44" s="762">
        <f t="shared" si="102"/>
        <v>0</v>
      </c>
      <c r="FK44" s="762">
        <f t="shared" si="103"/>
        <v>0</v>
      </c>
      <c r="FL44" s="762" t="str">
        <f t="shared" si="104"/>
        <v/>
      </c>
      <c r="FM44" s="763" t="str">
        <f t="shared" si="105"/>
        <v/>
      </c>
      <c r="FN44" s="763" t="e">
        <f t="shared" si="106"/>
        <v>#VALUE!</v>
      </c>
      <c r="FO44" s="872" t="e">
        <f t="shared" si="107"/>
        <v>#VALUE!</v>
      </c>
      <c r="FP44" s="872" t="e">
        <f t="shared" si="108"/>
        <v>#VALUE!</v>
      </c>
      <c r="FQ44" s="771" t="e">
        <f t="shared" si="109"/>
        <v>#VALUE!</v>
      </c>
      <c r="FR44" s="772" t="e">
        <f t="shared" si="110"/>
        <v>#VALUE!</v>
      </c>
      <c r="FS44" s="773" t="str">
        <f t="shared" si="111"/>
        <v/>
      </c>
      <c r="FT44" s="774" t="str">
        <f t="shared" si="112"/>
        <v/>
      </c>
      <c r="FU44" s="809">
        <f t="shared" si="113"/>
        <v>0</v>
      </c>
      <c r="FV44" s="810">
        <f t="shared" si="114"/>
        <v>0</v>
      </c>
      <c r="GA44" s="542" t="str">
        <f t="shared" si="115"/>
        <v/>
      </c>
      <c r="GB44" s="562" t="str">
        <f t="shared" si="116"/>
        <v/>
      </c>
      <c r="GC44" s="564" t="str">
        <f t="shared" si="117"/>
        <v/>
      </c>
      <c r="GD44" s="565" t="str">
        <f t="shared" si="118"/>
        <v/>
      </c>
      <c r="GE44" s="563" t="str">
        <f t="shared" si="119"/>
        <v/>
      </c>
      <c r="GF44" s="543" t="str">
        <f t="shared" si="120"/>
        <v/>
      </c>
      <c r="GG44" s="1052"/>
      <c r="GH44" s="1053"/>
      <c r="GI44" s="1052"/>
      <c r="GJ44" s="1053"/>
      <c r="GK44" s="1521">
        <f t="shared" si="121"/>
        <v>0</v>
      </c>
      <c r="GL44" s="1519" t="e">
        <f t="shared" si="122"/>
        <v>#VALUE!</v>
      </c>
      <c r="GM44" s="1520" t="e">
        <f>IF(ABS(GK44-GL44)&gt;=#REF!,ABS(GK44-GL44),0)</f>
        <v>#VALUE!</v>
      </c>
      <c r="HA44" s="1187"/>
      <c r="HB44" s="1188"/>
      <c r="HC44" s="1188"/>
      <c r="HD44" s="1189"/>
      <c r="HE44" s="1190"/>
      <c r="HF44" s="1188"/>
      <c r="HG44" s="1188"/>
      <c r="HH44" s="1188"/>
      <c r="HI44" s="1191"/>
      <c r="HJ44" s="1188"/>
      <c r="HK44" s="1188"/>
      <c r="HL44" s="1188"/>
      <c r="HM44" s="1188"/>
      <c r="HN44" s="1188"/>
      <c r="HO44" s="1188"/>
      <c r="HP44" s="1188"/>
      <c r="HQ44" s="1191"/>
      <c r="HR44" s="1188"/>
      <c r="HS44" s="1188"/>
      <c r="HT44" s="1188"/>
      <c r="HU44" s="1188"/>
      <c r="HV44" s="1188"/>
      <c r="HW44" s="1190"/>
      <c r="HX44" s="1190"/>
      <c r="HY44" s="1190"/>
      <c r="HZ44" s="1190"/>
      <c r="IA44" s="1190"/>
      <c r="IB44" s="1190"/>
      <c r="IC44" s="1190"/>
      <c r="ID44" s="1190"/>
      <c r="IE44" s="1190"/>
      <c r="IF44" s="1192"/>
    </row>
    <row r="45" spans="1:240" ht="12.6" customHeight="1" thickBot="1" x14ac:dyDescent="0.3">
      <c r="A45" s="1588" t="str">
        <f>IF(BB45="","",UPPER(BB45))</f>
        <v/>
      </c>
      <c r="B45" s="1589" t="str">
        <f>IF(BC45="","",BC45)</f>
        <v/>
      </c>
      <c r="C45" s="1590" t="str">
        <f>IF(BD45="","",UPPER(BD45))</f>
        <v/>
      </c>
      <c r="D45" s="1591" t="str">
        <f>IF(DP45="","",TRUNC(DP45/12))</f>
        <v/>
      </c>
      <c r="E45" s="1592" t="str">
        <f>IF(DP45="","",DP45-(D45*12))</f>
        <v/>
      </c>
      <c r="F45" s="1600" t="str">
        <f>IF(DX45=0,"",TRUNC(DX45/12))</f>
        <v/>
      </c>
      <c r="G45" s="1595" t="str">
        <f>IF(DX45=0,"",DX45-(F45*12))</f>
        <v/>
      </c>
      <c r="H45" s="1651" t="str">
        <f>IF(DX45=0,"",CW45)</f>
        <v/>
      </c>
      <c r="I45" s="1591" t="str">
        <f>IF(ED45=0,"",TRUNC(ED45/12))</f>
        <v/>
      </c>
      <c r="J45" s="1595" t="str">
        <f>IF(ED45=0,"",ED45-(I45*12))</f>
        <v/>
      </c>
      <c r="K45" s="1658" t="str">
        <f>IF(ED45=0,"",DG45)</f>
        <v/>
      </c>
      <c r="L45" s="1598" t="str">
        <f>DQ45</f>
        <v/>
      </c>
      <c r="M45" s="1599" t="str">
        <f>DR45</f>
        <v/>
      </c>
      <c r="N45" s="1594" t="str">
        <f t="shared" si="14"/>
        <v/>
      </c>
      <c r="O45" s="1595" t="str">
        <f t="shared" si="15"/>
        <v/>
      </c>
      <c r="P45" s="1596" t="str">
        <f t="shared" si="16"/>
        <v/>
      </c>
      <c r="Q45" s="1591" t="str">
        <f t="shared" si="17"/>
        <v/>
      </c>
      <c r="R45" s="1595" t="str">
        <f t="shared" si="18"/>
        <v/>
      </c>
      <c r="S45" s="1597" t="str">
        <f t="shared" si="19"/>
        <v/>
      </c>
      <c r="T45" s="1600" t="str">
        <f t="shared" si="20"/>
        <v/>
      </c>
      <c r="U45" s="1595" t="str">
        <f t="shared" si="21"/>
        <v/>
      </c>
      <c r="V45" s="1591" t="str">
        <f t="shared" si="22"/>
        <v/>
      </c>
      <c r="W45" s="1595" t="str">
        <f t="shared" si="23"/>
        <v/>
      </c>
      <c r="X45" s="1599">
        <f>IF(EV45="",0,EV45)</f>
        <v>0</v>
      </c>
      <c r="Y45" s="1653" t="str">
        <f>FG45</f>
        <v/>
      </c>
      <c r="Z45" s="1654" t="str">
        <f>FL45</f>
        <v/>
      </c>
      <c r="AA45" s="1655" t="str">
        <f t="shared" si="27"/>
        <v/>
      </c>
      <c r="AB45" s="1288"/>
      <c r="AC45" s="898" t="b">
        <v>0</v>
      </c>
      <c r="AD45" s="374">
        <f t="shared" si="28"/>
        <v>0</v>
      </c>
      <c r="AE45" s="375">
        <f t="shared" si="29"/>
        <v>0</v>
      </c>
      <c r="AF45" s="375">
        <f t="shared" si="30"/>
        <v>0</v>
      </c>
      <c r="AG45" s="375">
        <f t="shared" si="31"/>
        <v>0</v>
      </c>
      <c r="AH45" s="376">
        <f t="shared" si="32"/>
        <v>0</v>
      </c>
      <c r="AI45" s="377" t="b">
        <v>0</v>
      </c>
      <c r="AJ45" s="143">
        <f t="shared" si="33"/>
        <v>0</v>
      </c>
      <c r="AK45" s="771" t="str">
        <f t="shared" si="34"/>
        <v/>
      </c>
      <c r="AL45" s="877" t="str">
        <f t="shared" si="35"/>
        <v/>
      </c>
      <c r="AM45" s="771" t="str">
        <f t="shared" si="36"/>
        <v/>
      </c>
      <c r="AN45" s="771" t="str">
        <f t="shared" si="37"/>
        <v/>
      </c>
      <c r="AO45" s="771" t="str">
        <f t="shared" si="38"/>
        <v/>
      </c>
      <c r="AP45" s="771" t="b">
        <f>IF(ISERROR(AJ45),FALSE,IF(OR(AJ45=0,ISERROR(AL45),ISERROR(AM45),ISERROR(AN45),ISERROR(AO45)),FALSE,IF(AL45&lt;&gt;"",IF(ISERROR(VLOOKUP(SUBSTITUTE(SUBSTITUTE(C45,"R",""),"A",""),#REF!,1,FALSE)),FALSE,TRUE),TRUE)))</f>
        <v>0</v>
      </c>
      <c r="AQ45" s="945" t="e">
        <f t="shared" si="39"/>
        <v>#N/A</v>
      </c>
      <c r="AR45" s="877" t="b">
        <f t="shared" si="40"/>
        <v>0</v>
      </c>
      <c r="AS45" s="945" t="e">
        <f t="shared" si="41"/>
        <v>#N/A</v>
      </c>
      <c r="AT45" s="877" t="b">
        <f t="shared" si="42"/>
        <v>0</v>
      </c>
      <c r="AU45" s="878" t="str">
        <f t="shared" si="43"/>
        <v/>
      </c>
      <c r="AV45" s="771" t="str">
        <f t="shared" si="44"/>
        <v/>
      </c>
      <c r="AW45" s="771" t="str">
        <f t="shared" si="45"/>
        <v/>
      </c>
      <c r="AX45" s="771" t="str">
        <f t="shared" si="123"/>
        <v/>
      </c>
      <c r="AY45" s="946" t="e">
        <f t="shared" si="46"/>
        <v>#REF!</v>
      </c>
      <c r="AZ45" s="795" t="str">
        <f t="shared" si="47"/>
        <v/>
      </c>
      <c r="BA45" s="496"/>
      <c r="BB45" s="626"/>
      <c r="BC45" s="1568"/>
      <c r="BD45" s="748"/>
      <c r="BE45" s="749"/>
      <c r="BF45" s="750"/>
      <c r="BG45" s="666"/>
      <c r="BH45" s="904"/>
      <c r="BI45" s="905"/>
      <c r="BJ45" s="1509"/>
      <c r="BK45" s="667"/>
      <c r="BL45" s="668"/>
      <c r="BM45" s="669"/>
      <c r="BN45" s="670"/>
      <c r="BO45" s="626" t="str">
        <f>IF(ISERROR(CU45),"",IF(CU45="","",IF(VLOOKUP(BG45,#REF!,10,FALSE)="","","X")))</f>
        <v/>
      </c>
      <c r="BP45" s="690"/>
      <c r="BQ45" s="1431" t="str">
        <f t="shared" si="48"/>
        <v/>
      </c>
      <c r="BR45" s="840"/>
      <c r="BS45" s="666"/>
      <c r="BT45" s="667"/>
      <c r="BU45" s="668"/>
      <c r="BV45" s="1509"/>
      <c r="BW45" s="667"/>
      <c r="BX45" s="668"/>
      <c r="BY45" s="669"/>
      <c r="BZ45" s="670"/>
      <c r="CA45" s="635" t="str">
        <f>IF(ISERROR(DE45),"",IF(DE45="","",IF(VLOOKUP(BS45,#REF!,10,FALSE)="","","X")))</f>
        <v/>
      </c>
      <c r="CB45" s="690"/>
      <c r="CC45" s="1431" t="str">
        <f t="shared" si="49"/>
        <v/>
      </c>
      <c r="CD45" s="840"/>
      <c r="CE45" s="671"/>
      <c r="CF45" s="688"/>
      <c r="CG45" s="689"/>
      <c r="CH45" s="544" t="str">
        <f t="shared" si="50"/>
        <v/>
      </c>
      <c r="CI45" s="545" t="str">
        <f t="shared" si="51"/>
        <v/>
      </c>
      <c r="CJ45" s="546" t="str">
        <f t="shared" si="52"/>
        <v/>
      </c>
      <c r="CK45" s="547" t="str">
        <f t="shared" si="53"/>
        <v/>
      </c>
      <c r="CL45" s="548" t="str">
        <f t="shared" si="54"/>
        <v/>
      </c>
      <c r="CM45" s="549" t="str">
        <f t="shared" si="55"/>
        <v/>
      </c>
      <c r="CN45" s="550" t="str">
        <f t="shared" si="56"/>
        <v/>
      </c>
      <c r="CO45" s="551" t="str">
        <f t="shared" si="57"/>
        <v/>
      </c>
      <c r="CP45" s="560" t="str">
        <f t="shared" si="58"/>
        <v/>
      </c>
      <c r="CQ45" s="561" t="str">
        <f t="shared" si="59"/>
        <v/>
      </c>
      <c r="CR45" s="701" t="str">
        <f t="shared" si="60"/>
        <v/>
      </c>
      <c r="CS45" s="702" t="str">
        <f t="shared" si="61"/>
        <v/>
      </c>
      <c r="CU45" s="758" t="str">
        <f>IF(BG45="","",VLOOKUP(BG45,#REF!,12,FALSE))</f>
        <v/>
      </c>
      <c r="CV45" s="756" t="str">
        <f>IF(BG45="","",IF(ISBLANK(BP45),VLOOKUP(BG45,#REF!,13,FALSE),BP45))</f>
        <v/>
      </c>
      <c r="CW45" s="756" t="str">
        <f>IF(BG45="","",IF(VLOOKUP(BG45,#REF!,5,FALSE)="","R",UPPER(VLOOKUP(BG45,#REF!,5,FALSE))))</f>
        <v/>
      </c>
      <c r="CX45" s="756" t="str">
        <f>IF(BG45="","",IF(ISBLANK(BR45),VLOOKUP(BG45,#REF!,6,FALSE),BR45))</f>
        <v/>
      </c>
      <c r="CY45" s="1203" t="str">
        <f>IF(BG45="","",IF(VLOOKUP(BG45,#REF!,10,FALSE)="","",(IF(BO45="X",VLOOKUP(BG45,#REF!,10,FALSE),VALUE(BO45))*-1)))</f>
        <v/>
      </c>
      <c r="CZ45" s="1042" t="str">
        <f>IF(BG45="","",IF(VLOOKUP(BG45,#REF!,11,FALSE)="","2",(VLOOKUP(BG45,#REF!,11,FALSE))))</f>
        <v/>
      </c>
      <c r="DA45" s="756" t="str">
        <f>IF(BG45="","",IF(VLOOKUP(BG45,#REF!,7,FALSE)="","",(VLOOKUP(BG45,#REF!,7,FALSE)*-1)))</f>
        <v/>
      </c>
      <c r="DB45" s="756" t="str">
        <f>IF(BG45="","",IF(VLOOKUP(BG45,#REF!,8,FALSE)="",VLOOKUP(AU45,$DF$2:$DN$9,6,FALSE),(VLOOKUP(BG45,#REF!,8,FALSE))))</f>
        <v/>
      </c>
      <c r="DC45" s="756" t="str">
        <f>IF(BG45="","",VLOOKUP(BG45,#REF!,9,FALSE))</f>
        <v/>
      </c>
      <c r="DD45" s="757">
        <f t="shared" si="62"/>
        <v>0</v>
      </c>
      <c r="DE45" s="758" t="str">
        <f>IF(BS45="","",VLOOKUP(BS45,#REF!,12,FALSE))</f>
        <v/>
      </c>
      <c r="DF45" s="756" t="str">
        <f>IF(BS45="","",IF(ISBLANK(CB45),VLOOKUP(BS45,#REF!,13,FALSE),CB45))</f>
        <v/>
      </c>
      <c r="DG45" s="756" t="str">
        <f>IF(BS45="","",IF(VLOOKUP(BS45,#REF!,5,FALSE)="","R",UPPER(VLOOKUP(BS45,#REF!,5,FALSE))))</f>
        <v/>
      </c>
      <c r="DH45" s="756" t="str">
        <f>IF(BS45="","",IF(ISBLANK(CD45),VLOOKUP(BS45,#REF!,6,FALSE),CD45))</f>
        <v/>
      </c>
      <c r="DI45" s="1203" t="str">
        <f>IF(BS45="","",IF(VLOOKUP(BS45,#REF!,10,FALSE)="","",(IF(CA45="X",VLOOKUP(BS45,#REF!,10,FALSE),VALUE(CA45))*-1)))</f>
        <v/>
      </c>
      <c r="DJ45" s="1042" t="str">
        <f>IF(BS45="","",IF(VLOOKUP(BS45,#REF!,11,FALSE)="","2",(VLOOKUP(BS45,#REF!,11,FALSE))))</f>
        <v/>
      </c>
      <c r="DK45" s="756" t="str">
        <f>IF(BS45="","",IF(VLOOKUP(BS45,#REF!,7,FALSE)="","",(VLOOKUP(BS45,#REF!,7,FALSE)*-1)))</f>
        <v/>
      </c>
      <c r="DL45" s="756" t="str">
        <f>IF(BS45="","",IF(VLOOKUP(BS45,#REF!,8,FALSE)="",VLOOKUP(AU45,$DF$2:$DN$9,6,FALSE),(VLOOKUP(BS45,#REF!,8,FALSE))))</f>
        <v/>
      </c>
      <c r="DM45" s="756" t="str">
        <f>IF(BS45="","",VLOOKUP(BS45,#REF!,9,FALSE))</f>
        <v/>
      </c>
      <c r="DN45" s="757">
        <f t="shared" si="63"/>
        <v>0</v>
      </c>
      <c r="DO45" s="759">
        <f t="shared" si="64"/>
        <v>0</v>
      </c>
      <c r="DP45" s="763" t="str">
        <f t="shared" si="65"/>
        <v/>
      </c>
      <c r="DQ45" s="763" t="str">
        <f t="shared" si="66"/>
        <v/>
      </c>
      <c r="DR45" s="763" t="str">
        <f t="shared" si="67"/>
        <v/>
      </c>
      <c r="DS45" s="762">
        <f t="shared" si="68"/>
        <v>0</v>
      </c>
      <c r="DT45" s="762" t="e">
        <f t="shared" si="69"/>
        <v>#REF!</v>
      </c>
      <c r="DU45" s="762" t="str">
        <f t="shared" si="70"/>
        <v/>
      </c>
      <c r="DV45" s="763" t="str">
        <f t="shared" si="71"/>
        <v/>
      </c>
      <c r="DW45" s="795" t="str">
        <f t="shared" si="72"/>
        <v/>
      </c>
      <c r="DX45" s="926">
        <f t="shared" si="73"/>
        <v>0</v>
      </c>
      <c r="DY45" s="763">
        <f t="shared" si="74"/>
        <v>0</v>
      </c>
      <c r="DZ45" s="762" t="e">
        <f t="shared" si="75"/>
        <v>#REF!</v>
      </c>
      <c r="EA45" s="762" t="str">
        <f t="shared" si="76"/>
        <v/>
      </c>
      <c r="EB45" s="763" t="str">
        <f t="shared" si="77"/>
        <v/>
      </c>
      <c r="EC45" s="795" t="str">
        <f t="shared" si="78"/>
        <v/>
      </c>
      <c r="ED45" s="926">
        <f t="shared" si="79"/>
        <v>0</v>
      </c>
      <c r="EE45" s="1210" t="str">
        <f t="shared" si="80"/>
        <v/>
      </c>
      <c r="EF45" s="1210" t="str">
        <f t="shared" si="81"/>
        <v/>
      </c>
      <c r="EG45" s="1210" t="str">
        <f t="shared" si="82"/>
        <v/>
      </c>
      <c r="EH45" s="795" t="e">
        <f t="shared" si="83"/>
        <v>#N/A</v>
      </c>
      <c r="EI45" s="795" t="e">
        <f t="shared" si="84"/>
        <v>#N/A</v>
      </c>
      <c r="EJ45" s="763" t="str">
        <f t="shared" si="85"/>
        <v/>
      </c>
      <c r="EK45" s="763" t="str">
        <f t="shared" si="85"/>
        <v/>
      </c>
      <c r="EL45" s="1210" t="str">
        <f t="shared" si="86"/>
        <v/>
      </c>
      <c r="EM45" s="763" t="str">
        <f t="shared" si="87"/>
        <v/>
      </c>
      <c r="EN45" s="763" t="str">
        <f t="shared" si="88"/>
        <v/>
      </c>
      <c r="EO45" s="795" t="e">
        <f t="shared" si="89"/>
        <v>#N/A</v>
      </c>
      <c r="EP45" s="795" t="e">
        <f t="shared" si="90"/>
        <v>#N/A</v>
      </c>
      <c r="EQ45" s="1210" t="str">
        <f t="shared" si="91"/>
        <v/>
      </c>
      <c r="ER45" s="763" t="str">
        <f t="shared" si="91"/>
        <v/>
      </c>
      <c r="ES45" s="763" t="str">
        <f t="shared" si="92"/>
        <v/>
      </c>
      <c r="ET45" s="763" t="str">
        <f t="shared" si="93"/>
        <v/>
      </c>
      <c r="EU45" s="770" t="str">
        <f t="shared" si="94"/>
        <v/>
      </c>
      <c r="EV45" s="765" t="str">
        <f t="shared" si="95"/>
        <v/>
      </c>
      <c r="EW45" s="770"/>
      <c r="EX45" s="770" t="str">
        <f>IF(AND(CU45="G", ISBLANK(BK45), ISBLANK(BL45)),VLOOKUP(MIN(BH45:BI45),#REF!,2),IF(OR(CU45="B",CU45="G"),MIN(BK45:BL45),""))</f>
        <v/>
      </c>
      <c r="EY45" s="770" t="str">
        <f>IF(AND(CU45="G", ISBLANK(BK45), ISBLANK(BL45)),VLOOKUP(MAX(BH45:BI45),#REF!,2),IF(OR(CU45="B",CU45="G"),MAX(BK45:BL45),""))</f>
        <v/>
      </c>
      <c r="EZ45" s="770" t="str">
        <f t="shared" si="96"/>
        <v/>
      </c>
      <c r="FA45" s="770" t="str">
        <f>IF(AND(DE45="G", ISBLANK(BW45), ISBLANK(BX45)),VLOOKUP(MIN(BT45:BU45),#REF!,2),IF(OR(DE45="B", DE45="G"),MIN(BW45:BX45),""))</f>
        <v/>
      </c>
      <c r="FB45" s="770" t="str">
        <f>IF(AND(DE45="G", ISBLANK(BW45), ISBLANK(BX45)),VLOOKUP(MAX(BT45:BU45),#REF!,2),IF(OR(DE45="B", DE45="G"),MAX(BW45:BX45),""))</f>
        <v/>
      </c>
      <c r="FC45" s="770" t="str">
        <f t="shared" si="97"/>
        <v/>
      </c>
      <c r="FD45" s="762">
        <f t="shared" si="124"/>
        <v>0</v>
      </c>
      <c r="FE45" s="762">
        <f t="shared" si="98"/>
        <v>0</v>
      </c>
      <c r="FF45" s="762">
        <f t="shared" si="99"/>
        <v>0</v>
      </c>
      <c r="FG45" s="762" t="str">
        <f t="shared" si="100"/>
        <v/>
      </c>
      <c r="FH45" s="763" t="str">
        <f t="shared" si="101"/>
        <v/>
      </c>
      <c r="FI45" s="762">
        <f t="shared" si="125"/>
        <v>0</v>
      </c>
      <c r="FJ45" s="762">
        <f t="shared" si="102"/>
        <v>0</v>
      </c>
      <c r="FK45" s="762">
        <f t="shared" si="103"/>
        <v>0</v>
      </c>
      <c r="FL45" s="762" t="str">
        <f t="shared" si="104"/>
        <v/>
      </c>
      <c r="FM45" s="763" t="str">
        <f t="shared" si="105"/>
        <v/>
      </c>
      <c r="FN45" s="763" t="e">
        <f t="shared" si="106"/>
        <v>#VALUE!</v>
      </c>
      <c r="FO45" s="872" t="e">
        <f t="shared" si="107"/>
        <v>#VALUE!</v>
      </c>
      <c r="FP45" s="872" t="e">
        <f t="shared" si="108"/>
        <v>#VALUE!</v>
      </c>
      <c r="FQ45" s="771" t="e">
        <f t="shared" si="109"/>
        <v>#VALUE!</v>
      </c>
      <c r="FR45" s="772" t="e">
        <f t="shared" si="110"/>
        <v>#VALUE!</v>
      </c>
      <c r="FS45" s="773" t="str">
        <f t="shared" si="111"/>
        <v/>
      </c>
      <c r="FT45" s="774" t="str">
        <f t="shared" si="112"/>
        <v/>
      </c>
      <c r="FU45" s="809">
        <f t="shared" si="113"/>
        <v>0</v>
      </c>
      <c r="FV45" s="810">
        <f t="shared" si="114"/>
        <v>0</v>
      </c>
      <c r="GA45" s="542" t="str">
        <f t="shared" si="115"/>
        <v/>
      </c>
      <c r="GB45" s="562" t="str">
        <f t="shared" si="116"/>
        <v/>
      </c>
      <c r="GC45" s="564" t="str">
        <f t="shared" si="117"/>
        <v/>
      </c>
      <c r="GD45" s="565" t="str">
        <f t="shared" si="118"/>
        <v/>
      </c>
      <c r="GE45" s="563" t="str">
        <f t="shared" si="119"/>
        <v/>
      </c>
      <c r="GF45" s="543" t="str">
        <f t="shared" si="120"/>
        <v/>
      </c>
      <c r="GG45" s="1054"/>
      <c r="GH45" s="1055"/>
      <c r="GI45" s="1054"/>
      <c r="GJ45" s="1055"/>
      <c r="GK45" s="1521">
        <f t="shared" si="121"/>
        <v>0</v>
      </c>
      <c r="GL45" s="1519" t="e">
        <f t="shared" si="122"/>
        <v>#VALUE!</v>
      </c>
      <c r="GM45" s="1520" t="e">
        <f>IF(ABS(GK45-GL45)&gt;=#REF!,ABS(GK45-GL45),0)</f>
        <v>#VALUE!</v>
      </c>
      <c r="HA45" s="1193"/>
      <c r="HB45" s="1194"/>
      <c r="HC45" s="1194"/>
      <c r="HD45" s="1195"/>
      <c r="HE45" s="1196"/>
      <c r="HF45" s="1194"/>
      <c r="HG45" s="1194"/>
      <c r="HH45" s="1194"/>
      <c r="HI45" s="1197"/>
      <c r="HJ45" s="1194"/>
      <c r="HK45" s="1194"/>
      <c r="HL45" s="1194"/>
      <c r="HM45" s="1194"/>
      <c r="HN45" s="1194"/>
      <c r="HO45" s="1194"/>
      <c r="HP45" s="1194"/>
      <c r="HQ45" s="1197"/>
      <c r="HR45" s="1194"/>
      <c r="HS45" s="1194"/>
      <c r="HT45" s="1194"/>
      <c r="HU45" s="1194"/>
      <c r="HV45" s="1194"/>
      <c r="HW45" s="1196"/>
      <c r="HX45" s="1196"/>
      <c r="HY45" s="1196"/>
      <c r="HZ45" s="1196"/>
      <c r="IA45" s="1196"/>
      <c r="IB45" s="1196"/>
      <c r="IC45" s="1196"/>
      <c r="ID45" s="1196"/>
      <c r="IE45" s="1196"/>
      <c r="IF45" s="1198"/>
    </row>
    <row r="46" spans="1:240" ht="15" customHeight="1" thickTop="1" thickBot="1" x14ac:dyDescent="0.25">
      <c r="A46" s="1069"/>
      <c r="B46" s="1069"/>
      <c r="C46" s="1069"/>
      <c r="D46" s="1069"/>
      <c r="E46" s="1069"/>
      <c r="F46" s="1069"/>
      <c r="G46" s="1069"/>
      <c r="H46" s="1069"/>
      <c r="I46" s="1069"/>
      <c r="J46" s="1069"/>
      <c r="K46" s="1069"/>
      <c r="L46" s="1069"/>
      <c r="M46" s="1069"/>
      <c r="N46" s="1069"/>
      <c r="O46" s="1069"/>
      <c r="P46" s="1069"/>
      <c r="Q46" s="1069"/>
      <c r="R46" s="1069"/>
      <c r="S46" s="1069"/>
      <c r="T46" s="1069"/>
      <c r="U46" s="1069"/>
      <c r="V46" s="1069"/>
      <c r="W46" s="1069"/>
      <c r="X46" s="1069"/>
      <c r="Y46" s="1069"/>
      <c r="Z46" s="1069"/>
      <c r="AA46" s="1069"/>
      <c r="AD46" s="385">
        <f>SUM(AD16:AD45)</f>
        <v>0</v>
      </c>
      <c r="AE46" s="386">
        <f>SUM(AE16:AE45)</f>
        <v>0</v>
      </c>
      <c r="AF46" s="386">
        <f>SUM(AF16:AF45)</f>
        <v>0</v>
      </c>
      <c r="AG46" s="386">
        <f>SUM(AG16:AG45)</f>
        <v>0</v>
      </c>
      <c r="AH46" s="387">
        <f>SUM(AH16:AH45)</f>
        <v>0</v>
      </c>
      <c r="BG46" s="303"/>
      <c r="CF46" s="841"/>
      <c r="CG46" s="841"/>
      <c r="CN46" s="155"/>
      <c r="CO46" s="155"/>
      <c r="GA46" s="388"/>
      <c r="GB46" s="388"/>
      <c r="GC46" s="388"/>
      <c r="GD46" s="388"/>
      <c r="GE46" s="388"/>
      <c r="GF46" s="388"/>
    </row>
    <row r="47" spans="1:240" ht="15" customHeight="1" thickBot="1" x14ac:dyDescent="0.25">
      <c r="A47" s="836" t="s">
        <v>373</v>
      </c>
      <c r="AD47" s="835">
        <f>SUM(AD46:AH46)</f>
        <v>0</v>
      </c>
      <c r="AK47" s="389"/>
      <c r="AL47" s="390"/>
      <c r="AM47" s="390"/>
      <c r="AN47" s="390"/>
    </row>
    <row r="48" spans="1:240" s="506" customFormat="1" ht="15" hidden="1" customHeight="1" x14ac:dyDescent="0.2">
      <c r="AA48" s="710"/>
      <c r="AI48" s="507"/>
      <c r="HD48" s="508"/>
      <c r="HE48" s="509"/>
    </row>
    <row r="49" spans="1:192" ht="15" hidden="1" customHeight="1" x14ac:dyDescent="0.2">
      <c r="AJ49" s="154" t="s">
        <v>147</v>
      </c>
      <c r="AK49" s="389" t="e">
        <f>$DA$4</f>
        <v>#REF!</v>
      </c>
      <c r="AL49" s="390" t="e">
        <f>$DB$4</f>
        <v>#REF!</v>
      </c>
      <c r="AM49" s="390" t="e">
        <f>$CX$4</f>
        <v>#REF!</v>
      </c>
      <c r="AN49" s="390" t="e">
        <f>$CW$4</f>
        <v>#REF!</v>
      </c>
    </row>
    <row r="50" spans="1:192" hidden="1" x14ac:dyDescent="0.2"/>
    <row r="51" spans="1:192" hidden="1" x14ac:dyDescent="0.2"/>
    <row r="52" spans="1:192" ht="15" hidden="1" customHeight="1" x14ac:dyDescent="0.2">
      <c r="AJ52" s="154" t="s">
        <v>149</v>
      </c>
      <c r="AK52" s="389" t="e">
        <f>$DA$5</f>
        <v>#REF!</v>
      </c>
      <c r="AL52" s="390" t="e">
        <f>$DB$5</f>
        <v>#REF!</v>
      </c>
      <c r="AM52" s="390" t="e">
        <f>$CX$5</f>
        <v>#REF!</v>
      </c>
      <c r="AN52" s="390" t="e">
        <f>$CW$5</f>
        <v>#REF!</v>
      </c>
    </row>
    <row r="53" spans="1:192" ht="15" hidden="1" customHeight="1" x14ac:dyDescent="0.2">
      <c r="AJ53" s="154" t="s">
        <v>66</v>
      </c>
      <c r="AK53" s="389" t="e">
        <f>$DA$4</f>
        <v>#REF!</v>
      </c>
      <c r="AL53" s="390" t="e">
        <f>$DB$4</f>
        <v>#REF!</v>
      </c>
      <c r="AM53" s="390" t="e">
        <f>$CX$4</f>
        <v>#REF!</v>
      </c>
      <c r="AN53" s="390" t="e">
        <f>$CW$4</f>
        <v>#REF!</v>
      </c>
    </row>
    <row r="54" spans="1:192" ht="15" hidden="1" customHeight="1" x14ac:dyDescent="0.2">
      <c r="AJ54" s="154" t="s">
        <v>88</v>
      </c>
      <c r="AK54" s="389" t="e">
        <f>$DA$5</f>
        <v>#REF!</v>
      </c>
      <c r="AL54" s="390" t="e">
        <f>$DB$5</f>
        <v>#REF!</v>
      </c>
      <c r="AM54" s="390" t="e">
        <f>$CX$5</f>
        <v>#REF!</v>
      </c>
      <c r="AN54" s="390" t="e">
        <f>$CW$5</f>
        <v>#REF!</v>
      </c>
    </row>
    <row r="55" spans="1:192" ht="15" hidden="1" customHeight="1" x14ac:dyDescent="0.2"/>
    <row r="56" spans="1:192" ht="15" hidden="1" customHeight="1" x14ac:dyDescent="0.2">
      <c r="AA56" s="1067"/>
    </row>
    <row r="57" spans="1:192" ht="15" hidden="1" customHeight="1" x14ac:dyDescent="0.25">
      <c r="A57" s="921" t="str">
        <f>IF(BB57="","",UPPER(BB57))</f>
        <v/>
      </c>
      <c r="B57" s="922" t="str">
        <f>IF(BC57="","",BC57)</f>
        <v/>
      </c>
      <c r="C57" s="922" t="str">
        <f>IF(BD57="","",UPPER(BD57))</f>
        <v/>
      </c>
      <c r="D57" s="918" t="str">
        <f>IF(DP57="","",TRUNC(DP57/12))</f>
        <v/>
      </c>
      <c r="E57" s="972" t="str">
        <f>IF(DP57="","",DP57-(D57*12))</f>
        <v/>
      </c>
      <c r="F57" s="954" t="str">
        <f>IF(DX57=0,"",TRUNC(DX57/12))</f>
        <v/>
      </c>
      <c r="G57" s="919" t="str">
        <f>IF(DX57=0,"",DX57-(F57*12))</f>
        <v/>
      </c>
      <c r="H57" s="923" t="str">
        <f>IF(DX57=0,"",CW57)</f>
        <v/>
      </c>
      <c r="I57" s="918" t="str">
        <f>IF(ED57=0,"",TRUNC(ED57/12))</f>
        <v/>
      </c>
      <c r="J57" s="919" t="str">
        <f>IF(ED57=0,"",ED57-(I57*12))</f>
        <v/>
      </c>
      <c r="K57" s="975" t="str">
        <f>IF(ED57=0,"",DG57)</f>
        <v/>
      </c>
      <c r="L57" s="953">
        <f>DQ57</f>
        <v>0</v>
      </c>
      <c r="M57" s="955">
        <f>DR57</f>
        <v>0</v>
      </c>
      <c r="N57" s="920" t="str">
        <f>IF(ES57="","",IF(AND(ES57&lt;0,ES57&gt;-12),TRUNC(ES57/12)-0.0000001,TRUNC(ES57/12)))</f>
        <v/>
      </c>
      <c r="O57" s="919" t="str">
        <f>IF(ES57="","",IF(AND(ES57-(N57*12)=0,ES57&lt;0),-0.000001,ES57-(N57*12)))</f>
        <v/>
      </c>
      <c r="P57" s="917" t="str">
        <f>IF(ES57="","",IF(OR(CW57="Q",CW57="C"),3,CZ57))</f>
        <v/>
      </c>
      <c r="Q57" s="918" t="str">
        <f>IF(ET57="","",IF(AND(ET57&lt;0,ET57&gt;-12),TRUNC(ET57/12)-0.0000001,TRUNC(ET57/12)))</f>
        <v/>
      </c>
      <c r="R57" s="919" t="str">
        <f>IF(ET57="","",IF(AND(ET57-(Q57*12)=0,ET57&lt;0),-0.000001,ET57-(Q57*12)))</f>
        <v/>
      </c>
      <c r="S57" s="978" t="str">
        <f>IF(ET57="","",IF(OR(DG57="Q",DG57="C"),3,DJ57))</f>
        <v/>
      </c>
      <c r="T57" s="954" t="str">
        <f>IF(CH57="ERR","",IF(EK57="","",IF(EK57="ERR",TRUNC(EJ57/12),TRUNC(EK57/12))))</f>
        <v/>
      </c>
      <c r="U57" s="919" t="str">
        <f>IF(CH57="ERR","",IF(EK57="","",IF(EK57="ERR",EJ57-(T57*12),EK57-(T57*12))))</f>
        <v/>
      </c>
      <c r="V57" s="918" t="str">
        <f>IF(CI57="ERR","",IF(ER57="","",IF(ER57="ERR",TRUNC(EQ57/12),TRUNC(ER57/12))))</f>
        <v/>
      </c>
      <c r="W57" s="919" t="str">
        <f>IF(CI57="ERR","",IF(ER57="","",IF(ER57="ERR",EQ57-(V57*12),ER57-(V57*12))))</f>
        <v/>
      </c>
      <c r="X57" s="955">
        <f>IF(EV57="",0,EV57)</f>
        <v>0</v>
      </c>
      <c r="Y57" s="980">
        <f>FG57</f>
        <v>0</v>
      </c>
      <c r="Z57" s="981">
        <f>FL57</f>
        <v>0</v>
      </c>
      <c r="AA57" s="979" t="str">
        <f>CONCATENATE(IF(BY57="","",CONCATENATE("[",SUBSTITUTE(BY57," ",""),"]")),IF(BX57="","",CONCATENATE("(",SUBSTITUTE(BX57," ",""),") ")))</f>
        <v/>
      </c>
      <c r="AH57" s="175" t="s">
        <v>703</v>
      </c>
      <c r="AI57" s="377" t="b">
        <v>0</v>
      </c>
      <c r="AJ57" s="143">
        <f>IF(OR(ISERROR(VALUE(LEFT(C57,SEARCH(AK57,C57)-1))),AK57=""),0,VALUE(LEFT(C57,SEARCH(AK57,C57)-1)))</f>
        <v>0</v>
      </c>
      <c r="AK57" s="771" t="str">
        <f>IF(AV57="",AW57,AV57)</f>
        <v/>
      </c>
      <c r="AL57" s="771" t="str">
        <f>IF(AK57="","",IF(ISERROR(SEARCH("/",C57)),IF(VALUE(MID(C57,SEARCH(AK57,C57)+LEN(AK57),LEN(C57)))&gt;25,"",VALUE(MID(C57,SEARCH(AK57,C57)+LEN(AK57),LEN(C57)))),""))</f>
        <v/>
      </c>
      <c r="AM57" s="771" t="str">
        <f>IF(AK57="","",IF(ISERROR(SEARCH("/",C57)),IF(VALUE(MID(C57,SEARCH(AK57,C57)+LEN(AK57),LEN(C57)))&lt;26,"",VALUE(MID(C57,SEARCH(AK57,C57)+LEN(AK57),LEN(C57)))),VALUE(MID(C57,SEARCH(AK57,C57)+LEN(AK57),SEARCH("/",C57)-SEARCH(AK57,C57)-LEN(AK57)))))</f>
        <v/>
      </c>
      <c r="AN57" s="771" t="str">
        <f>IF(AK57="","",IF(AK57="CJ",MID(MID(C57,SEARCH("/",C57)+1,LEN(C57)),1,SEARCH("/",MID(C57,SEARCH("/",C57)+1,LEN(C57)))-1),IF(ISERROR(SEARCH("/",C57)),"",VALUE(MID(C57,SEARCH("/",C57)+1,LEN(C57))))))</f>
        <v/>
      </c>
      <c r="AO57" s="771" t="str">
        <f>IF(AK57="CJ",VALUE(MID(MID(C57,SEARCH("/",C57)+1,LEN(C57)),SEARCH("/",MID(C57,SEARCH("/",C57)+1,LEN(C57)))+1,LEN(MID(C57,SEARCH("/",C57)+1,LEN(C57))))),"")</f>
        <v/>
      </c>
      <c r="AP57" s="771" t="b">
        <f>IF(ISERROR(AJ57),FALSE,IF(OR(AJ57=0,ISERROR(AL57),ISERROR(AM57),ISERROR(AN57),ISERROR(AO57)),FALSE,IF(AL57&lt;&gt;"",IF(ISERROR(VLOOKUP(SUBSTITUTE(SUBSTITUTE(C57,"R",""),"A",""),#REF!,1,FALSE)),FALSE,TRUE),TRUE)))</f>
        <v>0</v>
      </c>
      <c r="AQ57" s="945" t="e">
        <f>VLOOKUP(AK57,$DF$2:$DN$9,4,FALSE)+IF(LEFT(H57,1)="R",IF(ISNUMBER(F57),F57*12,0)+IF(ISNUMBER(G57),G57,0),0)</f>
        <v>#N/A</v>
      </c>
      <c r="AR57" s="945" t="b">
        <f>IF(IF(ISNUMBER(T57),T57*12,0)+IF(ISNUMBER(U57),U57,0)&gt;0,IF(AND((IF(ISNUMBER(T57),T57*12,0)+IF(ISNUMBER(U57),U57,0))&gt;=1,(IF(ISNUMBER(T57),T57*12,0)+IF(ISNUMBER(U57),U57,0))&lt;=(AQ57-1)+IF(H57="X",2,0)),TRUE,FALSE),FALSE)</f>
        <v>0</v>
      </c>
      <c r="AS57" s="945" t="e">
        <f>VLOOKUP(AK57,$DF$2:$DN$9,4,FALSE)+IF(LEFT(K57,1)="R",(IF(ISNUMBER(I57),I57*12,0)+IF(ISNUMBER(J57),J57,0)),0)</f>
        <v>#N/A</v>
      </c>
      <c r="AT57" s="945" t="b">
        <f>IF(IF(ISNUMBER(V57),V57*12,0)+IF(ISNUMBER(W57),W57,0)&gt;0,IF(AND((IF(ISNUMBER(V57),V57*12,0)+IF(ISNUMBER(W57),W57,0))&gt;=1,(IF(ISNUMBER(V57),V57*12,0)+IF(ISNUMBER(W57),W57,0))&lt;=(AS57-1)+IF(K57="X",2,0)),TRUE,FALSE),FALSE)</f>
        <v>0</v>
      </c>
      <c r="AU57" s="771" t="str">
        <f>IF(ISERROR(AJ57),IF(AK57&lt;&gt;"HDR","",AK57),IF(AND(AJ57=2.5,AK57="K"),"JS",IF(OR(AK57="KCSR",AK57="KCSA",AK57="KCS"),"KCS",IF(OR(AK57="KR",AK57="KA",AK57="K"),"K",IF(AND(AK57="LH",AL57&lt;7),"LH&lt;7",AK57)))))</f>
        <v/>
      </c>
      <c r="AV57" s="771" t="str">
        <f>IF(NOT(ISERROR(SEARCH("KCSR",C57))),"KCSR",IF(NOT(ISERROR(SEARCH("KCSA",C57))),"KCSA",IF(NOT(ISERROR(SEARCH("KCS",C57))),"KCS",IF(NOT(ISERROR(SEARCH("KR",C57))),"KR",IF(NOT(ISERROR(SEARCH("KA",C57))),"KA",IF(NOT(ISERROR(SEARCH("K",C57))),"K",IF(NOT(ISERROR(SEARCH("CJ",C57))),"CJ","")))))))</f>
        <v/>
      </c>
      <c r="AW57" s="771" t="str">
        <f>IF(NOT(ISERROR(SEARCH("HDR",C57))),"HDR",IF(NOT(ISERROR(SEARCH("JS",C57))),"JS",IF(NOT(ISERROR(SEARCH("SLH",C57))),"SLH",IF(NOT(ISERROR(SEARCH("DLH",C57))),"DLH",IF(NOT(ISERROR(SEARCH("LH",C57))),"LH","")))))</f>
        <v/>
      </c>
      <c r="AX57" s="771" t="str">
        <f>IF(AND(OR(ISBLANK(A57),A57=""),AA57&lt;&gt;""),AX56,IF(OR(ISBLANK(A57),A57=""),"",A57))</f>
        <v/>
      </c>
      <c r="AY57" s="946" t="e">
        <f>IF($AE$1,IF(AX57=AX56,AY56,IF(AND(AX57&lt;&gt;"",OR(B57=0,B57="")),TRUE,FALSE)),FALSE)</f>
        <v>#REF!</v>
      </c>
      <c r="AZ57" s="763" t="str">
        <f>IF(AP57,((IF(D57="",0,D57)*12+IF(E57="",0,E57))-(IF(F57="",0,F57)*12+IF(G57="",0,G57))-(IF(I57="",0,I57)*12+IF(J57="",0,J57)))&gt;AJ57*24,"")</f>
        <v/>
      </c>
      <c r="CP57" s="2349"/>
      <c r="CQ57" s="2350"/>
      <c r="CR57" s="37"/>
      <c r="CS57" s="38"/>
      <c r="CT57" s="38"/>
      <c r="CU57" s="38"/>
      <c r="CV57" s="38"/>
      <c r="CW57" s="42"/>
      <c r="CX57" s="38"/>
      <c r="CY57" s="38"/>
      <c r="CZ57" s="38"/>
      <c r="DA57" s="30"/>
      <c r="DB57" s="37"/>
      <c r="DC57" s="38"/>
      <c r="DD57" s="38"/>
      <c r="DE57" s="38"/>
      <c r="DF57" s="38"/>
      <c r="DG57" s="42"/>
      <c r="DH57" s="38"/>
      <c r="DI57" s="38"/>
      <c r="DJ57" s="38"/>
      <c r="DK57" s="30"/>
      <c r="DL57" s="39"/>
      <c r="DM57" s="43"/>
      <c r="DN57" s="32"/>
      <c r="DO57" s="31"/>
      <c r="DP57" s="32"/>
      <c r="DQ57" s="32"/>
      <c r="DR57" s="33"/>
      <c r="DS57" s="33"/>
      <c r="DT57" s="33"/>
      <c r="DU57" s="32"/>
      <c r="DV57" s="32"/>
      <c r="DW57" s="34"/>
      <c r="DX57" s="32"/>
      <c r="DY57" s="33"/>
      <c r="DZ57" s="33"/>
      <c r="EA57" s="32"/>
      <c r="EB57" s="32"/>
      <c r="EC57" s="34"/>
      <c r="ED57" s="32"/>
      <c r="EE57" s="32"/>
      <c r="EF57" s="32"/>
      <c r="EG57" s="32"/>
      <c r="EH57" s="32"/>
      <c r="EI57" s="32"/>
      <c r="EJ57" s="32"/>
      <c r="EK57" s="32"/>
      <c r="EL57" s="32"/>
      <c r="EM57" s="32"/>
      <c r="EN57" s="32"/>
      <c r="EO57" s="32"/>
      <c r="EP57" s="32"/>
      <c r="EQ57" s="32"/>
      <c r="ER57" s="32"/>
      <c r="ES57" s="32"/>
      <c r="ET57" s="32"/>
      <c r="EU57" s="35"/>
      <c r="EV57" s="36"/>
      <c r="EW57" s="35"/>
      <c r="EX57" s="35"/>
      <c r="EY57" s="35"/>
      <c r="EZ57" s="35"/>
      <c r="FA57" s="35"/>
      <c r="FB57" s="35"/>
      <c r="FC57" s="35"/>
      <c r="FD57" s="33"/>
      <c r="FE57" s="33"/>
      <c r="FF57" s="33"/>
      <c r="FG57" s="33"/>
      <c r="FH57" s="32"/>
      <c r="FI57" s="33"/>
      <c r="FJ57" s="33"/>
      <c r="FK57" s="33"/>
      <c r="FL57" s="33"/>
      <c r="FM57" s="32"/>
      <c r="FN57" s="32"/>
      <c r="FO57" s="50"/>
      <c r="FP57" s="50"/>
      <c r="FQ57" s="143"/>
      <c r="FR57" s="382"/>
      <c r="FS57" s="383"/>
      <c r="FT57" s="384"/>
      <c r="GA57" s="542" t="str">
        <f t="shared" ref="GA57" si="126">IF(GF57="","",BE57)</f>
        <v/>
      </c>
      <c r="GB57" s="562" t="str">
        <f t="shared" ref="GB57" si="127">IF(GF57="","",BF57)</f>
        <v/>
      </c>
      <c r="GC57" s="564" t="str">
        <f t="shared" ref="GC57" si="128">IF(GF57="","",IF(CV57="",0,CV57))</f>
        <v/>
      </c>
      <c r="GD57" s="565" t="str">
        <f t="shared" ref="GD57" si="129">IF(GF57="","",IF(DF57="",0,DF57))</f>
        <v/>
      </c>
      <c r="GE57" s="563" t="str">
        <f>IF(GF57="","",IF(ISBLANK(BW57),IF(Y57=Z57,0,MAX(ABS(Y57),ABS(Z57))*IF(Y57&lt;0,-1,1)),BW57))</f>
        <v/>
      </c>
      <c r="GF57" s="543" t="str">
        <f>IF(A57=0,"",A57)</f>
        <v/>
      </c>
      <c r="GG57" s="1052"/>
      <c r="GH57" s="1053"/>
      <c r="GI57" s="1052"/>
      <c r="GJ57" s="1053"/>
    </row>
    <row r="58" spans="1:192" ht="15" hidden="1" customHeight="1" x14ac:dyDescent="0.2">
      <c r="AA58" s="1068"/>
    </row>
    <row r="59" spans="1:192" ht="15" hidden="1" customHeight="1" x14ac:dyDescent="0.2"/>
    <row r="60" spans="1:192" ht="15" hidden="1" customHeight="1" x14ac:dyDescent="0.2">
      <c r="A60" s="831" t="s">
        <v>744</v>
      </c>
    </row>
    <row r="61" spans="1:192" ht="15" hidden="1" customHeight="1" x14ac:dyDescent="0.2">
      <c r="A61" s="833"/>
    </row>
    <row r="62" spans="1:192" ht="15" hidden="1" customHeight="1" x14ac:dyDescent="0.2"/>
    <row r="63" spans="1:192" ht="15" hidden="1" customHeight="1" x14ac:dyDescent="0.2"/>
    <row r="64" spans="1:192" ht="15" hidden="1" customHeight="1" x14ac:dyDescent="0.2"/>
    <row r="65" spans="1:145" ht="15" hidden="1" customHeight="1" x14ac:dyDescent="0.2"/>
    <row r="66" spans="1:145" ht="15" hidden="1" customHeight="1" x14ac:dyDescent="0.2"/>
    <row r="67" spans="1:145" ht="15" hidden="1" customHeight="1" x14ac:dyDescent="0.2"/>
    <row r="68" spans="1:145" ht="15" hidden="1" customHeight="1" x14ac:dyDescent="0.2"/>
    <row r="69" spans="1:145" ht="15" hidden="1" customHeight="1" x14ac:dyDescent="0.2"/>
    <row r="70" spans="1:145" ht="15" hidden="1" customHeight="1" thickBot="1" x14ac:dyDescent="0.25"/>
    <row r="71" spans="1:145" ht="15" customHeight="1" x14ac:dyDescent="0.2">
      <c r="A71" s="836" t="s">
        <v>374</v>
      </c>
      <c r="EL71" s="2352" t="s">
        <v>221</v>
      </c>
      <c r="EM71" s="2353"/>
      <c r="EN71" s="2353"/>
      <c r="EO71" s="2354"/>
    </row>
    <row r="72" spans="1:145" ht="15" customHeight="1" thickBot="1" x14ac:dyDescent="0.25">
      <c r="EL72" s="2379" t="s">
        <v>232</v>
      </c>
      <c r="EM72" s="2382" t="s">
        <v>233</v>
      </c>
      <c r="EN72" s="2382" t="s">
        <v>234</v>
      </c>
      <c r="EO72" s="2385" t="s">
        <v>235</v>
      </c>
    </row>
    <row r="73" spans="1:145" ht="15" customHeight="1" thickBot="1" x14ac:dyDescent="0.25">
      <c r="EJ73" s="2386" t="s">
        <v>239</v>
      </c>
      <c r="EL73" s="2380"/>
      <c r="EM73" s="2383"/>
      <c r="EN73" s="2383"/>
      <c r="EO73" s="2288"/>
    </row>
    <row r="74" spans="1:145" ht="15" customHeight="1" thickBot="1" x14ac:dyDescent="0.25">
      <c r="EJ74" s="2387"/>
      <c r="EL74" s="2381"/>
      <c r="EM74" s="2384"/>
      <c r="EN74" s="2384"/>
      <c r="EO74" s="2289"/>
    </row>
    <row r="75" spans="1:145" ht="15" customHeight="1" thickTop="1" x14ac:dyDescent="0.2">
      <c r="EJ75" s="450" t="str">
        <f t="shared" ref="EJ75:EJ104" si="130">IF(AU16="","",IF(OR(AU16="K",AU16="KCS"),(BE16*12+BF16+IF(CU16="M",MAX(CV16,$CX$4),0)+IF(DE16="M",MAX(DF16,$CX$4),0))/12,IF(OR(AU16="LH",AU16="DLH"),(BE16*12+BF16+8-MAX(MAX(BH16,BI16)/2,DC16)-MAX(MAX(BT16,BU16)/2,DM16))/12,IF(OR(AU16="JS",AU16="HDR"),""))))</f>
        <v/>
      </c>
      <c r="EL75" s="378" t="str">
        <f>IF(EN75="-","-",IF(OR(AU16="K",AU16="KCS"),IF(EJ75&lt;VLOOKUP(BD16,#REF!,3,FALSE),1,IF(EJ75&lt;VLOOKUP(BD16,#REF!,4,FALSE),2,IF(EJ75&lt;VLOOKUP(BD16,#REF!,5,FALSE),3,IF(EJ75&lt;VLOOKUP(BD16,#REF!,6,FALSE),4,IF(EJ75&lt;VLOOKUP(BD16,#REF!,7,FALSE),5,"-"))))),IF(OR(AU16="LH",AU16="DLH"),TRUNC(EJ75/VLOOKUP(BD16,#REF!,3,FALSE)),"")))</f>
        <v/>
      </c>
      <c r="EM75" s="379" t="str">
        <f t="shared" ref="EM75:EM104" si="131">IF(BD16="","",IF(EL75="-","-",IF(EO75="No",0,IF(AZ16/12&lt;60,1,IF(AZ16/12&lt;100,2,EL75)))))</f>
        <v/>
      </c>
      <c r="EN75" s="380" t="str">
        <f>IF(BD16="","",IF(ISERROR(VLOOKUP(BD16,#REF!,2,FALSE)),"-",VLOOKUP(BD16,#REF!,2,FALSE)))</f>
        <v/>
      </c>
      <c r="EO75" s="381" t="str">
        <f t="shared" ref="EO75:EO104" si="132">IF(BD16="","",IF(EN75="-","-",IF(EN75="NM","No",IF(EN75&lt;=AZ16/12,"Yes","No"))))</f>
        <v/>
      </c>
    </row>
    <row r="76" spans="1:145" ht="15" customHeight="1" x14ac:dyDescent="0.2">
      <c r="EJ76" s="450" t="str">
        <f t="shared" si="130"/>
        <v/>
      </c>
      <c r="EL76" s="378" t="str">
        <f>IF(EN76="-","-",IF(OR(AU17="K",AU17="KCS"),IF(EJ76&lt;VLOOKUP(BD17,#REF!,3,FALSE),1,IF(EJ76&lt;VLOOKUP(BD17,#REF!,4,FALSE),2,IF(EJ76&lt;VLOOKUP(BD17,#REF!,5,FALSE),3,IF(EJ76&lt;VLOOKUP(BD17,#REF!,6,FALSE),4,IF(EJ76&lt;VLOOKUP(BD17,#REF!,7,FALSE),5,"-"))))),IF(OR(AU17="LH",AU17="DLH"),TRUNC(EJ76/VLOOKUP(BD17,#REF!,3,FALSE)),"")))</f>
        <v/>
      </c>
      <c r="EM76" s="379" t="str">
        <f t="shared" si="131"/>
        <v/>
      </c>
      <c r="EN76" s="380" t="str">
        <f>IF(BD17="","",IF(ISERROR(VLOOKUP(BD17,#REF!,2,FALSE)),"-",VLOOKUP(BD17,#REF!,2,FALSE)))</f>
        <v/>
      </c>
      <c r="EO76" s="381" t="str">
        <f t="shared" si="132"/>
        <v/>
      </c>
    </row>
    <row r="77" spans="1:145" ht="15" customHeight="1" x14ac:dyDescent="0.2">
      <c r="EJ77" s="450" t="str">
        <f t="shared" si="130"/>
        <v/>
      </c>
      <c r="EL77" s="378" t="str">
        <f>IF(EN77="-","-",IF(OR(AU18="K",AU18="KCS"),IF(EJ77&lt;VLOOKUP(BD18,#REF!,3,FALSE),1,IF(EJ77&lt;VLOOKUP(BD18,#REF!,4,FALSE),2,IF(EJ77&lt;VLOOKUP(BD18,#REF!,5,FALSE),3,IF(EJ77&lt;VLOOKUP(BD18,#REF!,6,FALSE),4,IF(EJ77&lt;VLOOKUP(BD18,#REF!,7,FALSE),5,"-"))))),IF(OR(AU18="LH",AU18="DLH"),TRUNC(EJ77/VLOOKUP(BD18,#REF!,3,FALSE)),"")))</f>
        <v/>
      </c>
      <c r="EM77" s="379" t="str">
        <f t="shared" si="131"/>
        <v/>
      </c>
      <c r="EN77" s="380" t="str">
        <f>IF(BD18="","",IF(ISERROR(VLOOKUP(BD18,#REF!,2,FALSE)),"-",VLOOKUP(BD18,#REF!,2,FALSE)))</f>
        <v/>
      </c>
      <c r="EO77" s="381" t="str">
        <f t="shared" si="132"/>
        <v/>
      </c>
    </row>
    <row r="78" spans="1:145" ht="15" customHeight="1" x14ac:dyDescent="0.2">
      <c r="EJ78" s="450" t="str">
        <f t="shared" si="130"/>
        <v/>
      </c>
      <c r="EL78" s="378" t="str">
        <f>IF(EN78="-","-",IF(OR(AU19="K",AU19="KCS"),IF(EJ78&lt;VLOOKUP(BD19,#REF!,3,FALSE),1,IF(EJ78&lt;VLOOKUP(BD19,#REF!,4,FALSE),2,IF(EJ78&lt;VLOOKUP(BD19,#REF!,5,FALSE),3,IF(EJ78&lt;VLOOKUP(BD19,#REF!,6,FALSE),4,IF(EJ78&lt;VLOOKUP(BD19,#REF!,7,FALSE),5,"-"))))),IF(OR(AU19="LH",AU19="DLH"),TRUNC(EJ78/VLOOKUP(BD19,#REF!,3,FALSE)),"")))</f>
        <v/>
      </c>
      <c r="EM78" s="379" t="str">
        <f t="shared" si="131"/>
        <v/>
      </c>
      <c r="EN78" s="380" t="str">
        <f>IF(BD19="","",IF(ISERROR(VLOOKUP(BD19,#REF!,2,FALSE)),"-",VLOOKUP(BD19,#REF!,2,FALSE)))</f>
        <v/>
      </c>
      <c r="EO78" s="381" t="str">
        <f t="shared" si="132"/>
        <v/>
      </c>
    </row>
    <row r="79" spans="1:145" ht="15" customHeight="1" x14ac:dyDescent="0.2">
      <c r="EJ79" s="450" t="str">
        <f t="shared" si="130"/>
        <v/>
      </c>
      <c r="EL79" s="378" t="str">
        <f>IF(EN79="-","-",IF(OR(AU20="K",AU20="KCS"),IF(EJ79&lt;VLOOKUP(BD20,#REF!,3,FALSE),1,IF(EJ79&lt;VLOOKUP(BD20,#REF!,4,FALSE),2,IF(EJ79&lt;VLOOKUP(BD20,#REF!,5,FALSE),3,IF(EJ79&lt;VLOOKUP(BD20,#REF!,6,FALSE),4,IF(EJ79&lt;VLOOKUP(BD20,#REF!,7,FALSE),5,"-"))))),IF(OR(AU20="LH",AU20="DLH"),TRUNC(EJ79/VLOOKUP(BD20,#REF!,3,FALSE)),"")))</f>
        <v/>
      </c>
      <c r="EM79" s="379" t="str">
        <f t="shared" si="131"/>
        <v/>
      </c>
      <c r="EN79" s="380" t="str">
        <f>IF(BD20="","",IF(ISERROR(VLOOKUP(BD20,#REF!,2,FALSE)),"-",VLOOKUP(BD20,#REF!,2,FALSE)))</f>
        <v/>
      </c>
      <c r="EO79" s="381" t="str">
        <f t="shared" si="132"/>
        <v/>
      </c>
    </row>
    <row r="80" spans="1:145" ht="15" customHeight="1" x14ac:dyDescent="0.2">
      <c r="EJ80" s="450" t="str">
        <f t="shared" si="130"/>
        <v/>
      </c>
      <c r="EL80" s="378" t="str">
        <f>IF(EN80="-","-",IF(OR(AU21="K",AU21="KCS"),IF(EJ80&lt;VLOOKUP(BD21,#REF!,3,FALSE),1,IF(EJ80&lt;VLOOKUP(BD21,#REF!,4,FALSE),2,IF(EJ80&lt;VLOOKUP(BD21,#REF!,5,FALSE),3,IF(EJ80&lt;VLOOKUP(BD21,#REF!,6,FALSE),4,IF(EJ80&lt;VLOOKUP(BD21,#REF!,7,FALSE),5,"-"))))),IF(OR(AU21="LH",AU21="DLH"),TRUNC(EJ80/VLOOKUP(BD21,#REF!,3,FALSE)),"")))</f>
        <v/>
      </c>
      <c r="EM80" s="379" t="str">
        <f t="shared" si="131"/>
        <v/>
      </c>
      <c r="EN80" s="380" t="str">
        <f>IF(BD21="","",IF(ISERROR(VLOOKUP(BD21,#REF!,2,FALSE)),"-",VLOOKUP(BD21,#REF!,2,FALSE)))</f>
        <v/>
      </c>
      <c r="EO80" s="381" t="str">
        <f t="shared" si="132"/>
        <v/>
      </c>
    </row>
    <row r="81" spans="140:145" ht="15" customHeight="1" x14ac:dyDescent="0.2">
      <c r="EJ81" s="450" t="str">
        <f t="shared" si="130"/>
        <v/>
      </c>
      <c r="EL81" s="378" t="str">
        <f>IF(EN81="-","-",IF(OR(AU22="K",AU22="KCS"),IF(EJ81&lt;VLOOKUP(BD22,#REF!,3,FALSE),1,IF(EJ81&lt;VLOOKUP(BD22,#REF!,4,FALSE),2,IF(EJ81&lt;VLOOKUP(BD22,#REF!,5,FALSE),3,IF(EJ81&lt;VLOOKUP(BD22,#REF!,6,FALSE),4,IF(EJ81&lt;VLOOKUP(BD22,#REF!,7,FALSE),5,"-"))))),IF(OR(AU22="LH",AU22="DLH"),TRUNC(EJ81/VLOOKUP(BD22,#REF!,3,FALSE)),"")))</f>
        <v/>
      </c>
      <c r="EM81" s="379" t="str">
        <f t="shared" si="131"/>
        <v/>
      </c>
      <c r="EN81" s="380" t="str">
        <f>IF(BD22="","",IF(ISERROR(VLOOKUP(BD22,#REF!,2,FALSE)),"-",VLOOKUP(BD22,#REF!,2,FALSE)))</f>
        <v/>
      </c>
      <c r="EO81" s="381" t="str">
        <f t="shared" si="132"/>
        <v/>
      </c>
    </row>
    <row r="82" spans="140:145" ht="15" customHeight="1" x14ac:dyDescent="0.2">
      <c r="EJ82" s="450" t="str">
        <f t="shared" si="130"/>
        <v/>
      </c>
      <c r="EL82" s="378" t="str">
        <f>IF(EN82="-","-",IF(OR(AU23="K",AU23="KCS"),IF(EJ82&lt;VLOOKUP(BD23,#REF!,3,FALSE),1,IF(EJ82&lt;VLOOKUP(BD23,#REF!,4,FALSE),2,IF(EJ82&lt;VLOOKUP(BD23,#REF!,5,FALSE),3,IF(EJ82&lt;VLOOKUP(BD23,#REF!,6,FALSE),4,IF(EJ82&lt;VLOOKUP(BD23,#REF!,7,FALSE),5,"-"))))),IF(OR(AU23="LH",AU23="DLH"),TRUNC(EJ82/VLOOKUP(BD23,#REF!,3,FALSE)),"")))</f>
        <v/>
      </c>
      <c r="EM82" s="379" t="str">
        <f t="shared" si="131"/>
        <v/>
      </c>
      <c r="EN82" s="380" t="str">
        <f>IF(BD23="","",IF(ISERROR(VLOOKUP(BD23,#REF!,2,FALSE)),"-",VLOOKUP(BD23,#REF!,2,FALSE)))</f>
        <v/>
      </c>
      <c r="EO82" s="381" t="str">
        <f t="shared" si="132"/>
        <v/>
      </c>
    </row>
    <row r="83" spans="140:145" ht="15" customHeight="1" x14ac:dyDescent="0.2">
      <c r="EJ83" s="450" t="str">
        <f t="shared" si="130"/>
        <v/>
      </c>
      <c r="EL83" s="378" t="str">
        <f>IF(EN83="-","-",IF(OR(AU24="K",AU24="KCS"),IF(EJ83&lt;VLOOKUP(BD24,#REF!,3,FALSE),1,IF(EJ83&lt;VLOOKUP(BD24,#REF!,4,FALSE),2,IF(EJ83&lt;VLOOKUP(BD24,#REF!,5,FALSE),3,IF(EJ83&lt;VLOOKUP(BD24,#REF!,6,FALSE),4,IF(EJ83&lt;VLOOKUP(BD24,#REF!,7,FALSE),5,"-"))))),IF(OR(AU24="LH",AU24="DLH"),TRUNC(EJ83/VLOOKUP(BD24,#REF!,3,FALSE)),"")))</f>
        <v/>
      </c>
      <c r="EM83" s="379" t="str">
        <f t="shared" si="131"/>
        <v/>
      </c>
      <c r="EN83" s="380" t="str">
        <f>IF(BD24="","",IF(ISERROR(VLOOKUP(BD24,#REF!,2,FALSE)),"-",VLOOKUP(BD24,#REF!,2,FALSE)))</f>
        <v/>
      </c>
      <c r="EO83" s="381" t="str">
        <f t="shared" si="132"/>
        <v/>
      </c>
    </row>
    <row r="84" spans="140:145" ht="15" customHeight="1" x14ac:dyDescent="0.2">
      <c r="EJ84" s="450" t="str">
        <f t="shared" si="130"/>
        <v/>
      </c>
      <c r="EL84" s="378" t="str">
        <f>IF(EN84="-","-",IF(OR(AU25="K",AU25="KCS"),IF(EJ84&lt;VLOOKUP(BD25,#REF!,3,FALSE),1,IF(EJ84&lt;VLOOKUP(BD25,#REF!,4,FALSE),2,IF(EJ84&lt;VLOOKUP(BD25,#REF!,5,FALSE),3,IF(EJ84&lt;VLOOKUP(BD25,#REF!,6,FALSE),4,IF(EJ84&lt;VLOOKUP(BD25,#REF!,7,FALSE),5,"-"))))),IF(OR(AU25="LH",AU25="DLH"),TRUNC(EJ84/VLOOKUP(BD25,#REF!,3,FALSE)),"")))</f>
        <v/>
      </c>
      <c r="EM84" s="379" t="str">
        <f t="shared" si="131"/>
        <v/>
      </c>
      <c r="EN84" s="380" t="str">
        <f>IF(BD25="","",IF(ISERROR(VLOOKUP(BD25,#REF!,2,FALSE)),"-",VLOOKUP(BD25,#REF!,2,FALSE)))</f>
        <v/>
      </c>
      <c r="EO84" s="381" t="str">
        <f t="shared" si="132"/>
        <v/>
      </c>
    </row>
    <row r="85" spans="140:145" ht="15" customHeight="1" x14ac:dyDescent="0.2">
      <c r="EJ85" s="450" t="str">
        <f t="shared" si="130"/>
        <v/>
      </c>
      <c r="EL85" s="378" t="str">
        <f>IF(EN85="-","-",IF(OR(AU26="K",AU26="KCS"),IF(EJ85&lt;VLOOKUP(BD26,#REF!,3,FALSE),1,IF(EJ85&lt;VLOOKUP(BD26,#REF!,4,FALSE),2,IF(EJ85&lt;VLOOKUP(BD26,#REF!,5,FALSE),3,IF(EJ85&lt;VLOOKUP(BD26,#REF!,6,FALSE),4,IF(EJ85&lt;VLOOKUP(BD26,#REF!,7,FALSE),5,"-"))))),IF(OR(AU26="LH",AU26="DLH"),TRUNC(EJ85/VLOOKUP(BD26,#REF!,3,FALSE)),"")))</f>
        <v/>
      </c>
      <c r="EM85" s="379" t="str">
        <f t="shared" si="131"/>
        <v/>
      </c>
      <c r="EN85" s="380" t="str">
        <f>IF(BD26="","",IF(ISERROR(VLOOKUP(BD26,#REF!,2,FALSE)),"-",VLOOKUP(BD26,#REF!,2,FALSE)))</f>
        <v/>
      </c>
      <c r="EO85" s="381" t="str">
        <f t="shared" si="132"/>
        <v/>
      </c>
    </row>
    <row r="86" spans="140:145" ht="15" customHeight="1" x14ac:dyDescent="0.2">
      <c r="EJ86" s="450" t="str">
        <f t="shared" si="130"/>
        <v/>
      </c>
      <c r="EL86" s="378" t="str">
        <f>IF(EN86="-","-",IF(OR(AU27="K",AU27="KCS"),IF(EJ86&lt;VLOOKUP(BD27,#REF!,3,FALSE),1,IF(EJ86&lt;VLOOKUP(BD27,#REF!,4,FALSE),2,IF(EJ86&lt;VLOOKUP(BD27,#REF!,5,FALSE),3,IF(EJ86&lt;VLOOKUP(BD27,#REF!,6,FALSE),4,IF(EJ86&lt;VLOOKUP(BD27,#REF!,7,FALSE),5,"-"))))),IF(OR(AU27="LH",AU27="DLH"),TRUNC(EJ86/VLOOKUP(BD27,#REF!,3,FALSE)),"")))</f>
        <v/>
      </c>
      <c r="EM86" s="379" t="str">
        <f t="shared" si="131"/>
        <v/>
      </c>
      <c r="EN86" s="380" t="str">
        <f>IF(BD27="","",IF(ISERROR(VLOOKUP(BD27,#REF!,2,FALSE)),"-",VLOOKUP(BD27,#REF!,2,FALSE)))</f>
        <v/>
      </c>
      <c r="EO86" s="381" t="str">
        <f t="shared" si="132"/>
        <v/>
      </c>
    </row>
    <row r="87" spans="140:145" ht="15" customHeight="1" x14ac:dyDescent="0.2">
      <c r="EJ87" s="450" t="str">
        <f t="shared" si="130"/>
        <v/>
      </c>
      <c r="EL87" s="378" t="str">
        <f>IF(EN87="-","-",IF(OR(AU28="K",AU28="KCS"),IF(EJ87&lt;VLOOKUP(BD28,#REF!,3,FALSE),1,IF(EJ87&lt;VLOOKUP(BD28,#REF!,4,FALSE),2,IF(EJ87&lt;VLOOKUP(BD28,#REF!,5,FALSE),3,IF(EJ87&lt;VLOOKUP(BD28,#REF!,6,FALSE),4,IF(EJ87&lt;VLOOKUP(BD28,#REF!,7,FALSE),5,"-"))))),IF(OR(AU28="LH",AU28="DLH"),TRUNC(EJ87/VLOOKUP(BD28,#REF!,3,FALSE)),"")))</f>
        <v/>
      </c>
      <c r="EM87" s="379" t="str">
        <f t="shared" si="131"/>
        <v/>
      </c>
      <c r="EN87" s="380" t="str">
        <f>IF(BD28="","",IF(ISERROR(VLOOKUP(BD28,#REF!,2,FALSE)),"-",VLOOKUP(BD28,#REF!,2,FALSE)))</f>
        <v/>
      </c>
      <c r="EO87" s="381" t="str">
        <f t="shared" si="132"/>
        <v/>
      </c>
    </row>
    <row r="88" spans="140:145" ht="15" customHeight="1" x14ac:dyDescent="0.2">
      <c r="EJ88" s="450" t="str">
        <f t="shared" si="130"/>
        <v/>
      </c>
      <c r="EL88" s="378" t="str">
        <f>IF(EN88="-","-",IF(OR(AU29="K",AU29="KCS"),IF(EJ88&lt;VLOOKUP(BD29,#REF!,3,FALSE),1,IF(EJ88&lt;VLOOKUP(BD29,#REF!,4,FALSE),2,IF(EJ88&lt;VLOOKUP(BD29,#REF!,5,FALSE),3,IF(EJ88&lt;VLOOKUP(BD29,#REF!,6,FALSE),4,IF(EJ88&lt;VLOOKUP(BD29,#REF!,7,FALSE),5,"-"))))),IF(OR(AU29="LH",AU29="DLH"),TRUNC(EJ88/VLOOKUP(BD29,#REF!,3,FALSE)),"")))</f>
        <v/>
      </c>
      <c r="EM88" s="379" t="str">
        <f t="shared" si="131"/>
        <v/>
      </c>
      <c r="EN88" s="380" t="str">
        <f>IF(BD29="","",IF(ISERROR(VLOOKUP(BD29,#REF!,2,FALSE)),"-",VLOOKUP(BD29,#REF!,2,FALSE)))</f>
        <v/>
      </c>
      <c r="EO88" s="381" t="str">
        <f t="shared" si="132"/>
        <v/>
      </c>
    </row>
    <row r="89" spans="140:145" ht="15" customHeight="1" x14ac:dyDescent="0.2">
      <c r="EJ89" s="450" t="str">
        <f t="shared" si="130"/>
        <v/>
      </c>
      <c r="EL89" s="378" t="str">
        <f>IF(EN89="-","-",IF(OR(AU30="K",AU30="KCS"),IF(EJ89&lt;VLOOKUP(BD30,#REF!,3,FALSE),1,IF(EJ89&lt;VLOOKUP(BD30,#REF!,4,FALSE),2,IF(EJ89&lt;VLOOKUP(BD30,#REF!,5,FALSE),3,IF(EJ89&lt;VLOOKUP(BD30,#REF!,6,FALSE),4,IF(EJ89&lt;VLOOKUP(BD30,#REF!,7,FALSE),5,"-"))))),IF(OR(AU30="LH",AU30="DLH"),TRUNC(EJ89/VLOOKUP(BD30,#REF!,3,FALSE)),"")))</f>
        <v/>
      </c>
      <c r="EM89" s="379" t="str">
        <f t="shared" si="131"/>
        <v/>
      </c>
      <c r="EN89" s="380" t="str">
        <f>IF(BD30="","",IF(ISERROR(VLOOKUP(BD30,#REF!,2,FALSE)),"-",VLOOKUP(BD30,#REF!,2,FALSE)))</f>
        <v/>
      </c>
      <c r="EO89" s="381" t="str">
        <f t="shared" si="132"/>
        <v/>
      </c>
    </row>
    <row r="90" spans="140:145" ht="15" customHeight="1" x14ac:dyDescent="0.2">
      <c r="EJ90" s="450" t="str">
        <f t="shared" si="130"/>
        <v/>
      </c>
      <c r="EL90" s="378" t="str">
        <f>IF(EN90="-","-",IF(OR(AU31="K",AU31="KCS"),IF(EJ90&lt;VLOOKUP(BD31,#REF!,3,FALSE),1,IF(EJ90&lt;VLOOKUP(BD31,#REF!,4,FALSE),2,IF(EJ90&lt;VLOOKUP(BD31,#REF!,5,FALSE),3,IF(EJ90&lt;VLOOKUP(BD31,#REF!,6,FALSE),4,IF(EJ90&lt;VLOOKUP(BD31,#REF!,7,FALSE),5,"-"))))),IF(OR(AU31="LH",AU31="DLH"),TRUNC(EJ90/VLOOKUP(BD31,#REF!,3,FALSE)),"")))</f>
        <v/>
      </c>
      <c r="EM90" s="379" t="str">
        <f t="shared" si="131"/>
        <v/>
      </c>
      <c r="EN90" s="380" t="str">
        <f>IF(BD31="","",IF(ISERROR(VLOOKUP(BD31,#REF!,2,FALSE)),"-",VLOOKUP(BD31,#REF!,2,FALSE)))</f>
        <v/>
      </c>
      <c r="EO90" s="381" t="str">
        <f t="shared" si="132"/>
        <v/>
      </c>
    </row>
    <row r="91" spans="140:145" ht="15" customHeight="1" x14ac:dyDescent="0.2">
      <c r="EJ91" s="450" t="str">
        <f t="shared" si="130"/>
        <v/>
      </c>
      <c r="EL91" s="378" t="str">
        <f>IF(EN91="-","-",IF(OR(AU32="K",AU32="KCS"),IF(EJ91&lt;VLOOKUP(BD32,#REF!,3,FALSE),1,IF(EJ91&lt;VLOOKUP(BD32,#REF!,4,FALSE),2,IF(EJ91&lt;VLOOKUP(BD32,#REF!,5,FALSE),3,IF(EJ91&lt;VLOOKUP(BD32,#REF!,6,FALSE),4,IF(EJ91&lt;VLOOKUP(BD32,#REF!,7,FALSE),5,"-"))))),IF(OR(AU32="LH",AU32="DLH"),TRUNC(EJ91/VLOOKUP(BD32,#REF!,3,FALSE)),"")))</f>
        <v/>
      </c>
      <c r="EM91" s="379" t="str">
        <f t="shared" si="131"/>
        <v/>
      </c>
      <c r="EN91" s="380" t="str">
        <f>IF(BD32="","",IF(ISERROR(VLOOKUP(BD32,#REF!,2,FALSE)),"-",VLOOKUP(BD32,#REF!,2,FALSE)))</f>
        <v/>
      </c>
      <c r="EO91" s="381" t="str">
        <f t="shared" si="132"/>
        <v/>
      </c>
    </row>
    <row r="92" spans="140:145" ht="15" customHeight="1" x14ac:dyDescent="0.2">
      <c r="EJ92" s="450" t="str">
        <f t="shared" si="130"/>
        <v/>
      </c>
      <c r="EL92" s="378" t="str">
        <f>IF(EN92="-","-",IF(OR(AU33="K",AU33="KCS"),IF(EJ92&lt;VLOOKUP(BD33,#REF!,3,FALSE),1,IF(EJ92&lt;VLOOKUP(BD33,#REF!,4,FALSE),2,IF(EJ92&lt;VLOOKUP(BD33,#REF!,5,FALSE),3,IF(EJ92&lt;VLOOKUP(BD33,#REF!,6,FALSE),4,IF(EJ92&lt;VLOOKUP(BD33,#REF!,7,FALSE),5,"-"))))),IF(OR(AU33="LH",AU33="DLH"),TRUNC(EJ92/VLOOKUP(BD33,#REF!,3,FALSE)),"")))</f>
        <v/>
      </c>
      <c r="EM92" s="379" t="str">
        <f t="shared" si="131"/>
        <v/>
      </c>
      <c r="EN92" s="380" t="str">
        <f>IF(BD33="","",IF(ISERROR(VLOOKUP(BD33,#REF!,2,FALSE)),"-",VLOOKUP(BD33,#REF!,2,FALSE)))</f>
        <v/>
      </c>
      <c r="EO92" s="381" t="str">
        <f t="shared" si="132"/>
        <v/>
      </c>
    </row>
    <row r="93" spans="140:145" ht="15" customHeight="1" x14ac:dyDescent="0.2">
      <c r="EJ93" s="450" t="str">
        <f t="shared" si="130"/>
        <v/>
      </c>
      <c r="EL93" s="378" t="str">
        <f>IF(EN93="-","-",IF(OR(AU34="K",AU34="KCS"),IF(EJ93&lt;VLOOKUP(BD34,#REF!,3,FALSE),1,IF(EJ93&lt;VLOOKUP(BD34,#REF!,4,FALSE),2,IF(EJ93&lt;VLOOKUP(BD34,#REF!,5,FALSE),3,IF(EJ93&lt;VLOOKUP(BD34,#REF!,6,FALSE),4,IF(EJ93&lt;VLOOKUP(BD34,#REF!,7,FALSE),5,"-"))))),IF(OR(AU34="LH",AU34="DLH"),TRUNC(EJ93/VLOOKUP(BD34,#REF!,3,FALSE)),"")))</f>
        <v/>
      </c>
      <c r="EM93" s="379" t="str">
        <f t="shared" si="131"/>
        <v/>
      </c>
      <c r="EN93" s="380" t="str">
        <f>IF(BD34="","",IF(ISERROR(VLOOKUP(BD34,#REF!,2,FALSE)),"-",VLOOKUP(BD34,#REF!,2,FALSE)))</f>
        <v/>
      </c>
      <c r="EO93" s="381" t="str">
        <f t="shared" si="132"/>
        <v/>
      </c>
    </row>
    <row r="94" spans="140:145" ht="15" customHeight="1" x14ac:dyDescent="0.2">
      <c r="EJ94" s="450" t="str">
        <f t="shared" si="130"/>
        <v/>
      </c>
      <c r="EL94" s="378" t="str">
        <f>IF(EN94="-","-",IF(OR(AU35="K",AU35="KCS"),IF(EJ94&lt;VLOOKUP(BD35,#REF!,3,FALSE),1,IF(EJ94&lt;VLOOKUP(BD35,#REF!,4,FALSE),2,IF(EJ94&lt;VLOOKUP(BD35,#REF!,5,FALSE),3,IF(EJ94&lt;VLOOKUP(BD35,#REF!,6,FALSE),4,IF(EJ94&lt;VLOOKUP(BD35,#REF!,7,FALSE),5,"-"))))),IF(OR(AU35="LH",AU35="DLH"),TRUNC(EJ94/VLOOKUP(BD35,#REF!,3,FALSE)),"")))</f>
        <v/>
      </c>
      <c r="EM94" s="379" t="str">
        <f t="shared" si="131"/>
        <v/>
      </c>
      <c r="EN94" s="380" t="str">
        <f>IF(BD35="","",IF(ISERROR(VLOOKUP(BD35,#REF!,2,FALSE)),"-",VLOOKUP(BD35,#REF!,2,FALSE)))</f>
        <v/>
      </c>
      <c r="EO94" s="381" t="str">
        <f t="shared" si="132"/>
        <v/>
      </c>
    </row>
    <row r="95" spans="140:145" ht="15" customHeight="1" x14ac:dyDescent="0.2">
      <c r="EJ95" s="450" t="str">
        <f t="shared" si="130"/>
        <v/>
      </c>
      <c r="EL95" s="378" t="str">
        <f>IF(EN95="-","-",IF(OR(AU36="K",AU36="KCS"),IF(EJ95&lt;VLOOKUP(BD36,#REF!,3,FALSE),1,IF(EJ95&lt;VLOOKUP(BD36,#REF!,4,FALSE),2,IF(EJ95&lt;VLOOKUP(BD36,#REF!,5,FALSE),3,IF(EJ95&lt;VLOOKUP(BD36,#REF!,6,FALSE),4,IF(EJ95&lt;VLOOKUP(BD36,#REF!,7,FALSE),5,"-"))))),IF(OR(AU36="LH",AU36="DLH"),TRUNC(EJ95/VLOOKUP(BD36,#REF!,3,FALSE)),"")))</f>
        <v/>
      </c>
      <c r="EM95" s="379" t="str">
        <f t="shared" si="131"/>
        <v/>
      </c>
      <c r="EN95" s="380" t="str">
        <f>IF(BD36="","",IF(ISERROR(VLOOKUP(BD36,#REF!,2,FALSE)),"-",VLOOKUP(BD36,#REF!,2,FALSE)))</f>
        <v/>
      </c>
      <c r="EO95" s="381" t="str">
        <f t="shared" si="132"/>
        <v/>
      </c>
    </row>
    <row r="96" spans="140:145" ht="15" customHeight="1" x14ac:dyDescent="0.2">
      <c r="EJ96" s="450" t="str">
        <f t="shared" si="130"/>
        <v/>
      </c>
      <c r="EL96" s="378" t="str">
        <f>IF(EN96="-","-",IF(OR(AU37="K",AU37="KCS"),IF(EJ96&lt;VLOOKUP(BD37,#REF!,3,FALSE),1,IF(EJ96&lt;VLOOKUP(BD37,#REF!,4,FALSE),2,IF(EJ96&lt;VLOOKUP(BD37,#REF!,5,FALSE),3,IF(EJ96&lt;VLOOKUP(BD37,#REF!,6,FALSE),4,IF(EJ96&lt;VLOOKUP(BD37,#REF!,7,FALSE),5,"-"))))),IF(OR(AU37="LH",AU37="DLH"),TRUNC(EJ96/VLOOKUP(BD37,#REF!,3,FALSE)),"")))</f>
        <v/>
      </c>
      <c r="EM96" s="379" t="str">
        <f t="shared" si="131"/>
        <v/>
      </c>
      <c r="EN96" s="380" t="str">
        <f>IF(BD37="","",IF(ISERROR(VLOOKUP(BD37,#REF!,2,FALSE)),"-",VLOOKUP(BD37,#REF!,2,FALSE)))</f>
        <v/>
      </c>
      <c r="EO96" s="381" t="str">
        <f t="shared" si="132"/>
        <v/>
      </c>
    </row>
    <row r="97" spans="140:145" ht="15" customHeight="1" x14ac:dyDescent="0.2">
      <c r="EJ97" s="450" t="str">
        <f t="shared" si="130"/>
        <v/>
      </c>
      <c r="EL97" s="378" t="str">
        <f>IF(EN97="-","-",IF(OR(AU38="K",AU38="KCS"),IF(EJ97&lt;VLOOKUP(BD38,#REF!,3,FALSE),1,IF(EJ97&lt;VLOOKUP(BD38,#REF!,4,FALSE),2,IF(EJ97&lt;VLOOKUP(BD38,#REF!,5,FALSE),3,IF(EJ97&lt;VLOOKUP(BD38,#REF!,6,FALSE),4,IF(EJ97&lt;VLOOKUP(BD38,#REF!,7,FALSE),5,"-"))))),IF(OR(AU38="LH",AU38="DLH"),TRUNC(EJ97/VLOOKUP(BD38,#REF!,3,FALSE)),"")))</f>
        <v/>
      </c>
      <c r="EM97" s="379" t="str">
        <f t="shared" si="131"/>
        <v/>
      </c>
      <c r="EN97" s="380" t="str">
        <f>IF(BD38="","",IF(ISERROR(VLOOKUP(BD38,#REF!,2,FALSE)),"-",VLOOKUP(BD38,#REF!,2,FALSE)))</f>
        <v/>
      </c>
      <c r="EO97" s="381" t="str">
        <f t="shared" si="132"/>
        <v/>
      </c>
    </row>
    <row r="98" spans="140:145" ht="15" customHeight="1" x14ac:dyDescent="0.2">
      <c r="EJ98" s="450" t="str">
        <f t="shared" si="130"/>
        <v/>
      </c>
      <c r="EL98" s="378" t="str">
        <f>IF(EN98="-","-",IF(OR(AU39="K",AU39="KCS"),IF(EJ98&lt;VLOOKUP(BD39,#REF!,3,FALSE),1,IF(EJ98&lt;VLOOKUP(BD39,#REF!,4,FALSE),2,IF(EJ98&lt;VLOOKUP(BD39,#REF!,5,FALSE),3,IF(EJ98&lt;VLOOKUP(BD39,#REF!,6,FALSE),4,IF(EJ98&lt;VLOOKUP(BD39,#REF!,7,FALSE),5,"-"))))),IF(OR(AU39="LH",AU39="DLH"),TRUNC(EJ98/VLOOKUP(BD39,#REF!,3,FALSE)),"")))</f>
        <v/>
      </c>
      <c r="EM98" s="379" t="str">
        <f t="shared" si="131"/>
        <v/>
      </c>
      <c r="EN98" s="380" t="str">
        <f>IF(BD39="","",IF(ISERROR(VLOOKUP(BD39,#REF!,2,FALSE)),"-",VLOOKUP(BD39,#REF!,2,FALSE)))</f>
        <v/>
      </c>
      <c r="EO98" s="381" t="str">
        <f t="shared" si="132"/>
        <v/>
      </c>
    </row>
    <row r="99" spans="140:145" ht="15" customHeight="1" x14ac:dyDescent="0.2">
      <c r="EJ99" s="450" t="str">
        <f t="shared" si="130"/>
        <v/>
      </c>
      <c r="EL99" s="378" t="str">
        <f>IF(EN99="-","-",IF(OR(AU40="K",AU40="KCS"),IF(EJ99&lt;VLOOKUP(BD40,#REF!,3,FALSE),1,IF(EJ99&lt;VLOOKUP(BD40,#REF!,4,FALSE),2,IF(EJ99&lt;VLOOKUP(BD40,#REF!,5,FALSE),3,IF(EJ99&lt;VLOOKUP(BD40,#REF!,6,FALSE),4,IF(EJ99&lt;VLOOKUP(BD40,#REF!,7,FALSE),5,"-"))))),IF(OR(AU40="LH",AU40="DLH"),TRUNC(EJ99/VLOOKUP(BD40,#REF!,3,FALSE)),"")))</f>
        <v/>
      </c>
      <c r="EM99" s="379" t="str">
        <f t="shared" si="131"/>
        <v/>
      </c>
      <c r="EN99" s="380" t="str">
        <f>IF(BD40="","",IF(ISERROR(VLOOKUP(BD40,#REF!,2,FALSE)),"-",VLOOKUP(BD40,#REF!,2,FALSE)))</f>
        <v/>
      </c>
      <c r="EO99" s="381" t="str">
        <f t="shared" si="132"/>
        <v/>
      </c>
    </row>
    <row r="100" spans="140:145" ht="15" customHeight="1" x14ac:dyDescent="0.2">
      <c r="EJ100" s="450" t="str">
        <f t="shared" si="130"/>
        <v/>
      </c>
      <c r="EL100" s="378" t="str">
        <f>IF(EN100="-","-",IF(OR(AU41="K",AU41="KCS"),IF(EJ100&lt;VLOOKUP(BD41,#REF!,3,FALSE),1,IF(EJ100&lt;VLOOKUP(BD41,#REF!,4,FALSE),2,IF(EJ100&lt;VLOOKUP(BD41,#REF!,5,FALSE),3,IF(EJ100&lt;VLOOKUP(BD41,#REF!,6,FALSE),4,IF(EJ100&lt;VLOOKUP(BD41,#REF!,7,FALSE),5,"-"))))),IF(OR(AU41="LH",AU41="DLH"),TRUNC(EJ100/VLOOKUP(BD41,#REF!,3,FALSE)),"")))</f>
        <v/>
      </c>
      <c r="EM100" s="379" t="str">
        <f t="shared" si="131"/>
        <v/>
      </c>
      <c r="EN100" s="380" t="str">
        <f>IF(BD41="","",IF(ISERROR(VLOOKUP(BD41,#REF!,2,FALSE)),"-",VLOOKUP(BD41,#REF!,2,FALSE)))</f>
        <v/>
      </c>
      <c r="EO100" s="381" t="str">
        <f t="shared" si="132"/>
        <v/>
      </c>
    </row>
    <row r="101" spans="140:145" x14ac:dyDescent="0.2">
      <c r="EJ101" s="450" t="str">
        <f t="shared" si="130"/>
        <v/>
      </c>
      <c r="EL101" s="378" t="str">
        <f>IF(EN101="-","-",IF(OR(AU42="K",AU42="KCS"),IF(EJ101&lt;VLOOKUP(BD42,#REF!,3,FALSE),1,IF(EJ101&lt;VLOOKUP(BD42,#REF!,4,FALSE),2,IF(EJ101&lt;VLOOKUP(BD42,#REF!,5,FALSE),3,IF(EJ101&lt;VLOOKUP(BD42,#REF!,6,FALSE),4,IF(EJ101&lt;VLOOKUP(BD42,#REF!,7,FALSE),5,"-"))))),IF(OR(AU42="LH",AU42="DLH"),TRUNC(EJ101/VLOOKUP(BD42,#REF!,3,FALSE)),"")))</f>
        <v/>
      </c>
      <c r="EM101" s="379" t="str">
        <f t="shared" si="131"/>
        <v/>
      </c>
      <c r="EN101" s="380" t="str">
        <f>IF(BD42="","",IF(ISERROR(VLOOKUP(BD42,#REF!,2,FALSE)),"-",VLOOKUP(BD42,#REF!,2,FALSE)))</f>
        <v/>
      </c>
      <c r="EO101" s="381" t="str">
        <f t="shared" si="132"/>
        <v/>
      </c>
    </row>
    <row r="102" spans="140:145" x14ac:dyDescent="0.2">
      <c r="EJ102" s="450" t="str">
        <f t="shared" si="130"/>
        <v/>
      </c>
      <c r="EL102" s="378" t="str">
        <f>IF(EN102="-","-",IF(OR(AU43="K",AU43="KCS"),IF(EJ102&lt;VLOOKUP(BD43,#REF!,3,FALSE),1,IF(EJ102&lt;VLOOKUP(BD43,#REF!,4,FALSE),2,IF(EJ102&lt;VLOOKUP(BD43,#REF!,5,FALSE),3,IF(EJ102&lt;VLOOKUP(BD43,#REF!,6,FALSE),4,IF(EJ102&lt;VLOOKUP(BD43,#REF!,7,FALSE),5,"-"))))),IF(OR(AU43="LH",AU43="DLH"),TRUNC(EJ102/VLOOKUP(BD43,#REF!,3,FALSE)),"")))</f>
        <v/>
      </c>
      <c r="EM102" s="379" t="str">
        <f t="shared" si="131"/>
        <v/>
      </c>
      <c r="EN102" s="380" t="str">
        <f>IF(BD43="","",IF(ISERROR(VLOOKUP(BD43,#REF!,2,FALSE)),"-",VLOOKUP(BD43,#REF!,2,FALSE)))</f>
        <v/>
      </c>
      <c r="EO102" s="381" t="str">
        <f t="shared" si="132"/>
        <v/>
      </c>
    </row>
    <row r="103" spans="140:145" x14ac:dyDescent="0.2">
      <c r="EJ103" s="450" t="str">
        <f t="shared" si="130"/>
        <v/>
      </c>
      <c r="EL103" s="378" t="str">
        <f>IF(EN103="-","-",IF(OR(AU44="K",AU44="KCS"),IF(EJ103&lt;VLOOKUP(BD44,#REF!,3,FALSE),1,IF(EJ103&lt;VLOOKUP(BD44,#REF!,4,FALSE),2,IF(EJ103&lt;VLOOKUP(BD44,#REF!,5,FALSE),3,IF(EJ103&lt;VLOOKUP(BD44,#REF!,6,FALSE),4,IF(EJ103&lt;VLOOKUP(BD44,#REF!,7,FALSE),5,"-"))))),IF(OR(AU44="LH",AU44="DLH"),TRUNC(EJ103/VLOOKUP(BD44,#REF!,3,FALSE)),"")))</f>
        <v/>
      </c>
      <c r="EM103" s="379" t="str">
        <f t="shared" si="131"/>
        <v/>
      </c>
      <c r="EN103" s="380" t="str">
        <f>IF(BD44="","",IF(ISERROR(VLOOKUP(BD44,#REF!,2,FALSE)),"-",VLOOKUP(BD44,#REF!,2,FALSE)))</f>
        <v/>
      </c>
      <c r="EO103" s="381" t="str">
        <f t="shared" si="132"/>
        <v/>
      </c>
    </row>
    <row r="104" spans="140:145" x14ac:dyDescent="0.2">
      <c r="EJ104" s="450" t="str">
        <f t="shared" si="130"/>
        <v/>
      </c>
      <c r="EL104" s="378" t="str">
        <f>IF(EN104="-","-",IF(OR(AU45="K",AU45="KCS"),IF(EJ104&lt;VLOOKUP(BD45,#REF!,3,FALSE),1,IF(EJ104&lt;VLOOKUP(BD45,#REF!,4,FALSE),2,IF(EJ104&lt;VLOOKUP(BD45,#REF!,5,FALSE),3,IF(EJ104&lt;VLOOKUP(BD45,#REF!,6,FALSE),4,IF(EJ104&lt;VLOOKUP(BD45,#REF!,7,FALSE),5,"-"))))),IF(OR(AU45="LH",AU45="DLH"),TRUNC(EJ104/VLOOKUP(BD45,#REF!,3,FALSE)),"")))</f>
        <v/>
      </c>
      <c r="EM104" s="379" t="str">
        <f t="shared" si="131"/>
        <v/>
      </c>
      <c r="EN104" s="380" t="str">
        <f>IF(BD45="","",IF(ISERROR(VLOOKUP(BD45,#REF!,2,FALSE)),"-",VLOOKUP(BD45,#REF!,2,FALSE)))</f>
        <v/>
      </c>
      <c r="EO104" s="381" t="str">
        <f t="shared" si="132"/>
        <v/>
      </c>
    </row>
  </sheetData>
  <sheetProtection selectLockedCells="1"/>
  <dataConsolidate link="1"/>
  <mergeCells count="190">
    <mergeCell ref="CU14:CU15"/>
    <mergeCell ref="CX14:CX15"/>
    <mergeCell ref="CW14:CW15"/>
    <mergeCell ref="EC14:EC15"/>
    <mergeCell ref="DZ14:EA14"/>
    <mergeCell ref="DE13:DN13"/>
    <mergeCell ref="CC6:CF6"/>
    <mergeCell ref="DN14:DN15"/>
    <mergeCell ref="DL14:DL15"/>
    <mergeCell ref="DG14:DG15"/>
    <mergeCell ref="CK14:CK15"/>
    <mergeCell ref="CL14:CM14"/>
    <mergeCell ref="DO14:DO15"/>
    <mergeCell ref="DE14:DE15"/>
    <mergeCell ref="CY14:CY15"/>
    <mergeCell ref="DD14:DD15"/>
    <mergeCell ref="CR12:CR15"/>
    <mergeCell ref="CS12:CS15"/>
    <mergeCell ref="ED14:ED15"/>
    <mergeCell ref="DX14:DX15"/>
    <mergeCell ref="DP14:DP15"/>
    <mergeCell ref="DW14:DW15"/>
    <mergeCell ref="DS14:DS15"/>
    <mergeCell ref="DV14:DV15"/>
    <mergeCell ref="DR14:DR15"/>
    <mergeCell ref="DT14:DU14"/>
    <mergeCell ref="DQ14:DQ15"/>
    <mergeCell ref="EH14:EI14"/>
    <mergeCell ref="EF14:EG14"/>
    <mergeCell ref="FS14:FS15"/>
    <mergeCell ref="CU13:DD13"/>
    <mergeCell ref="CV14:CV15"/>
    <mergeCell ref="CP57:CQ57"/>
    <mergeCell ref="FR14:FR15"/>
    <mergeCell ref="DI14:DI15"/>
    <mergeCell ref="DK14:DK15"/>
    <mergeCell ref="DJ14:DJ15"/>
    <mergeCell ref="EJ14:EK14"/>
    <mergeCell ref="EL14:EL15"/>
    <mergeCell ref="EM14:EN14"/>
    <mergeCell ref="DC14:DC15"/>
    <mergeCell ref="CZ14:CZ15"/>
    <mergeCell ref="DB14:DB15"/>
    <mergeCell ref="DM14:DM15"/>
    <mergeCell ref="DF14:DF15"/>
    <mergeCell ref="DH14:DH15"/>
    <mergeCell ref="CP12:CQ14"/>
    <mergeCell ref="EY12:EY15"/>
    <mergeCell ref="EB14:EB15"/>
    <mergeCell ref="DY14:DY15"/>
    <mergeCell ref="FI12:FI15"/>
    <mergeCell ref="FG12:FG15"/>
    <mergeCell ref="FL12:FL15"/>
    <mergeCell ref="FQ12:FR13"/>
    <mergeCell ref="FO14:FO15"/>
    <mergeCell ref="EO14:EP14"/>
    <mergeCell ref="FA12:FA15"/>
    <mergeCell ref="ES14:ES15"/>
    <mergeCell ref="ET14:ET15"/>
    <mergeCell ref="EU14:EU15"/>
    <mergeCell ref="EV12:EV15"/>
    <mergeCell ref="EX12:EX15"/>
    <mergeCell ref="EQ14:ER14"/>
    <mergeCell ref="P1:S1"/>
    <mergeCell ref="Q15:R15"/>
    <mergeCell ref="Q14:S14"/>
    <mergeCell ref="A5:M5"/>
    <mergeCell ref="T14:X14"/>
    <mergeCell ref="C9:O9"/>
    <mergeCell ref="C10:O10"/>
    <mergeCell ref="S10:W10"/>
    <mergeCell ref="L14:M14"/>
    <mergeCell ref="M6:T6"/>
    <mergeCell ref="M7:S7"/>
    <mergeCell ref="F14:H14"/>
    <mergeCell ref="I15:J15"/>
    <mergeCell ref="I14:K14"/>
    <mergeCell ref="A14:A15"/>
    <mergeCell ref="B14:B15"/>
    <mergeCell ref="C14:C15"/>
    <mergeCell ref="N14:P14"/>
    <mergeCell ref="N15:O15"/>
    <mergeCell ref="F15:G15"/>
    <mergeCell ref="D14:E15"/>
    <mergeCell ref="Y6:Z6"/>
    <mergeCell ref="S9:AA9"/>
    <mergeCell ref="Z10:AA10"/>
    <mergeCell ref="T15:U15"/>
    <mergeCell ref="V15:W15"/>
    <mergeCell ref="Y14:Z14"/>
    <mergeCell ref="AV13:AW15"/>
    <mergeCell ref="AU13:AU15"/>
    <mergeCell ref="P2:S3"/>
    <mergeCell ref="P4:S4"/>
    <mergeCell ref="AZ14:AZ15"/>
    <mergeCell ref="CH14:CJ14"/>
    <mergeCell ref="CN12:CO14"/>
    <mergeCell ref="BG13:BR13"/>
    <mergeCell ref="BS13:CD13"/>
    <mergeCell ref="CE13:CE15"/>
    <mergeCell ref="CF13:CG14"/>
    <mergeCell ref="BB14:BB15"/>
    <mergeCell ref="BC14:BC15"/>
    <mergeCell ref="BD14:BD15"/>
    <mergeCell ref="BE14:BF15"/>
    <mergeCell ref="BG14:BG15"/>
    <mergeCell ref="BH14:BI15"/>
    <mergeCell ref="BW14:BX15"/>
    <mergeCell ref="BY14:BY15"/>
    <mergeCell ref="BZ14:BZ15"/>
    <mergeCell ref="CA14:CA15"/>
    <mergeCell ref="CB14:CD14"/>
    <mergeCell ref="BB13:BF13"/>
    <mergeCell ref="BB11:CB12"/>
    <mergeCell ref="CD11:CG12"/>
    <mergeCell ref="BJ14:BJ15"/>
    <mergeCell ref="BK14:BL15"/>
    <mergeCell ref="BM14:BM15"/>
    <mergeCell ref="EL71:EO71"/>
    <mergeCell ref="EL72:EL74"/>
    <mergeCell ref="EM72:EM74"/>
    <mergeCell ref="EN72:EN74"/>
    <mergeCell ref="EO72:EO74"/>
    <mergeCell ref="EJ73:EJ74"/>
    <mergeCell ref="GC14:GD14"/>
    <mergeCell ref="GF14:GF15"/>
    <mergeCell ref="GL14:GL15"/>
    <mergeCell ref="GG14:GH14"/>
    <mergeCell ref="GI14:GJ14"/>
    <mergeCell ref="GK14:GK15"/>
    <mergeCell ref="FP14:FP15"/>
    <mergeCell ref="FK12:FK15"/>
    <mergeCell ref="GA14:GB14"/>
    <mergeCell ref="GE14:GE15"/>
    <mergeCell ref="FM12:FM15"/>
    <mergeCell ref="FT14:FT15"/>
    <mergeCell ref="EZ12:EZ15"/>
    <mergeCell ref="FE12:FE15"/>
    <mergeCell ref="FJ12:FJ15"/>
    <mergeCell ref="FH12:FH15"/>
    <mergeCell ref="FN12:FN15"/>
    <mergeCell ref="FQ14:FQ15"/>
    <mergeCell ref="HA12:IF13"/>
    <mergeCell ref="HA14:HA15"/>
    <mergeCell ref="HD14:HE15"/>
    <mergeCell ref="HF14:HF15"/>
    <mergeCell ref="HG14:HG15"/>
    <mergeCell ref="HH14:HH15"/>
    <mergeCell ref="HI14:HI15"/>
    <mergeCell ref="HJ14:HJ15"/>
    <mergeCell ref="HK14:HK15"/>
    <mergeCell ref="HL14:HL15"/>
    <mergeCell ref="HM14:HM15"/>
    <mergeCell ref="HN14:HN15"/>
    <mergeCell ref="HO14:HO15"/>
    <mergeCell ref="HP14:HP15"/>
    <mergeCell ref="HR14:HR15"/>
    <mergeCell ref="HS14:HS15"/>
    <mergeCell ref="HU14:HU15"/>
    <mergeCell ref="HW14:HW15"/>
    <mergeCell ref="HX14:HX15"/>
    <mergeCell ref="HY14:HY15"/>
    <mergeCell ref="HZ14:HZ15"/>
    <mergeCell ref="IA14:IA15"/>
    <mergeCell ref="IB14:IB15"/>
    <mergeCell ref="IC14:IC15"/>
    <mergeCell ref="BN14:BN15"/>
    <mergeCell ref="BO14:BO15"/>
    <mergeCell ref="BP14:BR14"/>
    <mergeCell ref="BS14:BS15"/>
    <mergeCell ref="BT14:BU15"/>
    <mergeCell ref="BV14:BV15"/>
    <mergeCell ref="ID14:ID15"/>
    <mergeCell ref="IE14:IE15"/>
    <mergeCell ref="IF14:IF15"/>
    <mergeCell ref="GM14:GM15"/>
    <mergeCell ref="HV14:HV15"/>
    <mergeCell ref="HQ14:HQ15"/>
    <mergeCell ref="HT14:HT15"/>
    <mergeCell ref="FF12:FF15"/>
    <mergeCell ref="FB12:FB15"/>
    <mergeCell ref="HB14:HB15"/>
    <mergeCell ref="HC14:HC15"/>
    <mergeCell ref="DA14:DA15"/>
    <mergeCell ref="GA13:GJ13"/>
    <mergeCell ref="EE14:EE15"/>
    <mergeCell ref="FU14:FV14"/>
    <mergeCell ref="FD12:FD15"/>
    <mergeCell ref="EW12:EW15"/>
    <mergeCell ref="FC12:FC15"/>
  </mergeCells>
  <phoneticPr fontId="0" type="noConversion"/>
  <conditionalFormatting sqref="EF57">
    <cfRule type="cellIs" dxfId="327" priority="650" stopIfTrue="1" operator="notEqual">
      <formula>$EG57</formula>
    </cfRule>
  </conditionalFormatting>
  <conditionalFormatting sqref="EM57">
    <cfRule type="cellIs" dxfId="326" priority="651" stopIfTrue="1" operator="notEqual">
      <formula>$EN57</formula>
    </cfRule>
  </conditionalFormatting>
  <conditionalFormatting sqref="P2:S4">
    <cfRule type="cellIs" dxfId="325" priority="760" stopIfTrue="1" operator="equal">
      <formula>""</formula>
    </cfRule>
  </conditionalFormatting>
  <conditionalFormatting sqref="EF16:EF45">
    <cfRule type="cellIs" dxfId="324" priority="610" stopIfTrue="1" operator="notEqual">
      <formula>$EG16</formula>
    </cfRule>
  </conditionalFormatting>
  <conditionalFormatting sqref="CC7">
    <cfRule type="expression" dxfId="323" priority="374" stopIfTrue="1">
      <formula>ISBLANK($CC$7)</formula>
    </cfRule>
  </conditionalFormatting>
  <conditionalFormatting sqref="CC6">
    <cfRule type="expression" dxfId="322" priority="373" stopIfTrue="1">
      <formula>ISBLANK($CC$6)</formula>
    </cfRule>
  </conditionalFormatting>
  <conditionalFormatting sqref="M7">
    <cfRule type="expression" dxfId="321" priority="371" stopIfTrue="1">
      <formula>OR(ISBLANK($M$7),$M$7="")</formula>
    </cfRule>
    <cfRule type="expression" dxfId="320" priority="372" stopIfTrue="1">
      <formula>AND(LOWER($M$7)&lt;&gt;"std gray primer: one shop coat",LOWER($M$7)&lt;&gt;"gray",$M$7&lt;&gt;"")</formula>
    </cfRule>
  </conditionalFormatting>
  <conditionalFormatting sqref="BD16:BD45">
    <cfRule type="expression" dxfId="319" priority="251">
      <formula>AND(NOT($AY16),NOT($AP16))</formula>
    </cfRule>
  </conditionalFormatting>
  <conditionalFormatting sqref="C16:C45">
    <cfRule type="expression" dxfId="318" priority="186">
      <formula>AND(NOT($AY16),NOT($AP16))</formula>
    </cfRule>
  </conditionalFormatting>
  <conditionalFormatting sqref="X16:X45">
    <cfRule type="expression" dxfId="317" priority="53">
      <formula>$X16=0</formula>
    </cfRule>
  </conditionalFormatting>
  <conditionalFormatting sqref="CG16:CG45">
    <cfRule type="expression" dxfId="316" priority="673">
      <formula>OR(CH16&lt;&gt;"",CI16&lt;&gt;"",CJ16&lt;&gt;"",CK16&lt;&gt;"",CL16&lt;&gt;"",CM16&lt;&gt;"",CP16&lt;&gt;"",CQ16&lt;&gt;"")</formula>
    </cfRule>
  </conditionalFormatting>
  <conditionalFormatting sqref="BE16:BF45">
    <cfRule type="expression" dxfId="315" priority="985">
      <formula>AND(NOT($AY16),AND($AZ16,AND($AK16&lt;&gt;"HDR",$AK16&lt;&gt;"JS",$AJ16&gt;=8)))</formula>
    </cfRule>
  </conditionalFormatting>
  <conditionalFormatting sqref="D16:E45">
    <cfRule type="expression" dxfId="314" priority="223">
      <formula>AND(NOT($AY16),AND($AZ16,AND($AK16&lt;&gt;"HDR",$AK16&lt;&gt;"JS",$AJ16&gt;=8)))</formula>
    </cfRule>
  </conditionalFormatting>
  <conditionalFormatting sqref="AA12">
    <cfRule type="expression" dxfId="313" priority="159">
      <formula>OR(ISBLANK(AA12),AA12="")</formula>
    </cfRule>
  </conditionalFormatting>
  <conditionalFormatting sqref="A16:S45 X16:AA45 BB16:CD45">
    <cfRule type="expression" dxfId="312" priority="1147">
      <formula>$AC16</formula>
    </cfRule>
  </conditionalFormatting>
  <conditionalFormatting sqref="BG16:BG45">
    <cfRule type="expression" dxfId="311" priority="54">
      <formula>AND(NOT($AY16),ISERROR(CU16))</formula>
    </cfRule>
    <cfRule type="expression" dxfId="310" priority="92">
      <formula>AND(NOT($AY16),OR(CP16&lt;&gt;"", CU16=""))</formula>
    </cfRule>
  </conditionalFormatting>
  <conditionalFormatting sqref="BH16:BH45">
    <cfRule type="expression" dxfId="309" priority="80">
      <formula>AND(NOT($AY16),OR($CU16="M",$CU16="C",AND($CU16="B",$DC16&gt;0)))</formula>
    </cfRule>
    <cfRule type="expression" dxfId="308" priority="81">
      <formula>AND(NOT($AY16),AND(BH16="",BI16="",OR($CU16="B",$CU16="G")))</formula>
    </cfRule>
    <cfRule type="expression" dxfId="307" priority="82">
      <formula>AND(NOT($AY16),(BH16/2)/COS(RADIANS(BM16))+CV16-DW16&lt;VLOOKUP(AU16,$DF$2:$DJ$9,5,FALSE))</formula>
    </cfRule>
  </conditionalFormatting>
  <conditionalFormatting sqref="BI16:BI45">
    <cfRule type="expression" dxfId="306" priority="89">
      <formula>AND(NOT($AY16),OR($CU16="M",$CU16="C",AND($CU16="B",$DC16&gt;0)))</formula>
    </cfRule>
    <cfRule type="expression" dxfId="305" priority="90">
      <formula>AND(NOT($AY16),AND(BH16="",BI16="",OR($CU16="B",$CU16="G")))</formula>
    </cfRule>
    <cfRule type="expression" dxfId="304" priority="91">
      <formula>AND(NOT($AY16),(BI16/2)/COS(RADIANS(BM16))+CV16-DW16&lt;VLOOKUP(AU16,$DF$2:$DJ$9,5,FALSE))</formula>
    </cfRule>
  </conditionalFormatting>
  <conditionalFormatting sqref="BK16:BK45">
    <cfRule type="expression" dxfId="303" priority="68">
      <formula>AND(NOT($AY16),OR($CU16="M",$CU16="C",AND($CU16="B",$DA16&lt;&gt;"")))</formula>
    </cfRule>
    <cfRule type="expression" dxfId="302" priority="69">
      <formula>AND(NOT($AY16),AND(BJ16="X",BK16="",BL16=""))</formula>
    </cfRule>
    <cfRule type="expression" dxfId="301" priority="70">
      <formula>AND(NOT($AY16),EZ16="ERR")</formula>
    </cfRule>
  </conditionalFormatting>
  <conditionalFormatting sqref="BL16:BL45">
    <cfRule type="expression" dxfId="300" priority="71">
      <formula>AND(NOT($AY16),OR($CU16="M",$CU16="C",AND($CU16="B",$DA16&lt;&gt;"")))</formula>
    </cfRule>
    <cfRule type="expression" dxfId="299" priority="72">
      <formula>AND(NOT($AY16),AND(BJ16="X",BK16="",BL16=""))</formula>
    </cfRule>
    <cfRule type="expression" dxfId="298" priority="73">
      <formula>AND(NOT($AY16),EZ16="ERR")</formula>
    </cfRule>
  </conditionalFormatting>
  <conditionalFormatting sqref="A16:B45 BB16:BC45">
    <cfRule type="expression" dxfId="297" priority="105">
      <formula>AND(NOT($AE$1),$B16=0,$AD$1="M")</formula>
    </cfRule>
  </conditionalFormatting>
  <conditionalFormatting sqref="AA16:AA45">
    <cfRule type="expression" dxfId="296" priority="34">
      <formula>AND(NOT($AY16),LEN(AA16)&gt;31)</formula>
    </cfRule>
  </conditionalFormatting>
  <conditionalFormatting sqref="GA16:GB45">
    <cfRule type="expression" dxfId="295" priority="32" stopIfTrue="1">
      <formula>$GM16&gt;=0.125</formula>
    </cfRule>
  </conditionalFormatting>
  <conditionalFormatting sqref="BO16:BO45">
    <cfRule type="expression" dxfId="294" priority="27">
      <formula>AND(BO16="X",CY16="")</formula>
    </cfRule>
    <cfRule type="expression" dxfId="293" priority="28">
      <formula>AND(BO16="",CY16&lt;&gt;"")</formula>
    </cfRule>
  </conditionalFormatting>
  <conditionalFormatting sqref="CA16:CA45">
    <cfRule type="expression" dxfId="292" priority="29">
      <formula>AND(CA16="X",DI16="")</formula>
    </cfRule>
    <cfRule type="expression" dxfId="291" priority="30">
      <formula>AND(CA16="",DI16&lt;&gt;"")</formula>
    </cfRule>
  </conditionalFormatting>
  <conditionalFormatting sqref="CE16:CG45">
    <cfRule type="expression" dxfId="290" priority="31">
      <formula>$AC16</formula>
    </cfRule>
  </conditionalFormatting>
  <conditionalFormatting sqref="EM16:EM45">
    <cfRule type="cellIs" dxfId="289" priority="26" stopIfTrue="1" operator="notEqual">
      <formula>$EN16</formula>
    </cfRule>
  </conditionalFormatting>
  <conditionalFormatting sqref="U16:U45">
    <cfRule type="expression" dxfId="288" priority="22">
      <formula>AND(NOT($AY16),NOT(AR16),$P16&lt;&gt;3)</formula>
    </cfRule>
  </conditionalFormatting>
  <conditionalFormatting sqref="W16:W45">
    <cfRule type="expression" dxfId="287" priority="24">
      <formula>AND(NOT($AY16),NOT(AT16),$S16&lt;&gt;3)</formula>
    </cfRule>
  </conditionalFormatting>
  <conditionalFormatting sqref="T16:T45">
    <cfRule type="expression" dxfId="286" priority="21">
      <formula>AND(NOT($AY16),NOT(AR16),$P16&lt;&gt;3)</formula>
    </cfRule>
  </conditionalFormatting>
  <conditionalFormatting sqref="V16:V45">
    <cfRule type="expression" dxfId="285" priority="23">
      <formula>AND(NOT($AY16),NOT(AT16),$S16&lt;&gt;3)</formula>
    </cfRule>
  </conditionalFormatting>
  <conditionalFormatting sqref="T16:W45">
    <cfRule type="expression" dxfId="284" priority="25">
      <formula>$AC16</formula>
    </cfRule>
  </conditionalFormatting>
  <conditionalFormatting sqref="C57">
    <cfRule type="expression" dxfId="283" priority="13">
      <formula>AND(NOT($AY57),NOT($AP57))</formula>
    </cfRule>
  </conditionalFormatting>
  <conditionalFormatting sqref="X57">
    <cfRule type="expression" dxfId="282" priority="11">
      <formula>$X57=0</formula>
    </cfRule>
  </conditionalFormatting>
  <conditionalFormatting sqref="D57:E57">
    <cfRule type="expression" dxfId="281" priority="14">
      <formula>AND(NOT($AY57),AND($AZ57,AND($AK57&lt;&gt;"HDR",$AK57&lt;&gt;"JS",$AJ57&gt;=8)))</formula>
    </cfRule>
  </conditionalFormatting>
  <conditionalFormatting sqref="A57:S57 X57:AA57">
    <cfRule type="expression" dxfId="280" priority="15">
      <formula>$AC57</formula>
    </cfRule>
  </conditionalFormatting>
  <conditionalFormatting sqref="A57:B57">
    <cfRule type="expression" dxfId="279" priority="12">
      <formula>AND(NOT($AE$1),$B57=0,$AD$1="M")</formula>
    </cfRule>
  </conditionalFormatting>
  <conditionalFormatting sqref="AA57">
    <cfRule type="expression" dxfId="278" priority="10">
      <formula>AND(NOT($AY57),LEN(AA57)&gt;31)</formula>
    </cfRule>
  </conditionalFormatting>
  <conditionalFormatting sqref="U57">
    <cfRule type="expression" dxfId="277" priority="6">
      <formula>AND(NOT($AY57),NOT(AR57),$P57&lt;&gt;3)</formula>
    </cfRule>
  </conditionalFormatting>
  <conditionalFormatting sqref="W57">
    <cfRule type="expression" dxfId="276" priority="8">
      <formula>AND(NOT($AY57),NOT(AT57),$S57&lt;&gt;3)</formula>
    </cfRule>
  </conditionalFormatting>
  <conditionalFormatting sqref="T57">
    <cfRule type="expression" dxfId="275" priority="5">
      <formula>AND(NOT($AY57),NOT(AR57),$P57&lt;&gt;3)</formula>
    </cfRule>
  </conditionalFormatting>
  <conditionalFormatting sqref="V57">
    <cfRule type="expression" dxfId="274" priority="7">
      <formula>AND(NOT($AY57),NOT(AT57),$S57&lt;&gt;3)</formula>
    </cfRule>
  </conditionalFormatting>
  <conditionalFormatting sqref="T57:W57">
    <cfRule type="expression" dxfId="273" priority="9">
      <formula>$AC57</formula>
    </cfRule>
  </conditionalFormatting>
  <conditionalFormatting sqref="BQ16:BQ45">
    <cfRule type="expression" dxfId="272" priority="3">
      <formula>CP16&lt;&gt;""</formula>
    </cfRule>
  </conditionalFormatting>
  <conditionalFormatting sqref="CC16:CC45">
    <cfRule type="expression" dxfId="271" priority="2">
      <formula>CQ16&lt;&gt;""</formula>
    </cfRule>
  </conditionalFormatting>
  <conditionalFormatting sqref="BS16:BS45">
    <cfRule type="expression" dxfId="270" priority="1466">
      <formula>AND(NOT($AY16),ISERROR(DE16))</formula>
    </cfRule>
    <cfRule type="expression" dxfId="269" priority="1467">
      <formula>AND(NOT($AY16),OR(DE16="", CQ16&lt;&gt;""))</formula>
    </cfRule>
  </conditionalFormatting>
  <conditionalFormatting sqref="BW16:BW45">
    <cfRule type="expression" dxfId="268" priority="1518">
      <formula>AND(NOT($AY16),OR($DE16="M",$DE16="C",AND($DE16="B",$DK16&lt;&gt;"")))</formula>
    </cfRule>
    <cfRule type="expression" dxfId="267" priority="1519">
      <formula>AND(NOT($AY16),AND(BV16="X",BW16="",BX16=""))</formula>
    </cfRule>
    <cfRule type="expression" dxfId="266" priority="1520">
      <formula>AND(NOT($AY16),FC16="ERR")</formula>
    </cfRule>
  </conditionalFormatting>
  <conditionalFormatting sqref="BX16:BX45">
    <cfRule type="expression" dxfId="265" priority="1521">
      <formula>AND(NOT($AY16),OR($DE16="M",$DE16="C",AND($DE16="B",$DK16&lt;&gt;"")))</formula>
    </cfRule>
    <cfRule type="expression" dxfId="264" priority="1522">
      <formula>AND(NOT($AY16),AND(BV16="X",BW16="",BX16=""))</formula>
    </cfRule>
    <cfRule type="expression" dxfId="263" priority="1523">
      <formula>AND(NOT($AY16),FC16="ERR")</formula>
    </cfRule>
  </conditionalFormatting>
  <conditionalFormatting sqref="BT16:BT45">
    <cfRule type="expression" dxfId="262" priority="1524">
      <formula>AND(NOT($AY16),OR($DE16="M",$DE16="C",AND($DE16="B",$DM16&gt;0)))</formula>
    </cfRule>
    <cfRule type="expression" dxfId="261" priority="1525">
      <formula>AND(NOT($AY16),AND(BT16="",BU16="",OR($DE16="B",$DE16="G")))</formula>
    </cfRule>
    <cfRule type="expression" dxfId="260" priority="1526">
      <formula>AND(NOT($AY16),(BT16/2)/COS(RADIANS(BY16))+DF16-EC16&lt;VLOOKUP(AU16,$DF$2:$DJ$9,5,FALSE))</formula>
    </cfRule>
  </conditionalFormatting>
  <conditionalFormatting sqref="BU16:BU45">
    <cfRule type="expression" dxfId="259" priority="1527">
      <formula>AND(NOT($AY16),OR($DE16="M",$DE16="C",AND($DE16="B",$DM16&gt;0)))</formula>
    </cfRule>
    <cfRule type="expression" dxfId="258" priority="1528">
      <formula>AND(NOT($AY16),AND(BT16="",BU16="",OR($DE16="B",$DE16="G")))</formula>
    </cfRule>
    <cfRule type="expression" dxfId="257" priority="1529">
      <formula>AND(NOT($AY16),(BU16/2)/COS(RADIANS(BY16))+DF16-EC16&lt;VLOOKUP(AU16,$DF$2:$DJ$9,5,FALSE))</formula>
    </cfRule>
  </conditionalFormatting>
  <conditionalFormatting sqref="BZ16:BZ45 BN16:BN45">
    <cfRule type="expression" dxfId="256" priority="1550">
      <formula>AND(NOT($AY16),AND(ISBLANK(BN16),AND(NOT(ISBLANK(BM16)),$CE16&lt;&gt;0)))</formula>
    </cfRule>
  </conditionalFormatting>
  <conditionalFormatting sqref="BJ16:BJ45">
    <cfRule type="expression" dxfId="255" priority="1554">
      <formula>AND(NOT($AY16),OR($CU16="C",AND($CU16="M",$DA16&gt;0)))</formula>
    </cfRule>
    <cfRule type="expression" dxfId="254" priority="1555">
      <formula>AND(NOT($AY16),OR(NOT(IF(AND(OR(MID($BB16,1,1)="T",($BE16+$BF16/12)/IF(ABS($CE16)&gt;$DQ$1,COS($DO16),1)&gt;=40),OR($CU16="B",$CU16="G")),"X","")="X"),$EZ16="ERR"))</formula>
    </cfRule>
    <cfRule type="expression" dxfId="253" priority="1556">
      <formula>AND(NOT($AY16),$BJ16&lt;&gt;"X",$BJ16&lt;&gt;IF(AND(OR(MID(BB16,1,1)="T",($BE16+$BF16/12)/IF(ABS($CE16)&gt;$DQ$1,COS($DO16),1)&gt;=40),OR($CU16="B",$CU16="G")),"X",""))</formula>
    </cfRule>
  </conditionalFormatting>
  <conditionalFormatting sqref="BV16:BV45">
    <cfRule type="expression" dxfId="252" priority="1569">
      <formula>AND(NOT($AY16),OR($DE16="C",AND($DE16="M",$DK16&gt;0)))</formula>
    </cfRule>
    <cfRule type="expression" dxfId="251" priority="1570">
      <formula>AND(NOT($AY16),OR(NOT(IF(AND(OR(MID($BB16,1,1)="T",($BE16+$BF16/12)/IF(ABS($CE16)&gt;$DQ$1,COS($DO16),1)&gt;=40),OR($DE16="B",$DE16="G")),"X","")="X"),$FC16="ERR"))</formula>
    </cfRule>
    <cfRule type="expression" dxfId="250" priority="1571">
      <formula>AND(NOT($AY16),$BV16&lt;&gt;"X",$BV16&lt;&gt;IF(AND(OR(MID(BB16,1,1)="T",($BE16+$BF16/12)/IF(ABS($CE16)&gt;$DQ$1,COS($DO16),1)&gt;=40),OR($DE16="B",$DE16="G")),"X",""))</formula>
    </cfRule>
  </conditionalFormatting>
  <conditionalFormatting sqref="GA57:GB57">
    <cfRule type="expression" dxfId="249" priority="1" stopIfTrue="1">
      <formula>$GM57&gt;=0.125</formula>
    </cfRule>
  </conditionalFormatting>
  <dataValidations count="14">
    <dataValidation type="list" allowBlank="1" showInputMessage="1" sqref="CC6:CF6 M7:S7" xr:uid="{00000000-0002-0000-0D00-000000000000}">
      <formula1>"Std Gray Primer: One Shop Coat,NO Shop Primer,NO Shop Primer - GALV,Std Gray Primer: xx Shop Coats"</formula1>
    </dataValidation>
    <dataValidation type="whole" operator="greaterThanOrEqual" allowBlank="1" showErrorMessage="1" errorTitle="Dimensional Error" error="&quot;Feet&quot; can only be whole numbers." sqref="D16:D45 F16:F45 I16:I45 T16:T45 V16:V45 BE16:BE45 D57 F57 I57 T57 V57" xr:uid="{00000000-0002-0000-0D00-000001000000}">
      <formula1>0</formula1>
    </dataValidation>
    <dataValidation type="decimal" allowBlank="1" showInputMessage="1" showErrorMessage="1" errorTitle="Dimensional Error" error="&quot;Inches&quot; must be a number from 0 to 11.875." sqref="BF16:BF45 G16:G45 J16:J45 W16:W45 U16:U45 E16:E45 G57 J57 W57 U57 E57" xr:uid="{00000000-0002-0000-0D00-000002000000}">
      <formula1>0</formula1>
      <formula2>11.875</formula2>
    </dataValidation>
    <dataValidation type="decimal" operator="greaterThanOrEqual" allowBlank="1" showInputMessage="1" showErrorMessage="1" errorTitle="Dimensional Error" error="&quot;Inches&quot; must be a number." sqref="BH16:BI45 BK16:BL45 BT16:BU45 BW16:BX45" xr:uid="{00000000-0002-0000-0D00-000003000000}">
      <formula1>0</formula1>
    </dataValidation>
    <dataValidation type="decimal" operator="notEqual" allowBlank="1" showInputMessage="1" showErrorMessage="1" errorTitle="input Error" error="Enter + or - Numbers Only._x000a_Do NOT use &quot;&lt;&quot; or &quot;&gt;&quot;." sqref="Y16:Z45 Y57:Z57" xr:uid="{00000000-0002-0000-0D00-000004000000}">
      <formula1>0</formula1>
    </dataValidation>
    <dataValidation type="decimal" operator="greaterThan" allowBlank="1" showInputMessage="1" showErrorMessage="1" errorTitle="Dimensional Error" error="Only positive numeric values can be entered here." sqref="L16:M45 L57:M57" xr:uid="{00000000-0002-0000-0D00-000005000000}">
      <formula1>0</formula1>
    </dataValidation>
    <dataValidation type="whole" operator="greaterThanOrEqual" allowBlank="1" showInputMessage="1" showErrorMessage="1" sqref="B57" xr:uid="{00000000-0002-0000-0D00-000006000000}">
      <formula1>0</formula1>
    </dataValidation>
    <dataValidation type="decimal" operator="lessThanOrEqual" allowBlank="1" showInputMessage="1" errorTitle="BL Over-Ride Error!" error="Base Length can't be past Joist Overall Length!  See section for Maximum Over-Ride Dimension." sqref="CC16:CC45" xr:uid="{00000000-0002-0000-0D00-000007000000}">
      <formula1>$DF16</formula1>
    </dataValidation>
    <dataValidation type="decimal" operator="lessThanOrEqual" allowBlank="1" showInputMessage="1" errorTitle="BL Over-Ride Error!" error="Base Length can't be past Joist Overall Length!  See section for Maximum Over-Ride Dimension." sqref="BQ16:BQ45" xr:uid="{00000000-0002-0000-0D00-000008000000}">
      <formula1>$CV16</formula1>
    </dataValidation>
    <dataValidation type="decimal" allowBlank="1" showInputMessage="1" showErrorMessage="1" errorTitle="Input Error" error="Numeric Values Only!" sqref="GC16:GD45 GC57:GD57 BP16:BP45 CB16:CB45" xr:uid="{10E335A0-C812-4B11-A878-8B37520F5376}">
      <formula1>-1200</formula1>
      <formula2>1200</formula2>
    </dataValidation>
    <dataValidation type="whole" operator="greaterThanOrEqual" allowBlank="1" showInputMessage="1" showErrorMessage="1" errorTitle="Input Error" error="Positive Integers Only!" sqref="GA16:GA45 GA57" xr:uid="{5A3AFB85-612B-41BC-99E9-7776CBDC20D4}">
      <formula1>0</formula1>
    </dataValidation>
    <dataValidation type="decimal" allowBlank="1" showInputMessage="1" showErrorMessage="1" errorTitle="Input Error" error="Numbers from 0&quot; to 11 7/8&quot; only!" sqref="GB16:GB45 GB57" xr:uid="{227C6233-DD82-4B1E-A09C-72713DBA5D7A}">
      <formula1>0</formula1>
      <formula2>11.875</formula2>
    </dataValidation>
    <dataValidation type="decimal" operator="greaterThan" allowBlank="1" showInputMessage="1" showErrorMessage="1" errorTitle="Input Error" error="Positive Numeric Values Only!" sqref="BR16:BR45 CD16:CD45" xr:uid="{D443B939-F648-4209-AB35-C44222F1AF0F}">
      <formula1>0</formula1>
    </dataValidation>
    <dataValidation type="whole" operator="greaterThan" allowBlank="1" showInputMessage="1" showErrorMessage="1" errorTitle="Quantity Error" error="Value must be an integer greater than -1000." sqref="B16:B45 BC16:BC45" xr:uid="{9F1C0102-77DE-4B35-9D84-56D3FA424607}">
      <formula1>-1001</formula1>
    </dataValidation>
  </dataValidations>
  <printOptions horizontalCentered="1"/>
  <pageMargins left="0.3" right="0.3" top="0.5" bottom="0.5" header="0" footer="0.25"/>
  <pageSetup pageOrder="overThenDown" orientation="landscape" r:id="rId1"/>
  <headerFooter alignWithMargins="0">
    <oddFooter>&amp;R&amp;7Printed: &amp;D &amp;T&amp;L&amp;7Version: 21.0428
File: &amp;F</oddFooter>
  </headerFooter>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1">
    <tabColor indexed="41"/>
  </sheetPr>
  <dimension ref="A1:IC301"/>
  <sheetViews>
    <sheetView showGridLines="0" zoomScaleNormal="100" zoomScaleSheetLayoutView="105" workbookViewId="0">
      <selection activeCell="A27" sqref="A27"/>
    </sheetView>
  </sheetViews>
  <sheetFormatPr defaultColWidth="5.7109375" defaultRowHeight="12.6" customHeight="1" x14ac:dyDescent="0.2"/>
  <cols>
    <col min="1" max="1" width="8.7109375" style="1" customWidth="1"/>
    <col min="2" max="2" width="8.7109375" style="1" hidden="1" customWidth="1"/>
    <col min="3" max="3" width="5.7109375" style="1" customWidth="1"/>
    <col min="4" max="6" width="9.7109375" style="1" customWidth="1"/>
    <col min="7" max="12" width="6.7109375" style="1" customWidth="1"/>
    <col min="13" max="15" width="8.7109375" style="1" customWidth="1"/>
    <col min="16" max="16" width="25.42578125" style="1" customWidth="1"/>
    <col min="17" max="17" width="8.7109375" style="1" customWidth="1"/>
    <col min="18" max="18" width="5.7109375" style="1" hidden="1" customWidth="1"/>
    <col min="19" max="20" width="7.7109375" style="1" hidden="1" customWidth="1"/>
    <col min="21" max="25" width="5.7109375" style="1" hidden="1" customWidth="1"/>
    <col min="26" max="26" width="7.85546875" style="1" hidden="1" customWidth="1"/>
    <col min="27" max="28" width="5.7109375" style="1" hidden="1" customWidth="1"/>
    <col min="29" max="30" width="6.7109375" style="1" hidden="1" customWidth="1"/>
    <col min="31" max="31" width="6.140625" style="103" hidden="1" customWidth="1"/>
    <col min="32" max="32" width="8.7109375" style="1" hidden="1" customWidth="1"/>
    <col min="33" max="33" width="5.7109375" style="1"/>
    <col min="34" max="206" width="5.7109375" style="1" hidden="1" customWidth="1"/>
    <col min="207" max="207" width="8.7109375" style="1" customWidth="1"/>
    <col min="208" max="223" width="5.7109375" style="1" hidden="1" customWidth="1"/>
    <col min="224" max="225" width="15.7109375" style="1" hidden="1" customWidth="1"/>
    <col min="226" max="226" width="8.7109375" style="1" customWidth="1"/>
    <col min="227" max="16384" width="5.7109375" style="1"/>
  </cols>
  <sheetData>
    <row r="1" spans="1:237" s="3" customFormat="1" ht="14.45" customHeight="1" thickBot="1" x14ac:dyDescent="0.25">
      <c r="A1" s="298"/>
      <c r="B1" s="298"/>
      <c r="C1" s="298"/>
      <c r="D1" s="298"/>
      <c r="E1" s="297"/>
      <c r="F1" s="297"/>
      <c r="G1" s="297"/>
      <c r="H1" s="297"/>
      <c r="I1" s="402"/>
      <c r="J1" s="1705" t="e">
        <f>IF(R1="","",VLOOKUP(R1,#REF!,4,FALSE))</f>
        <v>#REF!</v>
      </c>
      <c r="K1" s="1705"/>
      <c r="L1" s="1705"/>
      <c r="M1" s="298"/>
      <c r="N1" s="408" t="s">
        <v>77</v>
      </c>
      <c r="O1" s="401"/>
      <c r="P1" s="409" t="e">
        <f>#REF!</f>
        <v>#REF!</v>
      </c>
      <c r="Q1" s="423" t="s">
        <v>378</v>
      </c>
      <c r="R1" s="302" t="e">
        <f>#REF!</f>
        <v>#REF!</v>
      </c>
      <c r="S1" s="302" t="e">
        <f>#REF!</f>
        <v>#REF!</v>
      </c>
      <c r="T1" s="708" t="s">
        <v>559</v>
      </c>
      <c r="AE1" s="577"/>
      <c r="AG1" s="424" t="s">
        <v>379</v>
      </c>
      <c r="GY1" s="436" t="s">
        <v>371</v>
      </c>
      <c r="HA1" s="154"/>
      <c r="HB1" s="154"/>
      <c r="HC1" s="154"/>
      <c r="HD1" s="156"/>
      <c r="HE1" s="307"/>
      <c r="HF1" s="154"/>
      <c r="HG1" s="154"/>
      <c r="HH1" s="154"/>
      <c r="HI1" s="154"/>
      <c r="HJ1" s="154"/>
      <c r="HK1" s="154"/>
      <c r="HL1" s="154"/>
      <c r="HM1" s="154"/>
      <c r="HN1" s="154"/>
      <c r="HO1" s="154"/>
      <c r="HP1" s="154"/>
      <c r="HQ1" s="154"/>
      <c r="HR1" s="424" t="s">
        <v>716</v>
      </c>
      <c r="HS1" s="154"/>
      <c r="HT1" s="154"/>
      <c r="HU1" s="154"/>
      <c r="HV1" s="154"/>
      <c r="HW1" s="154"/>
      <c r="HX1" s="154"/>
      <c r="HY1" s="303"/>
      <c r="HZ1" s="303"/>
      <c r="IA1" s="303"/>
      <c r="IB1" s="303"/>
    </row>
    <row r="2" spans="1:237" s="3" customFormat="1" ht="12.95" customHeight="1" thickTop="1" x14ac:dyDescent="0.2">
      <c r="A2" s="298"/>
      <c r="B2" s="298"/>
      <c r="C2" s="298"/>
      <c r="D2" s="298"/>
      <c r="E2" s="308"/>
      <c r="F2" s="308"/>
      <c r="G2" s="308"/>
      <c r="H2" s="308"/>
      <c r="I2" s="402"/>
      <c r="J2" s="1711" t="e">
        <f>IF(R1="","",IF(VLOOKUP(R1,#REF!,2,FALSE),"Released for Fabrication",""))</f>
        <v>#REF!</v>
      </c>
      <c r="K2" s="1750"/>
      <c r="L2" s="1751"/>
      <c r="M2" s="298"/>
      <c r="N2" s="408" t="s">
        <v>78</v>
      </c>
      <c r="O2" s="401"/>
      <c r="P2" s="409" t="e">
        <f>#REF!</f>
        <v>#REF!</v>
      </c>
      <c r="S2" s="16"/>
      <c r="T2" s="16"/>
      <c r="AE2" s="577"/>
      <c r="GZ2" s="303"/>
      <c r="HA2" s="154"/>
      <c r="HB2" s="154"/>
      <c r="HC2" s="154"/>
      <c r="HD2" s="156"/>
      <c r="HE2" s="307"/>
      <c r="HF2" s="154"/>
      <c r="HG2" s="154"/>
      <c r="HH2" s="154"/>
      <c r="HI2" s="154"/>
      <c r="HJ2" s="154"/>
      <c r="HK2" s="154"/>
      <c r="HL2" s="154"/>
      <c r="HM2" s="154"/>
      <c r="HN2" s="154"/>
      <c r="HO2" s="154"/>
      <c r="HP2" s="154"/>
      <c r="HQ2" s="154"/>
      <c r="HR2" s="154"/>
      <c r="HS2" s="154"/>
      <c r="HT2" s="154"/>
      <c r="HU2" s="154"/>
      <c r="HV2" s="154"/>
      <c r="HW2" s="154"/>
      <c r="HX2" s="154"/>
      <c r="HY2" s="303"/>
      <c r="HZ2" s="303"/>
      <c r="IA2" s="303"/>
      <c r="IB2" s="303"/>
      <c r="IC2" s="303"/>
    </row>
    <row r="3" spans="1:237" s="3" customFormat="1" ht="12.95" customHeight="1" x14ac:dyDescent="0.2">
      <c r="A3" s="298"/>
      <c r="B3" s="298"/>
      <c r="C3" s="298"/>
      <c r="D3" s="298"/>
      <c r="E3" s="297"/>
      <c r="F3" s="298"/>
      <c r="G3" s="298"/>
      <c r="H3" s="298"/>
      <c r="I3" s="402"/>
      <c r="J3" s="1752"/>
      <c r="K3" s="1753"/>
      <c r="L3" s="1754"/>
      <c r="M3" s="298"/>
      <c r="N3" s="408" t="s">
        <v>80</v>
      </c>
      <c r="O3" s="298"/>
      <c r="P3" s="409" t="e">
        <f>#REF!</f>
        <v>#REF!</v>
      </c>
      <c r="AE3" s="577"/>
      <c r="GZ3" s="154"/>
      <c r="HA3" s="154"/>
      <c r="HB3" s="154"/>
      <c r="HC3" s="154"/>
      <c r="HD3" s="156"/>
      <c r="HE3" s="307"/>
      <c r="HF3" s="154"/>
      <c r="HG3" s="154"/>
      <c r="HH3" s="154"/>
      <c r="HI3" s="154"/>
      <c r="HJ3" s="154"/>
      <c r="HK3" s="154"/>
      <c r="HL3" s="154"/>
      <c r="HM3" s="154"/>
      <c r="HN3" s="154"/>
      <c r="HO3" s="154"/>
      <c r="HP3" s="154"/>
      <c r="HQ3" s="154"/>
      <c r="HR3" s="154"/>
      <c r="HS3" s="154"/>
      <c r="HT3" s="154"/>
      <c r="HU3" s="154"/>
      <c r="HV3" s="154"/>
      <c r="HW3" s="154"/>
      <c r="HX3" s="154"/>
      <c r="HY3" s="303"/>
      <c r="HZ3" s="303"/>
      <c r="IA3" s="303"/>
      <c r="IB3" s="303"/>
      <c r="IC3" s="303"/>
    </row>
    <row r="4" spans="1:237" s="3" customFormat="1" ht="12.95" customHeight="1" thickBot="1" x14ac:dyDescent="0.25">
      <c r="A4" s="298"/>
      <c r="B4" s="298"/>
      <c r="C4" s="298"/>
      <c r="D4" s="298"/>
      <c r="E4" s="298"/>
      <c r="F4" s="298"/>
      <c r="G4" s="298"/>
      <c r="H4" s="298"/>
      <c r="I4" s="402"/>
      <c r="J4" s="1717" t="e">
        <f>IF(R1="","",IF(VLOOKUP(R1,#REF!,2,FALSE),VLOOKUP(R1,#REF!,3,FALSE),""))</f>
        <v>#REF!</v>
      </c>
      <c r="K4" s="1755"/>
      <c r="L4" s="1756"/>
      <c r="M4" s="298"/>
      <c r="N4" s="408" t="s">
        <v>79</v>
      </c>
      <c r="O4" s="298"/>
      <c r="P4" s="409" t="e">
        <f>#REF!</f>
        <v>#REF!</v>
      </c>
      <c r="AE4" s="577"/>
      <c r="GZ4" s="154"/>
      <c r="HA4" s="154"/>
      <c r="HB4" s="154"/>
      <c r="HC4" s="154"/>
      <c r="HD4" s="156"/>
      <c r="HE4" s="307"/>
      <c r="HF4" s="154"/>
      <c r="HG4" s="154"/>
      <c r="HH4" s="154"/>
      <c r="HI4" s="154"/>
      <c r="HJ4" s="154"/>
      <c r="HK4" s="154"/>
      <c r="HL4" s="154"/>
      <c r="HM4" s="154"/>
      <c r="HN4" s="154"/>
      <c r="HO4" s="154"/>
      <c r="HP4" s="154"/>
      <c r="HQ4" s="154"/>
      <c r="HR4" s="154"/>
      <c r="HS4" s="154"/>
      <c r="HT4" s="154"/>
      <c r="HU4" s="154"/>
      <c r="HV4" s="154"/>
      <c r="HW4" s="154"/>
      <c r="HX4" s="154"/>
      <c r="HY4" s="303"/>
      <c r="HZ4" s="303"/>
      <c r="IA4" s="303"/>
      <c r="IB4" s="303"/>
      <c r="IC4" s="303"/>
    </row>
    <row r="5" spans="1:237" s="13" customFormat="1" ht="12.95" customHeight="1" thickTop="1" x14ac:dyDescent="0.2">
      <c r="A5" s="2033" t="e">
        <f>#REF!</f>
        <v>#REF!</v>
      </c>
      <c r="B5" s="2280"/>
      <c r="C5" s="2280"/>
      <c r="D5" s="2280"/>
      <c r="E5" s="2280"/>
      <c r="F5" s="2280"/>
      <c r="G5" s="2417"/>
      <c r="H5" s="402"/>
      <c r="I5" s="402"/>
      <c r="J5" s="402"/>
      <c r="K5" s="402"/>
      <c r="L5" s="402"/>
      <c r="M5" s="402"/>
      <c r="N5" s="402"/>
      <c r="O5" s="402"/>
      <c r="P5" s="402"/>
      <c r="AE5" s="577"/>
      <c r="GZ5" s="154"/>
      <c r="HA5" s="154"/>
      <c r="HB5" s="154"/>
      <c r="HC5" s="154"/>
      <c r="HD5" s="156"/>
      <c r="HE5" s="307"/>
      <c r="HF5" s="154"/>
      <c r="HG5" s="154"/>
      <c r="HH5" s="154"/>
      <c r="HI5" s="154"/>
      <c r="HJ5" s="154"/>
      <c r="HK5" s="154"/>
      <c r="HL5" s="154"/>
      <c r="HM5" s="154"/>
      <c r="HN5" s="154"/>
      <c r="HO5" s="154"/>
      <c r="HP5" s="154"/>
      <c r="HQ5" s="154"/>
      <c r="HR5" s="154"/>
      <c r="HS5" s="154"/>
      <c r="HT5" s="154"/>
      <c r="HU5" s="154"/>
      <c r="HV5" s="154"/>
      <c r="HW5" s="154"/>
      <c r="HX5" s="154"/>
      <c r="HY5" s="303"/>
      <c r="HZ5" s="303"/>
      <c r="IA5" s="303"/>
      <c r="IB5" s="303"/>
      <c r="IC5" s="303"/>
    </row>
    <row r="6" spans="1:237" s="3" customFormat="1" ht="12.95" customHeight="1" x14ac:dyDescent="0.2">
      <c r="A6" s="298"/>
      <c r="B6" s="298"/>
      <c r="C6" s="298"/>
      <c r="D6" s="298"/>
      <c r="E6" s="297"/>
      <c r="F6" s="298"/>
      <c r="G6" s="298"/>
      <c r="H6" s="298"/>
      <c r="I6" s="298"/>
      <c r="J6" s="298"/>
      <c r="K6" s="402"/>
      <c r="L6" s="402"/>
      <c r="M6" s="402"/>
      <c r="N6" s="1016" t="s">
        <v>20</v>
      </c>
      <c r="O6" s="2401" t="e">
        <f>IF(ISBLANK(#REF!),"",#REF!)</f>
        <v>#REF!</v>
      </c>
      <c r="P6" s="2401"/>
      <c r="R6" s="995" t="s">
        <v>705</v>
      </c>
      <c r="AE6" s="577"/>
      <c r="GZ6" s="154"/>
      <c r="HA6" s="154"/>
      <c r="HB6" s="154"/>
      <c r="HC6" s="154"/>
      <c r="HD6" s="156"/>
      <c r="HE6" s="307"/>
      <c r="HF6" s="154"/>
      <c r="HG6" s="154"/>
      <c r="HH6" s="154"/>
      <c r="HI6" s="154"/>
      <c r="HJ6" s="154"/>
      <c r="HK6" s="154"/>
      <c r="HL6" s="154"/>
      <c r="HM6" s="154"/>
      <c r="HN6" s="154"/>
      <c r="HO6" s="154"/>
      <c r="HP6" s="154"/>
      <c r="HQ6" s="154"/>
      <c r="HR6" s="154"/>
      <c r="HS6" s="154"/>
      <c r="HT6" s="154"/>
      <c r="HU6" s="154"/>
      <c r="HV6" s="154"/>
      <c r="HW6" s="154"/>
      <c r="HX6" s="154"/>
      <c r="HY6" s="303"/>
      <c r="HZ6" s="303"/>
      <c r="IA6" s="303"/>
      <c r="IB6" s="303"/>
      <c r="IC6" s="303"/>
    </row>
    <row r="7" spans="1:237" ht="12.95" customHeight="1" x14ac:dyDescent="0.2">
      <c r="A7" s="321" t="s">
        <v>39</v>
      </c>
      <c r="B7" s="322"/>
      <c r="C7" s="322"/>
      <c r="D7" s="322"/>
      <c r="E7" s="322"/>
      <c r="F7" s="322"/>
      <c r="G7" s="403"/>
      <c r="H7" s="1016" t="s">
        <v>26</v>
      </c>
      <c r="I7" s="2411"/>
      <c r="J7" s="2412"/>
      <c r="K7" s="2412"/>
      <c r="L7" s="1885"/>
      <c r="M7" s="402"/>
      <c r="N7" s="1017" t="s">
        <v>21</v>
      </c>
      <c r="O7" s="1107" t="e">
        <f>CONCATENATE(R7, " of ",IF(ISBLANK(#REF!),"",#REF!))</f>
        <v>#REF!</v>
      </c>
      <c r="P7" s="605"/>
      <c r="R7" s="996"/>
      <c r="GZ7" s="154"/>
      <c r="HA7" s="154"/>
      <c r="HB7" s="154"/>
      <c r="HC7" s="154"/>
      <c r="HD7" s="156"/>
      <c r="HE7" s="307"/>
      <c r="HF7" s="154"/>
      <c r="HG7" s="154"/>
      <c r="HH7" s="154"/>
      <c r="HI7" s="154"/>
      <c r="HJ7" s="154"/>
      <c r="HK7" s="154"/>
      <c r="HL7" s="154"/>
      <c r="HM7" s="154"/>
      <c r="HN7" s="154"/>
      <c r="HO7" s="154"/>
      <c r="HP7" s="154"/>
      <c r="HQ7" s="154"/>
      <c r="HR7" s="154"/>
      <c r="HS7" s="154"/>
      <c r="HT7" s="154"/>
      <c r="HU7" s="154"/>
      <c r="HV7" s="154"/>
      <c r="HW7" s="154"/>
      <c r="HX7" s="154"/>
      <c r="HY7" s="154"/>
      <c r="HZ7" s="154"/>
      <c r="IA7" s="154"/>
      <c r="IB7" s="154"/>
      <c r="IC7" s="154"/>
    </row>
    <row r="8" spans="1:237" ht="2.85" customHeight="1" x14ac:dyDescent="0.2">
      <c r="A8" s="322"/>
      <c r="B8" s="322"/>
      <c r="C8" s="322"/>
      <c r="D8" s="322"/>
      <c r="E8" s="322"/>
      <c r="F8" s="322"/>
      <c r="G8" s="322"/>
      <c r="H8" s="322"/>
      <c r="I8" s="2408" t="str">
        <f>IF(I7="NO PAINT - GALV","GALV. BOLTS","")</f>
        <v/>
      </c>
      <c r="J8" s="2408"/>
      <c r="K8" s="2408"/>
      <c r="L8" s="322"/>
      <c r="M8" s="322"/>
      <c r="N8" s="322"/>
      <c r="O8" s="322"/>
      <c r="P8" s="322"/>
      <c r="GZ8" s="154"/>
      <c r="HA8" s="154"/>
      <c r="HB8" s="154"/>
      <c r="HC8" s="154"/>
      <c r="HD8" s="156"/>
      <c r="HE8" s="307"/>
      <c r="HF8" s="154"/>
      <c r="HG8" s="154"/>
      <c r="HH8" s="154"/>
      <c r="HI8" s="154"/>
      <c r="HJ8" s="154"/>
      <c r="HK8" s="154"/>
      <c r="HL8" s="154"/>
      <c r="HM8" s="154"/>
      <c r="HN8" s="154"/>
      <c r="HO8" s="154"/>
      <c r="HP8" s="154"/>
      <c r="HQ8" s="154"/>
      <c r="HR8" s="154"/>
      <c r="HS8" s="154"/>
      <c r="HT8" s="154"/>
      <c r="HU8" s="154"/>
      <c r="HV8" s="154"/>
      <c r="HW8" s="154"/>
      <c r="HX8" s="154"/>
      <c r="HY8" s="154"/>
      <c r="HZ8" s="154"/>
      <c r="IA8" s="154"/>
      <c r="IB8" s="154"/>
      <c r="IC8" s="154"/>
    </row>
    <row r="9" spans="1:237" ht="12.2" customHeight="1" x14ac:dyDescent="0.2">
      <c r="A9" s="1015" t="s">
        <v>1</v>
      </c>
      <c r="B9" s="144"/>
      <c r="C9" s="1699" t="e">
        <f>IF(ISBLANK(#REF!),"",#REF!)</f>
        <v>#REF!</v>
      </c>
      <c r="D9" s="1699"/>
      <c r="E9" s="1699"/>
      <c r="F9" s="1699"/>
      <c r="G9" s="2418"/>
      <c r="H9" s="404"/>
      <c r="I9" s="1012" t="s">
        <v>2</v>
      </c>
      <c r="J9" s="1699" t="e">
        <f>IF(ISBLANK(#REF!),"",#REF!)</f>
        <v>#REF!</v>
      </c>
      <c r="K9" s="1699"/>
      <c r="L9" s="1699"/>
      <c r="M9" s="1699"/>
      <c r="N9" s="1699"/>
      <c r="O9" s="1699"/>
      <c r="P9" s="1700"/>
      <c r="GZ9" s="154"/>
      <c r="HA9" s="154"/>
      <c r="HB9" s="154"/>
      <c r="HC9" s="154"/>
      <c r="HD9" s="156"/>
      <c r="HE9" s="307"/>
      <c r="HF9" s="154"/>
      <c r="HG9" s="154"/>
      <c r="HH9" s="154"/>
      <c r="HI9" s="154"/>
      <c r="HJ9" s="154"/>
      <c r="HK9" s="154"/>
      <c r="HL9" s="154"/>
      <c r="HM9" s="154"/>
      <c r="HN9" s="154"/>
      <c r="HO9" s="154"/>
      <c r="HP9" s="154"/>
      <c r="HQ9" s="154"/>
      <c r="HR9" s="154"/>
      <c r="HS9" s="154"/>
      <c r="HT9" s="154"/>
      <c r="HU9" s="154"/>
      <c r="HV9" s="154"/>
      <c r="HW9" s="154"/>
      <c r="HX9" s="154"/>
      <c r="HY9" s="154"/>
      <c r="HZ9" s="154"/>
      <c r="IA9" s="154"/>
      <c r="IB9" s="154"/>
      <c r="IC9" s="154"/>
    </row>
    <row r="10" spans="1:237" ht="12.2" customHeight="1" x14ac:dyDescent="0.2">
      <c r="A10" s="1015" t="s">
        <v>3</v>
      </c>
      <c r="B10" s="144"/>
      <c r="C10" s="1699" t="e">
        <f>IF(ISBLANK(#REF!),"",#REF!)</f>
        <v>#REF!</v>
      </c>
      <c r="D10" s="1699"/>
      <c r="E10" s="1699"/>
      <c r="F10" s="1699"/>
      <c r="G10" s="2418"/>
      <c r="H10" s="404"/>
      <c r="I10" s="1015" t="s">
        <v>22</v>
      </c>
      <c r="J10" s="1699" t="e">
        <f>IF(ISBLANK(#REF!),"",#REF!)</f>
        <v>#REF!</v>
      </c>
      <c r="K10" s="1699"/>
      <c r="L10" s="1700"/>
      <c r="M10" s="405"/>
      <c r="N10" s="1012" t="s">
        <v>23</v>
      </c>
      <c r="O10" s="1699" t="e">
        <f>IF(ISBLANK(#REF!),"",#REF!)</f>
        <v>#REF!</v>
      </c>
      <c r="P10" s="1700"/>
      <c r="GZ10" s="154"/>
      <c r="HA10" s="154"/>
      <c r="HB10" s="154"/>
      <c r="HC10" s="154"/>
      <c r="HD10" s="156"/>
      <c r="HE10" s="307"/>
      <c r="HF10" s="154"/>
      <c r="HG10" s="154"/>
      <c r="HH10" s="154"/>
      <c r="HI10" s="154"/>
      <c r="HJ10" s="154"/>
      <c r="HK10" s="154"/>
      <c r="HL10" s="154"/>
      <c r="HM10" s="154"/>
      <c r="HN10" s="154"/>
      <c r="HO10" s="154"/>
      <c r="HP10" s="154"/>
      <c r="HY10" s="174"/>
      <c r="HZ10" s="174"/>
      <c r="IA10" s="154"/>
      <c r="IB10" s="154"/>
      <c r="IC10" s="154"/>
    </row>
    <row r="11" spans="1:237" ht="49.5" customHeight="1" x14ac:dyDescent="0.2">
      <c r="A11" s="5"/>
      <c r="B11" s="5"/>
      <c r="C11" s="5"/>
      <c r="D11" s="5"/>
      <c r="E11" s="5"/>
      <c r="F11" s="5"/>
      <c r="G11" s="5"/>
      <c r="H11" s="5"/>
      <c r="I11" s="5"/>
      <c r="J11" s="5"/>
      <c r="K11" s="5"/>
      <c r="L11" s="5"/>
      <c r="M11" s="5"/>
      <c r="N11" s="5"/>
      <c r="O11" s="5"/>
      <c r="P11" s="5"/>
      <c r="GZ11" s="154"/>
      <c r="HA11" s="154"/>
      <c r="HB11" s="154"/>
      <c r="HC11" s="154"/>
      <c r="HD11" s="156"/>
      <c r="HE11" s="307"/>
      <c r="HF11" s="154"/>
      <c r="HG11" s="154"/>
      <c r="HH11" s="154"/>
      <c r="HI11" s="154"/>
      <c r="HJ11" s="154"/>
      <c r="HK11" s="154"/>
      <c r="HL11" s="154"/>
      <c r="HM11" s="154"/>
      <c r="HN11" s="154"/>
      <c r="HO11" s="154"/>
      <c r="HP11" s="154"/>
      <c r="HY11" s="154"/>
      <c r="HZ11" s="154"/>
      <c r="IA11" s="154"/>
      <c r="IB11" s="154"/>
      <c r="IC11" s="154"/>
    </row>
    <row r="12" spans="1:237" ht="12.6" customHeight="1" x14ac:dyDescent="0.2">
      <c r="A12" s="2409"/>
      <c r="B12" s="2409"/>
      <c r="C12" s="2409"/>
      <c r="D12" s="2409"/>
      <c r="E12" s="2409"/>
      <c r="F12" s="1029"/>
      <c r="G12" s="1028"/>
      <c r="H12" s="9"/>
      <c r="I12" s="9"/>
      <c r="J12" s="9"/>
      <c r="K12" s="9"/>
      <c r="L12" s="10"/>
      <c r="M12" s="2409"/>
      <c r="N12" s="2409"/>
      <c r="O12" s="10"/>
      <c r="P12" s="5"/>
      <c r="GZ12" s="154"/>
      <c r="HW12" s="1202"/>
      <c r="HY12" s="154"/>
      <c r="HZ12" s="154"/>
      <c r="IA12" s="154"/>
      <c r="IB12" s="154"/>
      <c r="IC12" s="154"/>
    </row>
    <row r="13" spans="1:237" ht="12.6" customHeight="1" x14ac:dyDescent="0.25">
      <c r="A13" s="11"/>
      <c r="B13" s="11"/>
      <c r="C13" s="11"/>
      <c r="D13" s="1029"/>
      <c r="E13" s="1029"/>
      <c r="F13" s="1029"/>
      <c r="G13" s="1029"/>
      <c r="H13" s="1029"/>
      <c r="I13" s="1029"/>
      <c r="J13" s="1029"/>
      <c r="K13" s="1029"/>
      <c r="L13" s="10"/>
      <c r="M13" s="10"/>
      <c r="N13" s="10"/>
      <c r="O13" s="10"/>
      <c r="P13" s="5"/>
      <c r="GZ13" s="154"/>
      <c r="HW13" s="1202"/>
      <c r="HY13" s="154"/>
      <c r="HZ13" s="154"/>
      <c r="IA13" s="154"/>
      <c r="IB13" s="154"/>
      <c r="IC13" s="154"/>
    </row>
    <row r="14" spans="1:237" ht="12.6" customHeight="1" x14ac:dyDescent="0.25">
      <c r="A14" s="10"/>
      <c r="B14" s="11"/>
      <c r="C14" s="11"/>
      <c r="D14" s="1029"/>
      <c r="E14" s="1029"/>
      <c r="F14" s="1029"/>
      <c r="G14" s="1029"/>
      <c r="H14" s="1029"/>
      <c r="I14" s="1029"/>
      <c r="J14" s="1029"/>
      <c r="K14" s="1029"/>
      <c r="L14" s="10"/>
      <c r="M14" s="10"/>
      <c r="N14" s="10"/>
      <c r="O14" s="10"/>
      <c r="P14" s="5"/>
      <c r="GZ14" s="154"/>
      <c r="HW14" s="1202"/>
      <c r="IC14" s="154"/>
    </row>
    <row r="15" spans="1:237" ht="12.6" customHeight="1" x14ac:dyDescent="0.25">
      <c r="A15" s="11"/>
      <c r="B15" s="11"/>
      <c r="C15" s="11"/>
      <c r="D15" s="10"/>
      <c r="E15" s="1029"/>
      <c r="F15" s="1029"/>
      <c r="G15" s="1029"/>
      <c r="H15" s="1029"/>
      <c r="I15" s="1029"/>
      <c r="J15" s="1029"/>
      <c r="K15" s="1029"/>
      <c r="L15" s="10"/>
      <c r="M15" s="10"/>
      <c r="N15" s="10"/>
      <c r="O15" s="10"/>
      <c r="P15" s="5"/>
      <c r="GZ15" s="154"/>
      <c r="IC15" s="154"/>
    </row>
    <row r="16" spans="1:237" ht="12.6" customHeight="1" x14ac:dyDescent="0.25">
      <c r="A16" s="11"/>
      <c r="B16" s="11"/>
      <c r="C16" s="11"/>
      <c r="D16" s="1029"/>
      <c r="E16" s="1029"/>
      <c r="F16" s="1029"/>
      <c r="G16" s="1029"/>
      <c r="H16" s="1029"/>
      <c r="I16" s="1029"/>
      <c r="J16" s="1029"/>
      <c r="K16" s="1029"/>
      <c r="L16" s="10"/>
      <c r="M16" s="10"/>
      <c r="N16" s="10"/>
      <c r="O16" s="10"/>
      <c r="P16" s="5"/>
      <c r="GZ16" s="154"/>
      <c r="IC16" s="154"/>
    </row>
    <row r="17" spans="1:225" ht="12.6" customHeight="1" x14ac:dyDescent="0.25">
      <c r="A17" s="11"/>
      <c r="B17" s="11"/>
      <c r="C17" s="11"/>
      <c r="D17" s="10"/>
      <c r="E17" s="10"/>
      <c r="F17" s="1029"/>
      <c r="G17" s="1029"/>
      <c r="H17" s="1029"/>
      <c r="I17" s="1029"/>
      <c r="J17" s="1029"/>
      <c r="K17" s="1029"/>
      <c r="L17" s="10"/>
      <c r="M17" s="10"/>
      <c r="N17" s="10"/>
      <c r="O17" s="10"/>
      <c r="P17" s="5"/>
    </row>
    <row r="18" spans="1:225" ht="12.6" customHeight="1" x14ac:dyDescent="0.25">
      <c r="A18" s="11"/>
      <c r="B18" s="11"/>
      <c r="C18" s="11"/>
      <c r="D18" s="2421"/>
      <c r="E18" s="2421"/>
      <c r="F18" s="10"/>
      <c r="G18" s="1029"/>
      <c r="H18" s="1029"/>
      <c r="I18" s="1029"/>
      <c r="J18" s="1029"/>
      <c r="K18" s="1029"/>
      <c r="L18" s="10"/>
      <c r="M18" s="10"/>
      <c r="N18" s="10"/>
      <c r="O18" s="10"/>
      <c r="P18" s="5"/>
    </row>
    <row r="19" spans="1:225" ht="12.6" customHeight="1" x14ac:dyDescent="0.2">
      <c r="A19" s="10"/>
      <c r="B19" s="10"/>
      <c r="C19" s="10"/>
      <c r="D19" s="10"/>
      <c r="E19" s="10"/>
      <c r="F19" s="1029"/>
      <c r="G19" s="10"/>
      <c r="H19" s="10"/>
      <c r="I19" s="10"/>
      <c r="J19" s="10"/>
      <c r="K19" s="10"/>
      <c r="L19" s="10"/>
      <c r="M19" s="10"/>
      <c r="N19" s="10"/>
      <c r="O19" s="10"/>
      <c r="P19" s="5"/>
    </row>
    <row r="20" spans="1:225" ht="12.6" customHeight="1" x14ac:dyDescent="0.2">
      <c r="A20" s="10"/>
      <c r="B20" s="10"/>
      <c r="C20" s="10"/>
      <c r="D20" s="10"/>
      <c r="E20" s="10"/>
      <c r="F20" s="1029"/>
      <c r="G20" s="10"/>
      <c r="H20" s="10"/>
      <c r="I20" s="10"/>
      <c r="J20" s="10"/>
      <c r="K20" s="10"/>
      <c r="L20" s="10"/>
      <c r="M20" s="10"/>
      <c r="N20" s="10"/>
      <c r="O20" s="10"/>
      <c r="P20" s="5"/>
    </row>
    <row r="21" spans="1:225" ht="12.6" customHeight="1" x14ac:dyDescent="0.2">
      <c r="A21" s="2420"/>
      <c r="B21" s="2420"/>
      <c r="C21" s="2420"/>
      <c r="D21" s="1033"/>
      <c r="E21" s="14"/>
      <c r="F21" s="15"/>
      <c r="G21" s="14"/>
      <c r="H21" s="14"/>
      <c r="I21" s="14"/>
      <c r="J21" s="14"/>
      <c r="K21" s="14"/>
      <c r="L21" s="14"/>
      <c r="M21" s="14"/>
      <c r="N21" s="14"/>
      <c r="O21" s="14"/>
      <c r="P21" s="5"/>
    </row>
    <row r="22" spans="1:225" ht="12.6" customHeight="1" thickBot="1" x14ac:dyDescent="0.25">
      <c r="A22" s="2419"/>
      <c r="B22" s="2419"/>
      <c r="C22" s="2419"/>
      <c r="D22" s="1032"/>
      <c r="E22" s="14"/>
      <c r="F22" s="14"/>
      <c r="G22" s="1032"/>
      <c r="H22" s="14"/>
      <c r="I22" s="14"/>
      <c r="J22" s="14"/>
      <c r="K22" s="14"/>
      <c r="L22" s="14"/>
      <c r="M22" s="14"/>
      <c r="N22" s="14"/>
      <c r="O22" s="14"/>
      <c r="P22" s="5"/>
      <c r="HA22" s="174">
        <v>1</v>
      </c>
      <c r="HB22" s="174">
        <f t="shared" ref="HB22:HP22" si="0">HA22+1</f>
        <v>2</v>
      </c>
      <c r="HC22" s="174">
        <f t="shared" si="0"/>
        <v>3</v>
      </c>
      <c r="HD22" s="174">
        <f t="shared" si="0"/>
        <v>4</v>
      </c>
      <c r="HE22" s="174">
        <f t="shared" si="0"/>
        <v>5</v>
      </c>
      <c r="HF22" s="174">
        <f t="shared" si="0"/>
        <v>6</v>
      </c>
      <c r="HG22" s="174">
        <f t="shared" si="0"/>
        <v>7</v>
      </c>
      <c r="HH22" s="174">
        <f t="shared" si="0"/>
        <v>8</v>
      </c>
      <c r="HI22" s="174">
        <f t="shared" si="0"/>
        <v>9</v>
      </c>
      <c r="HJ22" s="174">
        <f t="shared" si="0"/>
        <v>10</v>
      </c>
      <c r="HK22" s="174">
        <f t="shared" si="0"/>
        <v>11</v>
      </c>
      <c r="HL22" s="174">
        <f t="shared" si="0"/>
        <v>12</v>
      </c>
      <c r="HM22" s="174">
        <f t="shared" si="0"/>
        <v>13</v>
      </c>
      <c r="HN22" s="174">
        <f t="shared" si="0"/>
        <v>14</v>
      </c>
      <c r="HO22" s="174">
        <f t="shared" si="0"/>
        <v>15</v>
      </c>
      <c r="HP22" s="174">
        <f t="shared" si="0"/>
        <v>16</v>
      </c>
    </row>
    <row r="23" spans="1:225" ht="12.6" customHeight="1" thickTop="1" x14ac:dyDescent="0.2">
      <c r="A23" s="2419"/>
      <c r="B23" s="2419"/>
      <c r="C23" s="2419"/>
      <c r="D23" s="1032"/>
      <c r="E23" s="14"/>
      <c r="F23" s="14"/>
      <c r="G23" s="1032"/>
      <c r="H23" s="14"/>
      <c r="I23" s="14"/>
      <c r="J23" s="14"/>
      <c r="K23" s="14"/>
      <c r="L23" s="14"/>
      <c r="M23" s="14"/>
      <c r="N23" s="14"/>
      <c r="O23" s="14"/>
      <c r="P23" s="5"/>
      <c r="HA23" s="2435" t="s">
        <v>297</v>
      </c>
      <c r="HB23" s="1931"/>
      <c r="HC23" s="1931"/>
      <c r="HD23" s="1931"/>
      <c r="HE23" s="1931"/>
      <c r="HF23" s="1931"/>
      <c r="HG23" s="1931"/>
      <c r="HH23" s="1931"/>
      <c r="HI23" s="1931"/>
      <c r="HJ23" s="1931"/>
      <c r="HK23" s="1931"/>
      <c r="HL23" s="1931"/>
      <c r="HM23" s="1931"/>
      <c r="HN23" s="1931"/>
      <c r="HO23" s="1931"/>
      <c r="HP23" s="1932"/>
    </row>
    <row r="24" spans="1:225" ht="12.6" customHeight="1" thickBot="1" x14ac:dyDescent="0.3">
      <c r="A24" s="1034"/>
      <c r="B24" s="12"/>
      <c r="C24" s="12"/>
      <c r="D24" s="2"/>
      <c r="E24" s="2"/>
      <c r="F24" s="2"/>
      <c r="G24" s="2"/>
      <c r="H24" s="2"/>
      <c r="I24" s="2"/>
      <c r="J24" s="2"/>
      <c r="K24" s="2"/>
      <c r="L24" s="2"/>
      <c r="M24" s="2"/>
      <c r="N24" s="2"/>
      <c r="O24" s="2"/>
      <c r="P24" s="5"/>
      <c r="R24" s="154"/>
      <c r="S24" s="154"/>
      <c r="T24" s="154"/>
      <c r="U24" s="154"/>
      <c r="V24" s="154"/>
      <c r="W24" s="154"/>
      <c r="X24" s="154"/>
      <c r="Y24" s="154"/>
      <c r="Z24" s="154"/>
      <c r="AA24" s="154"/>
      <c r="HA24" s="1950"/>
      <c r="HB24" s="1951"/>
      <c r="HC24" s="1951"/>
      <c r="HD24" s="1951"/>
      <c r="HE24" s="1951"/>
      <c r="HF24" s="1951"/>
      <c r="HG24" s="1951"/>
      <c r="HH24" s="1951"/>
      <c r="HI24" s="1951"/>
      <c r="HJ24" s="1951"/>
      <c r="HK24" s="1951"/>
      <c r="HL24" s="1951"/>
      <c r="HM24" s="1951"/>
      <c r="HN24" s="1951"/>
      <c r="HO24" s="1951"/>
      <c r="HP24" s="1952"/>
    </row>
    <row r="25" spans="1:225" s="8" customFormat="1" ht="12.6" customHeight="1" thickTop="1" thickBot="1" x14ac:dyDescent="0.25">
      <c r="A25" s="2426" t="s">
        <v>40</v>
      </c>
      <c r="B25" s="2427"/>
      <c r="C25" s="2406" t="s">
        <v>102</v>
      </c>
      <c r="D25" s="2051" t="s">
        <v>343</v>
      </c>
      <c r="E25" s="2413" t="s">
        <v>344</v>
      </c>
      <c r="F25" s="2424" t="s">
        <v>36</v>
      </c>
      <c r="G25" s="2285" t="s">
        <v>70</v>
      </c>
      <c r="H25" s="2282"/>
      <c r="I25" s="2425" t="s">
        <v>345</v>
      </c>
      <c r="J25" s="2282"/>
      <c r="K25" s="2413" t="s">
        <v>81</v>
      </c>
      <c r="L25" s="2414"/>
      <c r="M25" s="2410" t="s">
        <v>82</v>
      </c>
      <c r="N25" s="2406" t="s">
        <v>83</v>
      </c>
      <c r="O25" s="2424" t="s">
        <v>84</v>
      </c>
      <c r="P25" s="970" t="s">
        <v>346</v>
      </c>
      <c r="Q25" s="1285"/>
      <c r="R25" s="359"/>
      <c r="S25" s="359"/>
      <c r="T25" s="359"/>
      <c r="U25" s="359">
        <f>COUNTA(U27:U300)</f>
        <v>13</v>
      </c>
      <c r="V25" s="2404" t="s">
        <v>409</v>
      </c>
      <c r="W25" s="359">
        <f>COUNTA(W27:W300)</f>
        <v>9</v>
      </c>
      <c r="X25" s="2402" t="s">
        <v>551</v>
      </c>
      <c r="Y25" s="2403"/>
      <c r="Z25" s="2403"/>
      <c r="AA25" s="2403"/>
      <c r="AB25" s="359"/>
      <c r="AC25" s="2431" t="s">
        <v>710</v>
      </c>
      <c r="AD25" s="2432"/>
      <c r="AE25" s="359">
        <f>COUNTA(AE27:AE300)</f>
        <v>166</v>
      </c>
      <c r="HA25" s="2436" t="s">
        <v>308</v>
      </c>
      <c r="HB25" s="2438" t="s">
        <v>721</v>
      </c>
      <c r="HC25" s="2438" t="s">
        <v>707</v>
      </c>
      <c r="HD25" s="2433" t="s">
        <v>717</v>
      </c>
      <c r="HE25" s="2433" t="s">
        <v>330</v>
      </c>
      <c r="HF25" s="2422" t="s">
        <v>347</v>
      </c>
      <c r="HG25" s="2422" t="s">
        <v>722</v>
      </c>
      <c r="HH25" s="2422" t="s">
        <v>723</v>
      </c>
      <c r="HI25" s="2422" t="s">
        <v>724</v>
      </c>
      <c r="HJ25" s="2422" t="s">
        <v>725</v>
      </c>
      <c r="HK25" s="2422" t="s">
        <v>726</v>
      </c>
      <c r="HL25" s="2422" t="s">
        <v>727</v>
      </c>
      <c r="HM25" s="2422" t="s">
        <v>718</v>
      </c>
      <c r="HN25" s="2433" t="s">
        <v>719</v>
      </c>
      <c r="HO25" s="2433" t="s">
        <v>720</v>
      </c>
      <c r="HP25" s="2440" t="s">
        <v>177</v>
      </c>
    </row>
    <row r="26" spans="1:225" s="8" customFormat="1" ht="12.6" customHeight="1" thickTop="1" thickBot="1" x14ac:dyDescent="0.25">
      <c r="A26" s="2415"/>
      <c r="B26" s="2407"/>
      <c r="C26" s="2429"/>
      <c r="D26" s="2052"/>
      <c r="E26" s="2428"/>
      <c r="F26" s="2430"/>
      <c r="G26" s="1031" t="s">
        <v>308</v>
      </c>
      <c r="H26" s="977" t="s">
        <v>139</v>
      </c>
      <c r="I26" s="982" t="s">
        <v>308</v>
      </c>
      <c r="J26" s="1030" t="s">
        <v>139</v>
      </c>
      <c r="K26" s="2415"/>
      <c r="L26" s="2416"/>
      <c r="M26" s="2038"/>
      <c r="N26" s="2407"/>
      <c r="O26" s="2416"/>
      <c r="P26" s="971" t="s">
        <v>57</v>
      </c>
      <c r="Q26" s="1283" t="s">
        <v>689</v>
      </c>
      <c r="R26" s="296" t="s">
        <v>138</v>
      </c>
      <c r="S26" s="296" t="s">
        <v>402</v>
      </c>
      <c r="T26" s="296" t="s">
        <v>709</v>
      </c>
      <c r="U26" s="359" t="s">
        <v>406</v>
      </c>
      <c r="V26" s="2405"/>
      <c r="W26" s="359" t="s">
        <v>330</v>
      </c>
      <c r="X26" s="359" t="s">
        <v>331</v>
      </c>
      <c r="Y26" s="359" t="s">
        <v>332</v>
      </c>
      <c r="Z26" s="359" t="s">
        <v>333</v>
      </c>
      <c r="AA26" s="359" t="s">
        <v>334</v>
      </c>
      <c r="AB26" s="359" t="s">
        <v>347</v>
      </c>
      <c r="AC26" s="359" t="s">
        <v>711</v>
      </c>
      <c r="AD26" s="359" t="s">
        <v>712</v>
      </c>
      <c r="AE26" s="359" t="s">
        <v>428</v>
      </c>
      <c r="AF26" s="359" t="s">
        <v>708</v>
      </c>
      <c r="HA26" s="2437"/>
      <c r="HB26" s="2439"/>
      <c r="HC26" s="2439"/>
      <c r="HD26" s="2434"/>
      <c r="HE26" s="2434"/>
      <c r="HF26" s="2423"/>
      <c r="HG26" s="2423"/>
      <c r="HH26" s="2423"/>
      <c r="HI26" s="2423"/>
      <c r="HJ26" s="2423"/>
      <c r="HK26" s="2423"/>
      <c r="HL26" s="2423"/>
      <c r="HM26" s="2423"/>
      <c r="HN26" s="2434"/>
      <c r="HO26" s="2434"/>
      <c r="HP26" s="2441"/>
    </row>
    <row r="27" spans="1:225" ht="12.6" customHeight="1" thickTop="1" x14ac:dyDescent="0.25">
      <c r="A27" s="1323"/>
      <c r="B27" s="1324"/>
      <c r="C27" s="1564"/>
      <c r="D27" s="1325"/>
      <c r="E27" s="1323"/>
      <c r="F27" s="1326"/>
      <c r="G27" s="1323"/>
      <c r="H27" s="662"/>
      <c r="I27" s="1327"/>
      <c r="J27" s="1328"/>
      <c r="K27" s="1329"/>
      <c r="L27" s="1330"/>
      <c r="M27" s="1331"/>
      <c r="N27" s="1332"/>
      <c r="O27" s="1333"/>
      <c r="P27" s="1334"/>
      <c r="Q27" s="1284" t="b">
        <v>0</v>
      </c>
      <c r="R27" s="406" t="b">
        <v>0</v>
      </c>
      <c r="S27" s="399" t="e">
        <f>AND($S$1,C27=0)</f>
        <v>#REF!</v>
      </c>
      <c r="T27" s="399" t="b">
        <f>IF(OR(ISBLANK(D27),ISBLANK(E27),ISBLANK(F27),ISERROR(MATCH(F27,$AB$27:$AB$34,0))),FALSE,IF(ISERROR(FIND("B",$E27)),FALSE,IF(ISBLANK($D27),FALSE,IF(ISERROR(VLOOKUP(TRIM($D27),$AE$27:$AF$192,2,FALSE)),TRUE,VLOOKUP(TRIM($F27),$AB$27:$AD$34,IF(ISERROR(FIND("X",$E27)),3,2),FALSE)&lt;=VLOOKUP(TRIM($D27),$AE$27:$AF$192,2,FALSE)))))</f>
        <v>0</v>
      </c>
      <c r="U27" s="497" t="s">
        <v>407</v>
      </c>
      <c r="V27" s="324" t="s">
        <v>335</v>
      </c>
      <c r="W27" s="324" t="s">
        <v>328</v>
      </c>
      <c r="X27" s="324" t="b">
        <v>0</v>
      </c>
      <c r="Y27" s="324" t="b">
        <v>0</v>
      </c>
      <c r="Z27" s="324" t="b">
        <v>0</v>
      </c>
      <c r="AA27" s="324" t="b">
        <v>0</v>
      </c>
      <c r="AB27" s="324" t="s">
        <v>337</v>
      </c>
      <c r="AC27" s="1045">
        <v>1.66</v>
      </c>
      <c r="AD27" s="1045">
        <v>2.38</v>
      </c>
      <c r="AE27" s="571" t="s">
        <v>419</v>
      </c>
      <c r="AF27" s="1046">
        <v>1.1563000000000001</v>
      </c>
      <c r="HA27" s="1070"/>
      <c r="HB27" s="1071"/>
      <c r="HC27" s="1071"/>
      <c r="HD27" s="1076"/>
      <c r="HE27" s="1077"/>
      <c r="HF27" s="1071"/>
      <c r="HG27" s="1071"/>
      <c r="HH27" s="1071"/>
      <c r="HI27" s="1078"/>
      <c r="HJ27" s="1071"/>
      <c r="HK27" s="1071"/>
      <c r="HL27" s="1071"/>
      <c r="HM27" s="1071"/>
      <c r="HN27" s="1071"/>
      <c r="HO27" s="1071"/>
      <c r="HP27" s="1079"/>
      <c r="HQ27" s="1105"/>
    </row>
    <row r="28" spans="1:225" ht="12.6" customHeight="1" x14ac:dyDescent="0.25">
      <c r="A28" s="1323"/>
      <c r="B28" s="1324"/>
      <c r="C28" s="1564"/>
      <c r="D28" s="1325"/>
      <c r="E28" s="1323"/>
      <c r="F28" s="1326"/>
      <c r="G28" s="1323"/>
      <c r="H28" s="662"/>
      <c r="I28" s="1327"/>
      <c r="J28" s="1328"/>
      <c r="K28" s="1329"/>
      <c r="L28" s="1330"/>
      <c r="M28" s="1331"/>
      <c r="N28" s="1332"/>
      <c r="O28" s="1333"/>
      <c r="P28" s="1334"/>
      <c r="Q28" s="1284" t="b">
        <v>0</v>
      </c>
      <c r="R28" s="406" t="b">
        <v>0</v>
      </c>
      <c r="S28" s="399" t="e">
        <f t="shared" ref="S28:S42" si="1">AND($S$1,C28=0)</f>
        <v>#REF!</v>
      </c>
      <c r="T28" s="399" t="b">
        <f t="shared" ref="T28:T42" si="2">IF(OR(ISBLANK(D28),ISBLANK(E28),ISBLANK(F28),ISERROR(MATCH(F28,$AB$27:$AB$34,0))),FALSE,IF(ISERROR(FIND("B",$E28)),FALSE,IF(ISBLANK($D28),FALSE,IF(ISERROR(VLOOKUP(TRIM($D28),$AE$27:$AF$192,2,FALSE)),TRUE,VLOOKUP(TRIM($F28),$AB$27:$AD$34,IF(ISERROR(FIND("X",$E28)),3,2),FALSE)&lt;=VLOOKUP(TRIM($D28),$AE$27:$AF$192,2,FALSE)))))</f>
        <v>0</v>
      </c>
      <c r="U28" s="497" t="s">
        <v>408</v>
      </c>
      <c r="V28" s="324" t="s">
        <v>336</v>
      </c>
      <c r="W28" s="324" t="s">
        <v>335</v>
      </c>
      <c r="X28" s="324" t="b">
        <v>1</v>
      </c>
      <c r="Y28" s="324" t="b">
        <v>1</v>
      </c>
      <c r="Z28" s="324" t="b">
        <v>0</v>
      </c>
      <c r="AA28" s="324" t="b">
        <v>1</v>
      </c>
      <c r="AB28" s="324" t="s">
        <v>338</v>
      </c>
      <c r="AC28" s="1045">
        <v>2.2200000000000002</v>
      </c>
      <c r="AD28" s="1045">
        <v>3.1</v>
      </c>
      <c r="AE28" s="571" t="s">
        <v>420</v>
      </c>
      <c r="AF28" s="1046">
        <v>1.1563000000000001</v>
      </c>
      <c r="HA28" s="1072"/>
      <c r="HB28" s="1073"/>
      <c r="HC28" s="1073"/>
      <c r="HD28" s="1080"/>
      <c r="HE28" s="1081"/>
      <c r="HF28" s="1073"/>
      <c r="HG28" s="1073"/>
      <c r="HH28" s="1073"/>
      <c r="HI28" s="1082"/>
      <c r="HJ28" s="1073"/>
      <c r="HK28" s="1073"/>
      <c r="HL28" s="1073"/>
      <c r="HM28" s="1073"/>
      <c r="HN28" s="1073"/>
      <c r="HO28" s="1073"/>
      <c r="HP28" s="1083"/>
      <c r="HQ28" s="1105"/>
    </row>
    <row r="29" spans="1:225" ht="12.6" customHeight="1" x14ac:dyDescent="0.25">
      <c r="A29" s="1323"/>
      <c r="B29" s="1324"/>
      <c r="C29" s="1564"/>
      <c r="D29" s="1325"/>
      <c r="E29" s="1323"/>
      <c r="F29" s="1326"/>
      <c r="G29" s="1323"/>
      <c r="H29" s="662"/>
      <c r="I29" s="1327"/>
      <c r="J29" s="1328"/>
      <c r="K29" s="1329"/>
      <c r="L29" s="1330"/>
      <c r="M29" s="1331"/>
      <c r="N29" s="1332"/>
      <c r="O29" s="1333"/>
      <c r="P29" s="1334"/>
      <c r="Q29" s="1284" t="b">
        <v>0</v>
      </c>
      <c r="R29" s="406" t="b">
        <v>0</v>
      </c>
      <c r="S29" s="399" t="e">
        <f t="shared" si="1"/>
        <v>#REF!</v>
      </c>
      <c r="T29" s="399" t="b">
        <f t="shared" si="2"/>
        <v>0</v>
      </c>
      <c r="U29" s="571" t="s">
        <v>417</v>
      </c>
      <c r="V29" s="324" t="s">
        <v>381</v>
      </c>
      <c r="W29" s="324" t="s">
        <v>336</v>
      </c>
      <c r="X29" s="324" t="b">
        <v>1</v>
      </c>
      <c r="Y29" s="324" t="b">
        <v>1</v>
      </c>
      <c r="Z29" s="324" t="b">
        <v>1</v>
      </c>
      <c r="AA29" s="324" t="b">
        <v>1</v>
      </c>
      <c r="AB29" s="324" t="s">
        <v>339</v>
      </c>
      <c r="AC29" s="1045">
        <v>2.2200000000000002</v>
      </c>
      <c r="AD29" s="1045">
        <v>3.1</v>
      </c>
      <c r="AE29" s="571" t="s">
        <v>421</v>
      </c>
      <c r="AF29" s="1046">
        <v>1.109</v>
      </c>
      <c r="HA29" s="1072"/>
      <c r="HB29" s="1073"/>
      <c r="HC29" s="1073"/>
      <c r="HD29" s="1080"/>
      <c r="HE29" s="1081"/>
      <c r="HF29" s="1073"/>
      <c r="HG29" s="1073"/>
      <c r="HH29" s="1073"/>
      <c r="HI29" s="1082"/>
      <c r="HJ29" s="1073"/>
      <c r="HK29" s="1073"/>
      <c r="HL29" s="1073"/>
      <c r="HM29" s="1073"/>
      <c r="HN29" s="1073"/>
      <c r="HO29" s="1073"/>
      <c r="HP29" s="1083"/>
      <c r="HQ29" s="1105"/>
    </row>
    <row r="30" spans="1:225" ht="12.6" customHeight="1" x14ac:dyDescent="0.25">
      <c r="A30" s="1323"/>
      <c r="B30" s="1324"/>
      <c r="C30" s="1564"/>
      <c r="D30" s="1325"/>
      <c r="E30" s="1323"/>
      <c r="F30" s="1326"/>
      <c r="G30" s="1323"/>
      <c r="H30" s="662"/>
      <c r="I30" s="1327"/>
      <c r="J30" s="1328"/>
      <c r="K30" s="1329"/>
      <c r="L30" s="1330"/>
      <c r="M30" s="1331"/>
      <c r="N30" s="1332"/>
      <c r="O30" s="1333"/>
      <c r="P30" s="1334"/>
      <c r="Q30" s="1284" t="b">
        <v>0</v>
      </c>
      <c r="R30" s="406" t="b">
        <v>0</v>
      </c>
      <c r="S30" s="399" t="e">
        <f t="shared" si="1"/>
        <v>#REF!</v>
      </c>
      <c r="T30" s="399" t="b">
        <f t="shared" si="2"/>
        <v>0</v>
      </c>
      <c r="U30" s="571" t="s">
        <v>418</v>
      </c>
      <c r="V30" s="324" t="s">
        <v>382</v>
      </c>
      <c r="W30" s="324" t="s">
        <v>380</v>
      </c>
      <c r="X30" s="324" t="b">
        <v>0</v>
      </c>
      <c r="Y30" s="324" t="b">
        <v>1</v>
      </c>
      <c r="Z30" s="324" t="b">
        <v>0</v>
      </c>
      <c r="AA30" s="324" t="b">
        <v>1</v>
      </c>
      <c r="AB30" s="324" t="s">
        <v>340</v>
      </c>
      <c r="AC30" s="1045">
        <v>1.75</v>
      </c>
      <c r="AD30" s="1045">
        <v>3</v>
      </c>
      <c r="AE30" s="571" t="s">
        <v>422</v>
      </c>
      <c r="AF30" s="1046">
        <v>1.125</v>
      </c>
      <c r="HA30" s="1072"/>
      <c r="HB30" s="1073"/>
      <c r="HC30" s="1073"/>
      <c r="HD30" s="1080"/>
      <c r="HE30" s="1081"/>
      <c r="HF30" s="1073"/>
      <c r="HG30" s="1073"/>
      <c r="HH30" s="1073"/>
      <c r="HI30" s="1082"/>
      <c r="HJ30" s="1073"/>
      <c r="HK30" s="1073"/>
      <c r="HL30" s="1073"/>
      <c r="HM30" s="1073"/>
      <c r="HN30" s="1073"/>
      <c r="HO30" s="1073"/>
      <c r="HP30" s="1083"/>
      <c r="HQ30" s="1105"/>
    </row>
    <row r="31" spans="1:225" ht="12.6" customHeight="1" x14ac:dyDescent="0.25">
      <c r="A31" s="1323"/>
      <c r="B31" s="1324"/>
      <c r="C31" s="1564"/>
      <c r="D31" s="1325"/>
      <c r="E31" s="1323"/>
      <c r="F31" s="1326"/>
      <c r="G31" s="1323"/>
      <c r="H31" s="662"/>
      <c r="I31" s="1327"/>
      <c r="J31" s="1328"/>
      <c r="K31" s="1329"/>
      <c r="L31" s="1330"/>
      <c r="M31" s="1331"/>
      <c r="N31" s="1332"/>
      <c r="O31" s="1333"/>
      <c r="P31" s="1334"/>
      <c r="Q31" s="1284" t="b">
        <v>0</v>
      </c>
      <c r="R31" s="406" t="b">
        <v>0</v>
      </c>
      <c r="S31" s="399" t="e">
        <f t="shared" si="1"/>
        <v>#REF!</v>
      </c>
      <c r="T31" s="399" t="b">
        <f t="shared" si="2"/>
        <v>0</v>
      </c>
      <c r="U31" s="571" t="s">
        <v>419</v>
      </c>
      <c r="V31" s="324"/>
      <c r="W31" s="324" t="s">
        <v>381</v>
      </c>
      <c r="X31" s="324" t="b">
        <v>1</v>
      </c>
      <c r="Y31" s="324" t="b">
        <v>1</v>
      </c>
      <c r="Z31" s="324" t="b">
        <v>0</v>
      </c>
      <c r="AA31" s="324" t="b">
        <v>1</v>
      </c>
      <c r="AB31" s="324" t="s">
        <v>341</v>
      </c>
      <c r="AC31" s="1045">
        <v>1.75</v>
      </c>
      <c r="AD31" s="1045">
        <v>3</v>
      </c>
      <c r="AE31" s="571" t="s">
        <v>423</v>
      </c>
      <c r="AF31" s="1046">
        <v>1.119</v>
      </c>
      <c r="HA31" s="1072"/>
      <c r="HB31" s="1073"/>
      <c r="HC31" s="1073"/>
      <c r="HD31" s="1080"/>
      <c r="HE31" s="1081"/>
      <c r="HF31" s="1073"/>
      <c r="HG31" s="1073"/>
      <c r="HH31" s="1073"/>
      <c r="HI31" s="1082"/>
      <c r="HJ31" s="1073"/>
      <c r="HK31" s="1073"/>
      <c r="HL31" s="1073"/>
      <c r="HM31" s="1073"/>
      <c r="HN31" s="1073"/>
      <c r="HO31" s="1073"/>
      <c r="HP31" s="1083"/>
      <c r="HQ31" s="1105"/>
    </row>
    <row r="32" spans="1:225" ht="12.6" customHeight="1" x14ac:dyDescent="0.25">
      <c r="A32" s="1323"/>
      <c r="B32" s="1324"/>
      <c r="C32" s="1564"/>
      <c r="D32" s="1325"/>
      <c r="E32" s="1323"/>
      <c r="F32" s="1326"/>
      <c r="G32" s="1323"/>
      <c r="H32" s="662"/>
      <c r="I32" s="1327"/>
      <c r="J32" s="1328"/>
      <c r="K32" s="1329"/>
      <c r="L32" s="1330"/>
      <c r="M32" s="1331"/>
      <c r="N32" s="1332"/>
      <c r="O32" s="1333"/>
      <c r="P32" s="1334"/>
      <c r="Q32" s="1284" t="b">
        <v>0</v>
      </c>
      <c r="R32" s="406" t="b">
        <v>0</v>
      </c>
      <c r="S32" s="399" t="e">
        <f t="shared" si="1"/>
        <v>#REF!</v>
      </c>
      <c r="T32" s="399" t="b">
        <f t="shared" si="2"/>
        <v>0</v>
      </c>
      <c r="U32" s="571" t="s">
        <v>420</v>
      </c>
      <c r="V32" s="324"/>
      <c r="W32" s="324" t="s">
        <v>382</v>
      </c>
      <c r="X32" s="324" t="b">
        <v>1</v>
      </c>
      <c r="Y32" s="324" t="b">
        <v>1</v>
      </c>
      <c r="Z32" s="324" t="b">
        <v>1</v>
      </c>
      <c r="AA32" s="324" t="b">
        <v>1</v>
      </c>
      <c r="AB32" s="324" t="s">
        <v>342</v>
      </c>
      <c r="AC32" s="1045">
        <v>1.75</v>
      </c>
      <c r="AD32" s="1045">
        <v>3</v>
      </c>
      <c r="AE32" s="571" t="s">
        <v>429</v>
      </c>
      <c r="AF32" s="1046">
        <v>1.375</v>
      </c>
      <c r="HA32" s="1072"/>
      <c r="HB32" s="1073"/>
      <c r="HC32" s="1073"/>
      <c r="HD32" s="1080"/>
      <c r="HE32" s="1081"/>
      <c r="HF32" s="1073"/>
      <c r="HG32" s="1073"/>
      <c r="HH32" s="1073"/>
      <c r="HI32" s="1082"/>
      <c r="HJ32" s="1073"/>
      <c r="HK32" s="1073"/>
      <c r="HL32" s="1073"/>
      <c r="HM32" s="1073"/>
      <c r="HN32" s="1073"/>
      <c r="HO32" s="1073"/>
      <c r="HP32" s="1083"/>
      <c r="HQ32" s="1105"/>
    </row>
    <row r="33" spans="1:225" ht="12.6" customHeight="1" x14ac:dyDescent="0.25">
      <c r="A33" s="1323"/>
      <c r="B33" s="1324"/>
      <c r="C33" s="1564"/>
      <c r="D33" s="1325"/>
      <c r="E33" s="1323"/>
      <c r="F33" s="1326"/>
      <c r="G33" s="1323"/>
      <c r="H33" s="662"/>
      <c r="I33" s="1327"/>
      <c r="J33" s="1328"/>
      <c r="K33" s="1329"/>
      <c r="L33" s="1330"/>
      <c r="M33" s="1331"/>
      <c r="N33" s="1332"/>
      <c r="O33" s="1333"/>
      <c r="P33" s="1334"/>
      <c r="Q33" s="1284" t="b">
        <v>0</v>
      </c>
      <c r="R33" s="406" t="b">
        <v>0</v>
      </c>
      <c r="S33" s="399" t="e">
        <f t="shared" si="1"/>
        <v>#REF!</v>
      </c>
      <c r="T33" s="399" t="b">
        <f t="shared" si="2"/>
        <v>0</v>
      </c>
      <c r="U33" s="571" t="s">
        <v>421</v>
      </c>
      <c r="V33" s="324"/>
      <c r="W33" s="324" t="s">
        <v>329</v>
      </c>
      <c r="X33" s="324" t="b">
        <v>0</v>
      </c>
      <c r="Y33" s="324" t="b">
        <v>1</v>
      </c>
      <c r="Z33" s="324" t="b">
        <v>1</v>
      </c>
      <c r="AA33" s="324" t="b">
        <v>1</v>
      </c>
      <c r="AB33" s="103" t="s">
        <v>580</v>
      </c>
      <c r="AC33" s="1046">
        <v>0</v>
      </c>
      <c r="AD33" s="1046">
        <v>0</v>
      </c>
      <c r="AE33" s="571" t="s">
        <v>430</v>
      </c>
      <c r="AF33" s="1046">
        <v>1.375</v>
      </c>
      <c r="HA33" s="1072"/>
      <c r="HB33" s="1073"/>
      <c r="HC33" s="1073"/>
      <c r="HD33" s="1080"/>
      <c r="HE33" s="1081"/>
      <c r="HF33" s="1073"/>
      <c r="HG33" s="1073"/>
      <c r="HH33" s="1073"/>
      <c r="HI33" s="1082"/>
      <c r="HJ33" s="1073"/>
      <c r="HK33" s="1073"/>
      <c r="HL33" s="1073"/>
      <c r="HM33" s="1073"/>
      <c r="HN33" s="1073"/>
      <c r="HO33" s="1073"/>
      <c r="HP33" s="1083"/>
      <c r="HQ33" s="1105"/>
    </row>
    <row r="34" spans="1:225" ht="12.6" customHeight="1" x14ac:dyDescent="0.25">
      <c r="A34" s="1323"/>
      <c r="B34" s="1324"/>
      <c r="C34" s="1564"/>
      <c r="D34" s="1325"/>
      <c r="E34" s="1323"/>
      <c r="F34" s="1326"/>
      <c r="G34" s="1323"/>
      <c r="H34" s="662"/>
      <c r="I34" s="1327"/>
      <c r="J34" s="1328"/>
      <c r="K34" s="1329"/>
      <c r="L34" s="1330"/>
      <c r="M34" s="1331"/>
      <c r="N34" s="1332"/>
      <c r="O34" s="1333"/>
      <c r="P34" s="1334"/>
      <c r="Q34" s="1284" t="b">
        <v>0</v>
      </c>
      <c r="R34" s="406" t="b">
        <v>0</v>
      </c>
      <c r="S34" s="399" t="e">
        <f t="shared" si="1"/>
        <v>#REF!</v>
      </c>
      <c r="T34" s="399" t="b">
        <f t="shared" si="2"/>
        <v>0</v>
      </c>
      <c r="U34" s="571" t="s">
        <v>422</v>
      </c>
      <c r="V34" s="324"/>
      <c r="W34" s="324" t="s">
        <v>359</v>
      </c>
      <c r="X34" s="324" t="b">
        <v>0</v>
      </c>
      <c r="Y34" s="324" t="b">
        <v>0</v>
      </c>
      <c r="Z34" s="324" t="b">
        <v>0</v>
      </c>
      <c r="AA34" s="324" t="b">
        <v>0</v>
      </c>
      <c r="AB34" s="103" t="s">
        <v>581</v>
      </c>
      <c r="AC34" s="1046">
        <v>0</v>
      </c>
      <c r="AD34" s="1046">
        <v>0</v>
      </c>
      <c r="AE34" s="571" t="s">
        <v>431</v>
      </c>
      <c r="AF34" s="1046">
        <v>1.4375</v>
      </c>
      <c r="HA34" s="1072"/>
      <c r="HB34" s="1073"/>
      <c r="HC34" s="1073"/>
      <c r="HD34" s="1080"/>
      <c r="HE34" s="1081"/>
      <c r="HF34" s="1073"/>
      <c r="HG34" s="1073"/>
      <c r="HH34" s="1073"/>
      <c r="HI34" s="1082"/>
      <c r="HJ34" s="1073"/>
      <c r="HK34" s="1073"/>
      <c r="HL34" s="1073"/>
      <c r="HM34" s="1073"/>
      <c r="HN34" s="1073"/>
      <c r="HO34" s="1073"/>
      <c r="HP34" s="1083"/>
      <c r="HQ34" s="1105"/>
    </row>
    <row r="35" spans="1:225" ht="12.6" customHeight="1" x14ac:dyDescent="0.25">
      <c r="A35" s="1323"/>
      <c r="B35" s="1324"/>
      <c r="C35" s="1564"/>
      <c r="D35" s="1325"/>
      <c r="E35" s="1323"/>
      <c r="F35" s="1326"/>
      <c r="G35" s="1323"/>
      <c r="H35" s="662"/>
      <c r="I35" s="1327"/>
      <c r="J35" s="1328"/>
      <c r="K35" s="1329"/>
      <c r="L35" s="1330"/>
      <c r="M35" s="1331"/>
      <c r="N35" s="1332"/>
      <c r="O35" s="1333"/>
      <c r="P35" s="1334"/>
      <c r="Q35" s="1284" t="b">
        <v>0</v>
      </c>
      <c r="R35" s="406" t="b">
        <v>0</v>
      </c>
      <c r="S35" s="399" t="e">
        <f t="shared" si="1"/>
        <v>#REF!</v>
      </c>
      <c r="T35" s="399" t="b">
        <f t="shared" si="2"/>
        <v>0</v>
      </c>
      <c r="U35" s="571" t="s">
        <v>423</v>
      </c>
      <c r="V35" s="324"/>
      <c r="W35" s="324" t="s">
        <v>360</v>
      </c>
      <c r="X35" s="324" t="b">
        <v>0</v>
      </c>
      <c r="Y35" s="324" t="b">
        <v>0</v>
      </c>
      <c r="Z35" s="324" t="b">
        <v>0</v>
      </c>
      <c r="AA35" s="324" t="b">
        <v>0</v>
      </c>
      <c r="AB35" s="324"/>
      <c r="AC35" s="324"/>
      <c r="AD35" s="324"/>
      <c r="AE35" s="571" t="s">
        <v>432</v>
      </c>
      <c r="AF35" s="1046">
        <v>1.375</v>
      </c>
      <c r="HA35" s="1072"/>
      <c r="HB35" s="1073"/>
      <c r="HC35" s="1073"/>
      <c r="HD35" s="1080"/>
      <c r="HE35" s="1081"/>
      <c r="HF35" s="1073"/>
      <c r="HG35" s="1073"/>
      <c r="HH35" s="1073"/>
      <c r="HI35" s="1082"/>
      <c r="HJ35" s="1073"/>
      <c r="HK35" s="1073"/>
      <c r="HL35" s="1073"/>
      <c r="HM35" s="1073"/>
      <c r="HN35" s="1073"/>
      <c r="HO35" s="1073"/>
      <c r="HP35" s="1083"/>
      <c r="HQ35" s="1105"/>
    </row>
    <row r="36" spans="1:225" ht="12.6" customHeight="1" x14ac:dyDescent="0.25">
      <c r="A36" s="1323"/>
      <c r="B36" s="1324"/>
      <c r="C36" s="1564"/>
      <c r="D36" s="1325"/>
      <c r="E36" s="1323"/>
      <c r="F36" s="1326"/>
      <c r="G36" s="1323"/>
      <c r="H36" s="662"/>
      <c r="I36" s="1327"/>
      <c r="J36" s="1328"/>
      <c r="K36" s="1329"/>
      <c r="L36" s="1330"/>
      <c r="M36" s="1331"/>
      <c r="N36" s="1332"/>
      <c r="O36" s="1333"/>
      <c r="P36" s="1334"/>
      <c r="Q36" s="1284" t="b">
        <v>0</v>
      </c>
      <c r="R36" s="406" t="b">
        <v>0</v>
      </c>
      <c r="S36" s="399" t="e">
        <f t="shared" si="1"/>
        <v>#REF!</v>
      </c>
      <c r="T36" s="399" t="b">
        <f t="shared" si="2"/>
        <v>0</v>
      </c>
      <c r="U36" s="571" t="s">
        <v>424</v>
      </c>
      <c r="V36" s="324"/>
      <c r="W36" s="324"/>
      <c r="X36" s="324"/>
      <c r="Y36" s="324"/>
      <c r="Z36" s="324"/>
      <c r="AA36" s="324"/>
      <c r="AB36" s="324"/>
      <c r="AC36" s="324"/>
      <c r="AD36" s="324"/>
      <c r="AE36" s="571" t="s">
        <v>433</v>
      </c>
      <c r="AF36" s="1046">
        <v>1.5</v>
      </c>
      <c r="HA36" s="1072"/>
      <c r="HB36" s="1073"/>
      <c r="HC36" s="1073"/>
      <c r="HD36" s="1080"/>
      <c r="HE36" s="1081"/>
      <c r="HF36" s="1073"/>
      <c r="HG36" s="1073"/>
      <c r="HH36" s="1073"/>
      <c r="HI36" s="1082"/>
      <c r="HJ36" s="1073"/>
      <c r="HK36" s="1073"/>
      <c r="HL36" s="1073"/>
      <c r="HM36" s="1073"/>
      <c r="HN36" s="1073"/>
      <c r="HO36" s="1073"/>
      <c r="HP36" s="1083"/>
      <c r="HQ36" s="1105"/>
    </row>
    <row r="37" spans="1:225" ht="12.6" customHeight="1" x14ac:dyDescent="0.25">
      <c r="A37" s="1323"/>
      <c r="B37" s="1324"/>
      <c r="C37" s="1564"/>
      <c r="D37" s="1325"/>
      <c r="E37" s="1323"/>
      <c r="F37" s="1326"/>
      <c r="G37" s="1323"/>
      <c r="H37" s="662"/>
      <c r="I37" s="1327"/>
      <c r="J37" s="1328"/>
      <c r="K37" s="1329"/>
      <c r="L37" s="1330"/>
      <c r="M37" s="1331"/>
      <c r="N37" s="1332"/>
      <c r="O37" s="1333"/>
      <c r="P37" s="1334"/>
      <c r="Q37" s="1284" t="b">
        <v>0</v>
      </c>
      <c r="R37" s="406" t="b">
        <v>0</v>
      </c>
      <c r="S37" s="399" t="e">
        <f t="shared" si="1"/>
        <v>#REF!</v>
      </c>
      <c r="T37" s="399" t="b">
        <f t="shared" si="2"/>
        <v>0</v>
      </c>
      <c r="U37" s="571" t="s">
        <v>425</v>
      </c>
      <c r="V37" s="324"/>
      <c r="W37" s="324"/>
      <c r="X37" s="324"/>
      <c r="Y37" s="324"/>
      <c r="Z37" s="324"/>
      <c r="AA37" s="324"/>
      <c r="AB37" s="324"/>
      <c r="AC37" s="324"/>
      <c r="AD37" s="324"/>
      <c r="AE37" s="571" t="s">
        <v>434</v>
      </c>
      <c r="AF37" s="1046">
        <v>1.4370000000000001</v>
      </c>
      <c r="HA37" s="1072"/>
      <c r="HB37" s="1073"/>
      <c r="HC37" s="1073"/>
      <c r="HD37" s="1080"/>
      <c r="HE37" s="1081"/>
      <c r="HF37" s="1073"/>
      <c r="HG37" s="1073"/>
      <c r="HH37" s="1073"/>
      <c r="HI37" s="1082"/>
      <c r="HJ37" s="1073"/>
      <c r="HK37" s="1073"/>
      <c r="HL37" s="1073"/>
      <c r="HM37" s="1073"/>
      <c r="HN37" s="1073"/>
      <c r="HO37" s="1073"/>
      <c r="HP37" s="1083"/>
      <c r="HQ37" s="1105"/>
    </row>
    <row r="38" spans="1:225" ht="12.6" customHeight="1" x14ac:dyDescent="0.25">
      <c r="A38" s="1323"/>
      <c r="B38" s="1324"/>
      <c r="C38" s="1564"/>
      <c r="D38" s="1325"/>
      <c r="E38" s="1323"/>
      <c r="F38" s="1326"/>
      <c r="G38" s="1323"/>
      <c r="H38" s="662"/>
      <c r="I38" s="1327"/>
      <c r="J38" s="1328"/>
      <c r="K38" s="1329"/>
      <c r="L38" s="1330"/>
      <c r="M38" s="1331"/>
      <c r="N38" s="1332"/>
      <c r="O38" s="1333"/>
      <c r="P38" s="1334"/>
      <c r="Q38" s="1284" t="b">
        <v>0</v>
      </c>
      <c r="R38" s="406" t="b">
        <v>0</v>
      </c>
      <c r="S38" s="399" t="e">
        <f t="shared" si="1"/>
        <v>#REF!</v>
      </c>
      <c r="T38" s="399" t="b">
        <f t="shared" si="2"/>
        <v>0</v>
      </c>
      <c r="U38" s="571" t="s">
        <v>426</v>
      </c>
      <c r="V38" s="324"/>
      <c r="W38" s="324"/>
      <c r="X38" s="324"/>
      <c r="Y38" s="324"/>
      <c r="Z38" s="324"/>
      <c r="AA38" s="324"/>
      <c r="AB38" s="324"/>
      <c r="AC38" s="324"/>
      <c r="AD38" s="324"/>
      <c r="AE38" s="571" t="s">
        <v>435</v>
      </c>
      <c r="AF38" s="1046">
        <v>1.5</v>
      </c>
      <c r="HA38" s="1072"/>
      <c r="HB38" s="1073"/>
      <c r="HC38" s="1073"/>
      <c r="HD38" s="1080"/>
      <c r="HE38" s="1081"/>
      <c r="HF38" s="1073"/>
      <c r="HG38" s="1073"/>
      <c r="HH38" s="1073"/>
      <c r="HI38" s="1082"/>
      <c r="HJ38" s="1073"/>
      <c r="HK38" s="1073"/>
      <c r="HL38" s="1073"/>
      <c r="HM38" s="1073"/>
      <c r="HN38" s="1073"/>
      <c r="HO38" s="1073"/>
      <c r="HP38" s="1083"/>
      <c r="HQ38" s="1105"/>
    </row>
    <row r="39" spans="1:225" ht="12.6" customHeight="1" x14ac:dyDescent="0.25">
      <c r="A39" s="1323"/>
      <c r="B39" s="1324"/>
      <c r="C39" s="1564"/>
      <c r="D39" s="1325"/>
      <c r="E39" s="1323"/>
      <c r="F39" s="1326"/>
      <c r="G39" s="1323"/>
      <c r="H39" s="662"/>
      <c r="I39" s="1327"/>
      <c r="J39" s="1328"/>
      <c r="K39" s="1329"/>
      <c r="L39" s="1330"/>
      <c r="M39" s="1331"/>
      <c r="N39" s="1332"/>
      <c r="O39" s="1333"/>
      <c r="P39" s="1334"/>
      <c r="Q39" s="1284" t="b">
        <v>0</v>
      </c>
      <c r="R39" s="406" t="b">
        <v>0</v>
      </c>
      <c r="S39" s="399" t="e">
        <f t="shared" si="1"/>
        <v>#REF!</v>
      </c>
      <c r="T39" s="399" t="b">
        <f t="shared" si="2"/>
        <v>0</v>
      </c>
      <c r="U39" s="571" t="s">
        <v>427</v>
      </c>
      <c r="V39" s="324"/>
      <c r="W39" s="324"/>
      <c r="X39" s="324"/>
      <c r="Y39" s="324"/>
      <c r="Z39" s="324"/>
      <c r="AA39" s="324"/>
      <c r="AB39" s="324"/>
      <c r="AC39" s="324"/>
      <c r="AD39" s="324"/>
      <c r="AE39" s="571" t="s">
        <v>436</v>
      </c>
      <c r="AF39" s="1046">
        <v>1.5</v>
      </c>
      <c r="HA39" s="1072"/>
      <c r="HB39" s="1073"/>
      <c r="HC39" s="1073"/>
      <c r="HD39" s="1080"/>
      <c r="HE39" s="1081"/>
      <c r="HF39" s="1073"/>
      <c r="HG39" s="1073"/>
      <c r="HH39" s="1073"/>
      <c r="HI39" s="1082"/>
      <c r="HJ39" s="1073"/>
      <c r="HK39" s="1073"/>
      <c r="HL39" s="1073"/>
      <c r="HM39" s="1073"/>
      <c r="HN39" s="1073"/>
      <c r="HO39" s="1073"/>
      <c r="HP39" s="1083"/>
      <c r="HQ39" s="1105"/>
    </row>
    <row r="40" spans="1:225" ht="12.6" customHeight="1" x14ac:dyDescent="0.25">
      <c r="A40" s="1323"/>
      <c r="B40" s="1324"/>
      <c r="C40" s="1564"/>
      <c r="D40" s="1325"/>
      <c r="E40" s="1323"/>
      <c r="F40" s="1326"/>
      <c r="G40" s="1323"/>
      <c r="H40" s="662"/>
      <c r="I40" s="1327"/>
      <c r="J40" s="1328"/>
      <c r="K40" s="1329"/>
      <c r="L40" s="1330"/>
      <c r="M40" s="1331"/>
      <c r="N40" s="1332"/>
      <c r="O40" s="1333"/>
      <c r="P40" s="1334"/>
      <c r="Q40" s="1284" t="b">
        <v>0</v>
      </c>
      <c r="R40" s="406" t="b">
        <v>0</v>
      </c>
      <c r="S40" s="399" t="e">
        <f t="shared" si="1"/>
        <v>#REF!</v>
      </c>
      <c r="T40" s="399" t="b">
        <f t="shared" si="2"/>
        <v>0</v>
      </c>
      <c r="U40" s="497"/>
      <c r="V40" s="324"/>
      <c r="W40" s="324"/>
      <c r="X40" s="324"/>
      <c r="Y40" s="324"/>
      <c r="Z40" s="324"/>
      <c r="AA40" s="324"/>
      <c r="AB40" s="324"/>
      <c r="AC40" s="324"/>
      <c r="AD40" s="324"/>
      <c r="AE40" s="571" t="s">
        <v>437</v>
      </c>
      <c r="AF40" s="1046">
        <v>1.5938000000000001</v>
      </c>
      <c r="HA40" s="1072"/>
      <c r="HB40" s="1073"/>
      <c r="HC40" s="1073"/>
      <c r="HD40" s="1080"/>
      <c r="HE40" s="1081"/>
      <c r="HF40" s="1073"/>
      <c r="HG40" s="1073"/>
      <c r="HH40" s="1073"/>
      <c r="HI40" s="1082"/>
      <c r="HJ40" s="1073"/>
      <c r="HK40" s="1073"/>
      <c r="HL40" s="1073"/>
      <c r="HM40" s="1073"/>
      <c r="HN40" s="1073"/>
      <c r="HO40" s="1073"/>
      <c r="HP40" s="1083"/>
      <c r="HQ40" s="1105"/>
    </row>
    <row r="41" spans="1:225" ht="12.6" customHeight="1" x14ac:dyDescent="0.25">
      <c r="A41" s="1323"/>
      <c r="B41" s="1324"/>
      <c r="C41" s="1564"/>
      <c r="D41" s="1325"/>
      <c r="E41" s="1323"/>
      <c r="F41" s="1326"/>
      <c r="G41" s="1323"/>
      <c r="H41" s="662"/>
      <c r="I41" s="1327"/>
      <c r="J41" s="1328"/>
      <c r="K41" s="1329"/>
      <c r="L41" s="1330"/>
      <c r="M41" s="1331"/>
      <c r="N41" s="1332"/>
      <c r="O41" s="1333"/>
      <c r="P41" s="1334"/>
      <c r="Q41" s="1284" t="b">
        <v>0</v>
      </c>
      <c r="R41" s="406" t="b">
        <v>0</v>
      </c>
      <c r="S41" s="399" t="e">
        <f t="shared" si="1"/>
        <v>#REF!</v>
      </c>
      <c r="T41" s="399" t="b">
        <f t="shared" si="2"/>
        <v>0</v>
      </c>
      <c r="U41" s="497"/>
      <c r="V41" s="324"/>
      <c r="W41" s="324"/>
      <c r="X41" s="324"/>
      <c r="Y41" s="324"/>
      <c r="Z41" s="324"/>
      <c r="AA41" s="324"/>
      <c r="AB41" s="324"/>
      <c r="AC41" s="324"/>
      <c r="AD41" s="324"/>
      <c r="AE41" s="571" t="s">
        <v>438</v>
      </c>
      <c r="AF41" s="1046">
        <v>1.5940000000000001</v>
      </c>
      <c r="HA41" s="1072"/>
      <c r="HB41" s="1073"/>
      <c r="HC41" s="1073"/>
      <c r="HD41" s="1080"/>
      <c r="HE41" s="1081"/>
      <c r="HF41" s="1073"/>
      <c r="HG41" s="1073"/>
      <c r="HH41" s="1073"/>
      <c r="HI41" s="1082"/>
      <c r="HJ41" s="1073"/>
      <c r="HK41" s="1073"/>
      <c r="HL41" s="1073"/>
      <c r="HM41" s="1073"/>
      <c r="HN41" s="1073"/>
      <c r="HO41" s="1073"/>
      <c r="HP41" s="1083"/>
      <c r="HQ41" s="1105"/>
    </row>
    <row r="42" spans="1:225" ht="12.6" customHeight="1" thickBot="1" x14ac:dyDescent="0.3">
      <c r="A42" s="1335"/>
      <c r="B42" s="1336"/>
      <c r="C42" s="1565"/>
      <c r="D42" s="1337"/>
      <c r="E42" s="1335"/>
      <c r="F42" s="1338"/>
      <c r="G42" s="1335"/>
      <c r="H42" s="1339"/>
      <c r="I42" s="1340"/>
      <c r="J42" s="1341"/>
      <c r="K42" s="1342"/>
      <c r="L42" s="1343"/>
      <c r="M42" s="1344"/>
      <c r="N42" s="1345"/>
      <c r="O42" s="1346"/>
      <c r="P42" s="1347"/>
      <c r="Q42" s="1284" t="b">
        <v>0</v>
      </c>
      <c r="R42" s="406" t="b">
        <v>0</v>
      </c>
      <c r="S42" s="399" t="e">
        <f t="shared" si="1"/>
        <v>#REF!</v>
      </c>
      <c r="T42" s="399" t="b">
        <f t="shared" si="2"/>
        <v>0</v>
      </c>
      <c r="U42" s="497"/>
      <c r="V42" s="324"/>
      <c r="W42" s="324"/>
      <c r="X42" s="324"/>
      <c r="Y42" s="324"/>
      <c r="Z42" s="324"/>
      <c r="AA42" s="324"/>
      <c r="AB42" s="324"/>
      <c r="AC42" s="324"/>
      <c r="AD42" s="324"/>
      <c r="AE42" s="571" t="s">
        <v>439</v>
      </c>
      <c r="AF42" s="1046">
        <v>1.6563000000000001</v>
      </c>
      <c r="HA42" s="1074"/>
      <c r="HB42" s="1075"/>
      <c r="HC42" s="1075"/>
      <c r="HD42" s="1084"/>
      <c r="HE42" s="1085"/>
      <c r="HF42" s="1075"/>
      <c r="HG42" s="1075"/>
      <c r="HH42" s="1075"/>
      <c r="HI42" s="1086"/>
      <c r="HJ42" s="1075"/>
      <c r="HK42" s="1075"/>
      <c r="HL42" s="1075"/>
      <c r="HM42" s="1075"/>
      <c r="HN42" s="1075"/>
      <c r="HO42" s="1075"/>
      <c r="HP42" s="1087"/>
      <c r="HQ42" s="1105"/>
    </row>
    <row r="43" spans="1:225" ht="12.6" customHeight="1" thickTop="1" x14ac:dyDescent="0.2">
      <c r="A43" s="1281"/>
      <c r="B43" s="1281"/>
      <c r="C43" s="1281"/>
      <c r="D43" s="1281"/>
      <c r="E43" s="1281"/>
      <c r="F43" s="1281"/>
      <c r="G43" s="1281"/>
      <c r="H43" s="1281"/>
      <c r="I43" s="1281"/>
      <c r="J43" s="1281"/>
      <c r="K43" s="1281"/>
      <c r="L43" s="1281"/>
      <c r="M43" s="1281"/>
      <c r="N43" s="1281"/>
      <c r="O43" s="1281"/>
      <c r="P43" s="1281"/>
      <c r="AE43" s="571" t="s">
        <v>440</v>
      </c>
      <c r="AF43" s="1046">
        <v>1.6559999999999999</v>
      </c>
    </row>
    <row r="44" spans="1:225" ht="12.6" customHeight="1" x14ac:dyDescent="0.2">
      <c r="AE44" s="571" t="s">
        <v>441</v>
      </c>
      <c r="AF44" s="1046">
        <v>1.75</v>
      </c>
    </row>
    <row r="45" spans="1:225" ht="12.6" customHeight="1" x14ac:dyDescent="0.2">
      <c r="AE45" s="571" t="s">
        <v>442</v>
      </c>
      <c r="AF45" s="1046">
        <v>1.7350000000000001</v>
      </c>
    </row>
    <row r="46" spans="1:225" ht="12.6" customHeight="1" x14ac:dyDescent="0.2">
      <c r="A46" s="836" t="s">
        <v>614</v>
      </c>
      <c r="AE46" s="571" t="s">
        <v>443</v>
      </c>
      <c r="AF46" s="1046">
        <v>1.8125</v>
      </c>
    </row>
    <row r="47" spans="1:225" ht="12.6" hidden="1" customHeight="1" x14ac:dyDescent="0.2">
      <c r="C47" s="20">
        <f>SUM(C27:C42)</f>
        <v>0</v>
      </c>
      <c r="E47" s="18" t="b">
        <f>SUMIF(E27:E42,"BA*",C27:C42)&gt;0</f>
        <v>0</v>
      </c>
      <c r="AE47" s="571" t="s">
        <v>444</v>
      </c>
      <c r="AF47" s="1046">
        <v>1.7969999999999999</v>
      </c>
    </row>
    <row r="48" spans="1:225" ht="12.6" hidden="1" customHeight="1" x14ac:dyDescent="0.2">
      <c r="AE48" s="571" t="s">
        <v>445</v>
      </c>
      <c r="AF48" s="1046">
        <v>1.875</v>
      </c>
    </row>
    <row r="49" spans="1:32" ht="12.6" hidden="1" customHeight="1" x14ac:dyDescent="0.2">
      <c r="AE49" s="571" t="s">
        <v>446</v>
      </c>
      <c r="AF49" s="1046">
        <v>1.9059999999999999</v>
      </c>
    </row>
    <row r="50" spans="1:32" ht="12.6" hidden="1" customHeight="1" x14ac:dyDescent="0.2">
      <c r="AE50" s="571" t="s">
        <v>447</v>
      </c>
      <c r="AF50" s="1046">
        <v>1.9313</v>
      </c>
    </row>
    <row r="51" spans="1:32" ht="12.6" hidden="1" customHeight="1" x14ac:dyDescent="0.2">
      <c r="AE51" s="571" t="s">
        <v>448</v>
      </c>
      <c r="AF51" s="1046">
        <v>1.9375</v>
      </c>
    </row>
    <row r="52" spans="1:32" ht="12.6" hidden="1" customHeight="1" x14ac:dyDescent="0.2">
      <c r="AE52" s="571" t="s">
        <v>449</v>
      </c>
      <c r="AF52" s="1046">
        <v>1.9379999999999999</v>
      </c>
    </row>
    <row r="53" spans="1:32" ht="12.6" hidden="1" customHeight="1" x14ac:dyDescent="0.2">
      <c r="AE53" s="571" t="s">
        <v>450</v>
      </c>
      <c r="AF53" s="1046">
        <v>2.0937999999999999</v>
      </c>
    </row>
    <row r="54" spans="1:32" ht="12.6" hidden="1" customHeight="1" x14ac:dyDescent="0.2">
      <c r="AE54" s="571" t="s">
        <v>451</v>
      </c>
      <c r="AF54" s="1046">
        <v>2.0779999999999998</v>
      </c>
    </row>
    <row r="55" spans="1:32" ht="12.6" hidden="1" customHeight="1" x14ac:dyDescent="0.2">
      <c r="AE55" s="571" t="s">
        <v>452</v>
      </c>
      <c r="AF55" s="1046">
        <v>2.0779999999999998</v>
      </c>
    </row>
    <row r="56" spans="1:32" ht="12.6" hidden="1" customHeight="1" x14ac:dyDescent="0.2">
      <c r="AE56" s="571" t="s">
        <v>453</v>
      </c>
      <c r="AF56" s="1046">
        <v>2.2187999999999999</v>
      </c>
    </row>
    <row r="57" spans="1:32" ht="12.6" hidden="1" customHeight="1" x14ac:dyDescent="0.2">
      <c r="AE57" s="571" t="s">
        <v>454</v>
      </c>
      <c r="AF57" s="1046">
        <v>2.2189999999999999</v>
      </c>
    </row>
    <row r="58" spans="1:32" ht="12.6" hidden="1" customHeight="1" x14ac:dyDescent="0.2">
      <c r="AE58" s="571" t="s">
        <v>455</v>
      </c>
      <c r="AF58" s="1046">
        <v>2.375</v>
      </c>
    </row>
    <row r="59" spans="1:32" ht="12.6" hidden="1" customHeight="1" x14ac:dyDescent="0.2">
      <c r="AE59" s="571" t="s">
        <v>456</v>
      </c>
      <c r="AF59" s="1046">
        <v>2.2360000000000002</v>
      </c>
    </row>
    <row r="60" spans="1:32" ht="12.6" hidden="1" customHeight="1" x14ac:dyDescent="0.2">
      <c r="A60" s="831" t="s">
        <v>743</v>
      </c>
      <c r="AE60" s="571" t="s">
        <v>457</v>
      </c>
      <c r="AF60" s="1046">
        <v>2.375</v>
      </c>
    </row>
    <row r="61" spans="1:32" ht="12.6" hidden="1" customHeight="1" x14ac:dyDescent="0.2">
      <c r="A61" s="833"/>
      <c r="AE61" s="571" t="s">
        <v>458</v>
      </c>
      <c r="AF61" s="1046">
        <v>2.3769999999999998</v>
      </c>
    </row>
    <row r="62" spans="1:32" ht="12.6" hidden="1" customHeight="1" x14ac:dyDescent="0.2">
      <c r="AE62" s="571" t="s">
        <v>459</v>
      </c>
      <c r="AF62" s="1046">
        <v>2.375</v>
      </c>
    </row>
    <row r="63" spans="1:32" ht="12.6" hidden="1" customHeight="1" x14ac:dyDescent="0.2">
      <c r="AE63" s="571" t="s">
        <v>460</v>
      </c>
      <c r="AF63" s="1046">
        <v>2.625</v>
      </c>
    </row>
    <row r="64" spans="1:32" ht="12.6" hidden="1" customHeight="1" x14ac:dyDescent="0.2">
      <c r="AE64" s="571" t="s">
        <v>461</v>
      </c>
      <c r="AF64" s="1046">
        <v>2.375</v>
      </c>
    </row>
    <row r="65" spans="1:32" ht="12.6" customHeight="1" x14ac:dyDescent="0.2">
      <c r="A65" s="836" t="s">
        <v>615</v>
      </c>
      <c r="AE65" s="571" t="s">
        <v>462</v>
      </c>
      <c r="AF65" s="1046">
        <v>2.375</v>
      </c>
    </row>
    <row r="66" spans="1:32" ht="12.6" customHeight="1" x14ac:dyDescent="0.2">
      <c r="AE66" s="571" t="s">
        <v>463</v>
      </c>
      <c r="AF66" s="1046">
        <v>2.875</v>
      </c>
    </row>
    <row r="67" spans="1:32" ht="12.6" customHeight="1" x14ac:dyDescent="0.2">
      <c r="AE67" s="571" t="s">
        <v>464</v>
      </c>
      <c r="AF67" s="1046">
        <v>2.375</v>
      </c>
    </row>
    <row r="68" spans="1:32" ht="12.6" customHeight="1" x14ac:dyDescent="0.2">
      <c r="AE68" s="571" t="s">
        <v>465</v>
      </c>
      <c r="AF68" s="1046">
        <v>2.5939000000000001</v>
      </c>
    </row>
    <row r="69" spans="1:32" ht="12.6" customHeight="1" x14ac:dyDescent="0.2">
      <c r="AE69" s="571" t="s">
        <v>466</v>
      </c>
      <c r="AF69" s="1046">
        <v>3.0625</v>
      </c>
    </row>
    <row r="70" spans="1:32" ht="12.6" customHeight="1" x14ac:dyDescent="0.2">
      <c r="AE70" s="571" t="s">
        <v>467</v>
      </c>
      <c r="AF70" s="1046">
        <v>3.0939000000000001</v>
      </c>
    </row>
    <row r="71" spans="1:32" ht="12.6" customHeight="1" x14ac:dyDescent="0.2">
      <c r="AE71" s="571" t="s">
        <v>468</v>
      </c>
      <c r="AF71" s="1046">
        <v>3.0937999999999999</v>
      </c>
    </row>
    <row r="72" spans="1:32" ht="12.6" customHeight="1" x14ac:dyDescent="0.2">
      <c r="AE72" s="571" t="s">
        <v>469</v>
      </c>
      <c r="AF72" s="1046">
        <v>2.5647000000000002</v>
      </c>
    </row>
    <row r="73" spans="1:32" ht="12.6" customHeight="1" x14ac:dyDescent="0.2">
      <c r="AE73" s="571" t="s">
        <v>470</v>
      </c>
      <c r="AF73" s="1046">
        <v>2.3439999999999999</v>
      </c>
    </row>
    <row r="74" spans="1:32" ht="12.6" customHeight="1" x14ac:dyDescent="0.2">
      <c r="AE74" s="571" t="s">
        <v>471</v>
      </c>
      <c r="AF74" s="1046">
        <v>1.8305</v>
      </c>
    </row>
    <row r="75" spans="1:32" ht="12.6" customHeight="1" x14ac:dyDescent="0.2">
      <c r="AE75" s="571" t="s">
        <v>472</v>
      </c>
      <c r="AF75" s="1046">
        <v>1.8848</v>
      </c>
    </row>
    <row r="76" spans="1:32" ht="12.6" customHeight="1" x14ac:dyDescent="0.2">
      <c r="AE76" s="571" t="s">
        <v>473</v>
      </c>
      <c r="AF76" s="1046">
        <v>2</v>
      </c>
    </row>
    <row r="77" spans="1:32" ht="12.6" customHeight="1" x14ac:dyDescent="0.2">
      <c r="AE77" s="571" t="s">
        <v>474</v>
      </c>
      <c r="AF77" s="1046">
        <v>2.75</v>
      </c>
    </row>
    <row r="78" spans="1:32" ht="12.6" customHeight="1" x14ac:dyDescent="0.2">
      <c r="AE78" s="571" t="s">
        <v>475</v>
      </c>
      <c r="AF78" s="1046">
        <v>2</v>
      </c>
    </row>
    <row r="79" spans="1:32" ht="12.6" customHeight="1" x14ac:dyDescent="0.2">
      <c r="AE79" s="571" t="s">
        <v>424</v>
      </c>
      <c r="AF79" s="1046">
        <v>1</v>
      </c>
    </row>
    <row r="80" spans="1:32" ht="12.6" customHeight="1" x14ac:dyDescent="0.2">
      <c r="AE80" s="571" t="s">
        <v>425</v>
      </c>
      <c r="AF80" s="1046">
        <v>1</v>
      </c>
    </row>
    <row r="81" spans="31:32" ht="12.6" customHeight="1" x14ac:dyDescent="0.2">
      <c r="AE81" s="571" t="s">
        <v>426</v>
      </c>
      <c r="AF81" s="1046">
        <v>1</v>
      </c>
    </row>
    <row r="82" spans="31:32" ht="12.6" customHeight="1" x14ac:dyDescent="0.2">
      <c r="AE82" s="571" t="s">
        <v>427</v>
      </c>
      <c r="AF82" s="1046">
        <v>1</v>
      </c>
    </row>
    <row r="83" spans="31:32" ht="12.6" customHeight="1" x14ac:dyDescent="0.2">
      <c r="AE83" s="571" t="s">
        <v>476</v>
      </c>
      <c r="AF83" s="1046">
        <v>1.25</v>
      </c>
    </row>
    <row r="84" spans="31:32" ht="12.6" customHeight="1" x14ac:dyDescent="0.2">
      <c r="AE84" s="571" t="s">
        <v>477</v>
      </c>
      <c r="AF84" s="1046">
        <v>1.25</v>
      </c>
    </row>
    <row r="85" spans="31:32" ht="12.6" customHeight="1" x14ac:dyDescent="0.2">
      <c r="AE85" s="571" t="s">
        <v>478</v>
      </c>
      <c r="AF85" s="1046">
        <v>1.25</v>
      </c>
    </row>
    <row r="86" spans="31:32" ht="12.6" customHeight="1" x14ac:dyDescent="0.2">
      <c r="AE86" s="571" t="s">
        <v>479</v>
      </c>
      <c r="AF86" s="1046">
        <v>1.25</v>
      </c>
    </row>
    <row r="87" spans="31:32" ht="12.6" customHeight="1" x14ac:dyDescent="0.2">
      <c r="AE87" s="571" t="s">
        <v>480</v>
      </c>
      <c r="AF87" s="1046">
        <v>1.5</v>
      </c>
    </row>
    <row r="88" spans="31:32" ht="12.6" customHeight="1" x14ac:dyDescent="0.2">
      <c r="AE88" s="571" t="s">
        <v>481</v>
      </c>
      <c r="AF88" s="1046">
        <v>1.5</v>
      </c>
    </row>
    <row r="89" spans="31:32" ht="12.6" customHeight="1" x14ac:dyDescent="0.2">
      <c r="AE89" s="571" t="s">
        <v>482</v>
      </c>
      <c r="AF89" s="1046">
        <v>1.5</v>
      </c>
    </row>
    <row r="90" spans="31:32" ht="12.6" customHeight="1" x14ac:dyDescent="0.2">
      <c r="AE90" s="571">
        <v>15125</v>
      </c>
      <c r="AF90" s="1046">
        <v>1.5</v>
      </c>
    </row>
    <row r="91" spans="31:32" ht="12.6" customHeight="1" x14ac:dyDescent="0.2">
      <c r="AE91" s="571">
        <v>15130</v>
      </c>
      <c r="AF91" s="1046">
        <v>1.5</v>
      </c>
    </row>
    <row r="92" spans="31:32" ht="12.6" customHeight="1" x14ac:dyDescent="0.2">
      <c r="AE92" s="571" t="s">
        <v>483</v>
      </c>
      <c r="AF92" s="1046">
        <v>1.5</v>
      </c>
    </row>
    <row r="93" spans="31:32" ht="12.6" customHeight="1" x14ac:dyDescent="0.2">
      <c r="AE93" s="571" t="s">
        <v>484</v>
      </c>
      <c r="AF93" s="1046">
        <v>1.5</v>
      </c>
    </row>
    <row r="94" spans="31:32" ht="12.6" customHeight="1" x14ac:dyDescent="0.2">
      <c r="AE94" s="571" t="s">
        <v>485</v>
      </c>
      <c r="AF94" s="1046">
        <v>1.5</v>
      </c>
    </row>
    <row r="95" spans="31:32" ht="12.6" customHeight="1" x14ac:dyDescent="0.2">
      <c r="AE95" s="571">
        <v>15156</v>
      </c>
      <c r="AF95" s="1046">
        <v>1.5</v>
      </c>
    </row>
    <row r="96" spans="31:32" ht="12.6" customHeight="1" x14ac:dyDescent="0.2">
      <c r="AE96" s="571" t="s">
        <v>486</v>
      </c>
      <c r="AF96" s="1046">
        <v>1.5</v>
      </c>
    </row>
    <row r="97" spans="31:32" ht="12.6" customHeight="1" x14ac:dyDescent="0.2">
      <c r="AE97" s="571">
        <v>15172</v>
      </c>
      <c r="AF97" s="1046">
        <v>1.5</v>
      </c>
    </row>
    <row r="98" spans="31:32" ht="12.6" customHeight="1" x14ac:dyDescent="0.2">
      <c r="AE98" s="571" t="s">
        <v>487</v>
      </c>
      <c r="AF98" s="1046">
        <v>1.5</v>
      </c>
    </row>
    <row r="99" spans="31:32" ht="12.6" customHeight="1" x14ac:dyDescent="0.2">
      <c r="AE99" s="571" t="s">
        <v>488</v>
      </c>
      <c r="AF99" s="1046">
        <v>1.5</v>
      </c>
    </row>
    <row r="100" spans="31:32" ht="12.6" customHeight="1" x14ac:dyDescent="0.2">
      <c r="AE100" s="571" t="s">
        <v>489</v>
      </c>
      <c r="AF100" s="1046">
        <v>1.75</v>
      </c>
    </row>
    <row r="101" spans="31:32" ht="12.6" customHeight="1" x14ac:dyDescent="0.2">
      <c r="AE101" s="571" t="s">
        <v>490</v>
      </c>
      <c r="AF101" s="1046">
        <v>1.75</v>
      </c>
    </row>
    <row r="102" spans="31:32" ht="12.6" customHeight="1" x14ac:dyDescent="0.2">
      <c r="AE102" s="571">
        <v>17141</v>
      </c>
      <c r="AF102" s="1046">
        <v>1.75</v>
      </c>
    </row>
    <row r="103" spans="31:32" ht="12.6" customHeight="1" x14ac:dyDescent="0.2">
      <c r="AE103" s="571" t="s">
        <v>491</v>
      </c>
      <c r="AF103" s="1046">
        <v>1.75</v>
      </c>
    </row>
    <row r="104" spans="31:32" ht="12.6" customHeight="1" x14ac:dyDescent="0.2">
      <c r="AE104" s="571" t="s">
        <v>492</v>
      </c>
      <c r="AF104" s="1046">
        <v>1.75</v>
      </c>
    </row>
    <row r="105" spans="31:32" ht="12.6" customHeight="1" x14ac:dyDescent="0.2">
      <c r="AE105" s="571">
        <v>17156</v>
      </c>
      <c r="AF105" s="1046">
        <v>1.75</v>
      </c>
    </row>
    <row r="106" spans="31:32" ht="12.6" customHeight="1" x14ac:dyDescent="0.2">
      <c r="AE106" s="571" t="s">
        <v>493</v>
      </c>
      <c r="AF106" s="1046">
        <v>1.75</v>
      </c>
    </row>
    <row r="107" spans="31:32" ht="12.6" customHeight="1" x14ac:dyDescent="0.2">
      <c r="AE107" s="571" t="s">
        <v>494</v>
      </c>
      <c r="AF107" s="1046">
        <v>1.75</v>
      </c>
    </row>
    <row r="108" spans="31:32" ht="12.6" customHeight="1" x14ac:dyDescent="0.2">
      <c r="AE108" s="571" t="s">
        <v>495</v>
      </c>
      <c r="AF108" s="1046">
        <v>1.75</v>
      </c>
    </row>
    <row r="109" spans="31:32" ht="12.6" customHeight="1" x14ac:dyDescent="0.2">
      <c r="AE109" s="571" t="s">
        <v>496</v>
      </c>
      <c r="AF109" s="1046">
        <v>2</v>
      </c>
    </row>
    <row r="110" spans="31:32" ht="12.6" customHeight="1" x14ac:dyDescent="0.2">
      <c r="AE110" s="571" t="s">
        <v>497</v>
      </c>
      <c r="AF110" s="1046">
        <v>2</v>
      </c>
    </row>
    <row r="111" spans="31:32" ht="12.6" customHeight="1" x14ac:dyDescent="0.2">
      <c r="AE111" s="571" t="s">
        <v>498</v>
      </c>
      <c r="AF111" s="1046">
        <v>2</v>
      </c>
    </row>
    <row r="112" spans="31:32" ht="12.6" customHeight="1" x14ac:dyDescent="0.2">
      <c r="AE112" s="571" t="s">
        <v>499</v>
      </c>
      <c r="AF112" s="1046">
        <v>2</v>
      </c>
    </row>
    <row r="113" spans="31:32" ht="12.6" customHeight="1" x14ac:dyDescent="0.2">
      <c r="AE113" s="571" t="s">
        <v>500</v>
      </c>
      <c r="AF113" s="1046">
        <v>2</v>
      </c>
    </row>
    <row r="114" spans="31:32" ht="12.6" customHeight="1" x14ac:dyDescent="0.2">
      <c r="AE114" s="103">
        <v>20184</v>
      </c>
      <c r="AF114" s="1046">
        <v>2</v>
      </c>
    </row>
    <row r="115" spans="31:32" ht="12.6" customHeight="1" x14ac:dyDescent="0.2">
      <c r="AE115" s="103" t="s">
        <v>501</v>
      </c>
      <c r="AF115" s="1046">
        <v>2</v>
      </c>
    </row>
    <row r="116" spans="31:32" ht="12.6" customHeight="1" x14ac:dyDescent="0.2">
      <c r="AE116" s="103">
        <v>252018</v>
      </c>
      <c r="AF116" s="1046">
        <v>10</v>
      </c>
    </row>
    <row r="117" spans="31:32" ht="12.6" customHeight="1" x14ac:dyDescent="0.2">
      <c r="AE117" s="103">
        <v>302018</v>
      </c>
      <c r="AF117" s="1046">
        <v>10</v>
      </c>
    </row>
    <row r="118" spans="31:32" ht="12.6" customHeight="1" x14ac:dyDescent="0.2">
      <c r="AE118" s="103" t="s">
        <v>502</v>
      </c>
      <c r="AF118" s="1046">
        <v>2</v>
      </c>
    </row>
    <row r="119" spans="31:32" ht="12.6" customHeight="1" x14ac:dyDescent="0.2">
      <c r="AE119" s="103" t="s">
        <v>503</v>
      </c>
      <c r="AF119" s="1046">
        <v>2</v>
      </c>
    </row>
    <row r="120" spans="31:32" ht="12.6" customHeight="1" x14ac:dyDescent="0.2">
      <c r="AE120" s="103">
        <v>20219</v>
      </c>
      <c r="AF120" s="1046">
        <v>2</v>
      </c>
    </row>
    <row r="121" spans="31:32" ht="12.6" customHeight="1" x14ac:dyDescent="0.2">
      <c r="AE121" s="103" t="s">
        <v>504</v>
      </c>
      <c r="AF121" s="1046">
        <v>2</v>
      </c>
    </row>
    <row r="122" spans="31:32" ht="12.6" customHeight="1" x14ac:dyDescent="0.2">
      <c r="AE122" s="103">
        <v>20232</v>
      </c>
      <c r="AF122" s="1046">
        <v>2</v>
      </c>
    </row>
    <row r="123" spans="31:32" ht="12.6" customHeight="1" x14ac:dyDescent="0.2">
      <c r="AE123" s="103" t="s">
        <v>505</v>
      </c>
      <c r="AF123" s="1046">
        <v>2</v>
      </c>
    </row>
    <row r="124" spans="31:32" ht="12.6" customHeight="1" x14ac:dyDescent="0.2">
      <c r="AE124" s="103" t="s">
        <v>506</v>
      </c>
      <c r="AF124" s="1046">
        <v>2</v>
      </c>
    </row>
    <row r="125" spans="31:32" ht="12.6" customHeight="1" x14ac:dyDescent="0.2">
      <c r="AE125" s="103">
        <v>302025</v>
      </c>
      <c r="AF125" s="1046">
        <v>10</v>
      </c>
    </row>
    <row r="126" spans="31:32" ht="12.6" customHeight="1" x14ac:dyDescent="0.2">
      <c r="AE126" s="103" t="s">
        <v>507</v>
      </c>
      <c r="AF126" s="1046">
        <v>2</v>
      </c>
    </row>
    <row r="127" spans="31:32" ht="12.6" customHeight="1" x14ac:dyDescent="0.2">
      <c r="AE127" s="103" t="s">
        <v>508</v>
      </c>
      <c r="AF127" s="1046">
        <v>2</v>
      </c>
    </row>
    <row r="128" spans="31:32" ht="12.6" customHeight="1" x14ac:dyDescent="0.2">
      <c r="AE128" s="103">
        <v>302037</v>
      </c>
      <c r="AF128" s="1046">
        <v>10</v>
      </c>
    </row>
    <row r="129" spans="31:32" ht="12.6" customHeight="1" x14ac:dyDescent="0.2">
      <c r="AE129" s="103" t="s">
        <v>509</v>
      </c>
      <c r="AF129" s="1046">
        <v>2.5</v>
      </c>
    </row>
    <row r="130" spans="31:32" ht="12.6" customHeight="1" x14ac:dyDescent="0.2">
      <c r="AE130" s="103">
        <v>202518</v>
      </c>
      <c r="AF130" s="1046">
        <v>10</v>
      </c>
    </row>
    <row r="131" spans="31:32" ht="12.6" customHeight="1" x14ac:dyDescent="0.2">
      <c r="AE131" s="103" t="s">
        <v>510</v>
      </c>
      <c r="AF131" s="1046">
        <v>2.5</v>
      </c>
    </row>
    <row r="132" spans="31:32" ht="12.6" customHeight="1" x14ac:dyDescent="0.2">
      <c r="AE132" s="103" t="s">
        <v>511</v>
      </c>
      <c r="AF132" s="1046">
        <v>2.5</v>
      </c>
    </row>
    <row r="133" spans="31:32" ht="12.6" customHeight="1" x14ac:dyDescent="0.2">
      <c r="AE133" s="103" t="s">
        <v>512</v>
      </c>
      <c r="AF133" s="1046">
        <v>2.5</v>
      </c>
    </row>
    <row r="134" spans="31:32" ht="12.6" customHeight="1" x14ac:dyDescent="0.2">
      <c r="AE134" s="103" t="s">
        <v>513</v>
      </c>
      <c r="AF134" s="1046">
        <v>2.5</v>
      </c>
    </row>
    <row r="135" spans="31:32" ht="12.6" customHeight="1" x14ac:dyDescent="0.2">
      <c r="AE135" s="103" t="s">
        <v>514</v>
      </c>
      <c r="AF135" s="1046">
        <v>2.5</v>
      </c>
    </row>
    <row r="136" spans="31:32" ht="12.6" customHeight="1" x14ac:dyDescent="0.2">
      <c r="AE136" s="103" t="s">
        <v>515</v>
      </c>
      <c r="AF136" s="1046">
        <v>3</v>
      </c>
    </row>
    <row r="137" spans="31:32" ht="12.6" customHeight="1" x14ac:dyDescent="0.2">
      <c r="AE137" s="103">
        <v>203018</v>
      </c>
      <c r="AF137" s="1046">
        <v>10</v>
      </c>
    </row>
    <row r="138" spans="31:32" ht="12.6" customHeight="1" x14ac:dyDescent="0.2">
      <c r="AE138" s="103" t="s">
        <v>516</v>
      </c>
      <c r="AF138" s="1046">
        <v>3</v>
      </c>
    </row>
    <row r="139" spans="31:32" ht="12.6" customHeight="1" x14ac:dyDescent="0.2">
      <c r="AE139" s="103" t="s">
        <v>517</v>
      </c>
      <c r="AF139" s="1046">
        <v>3</v>
      </c>
    </row>
    <row r="140" spans="31:32" ht="12.6" customHeight="1" x14ac:dyDescent="0.2">
      <c r="AE140" s="103">
        <v>203025</v>
      </c>
      <c r="AF140" s="1046">
        <v>10</v>
      </c>
    </row>
    <row r="141" spans="31:32" ht="12.6" customHeight="1" x14ac:dyDescent="0.2">
      <c r="AE141" s="103">
        <v>403025</v>
      </c>
      <c r="AF141" s="1046">
        <v>10</v>
      </c>
    </row>
    <row r="142" spans="31:32" ht="12.6" customHeight="1" x14ac:dyDescent="0.2">
      <c r="AE142" s="103">
        <v>503025</v>
      </c>
      <c r="AF142" s="1046">
        <v>10</v>
      </c>
    </row>
    <row r="143" spans="31:32" ht="12.6" customHeight="1" x14ac:dyDescent="0.2">
      <c r="AE143" s="103" t="s">
        <v>518</v>
      </c>
      <c r="AF143" s="1046">
        <v>3</v>
      </c>
    </row>
    <row r="144" spans="31:32" ht="12.6" customHeight="1" x14ac:dyDescent="0.2">
      <c r="AE144" s="103" t="s">
        <v>519</v>
      </c>
      <c r="AF144" s="1046">
        <v>3</v>
      </c>
    </row>
    <row r="145" spans="31:32" ht="12.6" customHeight="1" x14ac:dyDescent="0.2">
      <c r="AE145" s="103" t="s">
        <v>520</v>
      </c>
      <c r="AF145" s="1046">
        <v>3</v>
      </c>
    </row>
    <row r="146" spans="31:32" ht="12.6" customHeight="1" x14ac:dyDescent="0.2">
      <c r="AE146" s="103" t="s">
        <v>521</v>
      </c>
      <c r="AF146" s="1046">
        <v>3</v>
      </c>
    </row>
    <row r="147" spans="31:32" ht="12.6" customHeight="1" x14ac:dyDescent="0.2">
      <c r="AE147" s="103">
        <v>203037</v>
      </c>
      <c r="AF147" s="1046">
        <v>10</v>
      </c>
    </row>
    <row r="148" spans="31:32" ht="12.6" customHeight="1" x14ac:dyDescent="0.2">
      <c r="AE148" s="103">
        <v>403037</v>
      </c>
      <c r="AF148" s="1046">
        <v>10</v>
      </c>
    </row>
    <row r="149" spans="31:32" ht="12.6" customHeight="1" x14ac:dyDescent="0.2">
      <c r="AE149" s="103">
        <v>503037</v>
      </c>
      <c r="AF149" s="1046">
        <v>10</v>
      </c>
    </row>
    <row r="150" spans="31:32" ht="12.6" customHeight="1" x14ac:dyDescent="0.2">
      <c r="AE150" s="103">
        <v>3231</v>
      </c>
      <c r="AF150" s="1046">
        <v>3.25</v>
      </c>
    </row>
    <row r="151" spans="31:32" ht="12.6" customHeight="1" x14ac:dyDescent="0.2">
      <c r="AE151" s="103" t="s">
        <v>522</v>
      </c>
      <c r="AF151" s="1046">
        <v>3.5</v>
      </c>
    </row>
    <row r="152" spans="31:32" ht="12.6" customHeight="1" x14ac:dyDescent="0.2">
      <c r="AE152" s="103" t="s">
        <v>523</v>
      </c>
      <c r="AF152" s="1046">
        <v>3.5</v>
      </c>
    </row>
    <row r="153" spans="31:32" ht="12.6" customHeight="1" x14ac:dyDescent="0.2">
      <c r="AE153" s="103" t="s">
        <v>524</v>
      </c>
      <c r="AF153" s="1046">
        <v>3.5</v>
      </c>
    </row>
    <row r="154" spans="31:32" ht="12.6" customHeight="1" x14ac:dyDescent="0.2">
      <c r="AE154" s="103" t="s">
        <v>525</v>
      </c>
      <c r="AF154" s="1046">
        <v>3.5</v>
      </c>
    </row>
    <row r="155" spans="31:32" ht="12.6" customHeight="1" x14ac:dyDescent="0.2">
      <c r="AE155" s="103">
        <v>503537</v>
      </c>
      <c r="AF155" s="1046">
        <v>10</v>
      </c>
    </row>
    <row r="156" spans="31:32" ht="12.6" customHeight="1" x14ac:dyDescent="0.2">
      <c r="AE156" s="103">
        <v>503550</v>
      </c>
      <c r="AF156" s="1046">
        <v>10</v>
      </c>
    </row>
    <row r="157" spans="31:32" ht="12.6" customHeight="1" x14ac:dyDescent="0.2">
      <c r="AE157" s="103" t="s">
        <v>526</v>
      </c>
      <c r="AF157" s="1046">
        <v>4</v>
      </c>
    </row>
    <row r="158" spans="31:32" ht="12.6" customHeight="1" x14ac:dyDescent="0.2">
      <c r="AE158" s="103">
        <v>304025</v>
      </c>
      <c r="AF158" s="1046">
        <v>10</v>
      </c>
    </row>
    <row r="159" spans="31:32" ht="12.6" customHeight="1" x14ac:dyDescent="0.2">
      <c r="AE159" s="103" t="s">
        <v>527</v>
      </c>
      <c r="AF159" s="1046">
        <v>4</v>
      </c>
    </row>
    <row r="160" spans="31:32" ht="12.6" customHeight="1" x14ac:dyDescent="0.2">
      <c r="AE160" s="103" t="s">
        <v>528</v>
      </c>
      <c r="AF160" s="1046">
        <v>4</v>
      </c>
    </row>
    <row r="161" spans="31:32" ht="12.6" customHeight="1" x14ac:dyDescent="0.2">
      <c r="AE161" s="103" t="s">
        <v>529</v>
      </c>
      <c r="AF161" s="1046">
        <v>4</v>
      </c>
    </row>
    <row r="162" spans="31:32" ht="12.6" customHeight="1" x14ac:dyDescent="0.2">
      <c r="AE162" s="103">
        <v>304037</v>
      </c>
      <c r="AF162" s="1046">
        <v>10</v>
      </c>
    </row>
    <row r="163" spans="31:32" ht="12.6" customHeight="1" x14ac:dyDescent="0.2">
      <c r="AE163" s="103">
        <v>604037</v>
      </c>
      <c r="AF163" s="1046">
        <v>10</v>
      </c>
    </row>
    <row r="164" spans="31:32" ht="12.6" customHeight="1" x14ac:dyDescent="0.2">
      <c r="AE164" s="103">
        <v>704037</v>
      </c>
      <c r="AF164" s="1046">
        <v>10</v>
      </c>
    </row>
    <row r="165" spans="31:32" ht="12.6" customHeight="1" x14ac:dyDescent="0.2">
      <c r="AE165" s="103" t="s">
        <v>530</v>
      </c>
      <c r="AF165" s="1046">
        <v>4</v>
      </c>
    </row>
    <row r="166" spans="31:32" ht="12.6" customHeight="1" x14ac:dyDescent="0.2">
      <c r="AE166" s="103" t="s">
        <v>531</v>
      </c>
      <c r="AF166" s="1046">
        <v>4</v>
      </c>
    </row>
    <row r="167" spans="31:32" ht="12.6" customHeight="1" x14ac:dyDescent="0.2">
      <c r="AE167" s="103">
        <v>704050</v>
      </c>
      <c r="AF167" s="1046">
        <v>10</v>
      </c>
    </row>
    <row r="168" spans="31:32" ht="12.6" customHeight="1" x14ac:dyDescent="0.2">
      <c r="AE168" s="103">
        <v>305025</v>
      </c>
      <c r="AF168" s="1046">
        <v>10</v>
      </c>
    </row>
    <row r="169" spans="31:32" ht="12.6" customHeight="1" x14ac:dyDescent="0.2">
      <c r="AE169" s="103">
        <v>305037</v>
      </c>
      <c r="AF169" s="1046">
        <v>10</v>
      </c>
    </row>
    <row r="170" spans="31:32" ht="12.6" customHeight="1" x14ac:dyDescent="0.2">
      <c r="AE170" s="103">
        <v>355037</v>
      </c>
      <c r="AF170" s="1046">
        <v>10</v>
      </c>
    </row>
    <row r="171" spans="31:32" ht="12.6" customHeight="1" x14ac:dyDescent="0.2">
      <c r="AE171" s="103" t="s">
        <v>532</v>
      </c>
      <c r="AF171" s="1046">
        <v>5</v>
      </c>
    </row>
    <row r="172" spans="31:32" ht="12.6" customHeight="1" x14ac:dyDescent="0.2">
      <c r="AE172" s="103" t="s">
        <v>533</v>
      </c>
      <c r="AF172" s="1046">
        <v>5</v>
      </c>
    </row>
    <row r="173" spans="31:32" ht="12.6" customHeight="1" x14ac:dyDescent="0.2">
      <c r="AE173" s="103">
        <v>355050</v>
      </c>
      <c r="AF173" s="1046">
        <v>10</v>
      </c>
    </row>
    <row r="174" spans="31:32" ht="12.6" customHeight="1" x14ac:dyDescent="0.2">
      <c r="AE174" s="103">
        <v>406037</v>
      </c>
      <c r="AF174" s="1046">
        <v>10</v>
      </c>
    </row>
    <row r="175" spans="31:32" ht="12.6" customHeight="1" x14ac:dyDescent="0.2">
      <c r="AE175" s="103" t="s">
        <v>534</v>
      </c>
      <c r="AF175" s="1046">
        <v>6</v>
      </c>
    </row>
    <row r="176" spans="31:32" ht="12.6" customHeight="1" x14ac:dyDescent="0.2">
      <c r="AE176" s="103" t="s">
        <v>535</v>
      </c>
      <c r="AF176" s="1046">
        <v>6</v>
      </c>
    </row>
    <row r="177" spans="31:32" ht="12.6" customHeight="1" x14ac:dyDescent="0.2">
      <c r="AE177" s="103" t="s">
        <v>536</v>
      </c>
      <c r="AF177" s="1046">
        <v>6</v>
      </c>
    </row>
    <row r="178" spans="31:32" ht="12.6" customHeight="1" x14ac:dyDescent="0.2">
      <c r="AE178" s="103" t="s">
        <v>537</v>
      </c>
      <c r="AF178" s="1046">
        <v>6</v>
      </c>
    </row>
    <row r="179" spans="31:32" ht="12.6" customHeight="1" x14ac:dyDescent="0.2">
      <c r="AE179" s="103">
        <v>806062</v>
      </c>
      <c r="AF179" s="1046">
        <v>10</v>
      </c>
    </row>
    <row r="180" spans="31:32" ht="12.6" customHeight="1" x14ac:dyDescent="0.2">
      <c r="AE180" s="103" t="s">
        <v>538</v>
      </c>
      <c r="AF180" s="1046">
        <v>6</v>
      </c>
    </row>
    <row r="181" spans="31:32" ht="12.6" customHeight="1" x14ac:dyDescent="0.2">
      <c r="AE181" s="103" t="s">
        <v>539</v>
      </c>
      <c r="AF181" s="1046">
        <v>6</v>
      </c>
    </row>
    <row r="182" spans="31:32" ht="12.6" customHeight="1" x14ac:dyDescent="0.2">
      <c r="AE182" s="103">
        <v>407037</v>
      </c>
      <c r="AF182" s="1046">
        <v>10</v>
      </c>
    </row>
    <row r="183" spans="31:32" ht="12.6" customHeight="1" x14ac:dyDescent="0.2">
      <c r="AE183" s="103">
        <v>407050</v>
      </c>
      <c r="AF183" s="1046">
        <v>10</v>
      </c>
    </row>
    <row r="184" spans="31:32" ht="12.6" customHeight="1" x14ac:dyDescent="0.2">
      <c r="AE184" s="103" t="s">
        <v>540</v>
      </c>
      <c r="AF184" s="1046">
        <v>8</v>
      </c>
    </row>
    <row r="185" spans="31:32" ht="12.6" customHeight="1" x14ac:dyDescent="0.2">
      <c r="AE185" s="103">
        <v>8054</v>
      </c>
      <c r="AF185" s="1046">
        <v>8</v>
      </c>
    </row>
    <row r="186" spans="31:32" ht="12.6" customHeight="1" x14ac:dyDescent="0.2">
      <c r="AE186" s="103" t="s">
        <v>541</v>
      </c>
      <c r="AF186" s="1046">
        <v>8</v>
      </c>
    </row>
    <row r="187" spans="31:32" ht="12.6" customHeight="1" x14ac:dyDescent="0.2">
      <c r="AE187" s="103">
        <v>608062</v>
      </c>
      <c r="AF187" s="1046">
        <v>10</v>
      </c>
    </row>
    <row r="188" spans="31:32" ht="12.6" customHeight="1" x14ac:dyDescent="0.2">
      <c r="AE188" s="103" t="s">
        <v>542</v>
      </c>
      <c r="AF188" s="1046">
        <v>8</v>
      </c>
    </row>
    <row r="189" spans="31:32" ht="12.6" customHeight="1" x14ac:dyDescent="0.2">
      <c r="AE189" s="103" t="s">
        <v>543</v>
      </c>
      <c r="AF189" s="1046">
        <v>8</v>
      </c>
    </row>
    <row r="190" spans="31:32" ht="12.6" customHeight="1" x14ac:dyDescent="0.2">
      <c r="AE190" s="103" t="s">
        <v>544</v>
      </c>
      <c r="AF190" s="1046">
        <v>8</v>
      </c>
    </row>
    <row r="191" spans="31:32" ht="12.6" customHeight="1" x14ac:dyDescent="0.2">
      <c r="AE191" s="103" t="s">
        <v>545</v>
      </c>
      <c r="AF191" s="1046">
        <v>10</v>
      </c>
    </row>
    <row r="192" spans="31:32" ht="12.6" customHeight="1" x14ac:dyDescent="0.2">
      <c r="AE192" s="103" t="s">
        <v>546</v>
      </c>
      <c r="AF192" s="1046">
        <v>10</v>
      </c>
    </row>
    <row r="301" spans="31:31" ht="12.6" customHeight="1" x14ac:dyDescent="0.2">
      <c r="AE301" s="578" t="s">
        <v>547</v>
      </c>
    </row>
  </sheetData>
  <sheetProtection selectLockedCells="1"/>
  <mergeCells count="50">
    <mergeCell ref="HO25:HO26"/>
    <mergeCell ref="HA23:HP24"/>
    <mergeCell ref="HA25:HA26"/>
    <mergeCell ref="HB25:HB26"/>
    <mergeCell ref="HC25:HC26"/>
    <mergeCell ref="HF25:HF26"/>
    <mergeCell ref="HI25:HI26"/>
    <mergeCell ref="HL25:HL26"/>
    <mergeCell ref="HM25:HM26"/>
    <mergeCell ref="HN25:HN26"/>
    <mergeCell ref="HP25:HP26"/>
    <mergeCell ref="HD25:HD26"/>
    <mergeCell ref="HE25:HE26"/>
    <mergeCell ref="HG25:HG26"/>
    <mergeCell ref="HH25:HH26"/>
    <mergeCell ref="HJ25:HJ26"/>
    <mergeCell ref="HK25:HK26"/>
    <mergeCell ref="O25:O26"/>
    <mergeCell ref="G25:H25"/>
    <mergeCell ref="I25:J25"/>
    <mergeCell ref="A25:B26"/>
    <mergeCell ref="D25:D26"/>
    <mergeCell ref="E25:E26"/>
    <mergeCell ref="C25:C26"/>
    <mergeCell ref="F25:F26"/>
    <mergeCell ref="AC25:AD25"/>
    <mergeCell ref="A5:G5"/>
    <mergeCell ref="C9:G9"/>
    <mergeCell ref="C10:G10"/>
    <mergeCell ref="A22:C22"/>
    <mergeCell ref="A23:C23"/>
    <mergeCell ref="A21:C21"/>
    <mergeCell ref="A12:C12"/>
    <mergeCell ref="D12:E12"/>
    <mergeCell ref="D18:E18"/>
    <mergeCell ref="J1:L1"/>
    <mergeCell ref="J2:L3"/>
    <mergeCell ref="J4:L4"/>
    <mergeCell ref="N25:N26"/>
    <mergeCell ref="I8:K8"/>
    <mergeCell ref="M12:N12"/>
    <mergeCell ref="M25:M26"/>
    <mergeCell ref="I7:L7"/>
    <mergeCell ref="K25:L26"/>
    <mergeCell ref="O6:P6"/>
    <mergeCell ref="O10:P10"/>
    <mergeCell ref="X25:AA25"/>
    <mergeCell ref="J10:L10"/>
    <mergeCell ref="J9:P9"/>
    <mergeCell ref="V25:V26"/>
  </mergeCells>
  <phoneticPr fontId="0" type="noConversion"/>
  <conditionalFormatting sqref="J2:L4">
    <cfRule type="cellIs" dxfId="248" priority="69" stopIfTrue="1" operator="equal">
      <formula>""</formula>
    </cfRule>
  </conditionalFormatting>
  <conditionalFormatting sqref="G7">
    <cfRule type="cellIs" dxfId="247" priority="70" stopIfTrue="1" operator="equal">
      <formula>"NO PAINT"</formula>
    </cfRule>
  </conditionalFormatting>
  <conditionalFormatting sqref="I7:K7">
    <cfRule type="expression" dxfId="246" priority="71" stopIfTrue="1">
      <formula>LOWER($I$7)&lt;&gt;"std gray primer: one shop coat"</formula>
    </cfRule>
  </conditionalFormatting>
  <conditionalFormatting sqref="C27:C42 A27:A42">
    <cfRule type="expression" dxfId="245" priority="8">
      <formula>AND(NOT($S$1),$C27=0,OR($R$1="",$R$1="M"))</formula>
    </cfRule>
  </conditionalFormatting>
  <conditionalFormatting sqref="F27:F42">
    <cfRule type="expression" dxfId="244" priority="35">
      <formula>OR(ISERROR(VLOOKUP(E27,$V$27:$V$42,1,FALSE)),ISERROR(VLOOKUP(F27,$AB$27:$AB$42,1,FALSE)))</formula>
    </cfRule>
  </conditionalFormatting>
  <conditionalFormatting sqref="D27:D42">
    <cfRule type="expression" dxfId="243" priority="12">
      <formula>OR(ISERROR(VLOOKUP(TRIM(D27),$AE$27:$AE$300,1,FALSE)),AND(NOT(ISERROR(VLOOKUP(E27,$V$27:$V$300,1,FALSE))),NOT(ISERROR(VLOOKUP(TRIM(D27),$U$27:$U$300,1,FALSE)))))</formula>
    </cfRule>
  </conditionalFormatting>
  <conditionalFormatting sqref="E27:E42">
    <cfRule type="expression" dxfId="242" priority="15">
      <formula>OR(ISERROR(VLOOKUP(E27,$W$27:$W$42,1,FALSE)),AND(NOT(ISERROR(VLOOKUP(E27,$V$27:$V$300,1,FALSE))),NOT(ISERROR(VLOOKUP(D27,$U$27:$U$300,1,FALSE)))))</formula>
    </cfRule>
  </conditionalFormatting>
  <conditionalFormatting sqref="I7:L7">
    <cfRule type="cellIs" dxfId="241" priority="9" operator="equal">
      <formula>0</formula>
    </cfRule>
  </conditionalFormatting>
  <conditionalFormatting sqref="A27:P42">
    <cfRule type="expression" dxfId="240" priority="38">
      <formula>$Q27</formula>
    </cfRule>
  </conditionalFormatting>
  <conditionalFormatting sqref="A36:A42">
    <cfRule type="expression" dxfId="239" priority="5">
      <formula>AND(NOT($S$1),$C36=0,OR($R$1="",$R$1="M"))</formula>
    </cfRule>
  </conditionalFormatting>
  <conditionalFormatting sqref="G27:G42">
    <cfRule type="expression" dxfId="238" priority="4">
      <formula>NOT(VLOOKUP($E27,$W$27:$AA$42,2,FALSE))</formula>
    </cfRule>
  </conditionalFormatting>
  <conditionalFormatting sqref="I27:I42">
    <cfRule type="expression" dxfId="237" priority="3">
      <formula>NOT(VLOOKUP($E27,$W$27:$AA$42,4,FALSE))</formula>
    </cfRule>
  </conditionalFormatting>
  <conditionalFormatting sqref="H27">
    <cfRule type="expression" dxfId="236" priority="2">
      <formula>NOT(VLOOKUP($E27,$W$27:$AA$42,3,FALSE))</formula>
    </cfRule>
  </conditionalFormatting>
  <conditionalFormatting sqref="J27:J42">
    <cfRule type="expression" dxfId="235" priority="1">
      <formula>NOT(VLOOKUP($E27,$W$27:$AA$42,5,FALSE))</formula>
    </cfRule>
  </conditionalFormatting>
  <dataValidations count="6">
    <dataValidation type="list" allowBlank="1" showInputMessage="1" sqref="F27:F42" xr:uid="{00000000-0002-0000-0E00-000000000000}">
      <formula1>$AB$27:$AB$34</formula1>
    </dataValidation>
    <dataValidation type="list" allowBlank="1" errorTitle="Invalid Bridging Type" error="You MUST use a bridging type provided in the list." sqref="E27:E42" xr:uid="{00000000-0002-0000-0E00-000001000000}">
      <formula1>OFFSET($W$27,0,0,$W$25)</formula1>
    </dataValidation>
    <dataValidation type="whole" operator="greaterThanOrEqual" allowBlank="1" showErrorMessage="1" errorTitle="Dimensional Error" error="&quot;Feet&quot; can only be whole numbers." sqref="K27:K42" xr:uid="{00000000-0002-0000-0E00-000002000000}">
      <formula1>0</formula1>
    </dataValidation>
    <dataValidation type="decimal" allowBlank="1" showInputMessage="1" showErrorMessage="1" errorTitle="Dimensional Error" error="&quot;Inches&quot; must be a number from 0 to 11.875." sqref="L27:L42" xr:uid="{00000000-0002-0000-0E00-000003000000}">
      <formula1>0</formula1>
      <formula2>11.875</formula2>
    </dataValidation>
    <dataValidation type="list" allowBlank="1" showInputMessage="1" sqref="I7:L7" xr:uid="{00000000-0002-0000-0E00-000004000000}">
      <formula1>"Std Gray Primer: One Shop Coat,NO Shop Primer,NO Shop Primer - GALV,Std Gray Primer: xx Shop Coats"</formula1>
    </dataValidation>
    <dataValidation type="whole" operator="greaterThan" allowBlank="1" showInputMessage="1" showErrorMessage="1" errorTitle="Quantity Error" error="Value must be an integer greater than -1000." sqref="C27:C42" xr:uid="{FF07B724-FE48-464D-9FB2-42909802E4BA}">
      <formula1>-1001</formula1>
    </dataValidation>
  </dataValidations>
  <printOptions horizontalCentered="1"/>
  <pageMargins left="0.3" right="0.3" top="0.5" bottom="0.5" header="0" footer="0.25"/>
  <pageSetup pageOrder="overThenDown" orientation="landscape" r:id="rId1"/>
  <headerFooter alignWithMargins="0">
    <oddFooter>&amp;R&amp;7Printed: &amp;D &amp;T&amp;L&amp;7Version: 21.0428
File: &amp;F</oddFooter>
  </headerFooter>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2">
    <tabColor indexed="41"/>
  </sheetPr>
  <dimension ref="A1:HR301"/>
  <sheetViews>
    <sheetView showGridLines="0" zoomScaleNormal="100" zoomScaleSheetLayoutView="100" workbookViewId="0">
      <selection activeCell="A14" sqref="A14"/>
    </sheetView>
  </sheetViews>
  <sheetFormatPr defaultColWidth="5.7109375" defaultRowHeight="12.6" customHeight="1" x14ac:dyDescent="0.2"/>
  <cols>
    <col min="1" max="1" width="8.7109375" style="1" customWidth="1"/>
    <col min="2" max="2" width="8.7109375" style="1" hidden="1" customWidth="1"/>
    <col min="3" max="3" width="5.7109375" style="1" customWidth="1"/>
    <col min="4" max="6" width="9.7109375" style="1" customWidth="1"/>
    <col min="7" max="12" width="6.7109375" style="1" customWidth="1"/>
    <col min="13" max="15" width="8.7109375" style="1" customWidth="1"/>
    <col min="16" max="16" width="25.42578125" style="1" customWidth="1"/>
    <col min="17" max="17" width="8.7109375" style="1" customWidth="1"/>
    <col min="18" max="19" width="5.7109375" style="1" hidden="1" customWidth="1"/>
    <col min="20" max="20" width="7.7109375" style="1" hidden="1" customWidth="1"/>
    <col min="21" max="28" width="5.7109375" style="1" hidden="1" customWidth="1"/>
    <col min="29" max="30" width="6.7109375" style="1" hidden="1" customWidth="1"/>
    <col min="31" max="31" width="6.140625" style="103" hidden="1" customWidth="1"/>
    <col min="32" max="32" width="7.7109375" style="103" hidden="1" customWidth="1"/>
    <col min="33" max="33" width="5.7109375" style="1"/>
    <col min="34" max="52" width="0" style="1" hidden="1" customWidth="1"/>
    <col min="53" max="206" width="5.7109375" style="1" hidden="1" customWidth="1"/>
    <col min="207" max="207" width="8.7109375" style="1" customWidth="1"/>
    <col min="208" max="223" width="5.7109375" style="1" hidden="1" customWidth="1"/>
    <col min="224" max="225" width="15.7109375" style="1" hidden="1" customWidth="1"/>
    <col min="226" max="226" width="8.7109375" style="1" customWidth="1"/>
    <col min="227" max="16384" width="5.7109375" style="1"/>
  </cols>
  <sheetData>
    <row r="1" spans="1:226" s="3" customFormat="1" ht="14.45" customHeight="1" thickBot="1" x14ac:dyDescent="0.25">
      <c r="A1" s="298"/>
      <c r="B1" s="298"/>
      <c r="C1" s="298"/>
      <c r="D1" s="298"/>
      <c r="E1" s="297"/>
      <c r="F1" s="297"/>
      <c r="G1" s="297"/>
      <c r="H1" s="297"/>
      <c r="I1" s="402"/>
      <c r="J1" s="1705" t="e">
        <f>IF(R1="","",VLOOKUP(R1,#REF!,4,FALSE))</f>
        <v>#REF!</v>
      </c>
      <c r="K1" s="1705"/>
      <c r="L1" s="1705"/>
      <c r="M1" s="298"/>
      <c r="N1" s="408" t="s">
        <v>77</v>
      </c>
      <c r="O1" s="401"/>
      <c r="P1" s="409" t="e">
        <f>#REF!</f>
        <v>#REF!</v>
      </c>
      <c r="Q1" s="423" t="s">
        <v>378</v>
      </c>
      <c r="R1" s="302" t="e">
        <f>#REF!</f>
        <v>#REF!</v>
      </c>
      <c r="S1" s="302" t="e">
        <f>#REF!</f>
        <v>#REF!</v>
      </c>
      <c r="T1" s="708" t="s">
        <v>559</v>
      </c>
      <c r="AE1" s="577"/>
      <c r="AF1" s="577"/>
      <c r="AG1" s="424" t="s">
        <v>379</v>
      </c>
      <c r="GY1" s="436" t="s">
        <v>371</v>
      </c>
      <c r="HA1" s="154"/>
      <c r="HB1" s="154"/>
      <c r="HC1" s="154"/>
      <c r="HD1" s="156"/>
      <c r="HE1" s="307"/>
      <c r="HF1" s="154"/>
      <c r="HG1" s="154"/>
      <c r="HH1" s="154"/>
      <c r="HI1" s="154"/>
      <c r="HJ1" s="154"/>
      <c r="HK1" s="154"/>
      <c r="HL1" s="154"/>
      <c r="HM1" s="154"/>
      <c r="HN1" s="154"/>
      <c r="HO1" s="154"/>
      <c r="HP1" s="154"/>
      <c r="HQ1" s="154"/>
      <c r="HR1" s="424" t="s">
        <v>716</v>
      </c>
    </row>
    <row r="2" spans="1:226" s="3" customFormat="1" ht="12.95" customHeight="1" thickTop="1" x14ac:dyDescent="0.2">
      <c r="A2" s="298"/>
      <c r="B2" s="298"/>
      <c r="C2" s="298"/>
      <c r="D2" s="298"/>
      <c r="E2" s="308"/>
      <c r="F2" s="308"/>
      <c r="G2" s="308"/>
      <c r="H2" s="308"/>
      <c r="I2" s="402"/>
      <c r="J2" s="1711" t="e">
        <f>IF(R1="","",IF(VLOOKUP(R1,#REF!,2,FALSE),"Released for Fabrication",""))</f>
        <v>#REF!</v>
      </c>
      <c r="K2" s="1750"/>
      <c r="L2" s="1751"/>
      <c r="M2" s="298"/>
      <c r="N2" s="408" t="s">
        <v>78</v>
      </c>
      <c r="O2" s="401"/>
      <c r="P2" s="409" t="e">
        <f>#REF!</f>
        <v>#REF!</v>
      </c>
      <c r="S2" s="16"/>
      <c r="T2" s="16"/>
      <c r="AE2" s="577"/>
      <c r="AF2" s="577"/>
      <c r="GZ2" s="303"/>
      <c r="HA2" s="154"/>
      <c r="HB2" s="154"/>
      <c r="HC2" s="154"/>
      <c r="HD2" s="156"/>
      <c r="HE2" s="307"/>
      <c r="HF2" s="154"/>
      <c r="HG2" s="154"/>
      <c r="HH2" s="154"/>
      <c r="HI2" s="154"/>
      <c r="HJ2" s="154"/>
      <c r="HK2" s="154"/>
      <c r="HL2" s="154"/>
      <c r="HM2" s="154"/>
      <c r="HN2" s="154"/>
      <c r="HO2" s="154"/>
      <c r="HP2" s="154"/>
      <c r="HQ2" s="154"/>
    </row>
    <row r="3" spans="1:226" s="3" customFormat="1" ht="12.95" customHeight="1" x14ac:dyDescent="0.2">
      <c r="A3" s="298"/>
      <c r="B3" s="298"/>
      <c r="C3" s="298"/>
      <c r="D3" s="298"/>
      <c r="E3" s="297"/>
      <c r="F3" s="298"/>
      <c r="G3" s="298"/>
      <c r="H3" s="298"/>
      <c r="I3" s="402"/>
      <c r="J3" s="1752"/>
      <c r="K3" s="1753"/>
      <c r="L3" s="1754"/>
      <c r="M3" s="298"/>
      <c r="N3" s="408" t="s">
        <v>80</v>
      </c>
      <c r="O3" s="298"/>
      <c r="P3" s="409" t="e">
        <f>#REF!</f>
        <v>#REF!</v>
      </c>
      <c r="AE3" s="577"/>
      <c r="AF3" s="577"/>
      <c r="GZ3" s="154"/>
      <c r="HA3" s="154"/>
      <c r="HB3" s="154"/>
      <c r="HC3" s="154"/>
      <c r="HD3" s="156"/>
      <c r="HE3" s="307"/>
      <c r="HF3" s="154"/>
      <c r="HG3" s="154"/>
      <c r="HH3" s="154"/>
      <c r="HI3" s="154"/>
      <c r="HJ3" s="154"/>
      <c r="HK3" s="154"/>
      <c r="HL3" s="154"/>
      <c r="HM3" s="154"/>
      <c r="HN3" s="154"/>
      <c r="HO3" s="154"/>
      <c r="HP3" s="154"/>
      <c r="HQ3" s="154"/>
    </row>
    <row r="4" spans="1:226" s="3" customFormat="1" ht="12.95" customHeight="1" thickBot="1" x14ac:dyDescent="0.25">
      <c r="A4" s="298"/>
      <c r="B4" s="298"/>
      <c r="C4" s="298"/>
      <c r="D4" s="298"/>
      <c r="E4" s="298"/>
      <c r="F4" s="298"/>
      <c r="G4" s="298"/>
      <c r="H4" s="298"/>
      <c r="I4" s="402"/>
      <c r="J4" s="1717" t="e">
        <f>IF(R1="","",IF(VLOOKUP(R1,#REF!,2,FALSE),VLOOKUP(R1,#REF!,3,FALSE),""))</f>
        <v>#REF!</v>
      </c>
      <c r="K4" s="1755"/>
      <c r="L4" s="1756"/>
      <c r="M4" s="298"/>
      <c r="N4" s="408" t="s">
        <v>79</v>
      </c>
      <c r="O4" s="298"/>
      <c r="P4" s="409" t="e">
        <f>#REF!</f>
        <v>#REF!</v>
      </c>
      <c r="AE4" s="577"/>
      <c r="AF4" s="577"/>
      <c r="GZ4" s="154"/>
      <c r="HA4" s="154"/>
      <c r="HB4" s="154"/>
      <c r="HC4" s="154"/>
      <c r="HD4" s="156"/>
      <c r="HE4" s="307"/>
      <c r="HF4" s="154"/>
      <c r="HG4" s="154"/>
      <c r="HH4" s="154"/>
      <c r="HI4" s="154"/>
      <c r="HJ4" s="154"/>
      <c r="HK4" s="154"/>
      <c r="HL4" s="154"/>
      <c r="HM4" s="154"/>
      <c r="HN4" s="154"/>
      <c r="HO4" s="154"/>
      <c r="HP4" s="154"/>
      <c r="HQ4" s="154"/>
    </row>
    <row r="5" spans="1:226" s="13" customFormat="1" ht="12.95" customHeight="1" thickTop="1" x14ac:dyDescent="0.2">
      <c r="A5" s="2033" t="e">
        <f>#REF!</f>
        <v>#REF!</v>
      </c>
      <c r="B5" s="2280"/>
      <c r="C5" s="2280"/>
      <c r="D5" s="2280"/>
      <c r="E5" s="2280"/>
      <c r="F5" s="2280"/>
      <c r="G5" s="2417"/>
      <c r="H5" s="402"/>
      <c r="I5" s="402"/>
      <c r="J5" s="402"/>
      <c r="K5" s="402"/>
      <c r="L5" s="402"/>
      <c r="M5" s="402"/>
      <c r="N5" s="402"/>
      <c r="O5" s="402"/>
      <c r="P5" s="402"/>
      <c r="AE5" s="577"/>
      <c r="AF5" s="577"/>
      <c r="GZ5" s="154"/>
      <c r="HA5" s="154"/>
      <c r="HB5" s="154"/>
      <c r="HC5" s="154"/>
      <c r="HD5" s="156"/>
      <c r="HE5" s="307"/>
      <c r="HF5" s="154"/>
      <c r="HG5" s="154"/>
      <c r="HH5" s="154"/>
      <c r="HI5" s="154"/>
      <c r="HJ5" s="154"/>
      <c r="HK5" s="154"/>
      <c r="HL5" s="154"/>
      <c r="HM5" s="154"/>
      <c r="HN5" s="154"/>
      <c r="HO5" s="154"/>
      <c r="HP5" s="154"/>
      <c r="HQ5" s="154"/>
    </row>
    <row r="6" spans="1:226" s="3" customFormat="1" ht="12.95" customHeight="1" x14ac:dyDescent="0.2">
      <c r="A6" s="298"/>
      <c r="B6" s="298"/>
      <c r="C6" s="298"/>
      <c r="D6" s="298"/>
      <c r="E6" s="297"/>
      <c r="F6" s="298"/>
      <c r="G6" s="298"/>
      <c r="H6" s="298"/>
      <c r="I6" s="298"/>
      <c r="J6" s="298"/>
      <c r="K6" s="402"/>
      <c r="L6" s="402"/>
      <c r="M6" s="402"/>
      <c r="N6" s="1016" t="s">
        <v>20</v>
      </c>
      <c r="O6" s="2401" t="e">
        <f>IF(ISBLANK(#REF!),"",#REF!)</f>
        <v>#REF!</v>
      </c>
      <c r="P6" s="2401"/>
      <c r="R6" s="995" t="s">
        <v>705</v>
      </c>
      <c r="AE6" s="577"/>
      <c r="AF6" s="577"/>
      <c r="GZ6" s="154"/>
      <c r="HA6" s="154"/>
      <c r="HB6" s="154"/>
      <c r="HC6" s="154"/>
      <c r="HD6" s="156"/>
      <c r="HE6" s="307"/>
      <c r="HF6" s="154"/>
      <c r="HG6" s="154"/>
      <c r="HH6" s="154"/>
      <c r="HI6" s="154"/>
      <c r="HJ6" s="154"/>
      <c r="HK6" s="154"/>
      <c r="HL6" s="154"/>
      <c r="HM6" s="154"/>
      <c r="HN6" s="154"/>
      <c r="HO6" s="154"/>
      <c r="HP6" s="154"/>
      <c r="HQ6" s="154"/>
    </row>
    <row r="7" spans="1:226" ht="12.95" customHeight="1" x14ac:dyDescent="0.2">
      <c r="A7" s="321" t="s">
        <v>39</v>
      </c>
      <c r="B7" s="322"/>
      <c r="C7" s="322"/>
      <c r="D7" s="322"/>
      <c r="E7" s="322"/>
      <c r="F7" s="322"/>
      <c r="G7" s="403"/>
      <c r="H7" s="1016" t="s">
        <v>26</v>
      </c>
      <c r="I7" s="2411"/>
      <c r="J7" s="2412"/>
      <c r="K7" s="2412"/>
      <c r="L7" s="1885"/>
      <c r="M7" s="402"/>
      <c r="N7" s="1017" t="s">
        <v>21</v>
      </c>
      <c r="O7" s="1107" t="e">
        <f>CONCATENATE(R7, " of ",IF(ISBLANK(#REF!),"",#REF!))</f>
        <v>#REF!</v>
      </c>
      <c r="P7" s="605"/>
      <c r="R7" s="996"/>
      <c r="GZ7" s="154"/>
      <c r="HA7" s="154"/>
      <c r="HB7" s="154"/>
      <c r="HC7" s="154"/>
      <c r="HD7" s="156"/>
      <c r="HE7" s="307"/>
      <c r="HF7" s="154"/>
      <c r="HG7" s="154"/>
      <c r="HH7" s="154"/>
      <c r="HI7" s="154"/>
      <c r="HJ7" s="154"/>
      <c r="HK7" s="154"/>
      <c r="HL7" s="154"/>
      <c r="HM7" s="154"/>
      <c r="HN7" s="154"/>
      <c r="HO7" s="154"/>
      <c r="HP7" s="154"/>
      <c r="HQ7" s="154"/>
    </row>
    <row r="8" spans="1:226" ht="2.85" customHeight="1" x14ac:dyDescent="0.2">
      <c r="A8" s="322"/>
      <c r="B8" s="322"/>
      <c r="C8" s="322"/>
      <c r="D8" s="322"/>
      <c r="E8" s="322"/>
      <c r="F8" s="322"/>
      <c r="G8" s="322"/>
      <c r="H8" s="322"/>
      <c r="I8" s="2408" t="str">
        <f>IF(I7="NO PAINT - GALV","GALV. BOLTS","")</f>
        <v/>
      </c>
      <c r="J8" s="2408"/>
      <c r="K8" s="2408"/>
      <c r="L8" s="322"/>
      <c r="M8" s="322"/>
      <c r="N8" s="322"/>
      <c r="O8" s="322"/>
      <c r="P8" s="322"/>
      <c r="GZ8" s="154"/>
      <c r="HA8" s="154"/>
      <c r="HB8" s="154"/>
      <c r="HC8" s="154"/>
      <c r="HD8" s="156"/>
      <c r="HE8" s="307"/>
      <c r="HF8" s="154"/>
      <c r="HG8" s="154"/>
      <c r="HH8" s="154"/>
      <c r="HI8" s="154"/>
      <c r="HJ8" s="154"/>
      <c r="HK8" s="154"/>
      <c r="HL8" s="154"/>
      <c r="HM8" s="154"/>
      <c r="HN8" s="154"/>
      <c r="HO8" s="154"/>
      <c r="HP8" s="154"/>
      <c r="HQ8" s="154"/>
    </row>
    <row r="9" spans="1:226" ht="12.2" customHeight="1" x14ac:dyDescent="0.2">
      <c r="A9" s="1015" t="s">
        <v>1</v>
      </c>
      <c r="B9" s="144"/>
      <c r="C9" s="1699" t="e">
        <f>IF(ISBLANK(#REF!),"",#REF!)</f>
        <v>#REF!</v>
      </c>
      <c r="D9" s="1699"/>
      <c r="E9" s="1699"/>
      <c r="F9" s="1699"/>
      <c r="G9" s="2418"/>
      <c r="H9" s="404"/>
      <c r="I9" s="1012" t="s">
        <v>2</v>
      </c>
      <c r="J9" s="1699" t="e">
        <f>IF(ISBLANK(#REF!),"",#REF!)</f>
        <v>#REF!</v>
      </c>
      <c r="K9" s="1699"/>
      <c r="L9" s="1699"/>
      <c r="M9" s="1699"/>
      <c r="N9" s="1699"/>
      <c r="O9" s="1699"/>
      <c r="P9" s="1700"/>
      <c r="GZ9" s="154"/>
      <c r="HA9" s="154"/>
      <c r="HB9" s="154"/>
      <c r="HC9" s="154"/>
      <c r="HD9" s="156"/>
      <c r="HE9" s="307"/>
      <c r="HF9" s="154"/>
      <c r="HG9" s="154"/>
      <c r="HH9" s="154"/>
      <c r="HI9" s="154"/>
      <c r="HJ9" s="154"/>
      <c r="HK9" s="154"/>
      <c r="HL9" s="154"/>
      <c r="HM9" s="154"/>
      <c r="HN9" s="154"/>
      <c r="HO9" s="154"/>
      <c r="HP9" s="154"/>
      <c r="HQ9" s="154"/>
    </row>
    <row r="10" spans="1:226" ht="12.2" customHeight="1" thickBot="1" x14ac:dyDescent="0.25">
      <c r="A10" s="1015" t="s">
        <v>3</v>
      </c>
      <c r="B10" s="144"/>
      <c r="C10" s="1699" t="e">
        <f>IF(ISBLANK(#REF!),"",#REF!)</f>
        <v>#REF!</v>
      </c>
      <c r="D10" s="1699"/>
      <c r="E10" s="1699"/>
      <c r="F10" s="1699"/>
      <c r="G10" s="2418"/>
      <c r="H10" s="404"/>
      <c r="I10" s="1015" t="s">
        <v>22</v>
      </c>
      <c r="J10" s="1699" t="e">
        <f>IF(ISBLANK(#REF!),"",#REF!)</f>
        <v>#REF!</v>
      </c>
      <c r="K10" s="1699"/>
      <c r="L10" s="1700"/>
      <c r="M10" s="405"/>
      <c r="N10" s="1012" t="s">
        <v>23</v>
      </c>
      <c r="O10" s="1699" t="e">
        <f>IF(ISBLANK(#REF!),"",#REF!)</f>
        <v>#REF!</v>
      </c>
      <c r="P10" s="1700"/>
      <c r="GZ10" s="154"/>
      <c r="HA10" s="174">
        <v>1</v>
      </c>
      <c r="HB10" s="174">
        <f t="shared" ref="HB10:HP10" si="0">HA10+1</f>
        <v>2</v>
      </c>
      <c r="HC10" s="174">
        <f t="shared" si="0"/>
        <v>3</v>
      </c>
      <c r="HD10" s="174">
        <f t="shared" si="0"/>
        <v>4</v>
      </c>
      <c r="HE10" s="174">
        <f t="shared" si="0"/>
        <v>5</v>
      </c>
      <c r="HF10" s="174">
        <f t="shared" si="0"/>
        <v>6</v>
      </c>
      <c r="HG10" s="174">
        <f t="shared" si="0"/>
        <v>7</v>
      </c>
      <c r="HH10" s="174">
        <f t="shared" si="0"/>
        <v>8</v>
      </c>
      <c r="HI10" s="174">
        <f t="shared" si="0"/>
        <v>9</v>
      </c>
      <c r="HJ10" s="174">
        <f t="shared" si="0"/>
        <v>10</v>
      </c>
      <c r="HK10" s="174">
        <f t="shared" si="0"/>
        <v>11</v>
      </c>
      <c r="HL10" s="174">
        <f t="shared" si="0"/>
        <v>12</v>
      </c>
      <c r="HM10" s="174">
        <f t="shared" si="0"/>
        <v>13</v>
      </c>
      <c r="HN10" s="174">
        <f t="shared" si="0"/>
        <v>14</v>
      </c>
      <c r="HO10" s="174">
        <f t="shared" si="0"/>
        <v>15</v>
      </c>
      <c r="HP10" s="174">
        <f t="shared" si="0"/>
        <v>16</v>
      </c>
    </row>
    <row r="11" spans="1:226" ht="49.5" customHeight="1" thickTop="1" thickBot="1" x14ac:dyDescent="0.25">
      <c r="A11" s="5"/>
      <c r="B11" s="5"/>
      <c r="C11" s="5"/>
      <c r="D11" s="5"/>
      <c r="E11" s="5"/>
      <c r="F11" s="5"/>
      <c r="G11" s="5"/>
      <c r="H11" s="5"/>
      <c r="I11" s="5"/>
      <c r="J11" s="5"/>
      <c r="K11" s="5"/>
      <c r="L11" s="5"/>
      <c r="M11" s="5"/>
      <c r="N11" s="5"/>
      <c r="O11" s="5"/>
      <c r="P11" s="5"/>
      <c r="GZ11" s="154"/>
      <c r="HA11" s="2447" t="s">
        <v>297</v>
      </c>
      <c r="HB11" s="2448"/>
      <c r="HC11" s="2448"/>
      <c r="HD11" s="2448"/>
      <c r="HE11" s="2448"/>
      <c r="HF11" s="2448"/>
      <c r="HG11" s="2448"/>
      <c r="HH11" s="2448"/>
      <c r="HI11" s="2448"/>
      <c r="HJ11" s="2448"/>
      <c r="HK11" s="2448"/>
      <c r="HL11" s="2448"/>
      <c r="HM11" s="2448"/>
      <c r="HN11" s="2448"/>
      <c r="HO11" s="2448"/>
      <c r="HP11" s="2449"/>
    </row>
    <row r="12" spans="1:226" ht="12.6" customHeight="1" thickTop="1" thickBot="1" x14ac:dyDescent="0.25">
      <c r="A12" s="2426" t="s">
        <v>40</v>
      </c>
      <c r="B12" s="2427"/>
      <c r="C12" s="1849" t="s">
        <v>102</v>
      </c>
      <c r="D12" s="1850" t="s">
        <v>343</v>
      </c>
      <c r="E12" s="1848" t="s">
        <v>344</v>
      </c>
      <c r="F12" s="2442" t="s">
        <v>36</v>
      </c>
      <c r="G12" s="1848" t="s">
        <v>70</v>
      </c>
      <c r="H12" s="2442"/>
      <c r="I12" s="2444" t="s">
        <v>345</v>
      </c>
      <c r="J12" s="1850"/>
      <c r="K12" s="1848" t="s">
        <v>81</v>
      </c>
      <c r="L12" s="2445"/>
      <c r="M12" s="2444" t="s">
        <v>82</v>
      </c>
      <c r="N12" s="1849" t="s">
        <v>83</v>
      </c>
      <c r="O12" s="1850" t="s">
        <v>84</v>
      </c>
      <c r="P12" s="970" t="s">
        <v>346</v>
      </c>
      <c r="Q12" s="1282"/>
      <c r="GZ12" s="154"/>
      <c r="HA12" s="2436" t="s">
        <v>308</v>
      </c>
      <c r="HB12" s="2438" t="s">
        <v>721</v>
      </c>
      <c r="HC12" s="2438" t="s">
        <v>707</v>
      </c>
      <c r="HD12" s="2433" t="s">
        <v>717</v>
      </c>
      <c r="HE12" s="2433" t="s">
        <v>330</v>
      </c>
      <c r="HF12" s="2422" t="s">
        <v>347</v>
      </c>
      <c r="HG12" s="2422" t="s">
        <v>722</v>
      </c>
      <c r="HH12" s="2422" t="s">
        <v>723</v>
      </c>
      <c r="HI12" s="2422" t="s">
        <v>724</v>
      </c>
      <c r="HJ12" s="2422" t="s">
        <v>725</v>
      </c>
      <c r="HK12" s="2422" t="s">
        <v>726</v>
      </c>
      <c r="HL12" s="2422" t="s">
        <v>727</v>
      </c>
      <c r="HM12" s="2422" t="s">
        <v>718</v>
      </c>
      <c r="HN12" s="2433" t="s">
        <v>719</v>
      </c>
      <c r="HO12" s="2433" t="s">
        <v>720</v>
      </c>
      <c r="HP12" s="2440" t="s">
        <v>177</v>
      </c>
    </row>
    <row r="13" spans="1:226" ht="12.6" customHeight="1" thickTop="1" thickBot="1" x14ac:dyDescent="0.25">
      <c r="A13" s="2415"/>
      <c r="B13" s="2407"/>
      <c r="C13" s="1849"/>
      <c r="D13" s="1850"/>
      <c r="E13" s="1848"/>
      <c r="F13" s="2443"/>
      <c r="G13" s="1279" t="s">
        <v>308</v>
      </c>
      <c r="H13" s="974" t="s">
        <v>139</v>
      </c>
      <c r="I13" s="973" t="s">
        <v>308</v>
      </c>
      <c r="J13" s="1280" t="s">
        <v>139</v>
      </c>
      <c r="K13" s="2446"/>
      <c r="L13" s="2445"/>
      <c r="M13" s="1854"/>
      <c r="N13" s="1819"/>
      <c r="O13" s="1820"/>
      <c r="P13" s="971" t="s">
        <v>57</v>
      </c>
      <c r="Q13" s="1283" t="s">
        <v>689</v>
      </c>
      <c r="R13" s="296" t="s">
        <v>138</v>
      </c>
      <c r="S13" s="296" t="s">
        <v>402</v>
      </c>
      <c r="T13" s="296" t="s">
        <v>709</v>
      </c>
      <c r="GZ13" s="154"/>
      <c r="HA13" s="2437"/>
      <c r="HB13" s="2439"/>
      <c r="HC13" s="2439"/>
      <c r="HD13" s="2434"/>
      <c r="HE13" s="2434"/>
      <c r="HF13" s="2423"/>
      <c r="HG13" s="2423"/>
      <c r="HH13" s="2423"/>
      <c r="HI13" s="2423"/>
      <c r="HJ13" s="2423"/>
      <c r="HK13" s="2423"/>
      <c r="HL13" s="2423"/>
      <c r="HM13" s="2423"/>
      <c r="HN13" s="2434"/>
      <c r="HO13" s="2434"/>
      <c r="HP13" s="2441"/>
    </row>
    <row r="14" spans="1:226" ht="12.6" customHeight="1" thickTop="1" x14ac:dyDescent="0.25">
      <c r="A14" s="1348"/>
      <c r="B14" s="1349"/>
      <c r="C14" s="1563"/>
      <c r="D14" s="1350"/>
      <c r="E14" s="1348"/>
      <c r="F14" s="1351"/>
      <c r="G14" s="1348"/>
      <c r="H14" s="1352"/>
      <c r="I14" s="1353"/>
      <c r="J14" s="1354"/>
      <c r="K14" s="1355"/>
      <c r="L14" s="1356"/>
      <c r="M14" s="1357"/>
      <c r="N14" s="1358"/>
      <c r="O14" s="1359"/>
      <c r="P14" s="1360"/>
      <c r="Q14" s="1284" t="b">
        <v>0</v>
      </c>
      <c r="R14" s="406" t="b">
        <v>0</v>
      </c>
      <c r="S14" s="399" t="e">
        <f>AND($S$1,C14=0)</f>
        <v>#REF!</v>
      </c>
      <c r="T14" s="399" t="b">
        <f>IF(OR(ISBLANK(D14),ISBLANK(E14),ISBLANK(F14),ISERROR(MATCH(F14,$AB$27:$AB$34,0))),FALSE,IF(ISERROR(FIND("B",$E14)),FALSE,IF(ISBLANK($D14),FALSE,IF(ISERROR(VLOOKUP(TRIM($D14),$AE$27:$AF$192,2,FALSE)),TRUE,VLOOKUP(TRIM($F14),$AB$27:$AD$34,IF(ISERROR(FIND("X",$E14)),3,2),FALSE)&lt;=VLOOKUP(TRIM($D14),$AE$27:$AF$192,2,FALSE)))))</f>
        <v>0</v>
      </c>
      <c r="GZ14" s="154"/>
      <c r="HA14" s="1070"/>
      <c r="HB14" s="1071"/>
      <c r="HC14" s="1071"/>
      <c r="HD14" s="1076"/>
      <c r="HE14" s="1077"/>
      <c r="HF14" s="1071"/>
      <c r="HG14" s="1071"/>
      <c r="HH14" s="1071"/>
      <c r="HI14" s="1078"/>
      <c r="HJ14" s="1071"/>
      <c r="HK14" s="1071"/>
      <c r="HL14" s="1071"/>
      <c r="HM14" s="1071"/>
      <c r="HN14" s="1071"/>
      <c r="HO14" s="1071"/>
      <c r="HP14" s="1079"/>
      <c r="HQ14" s="1105"/>
    </row>
    <row r="15" spans="1:226" ht="12.6" customHeight="1" x14ac:dyDescent="0.25">
      <c r="A15" s="1323"/>
      <c r="B15" s="1324"/>
      <c r="C15" s="1564"/>
      <c r="D15" s="1325"/>
      <c r="E15" s="1323"/>
      <c r="F15" s="1326"/>
      <c r="G15" s="1323"/>
      <c r="H15" s="662"/>
      <c r="I15" s="1327"/>
      <c r="J15" s="1328"/>
      <c r="K15" s="1329"/>
      <c r="L15" s="1330"/>
      <c r="M15" s="1331"/>
      <c r="N15" s="1332"/>
      <c r="O15" s="1361"/>
      <c r="P15" s="1334"/>
      <c r="Q15" s="1284" t="b">
        <v>0</v>
      </c>
      <c r="R15" s="406" t="b">
        <v>0</v>
      </c>
      <c r="S15" s="399" t="e">
        <f t="shared" ref="S15:S42" si="1">AND($S$1,C15=0)</f>
        <v>#REF!</v>
      </c>
      <c r="T15" s="399" t="b">
        <f t="shared" ref="T15:T41" si="2">IF(OR(ISBLANK(D15),ISBLANK(E15),ISBLANK(F15),ISERROR(MATCH(F15,$AB$27:$AB$34,0))),FALSE,IF(ISERROR(FIND("B",$E15)),FALSE,IF(ISBLANK($D15),FALSE,IF(ISERROR(VLOOKUP(TRIM($D15),$AE$27:$AF$192,2,FALSE)),TRUE,VLOOKUP(TRIM($F15),$AB$27:$AD$34,IF(ISERROR(FIND("X",$E15)),3,2),FALSE)&lt;=VLOOKUP(TRIM($D15),$AE$27:$AF$192,2,FALSE)))))</f>
        <v>0</v>
      </c>
      <c r="GZ15" s="154"/>
      <c r="HA15" s="1072"/>
      <c r="HB15" s="1073"/>
      <c r="HC15" s="1073"/>
      <c r="HD15" s="1080"/>
      <c r="HE15" s="1081"/>
      <c r="HF15" s="1073"/>
      <c r="HG15" s="1073"/>
      <c r="HH15" s="1073"/>
      <c r="HI15" s="1082"/>
      <c r="HJ15" s="1073"/>
      <c r="HK15" s="1073"/>
      <c r="HL15" s="1073"/>
      <c r="HM15" s="1073"/>
      <c r="HN15" s="1073"/>
      <c r="HO15" s="1073"/>
      <c r="HP15" s="1083"/>
      <c r="HQ15" s="1105"/>
    </row>
    <row r="16" spans="1:226" ht="12.6" customHeight="1" x14ac:dyDescent="0.25">
      <c r="A16" s="1323"/>
      <c r="B16" s="1324"/>
      <c r="C16" s="1564"/>
      <c r="D16" s="1325"/>
      <c r="E16" s="1323"/>
      <c r="F16" s="1326"/>
      <c r="G16" s="1323"/>
      <c r="H16" s="662"/>
      <c r="I16" s="1327"/>
      <c r="J16" s="1328"/>
      <c r="K16" s="1329"/>
      <c r="L16" s="1330"/>
      <c r="M16" s="1331"/>
      <c r="N16" s="1332"/>
      <c r="O16" s="1361"/>
      <c r="P16" s="1334"/>
      <c r="Q16" s="1284" t="b">
        <v>0</v>
      </c>
      <c r="R16" s="406" t="b">
        <v>0</v>
      </c>
      <c r="S16" s="399" t="e">
        <f t="shared" si="1"/>
        <v>#REF!</v>
      </c>
      <c r="T16" s="399" t="b">
        <f t="shared" si="2"/>
        <v>0</v>
      </c>
      <c r="GZ16" s="154"/>
      <c r="HA16" s="1072"/>
      <c r="HB16" s="1073"/>
      <c r="HC16" s="1073"/>
      <c r="HD16" s="1080"/>
      <c r="HE16" s="1081"/>
      <c r="HF16" s="1073"/>
      <c r="HG16" s="1073"/>
      <c r="HH16" s="1073"/>
      <c r="HI16" s="1082"/>
      <c r="HJ16" s="1073"/>
      <c r="HK16" s="1073"/>
      <c r="HL16" s="1073"/>
      <c r="HM16" s="1073"/>
      <c r="HN16" s="1073"/>
      <c r="HO16" s="1073"/>
      <c r="HP16" s="1083"/>
      <c r="HQ16" s="1105"/>
    </row>
    <row r="17" spans="1:225" ht="12.6" customHeight="1" x14ac:dyDescent="0.25">
      <c r="A17" s="1323"/>
      <c r="B17" s="1324"/>
      <c r="C17" s="1564"/>
      <c r="D17" s="1325"/>
      <c r="E17" s="1323"/>
      <c r="F17" s="1326"/>
      <c r="G17" s="1323"/>
      <c r="H17" s="662"/>
      <c r="I17" s="1327"/>
      <c r="J17" s="1328"/>
      <c r="K17" s="1329"/>
      <c r="L17" s="1330"/>
      <c r="M17" s="1331"/>
      <c r="N17" s="1332"/>
      <c r="O17" s="1361"/>
      <c r="P17" s="1334"/>
      <c r="Q17" s="1284" t="b">
        <v>0</v>
      </c>
      <c r="R17" s="406" t="b">
        <v>0</v>
      </c>
      <c r="S17" s="399" t="e">
        <f t="shared" si="1"/>
        <v>#REF!</v>
      </c>
      <c r="T17" s="399" t="b">
        <f t="shared" si="2"/>
        <v>0</v>
      </c>
      <c r="HA17" s="1072"/>
      <c r="HB17" s="1073"/>
      <c r="HC17" s="1073"/>
      <c r="HD17" s="1080"/>
      <c r="HE17" s="1081"/>
      <c r="HF17" s="1073"/>
      <c r="HG17" s="1073"/>
      <c r="HH17" s="1073"/>
      <c r="HI17" s="1082"/>
      <c r="HJ17" s="1073"/>
      <c r="HK17" s="1073"/>
      <c r="HL17" s="1073"/>
      <c r="HM17" s="1073"/>
      <c r="HN17" s="1073"/>
      <c r="HO17" s="1073"/>
      <c r="HP17" s="1083"/>
      <c r="HQ17" s="1105"/>
    </row>
    <row r="18" spans="1:225" ht="12.6" customHeight="1" x14ac:dyDescent="0.25">
      <c r="A18" s="1323"/>
      <c r="B18" s="1324"/>
      <c r="C18" s="1564"/>
      <c r="D18" s="1325"/>
      <c r="E18" s="1323"/>
      <c r="F18" s="1326"/>
      <c r="G18" s="1323"/>
      <c r="H18" s="662"/>
      <c r="I18" s="1327"/>
      <c r="J18" s="1328"/>
      <c r="K18" s="1329"/>
      <c r="L18" s="1330"/>
      <c r="M18" s="1331"/>
      <c r="N18" s="1332"/>
      <c r="O18" s="1361"/>
      <c r="P18" s="1334"/>
      <c r="Q18" s="1284" t="b">
        <v>0</v>
      </c>
      <c r="R18" s="406" t="b">
        <v>0</v>
      </c>
      <c r="S18" s="399" t="e">
        <f t="shared" si="1"/>
        <v>#REF!</v>
      </c>
      <c r="T18" s="399" t="b">
        <f t="shared" si="2"/>
        <v>0</v>
      </c>
      <c r="HA18" s="1072"/>
      <c r="HB18" s="1073"/>
      <c r="HC18" s="1073"/>
      <c r="HD18" s="1080"/>
      <c r="HE18" s="1081"/>
      <c r="HF18" s="1073"/>
      <c r="HG18" s="1073"/>
      <c r="HH18" s="1073"/>
      <c r="HI18" s="1082"/>
      <c r="HJ18" s="1073"/>
      <c r="HK18" s="1073"/>
      <c r="HL18" s="1073"/>
      <c r="HM18" s="1073"/>
      <c r="HN18" s="1073"/>
      <c r="HO18" s="1073"/>
      <c r="HP18" s="1083"/>
      <c r="HQ18" s="1105"/>
    </row>
    <row r="19" spans="1:225" ht="12.6" customHeight="1" x14ac:dyDescent="0.25">
      <c r="A19" s="1323"/>
      <c r="B19" s="1324"/>
      <c r="C19" s="1564"/>
      <c r="D19" s="1325"/>
      <c r="E19" s="1323"/>
      <c r="F19" s="1326"/>
      <c r="G19" s="1323"/>
      <c r="H19" s="662"/>
      <c r="I19" s="1327"/>
      <c r="J19" s="1328"/>
      <c r="K19" s="1329"/>
      <c r="L19" s="1330"/>
      <c r="M19" s="1331"/>
      <c r="N19" s="1332"/>
      <c r="O19" s="1361"/>
      <c r="P19" s="1334"/>
      <c r="Q19" s="1284" t="b">
        <v>0</v>
      </c>
      <c r="R19" s="406" t="b">
        <v>0</v>
      </c>
      <c r="S19" s="399" t="e">
        <f t="shared" si="1"/>
        <v>#REF!</v>
      </c>
      <c r="T19" s="399" t="b">
        <f t="shared" si="2"/>
        <v>0</v>
      </c>
      <c r="HA19" s="1072"/>
      <c r="HB19" s="1073"/>
      <c r="HC19" s="1073"/>
      <c r="HD19" s="1080"/>
      <c r="HE19" s="1081"/>
      <c r="HF19" s="1073"/>
      <c r="HG19" s="1073"/>
      <c r="HH19" s="1073"/>
      <c r="HI19" s="1082"/>
      <c r="HJ19" s="1073"/>
      <c r="HK19" s="1073"/>
      <c r="HL19" s="1073"/>
      <c r="HM19" s="1073"/>
      <c r="HN19" s="1073"/>
      <c r="HO19" s="1073"/>
      <c r="HP19" s="1083"/>
      <c r="HQ19" s="1105"/>
    </row>
    <row r="20" spans="1:225" ht="12.6" customHeight="1" x14ac:dyDescent="0.25">
      <c r="A20" s="1323"/>
      <c r="B20" s="1324"/>
      <c r="C20" s="1564"/>
      <c r="D20" s="1325"/>
      <c r="E20" s="1323"/>
      <c r="F20" s="1326"/>
      <c r="G20" s="1323"/>
      <c r="H20" s="662"/>
      <c r="I20" s="1327"/>
      <c r="J20" s="1328"/>
      <c r="K20" s="1329"/>
      <c r="L20" s="1330"/>
      <c r="M20" s="1331"/>
      <c r="N20" s="1332"/>
      <c r="O20" s="1361"/>
      <c r="P20" s="1334"/>
      <c r="Q20" s="1284" t="b">
        <v>0</v>
      </c>
      <c r="R20" s="406" t="b">
        <v>0</v>
      </c>
      <c r="S20" s="399" t="e">
        <f t="shared" si="1"/>
        <v>#REF!</v>
      </c>
      <c r="T20" s="399" t="b">
        <f t="shared" si="2"/>
        <v>0</v>
      </c>
      <c r="HA20" s="1072"/>
      <c r="HB20" s="1073"/>
      <c r="HC20" s="1073"/>
      <c r="HD20" s="1080"/>
      <c r="HE20" s="1081"/>
      <c r="HF20" s="1073"/>
      <c r="HG20" s="1073"/>
      <c r="HH20" s="1073"/>
      <c r="HI20" s="1082"/>
      <c r="HJ20" s="1073"/>
      <c r="HK20" s="1073"/>
      <c r="HL20" s="1073"/>
      <c r="HM20" s="1073"/>
      <c r="HN20" s="1073"/>
      <c r="HO20" s="1073"/>
      <c r="HP20" s="1083"/>
      <c r="HQ20" s="1105"/>
    </row>
    <row r="21" spans="1:225" ht="12.6" customHeight="1" x14ac:dyDescent="0.25">
      <c r="A21" s="1323"/>
      <c r="B21" s="1324"/>
      <c r="C21" s="1564"/>
      <c r="D21" s="1325"/>
      <c r="E21" s="1323"/>
      <c r="F21" s="1326"/>
      <c r="G21" s="1323"/>
      <c r="H21" s="662"/>
      <c r="I21" s="1327"/>
      <c r="J21" s="1328"/>
      <c r="K21" s="1329"/>
      <c r="L21" s="1330"/>
      <c r="M21" s="1331"/>
      <c r="N21" s="1332"/>
      <c r="O21" s="1361"/>
      <c r="P21" s="1334"/>
      <c r="Q21" s="1284" t="b">
        <v>0</v>
      </c>
      <c r="R21" s="406" t="b">
        <v>0</v>
      </c>
      <c r="S21" s="399" t="e">
        <f t="shared" si="1"/>
        <v>#REF!</v>
      </c>
      <c r="T21" s="399" t="b">
        <f t="shared" si="2"/>
        <v>0</v>
      </c>
      <c r="HA21" s="1072"/>
      <c r="HB21" s="1073"/>
      <c r="HC21" s="1073"/>
      <c r="HD21" s="1080"/>
      <c r="HE21" s="1081"/>
      <c r="HF21" s="1073"/>
      <c r="HG21" s="1073"/>
      <c r="HH21" s="1073"/>
      <c r="HI21" s="1082"/>
      <c r="HJ21" s="1073"/>
      <c r="HK21" s="1073"/>
      <c r="HL21" s="1073"/>
      <c r="HM21" s="1073"/>
      <c r="HN21" s="1073"/>
      <c r="HO21" s="1073"/>
      <c r="HP21" s="1083"/>
      <c r="HQ21" s="1105"/>
    </row>
    <row r="22" spans="1:225" ht="12.6" customHeight="1" x14ac:dyDescent="0.25">
      <c r="A22" s="1323"/>
      <c r="B22" s="1324"/>
      <c r="C22" s="1564"/>
      <c r="D22" s="1325"/>
      <c r="E22" s="1323"/>
      <c r="F22" s="1326"/>
      <c r="G22" s="1323"/>
      <c r="H22" s="662"/>
      <c r="I22" s="1327"/>
      <c r="J22" s="1328"/>
      <c r="K22" s="1329"/>
      <c r="L22" s="1330"/>
      <c r="M22" s="1331"/>
      <c r="N22" s="1332"/>
      <c r="O22" s="1361"/>
      <c r="P22" s="1334"/>
      <c r="Q22" s="1284" t="b">
        <v>0</v>
      </c>
      <c r="R22" s="406" t="b">
        <v>0</v>
      </c>
      <c r="S22" s="399" t="e">
        <f t="shared" si="1"/>
        <v>#REF!</v>
      </c>
      <c r="T22" s="399" t="b">
        <f t="shared" si="2"/>
        <v>0</v>
      </c>
      <c r="HA22" s="1072"/>
      <c r="HB22" s="1073"/>
      <c r="HC22" s="1073"/>
      <c r="HD22" s="1080"/>
      <c r="HE22" s="1081"/>
      <c r="HF22" s="1073"/>
      <c r="HG22" s="1073"/>
      <c r="HH22" s="1073"/>
      <c r="HI22" s="1082"/>
      <c r="HJ22" s="1073"/>
      <c r="HK22" s="1073"/>
      <c r="HL22" s="1073"/>
      <c r="HM22" s="1073"/>
      <c r="HN22" s="1073"/>
      <c r="HO22" s="1073"/>
      <c r="HP22" s="1083"/>
      <c r="HQ22" s="1105"/>
    </row>
    <row r="23" spans="1:225" ht="12.6" customHeight="1" x14ac:dyDescent="0.25">
      <c r="A23" s="1323"/>
      <c r="B23" s="1324"/>
      <c r="C23" s="1564"/>
      <c r="D23" s="1325"/>
      <c r="E23" s="1323"/>
      <c r="F23" s="1326"/>
      <c r="G23" s="1323"/>
      <c r="H23" s="662"/>
      <c r="I23" s="1327"/>
      <c r="J23" s="1328"/>
      <c r="K23" s="1329"/>
      <c r="L23" s="1330"/>
      <c r="M23" s="1331"/>
      <c r="N23" s="1332"/>
      <c r="O23" s="1361"/>
      <c r="P23" s="1334"/>
      <c r="Q23" s="1284" t="b">
        <v>0</v>
      </c>
      <c r="R23" s="406" t="b">
        <v>0</v>
      </c>
      <c r="S23" s="399" t="e">
        <f t="shared" si="1"/>
        <v>#REF!</v>
      </c>
      <c r="T23" s="399" t="b">
        <f t="shared" si="2"/>
        <v>0</v>
      </c>
      <c r="HA23" s="1072"/>
      <c r="HB23" s="1073"/>
      <c r="HC23" s="1073"/>
      <c r="HD23" s="1080"/>
      <c r="HE23" s="1081"/>
      <c r="HF23" s="1073"/>
      <c r="HG23" s="1073"/>
      <c r="HH23" s="1073"/>
      <c r="HI23" s="1082"/>
      <c r="HJ23" s="1073"/>
      <c r="HK23" s="1073"/>
      <c r="HL23" s="1073"/>
      <c r="HM23" s="1073"/>
      <c r="HN23" s="1073"/>
      <c r="HO23" s="1073"/>
      <c r="HP23" s="1083"/>
      <c r="HQ23" s="1105"/>
    </row>
    <row r="24" spans="1:225" ht="12.6" customHeight="1" x14ac:dyDescent="0.25">
      <c r="A24" s="1323"/>
      <c r="B24" s="1324"/>
      <c r="C24" s="1564"/>
      <c r="D24" s="1325"/>
      <c r="E24" s="1323"/>
      <c r="F24" s="1326"/>
      <c r="G24" s="1323"/>
      <c r="H24" s="662"/>
      <c r="I24" s="1327"/>
      <c r="J24" s="1328"/>
      <c r="K24" s="1329"/>
      <c r="L24" s="1330"/>
      <c r="M24" s="1331"/>
      <c r="N24" s="1332"/>
      <c r="O24" s="1361"/>
      <c r="P24" s="1334"/>
      <c r="Q24" s="1284" t="b">
        <v>0</v>
      </c>
      <c r="R24" s="406" t="b">
        <v>0</v>
      </c>
      <c r="S24" s="399" t="e">
        <f t="shared" si="1"/>
        <v>#REF!</v>
      </c>
      <c r="T24" s="399" t="b">
        <f t="shared" si="2"/>
        <v>0</v>
      </c>
      <c r="U24" s="154"/>
      <c r="V24" s="154"/>
      <c r="W24" s="154"/>
      <c r="X24" s="154"/>
      <c r="Y24" s="154"/>
      <c r="Z24" s="154"/>
      <c r="AA24" s="154"/>
      <c r="HA24" s="1072"/>
      <c r="HB24" s="1073"/>
      <c r="HC24" s="1073"/>
      <c r="HD24" s="1080"/>
      <c r="HE24" s="1081"/>
      <c r="HF24" s="1073"/>
      <c r="HG24" s="1073"/>
      <c r="HH24" s="1073"/>
      <c r="HI24" s="1082"/>
      <c r="HJ24" s="1073"/>
      <c r="HK24" s="1073"/>
      <c r="HL24" s="1073"/>
      <c r="HM24" s="1073"/>
      <c r="HN24" s="1073"/>
      <c r="HO24" s="1073"/>
      <c r="HP24" s="1083"/>
      <c r="HQ24" s="1105"/>
    </row>
    <row r="25" spans="1:225" s="8" customFormat="1" ht="12.6" customHeight="1" thickBot="1" x14ac:dyDescent="0.3">
      <c r="A25" s="1323"/>
      <c r="B25" s="1324"/>
      <c r="C25" s="1564"/>
      <c r="D25" s="1325"/>
      <c r="E25" s="1323"/>
      <c r="F25" s="1326"/>
      <c r="G25" s="1323"/>
      <c r="H25" s="662"/>
      <c r="I25" s="1327"/>
      <c r="J25" s="1328"/>
      <c r="K25" s="1329"/>
      <c r="L25" s="1330"/>
      <c r="M25" s="1331"/>
      <c r="N25" s="1332"/>
      <c r="O25" s="1361"/>
      <c r="P25" s="1334"/>
      <c r="Q25" s="1284" t="b">
        <v>0</v>
      </c>
      <c r="R25" s="406" t="b">
        <v>0</v>
      </c>
      <c r="S25" s="399" t="e">
        <f t="shared" si="1"/>
        <v>#REF!</v>
      </c>
      <c r="T25" s="399" t="b">
        <f t="shared" si="2"/>
        <v>0</v>
      </c>
      <c r="U25" s="359">
        <f>COUNTA(U27:U300)</f>
        <v>13</v>
      </c>
      <c r="V25" s="2404" t="s">
        <v>409</v>
      </c>
      <c r="W25" s="359">
        <f>COUNTA(W27:W300)</f>
        <v>9</v>
      </c>
      <c r="X25" s="2402" t="s">
        <v>551</v>
      </c>
      <c r="Y25" s="2403"/>
      <c r="Z25" s="2403"/>
      <c r="AA25" s="2403"/>
      <c r="AB25" s="359"/>
      <c r="AC25" s="2431" t="s">
        <v>710</v>
      </c>
      <c r="AD25" s="2432"/>
      <c r="AE25" s="359">
        <f>COUNTA(AE27:AE300)</f>
        <v>166</v>
      </c>
      <c r="AF25" s="1044"/>
      <c r="HA25" s="1072"/>
      <c r="HB25" s="1073"/>
      <c r="HC25" s="1073"/>
      <c r="HD25" s="1080"/>
      <c r="HE25" s="1081"/>
      <c r="HF25" s="1073"/>
      <c r="HG25" s="1073"/>
      <c r="HH25" s="1073"/>
      <c r="HI25" s="1082"/>
      <c r="HJ25" s="1073"/>
      <c r="HK25" s="1073"/>
      <c r="HL25" s="1073"/>
      <c r="HM25" s="1073"/>
      <c r="HN25" s="1073"/>
      <c r="HO25" s="1073"/>
      <c r="HP25" s="1083"/>
      <c r="HQ25" s="1106"/>
    </row>
    <row r="26" spans="1:225" s="8" customFormat="1" ht="12.6" customHeight="1" thickTop="1" x14ac:dyDescent="0.25">
      <c r="A26" s="1323"/>
      <c r="B26" s="1324"/>
      <c r="C26" s="1564"/>
      <c r="D26" s="1325"/>
      <c r="E26" s="1323"/>
      <c r="F26" s="1326"/>
      <c r="G26" s="1323"/>
      <c r="H26" s="662"/>
      <c r="I26" s="1327"/>
      <c r="J26" s="1328"/>
      <c r="K26" s="1329"/>
      <c r="L26" s="1330"/>
      <c r="M26" s="1331"/>
      <c r="N26" s="1332"/>
      <c r="O26" s="1361"/>
      <c r="P26" s="1334"/>
      <c r="Q26" s="1284" t="b">
        <v>0</v>
      </c>
      <c r="R26" s="406" t="b">
        <v>0</v>
      </c>
      <c r="S26" s="399" t="e">
        <f t="shared" si="1"/>
        <v>#REF!</v>
      </c>
      <c r="T26" s="399" t="b">
        <f t="shared" si="2"/>
        <v>0</v>
      </c>
      <c r="U26" s="359" t="s">
        <v>406</v>
      </c>
      <c r="V26" s="2405"/>
      <c r="W26" s="359" t="s">
        <v>330</v>
      </c>
      <c r="X26" s="359" t="s">
        <v>331</v>
      </c>
      <c r="Y26" s="359" t="s">
        <v>332</v>
      </c>
      <c r="Z26" s="359" t="s">
        <v>333</v>
      </c>
      <c r="AA26" s="359" t="s">
        <v>334</v>
      </c>
      <c r="AB26" s="359" t="s">
        <v>347</v>
      </c>
      <c r="AC26" s="1044" t="s">
        <v>711</v>
      </c>
      <c r="AD26" s="1044" t="s">
        <v>712</v>
      </c>
      <c r="AE26" s="359" t="s">
        <v>428</v>
      </c>
      <c r="AF26" s="1044" t="s">
        <v>708</v>
      </c>
      <c r="HA26" s="1072"/>
      <c r="HB26" s="1073"/>
      <c r="HC26" s="1073"/>
      <c r="HD26" s="1080"/>
      <c r="HE26" s="1081"/>
      <c r="HF26" s="1073"/>
      <c r="HG26" s="1073"/>
      <c r="HH26" s="1073"/>
      <c r="HI26" s="1082"/>
      <c r="HJ26" s="1073"/>
      <c r="HK26" s="1073"/>
      <c r="HL26" s="1073"/>
      <c r="HM26" s="1073"/>
      <c r="HN26" s="1073"/>
      <c r="HO26" s="1073"/>
      <c r="HP26" s="1083"/>
      <c r="HQ26" s="1106"/>
    </row>
    <row r="27" spans="1:225" ht="12.6" customHeight="1" x14ac:dyDescent="0.25">
      <c r="A27" s="1323"/>
      <c r="B27" s="1324"/>
      <c r="C27" s="1564"/>
      <c r="D27" s="1325"/>
      <c r="E27" s="1323"/>
      <c r="F27" s="1326"/>
      <c r="G27" s="1323"/>
      <c r="H27" s="662"/>
      <c r="I27" s="1327"/>
      <c r="J27" s="1328"/>
      <c r="K27" s="1329"/>
      <c r="L27" s="1330"/>
      <c r="M27" s="1331"/>
      <c r="N27" s="1332"/>
      <c r="O27" s="1361"/>
      <c r="P27" s="1334"/>
      <c r="Q27" s="1284" t="b">
        <v>0</v>
      </c>
      <c r="R27" s="406" t="b">
        <v>0</v>
      </c>
      <c r="S27" s="399" t="e">
        <f t="shared" si="1"/>
        <v>#REF!</v>
      </c>
      <c r="T27" s="399" t="b">
        <f t="shared" si="2"/>
        <v>0</v>
      </c>
      <c r="U27" s="497" t="s">
        <v>407</v>
      </c>
      <c r="V27" s="324" t="s">
        <v>335</v>
      </c>
      <c r="W27" s="324" t="s">
        <v>328</v>
      </c>
      <c r="X27" s="324" t="b">
        <v>0</v>
      </c>
      <c r="Y27" s="324" t="b">
        <v>0</v>
      </c>
      <c r="Z27" s="324" t="b">
        <v>0</v>
      </c>
      <c r="AA27" s="324" t="b">
        <v>0</v>
      </c>
      <c r="AB27" s="324" t="s">
        <v>337</v>
      </c>
      <c r="AC27" s="1045">
        <v>1.66</v>
      </c>
      <c r="AD27" s="1045">
        <v>2.38</v>
      </c>
      <c r="AE27" s="571" t="s">
        <v>419</v>
      </c>
      <c r="AF27" s="1046">
        <v>1.1563000000000001</v>
      </c>
      <c r="HA27" s="1072"/>
      <c r="HB27" s="1073"/>
      <c r="HC27" s="1073"/>
      <c r="HD27" s="1080"/>
      <c r="HE27" s="1081"/>
      <c r="HF27" s="1073"/>
      <c r="HG27" s="1073"/>
      <c r="HH27" s="1073"/>
      <c r="HI27" s="1082"/>
      <c r="HJ27" s="1073"/>
      <c r="HK27" s="1073"/>
      <c r="HL27" s="1073"/>
      <c r="HM27" s="1073"/>
      <c r="HN27" s="1073"/>
      <c r="HO27" s="1073"/>
      <c r="HP27" s="1083"/>
      <c r="HQ27" s="1105"/>
    </row>
    <row r="28" spans="1:225" ht="12.6" customHeight="1" x14ac:dyDescent="0.25">
      <c r="A28" s="1323"/>
      <c r="B28" s="1324"/>
      <c r="C28" s="1564"/>
      <c r="D28" s="1325"/>
      <c r="E28" s="1323"/>
      <c r="F28" s="1326"/>
      <c r="G28" s="1323"/>
      <c r="H28" s="662"/>
      <c r="I28" s="1327"/>
      <c r="J28" s="1328"/>
      <c r="K28" s="1329"/>
      <c r="L28" s="1330"/>
      <c r="M28" s="1331"/>
      <c r="N28" s="1332"/>
      <c r="O28" s="1361"/>
      <c r="P28" s="1334"/>
      <c r="Q28" s="1284" t="b">
        <v>0</v>
      </c>
      <c r="R28" s="406" t="b">
        <v>0</v>
      </c>
      <c r="S28" s="399" t="e">
        <f t="shared" si="1"/>
        <v>#REF!</v>
      </c>
      <c r="T28" s="399" t="b">
        <f t="shared" si="2"/>
        <v>0</v>
      </c>
      <c r="U28" s="497" t="s">
        <v>408</v>
      </c>
      <c r="V28" s="324" t="s">
        <v>336</v>
      </c>
      <c r="W28" s="324" t="s">
        <v>335</v>
      </c>
      <c r="X28" s="324" t="b">
        <v>1</v>
      </c>
      <c r="Y28" s="324" t="b">
        <v>1</v>
      </c>
      <c r="Z28" s="324" t="b">
        <v>0</v>
      </c>
      <c r="AA28" s="324" t="b">
        <v>1</v>
      </c>
      <c r="AB28" s="324" t="s">
        <v>338</v>
      </c>
      <c r="AC28" s="1045">
        <v>2.2200000000000002</v>
      </c>
      <c r="AD28" s="1045">
        <v>3.1</v>
      </c>
      <c r="AE28" s="571" t="s">
        <v>420</v>
      </c>
      <c r="AF28" s="1046">
        <v>1.1563000000000001</v>
      </c>
      <c r="HA28" s="1072"/>
      <c r="HB28" s="1073"/>
      <c r="HC28" s="1073"/>
      <c r="HD28" s="1080"/>
      <c r="HE28" s="1081"/>
      <c r="HF28" s="1073"/>
      <c r="HG28" s="1073"/>
      <c r="HH28" s="1073"/>
      <c r="HI28" s="1082"/>
      <c r="HJ28" s="1073"/>
      <c r="HK28" s="1073"/>
      <c r="HL28" s="1073"/>
      <c r="HM28" s="1073"/>
      <c r="HN28" s="1073"/>
      <c r="HO28" s="1073"/>
      <c r="HP28" s="1083"/>
      <c r="HQ28" s="1105"/>
    </row>
    <row r="29" spans="1:225" ht="12.6" customHeight="1" x14ac:dyDescent="0.25">
      <c r="A29" s="1323"/>
      <c r="B29" s="1324"/>
      <c r="C29" s="1564"/>
      <c r="D29" s="1325"/>
      <c r="E29" s="1323"/>
      <c r="F29" s="1326"/>
      <c r="G29" s="1323"/>
      <c r="H29" s="662"/>
      <c r="I29" s="1327"/>
      <c r="J29" s="1328"/>
      <c r="K29" s="1329"/>
      <c r="L29" s="1330"/>
      <c r="M29" s="1331"/>
      <c r="N29" s="1332"/>
      <c r="O29" s="1361"/>
      <c r="P29" s="1334"/>
      <c r="Q29" s="1284" t="b">
        <v>0</v>
      </c>
      <c r="R29" s="406" t="b">
        <v>0</v>
      </c>
      <c r="S29" s="399" t="e">
        <f t="shared" si="1"/>
        <v>#REF!</v>
      </c>
      <c r="T29" s="399" t="b">
        <f t="shared" si="2"/>
        <v>0</v>
      </c>
      <c r="U29" s="571" t="s">
        <v>417</v>
      </c>
      <c r="V29" s="324" t="s">
        <v>381</v>
      </c>
      <c r="W29" s="324" t="s">
        <v>336</v>
      </c>
      <c r="X29" s="324" t="b">
        <v>1</v>
      </c>
      <c r="Y29" s="324" t="b">
        <v>1</v>
      </c>
      <c r="Z29" s="324" t="b">
        <v>1</v>
      </c>
      <c r="AA29" s="324" t="b">
        <v>1</v>
      </c>
      <c r="AB29" s="324" t="s">
        <v>339</v>
      </c>
      <c r="AC29" s="1045">
        <v>2.2200000000000002</v>
      </c>
      <c r="AD29" s="1045">
        <v>3.1</v>
      </c>
      <c r="AE29" s="571" t="s">
        <v>421</v>
      </c>
      <c r="AF29" s="1046">
        <v>1.109</v>
      </c>
      <c r="HA29" s="1072"/>
      <c r="HB29" s="1073"/>
      <c r="HC29" s="1073"/>
      <c r="HD29" s="1080"/>
      <c r="HE29" s="1081"/>
      <c r="HF29" s="1073"/>
      <c r="HG29" s="1073"/>
      <c r="HH29" s="1073"/>
      <c r="HI29" s="1082"/>
      <c r="HJ29" s="1073"/>
      <c r="HK29" s="1073"/>
      <c r="HL29" s="1073"/>
      <c r="HM29" s="1073"/>
      <c r="HN29" s="1073"/>
      <c r="HO29" s="1073"/>
      <c r="HP29" s="1083"/>
      <c r="HQ29" s="1105"/>
    </row>
    <row r="30" spans="1:225" ht="12.6" customHeight="1" x14ac:dyDescent="0.25">
      <c r="A30" s="1323"/>
      <c r="B30" s="1324"/>
      <c r="C30" s="1564"/>
      <c r="D30" s="1325"/>
      <c r="E30" s="1323"/>
      <c r="F30" s="1326"/>
      <c r="G30" s="1323"/>
      <c r="H30" s="662"/>
      <c r="I30" s="1327"/>
      <c r="J30" s="1328"/>
      <c r="K30" s="1329"/>
      <c r="L30" s="1330"/>
      <c r="M30" s="1331"/>
      <c r="N30" s="1332"/>
      <c r="O30" s="1361"/>
      <c r="P30" s="1334"/>
      <c r="Q30" s="1284" t="b">
        <v>0</v>
      </c>
      <c r="R30" s="406" t="b">
        <v>0</v>
      </c>
      <c r="S30" s="399" t="e">
        <f t="shared" si="1"/>
        <v>#REF!</v>
      </c>
      <c r="T30" s="399" t="b">
        <f t="shared" si="2"/>
        <v>0</v>
      </c>
      <c r="U30" s="571" t="s">
        <v>418</v>
      </c>
      <c r="V30" s="324" t="s">
        <v>382</v>
      </c>
      <c r="W30" s="324" t="s">
        <v>380</v>
      </c>
      <c r="X30" s="324" t="b">
        <v>0</v>
      </c>
      <c r="Y30" s="324" t="b">
        <v>1</v>
      </c>
      <c r="Z30" s="324" t="b">
        <v>0</v>
      </c>
      <c r="AA30" s="324" t="b">
        <v>1</v>
      </c>
      <c r="AB30" s="324" t="s">
        <v>340</v>
      </c>
      <c r="AC30" s="1045">
        <v>1.75</v>
      </c>
      <c r="AD30" s="1045">
        <v>3</v>
      </c>
      <c r="AE30" s="571" t="s">
        <v>422</v>
      </c>
      <c r="AF30" s="1046">
        <v>1.125</v>
      </c>
      <c r="HA30" s="1072"/>
      <c r="HB30" s="1073"/>
      <c r="HC30" s="1073"/>
      <c r="HD30" s="1080"/>
      <c r="HE30" s="1081"/>
      <c r="HF30" s="1073"/>
      <c r="HG30" s="1073"/>
      <c r="HH30" s="1073"/>
      <c r="HI30" s="1082"/>
      <c r="HJ30" s="1073"/>
      <c r="HK30" s="1073"/>
      <c r="HL30" s="1073"/>
      <c r="HM30" s="1073"/>
      <c r="HN30" s="1073"/>
      <c r="HO30" s="1073"/>
      <c r="HP30" s="1083"/>
      <c r="HQ30" s="1105"/>
    </row>
    <row r="31" spans="1:225" ht="12.6" customHeight="1" x14ac:dyDescent="0.25">
      <c r="A31" s="1323"/>
      <c r="B31" s="1324"/>
      <c r="C31" s="1564"/>
      <c r="D31" s="1325"/>
      <c r="E31" s="1323"/>
      <c r="F31" s="1326"/>
      <c r="G31" s="1323"/>
      <c r="H31" s="662"/>
      <c r="I31" s="1327"/>
      <c r="J31" s="1328"/>
      <c r="K31" s="1329"/>
      <c r="L31" s="1330"/>
      <c r="M31" s="1331"/>
      <c r="N31" s="1332"/>
      <c r="O31" s="1361"/>
      <c r="P31" s="1334"/>
      <c r="Q31" s="1284" t="b">
        <v>0</v>
      </c>
      <c r="R31" s="406" t="b">
        <v>0</v>
      </c>
      <c r="S31" s="399" t="e">
        <f t="shared" si="1"/>
        <v>#REF!</v>
      </c>
      <c r="T31" s="399" t="b">
        <f t="shared" si="2"/>
        <v>0</v>
      </c>
      <c r="U31" s="571" t="s">
        <v>419</v>
      </c>
      <c r="V31" s="324"/>
      <c r="W31" s="324" t="s">
        <v>381</v>
      </c>
      <c r="X31" s="324" t="b">
        <v>1</v>
      </c>
      <c r="Y31" s="324" t="b">
        <v>1</v>
      </c>
      <c r="Z31" s="324" t="b">
        <v>0</v>
      </c>
      <c r="AA31" s="324" t="b">
        <v>1</v>
      </c>
      <c r="AB31" s="324" t="s">
        <v>341</v>
      </c>
      <c r="AC31" s="1045">
        <v>1.75</v>
      </c>
      <c r="AD31" s="1045">
        <v>3</v>
      </c>
      <c r="AE31" s="571" t="s">
        <v>423</v>
      </c>
      <c r="AF31" s="1046">
        <v>1.119</v>
      </c>
      <c r="HA31" s="1072"/>
      <c r="HB31" s="1073"/>
      <c r="HC31" s="1073"/>
      <c r="HD31" s="1080"/>
      <c r="HE31" s="1081"/>
      <c r="HF31" s="1073"/>
      <c r="HG31" s="1073"/>
      <c r="HH31" s="1073"/>
      <c r="HI31" s="1082"/>
      <c r="HJ31" s="1073"/>
      <c r="HK31" s="1073"/>
      <c r="HL31" s="1073"/>
      <c r="HM31" s="1073"/>
      <c r="HN31" s="1073"/>
      <c r="HO31" s="1073"/>
      <c r="HP31" s="1083"/>
      <c r="HQ31" s="1105"/>
    </row>
    <row r="32" spans="1:225" ht="12.6" customHeight="1" x14ac:dyDescent="0.25">
      <c r="A32" s="1323"/>
      <c r="B32" s="1324"/>
      <c r="C32" s="1564"/>
      <c r="D32" s="1325"/>
      <c r="E32" s="1323"/>
      <c r="F32" s="1326"/>
      <c r="G32" s="1323"/>
      <c r="H32" s="662"/>
      <c r="I32" s="1327"/>
      <c r="J32" s="1328"/>
      <c r="K32" s="1329"/>
      <c r="L32" s="1330"/>
      <c r="M32" s="1331"/>
      <c r="N32" s="1332"/>
      <c r="O32" s="1361"/>
      <c r="P32" s="1334"/>
      <c r="Q32" s="1284" t="b">
        <v>0</v>
      </c>
      <c r="R32" s="406" t="b">
        <v>0</v>
      </c>
      <c r="S32" s="399" t="e">
        <f t="shared" si="1"/>
        <v>#REF!</v>
      </c>
      <c r="T32" s="399" t="b">
        <f t="shared" si="2"/>
        <v>0</v>
      </c>
      <c r="U32" s="571" t="s">
        <v>420</v>
      </c>
      <c r="V32" s="324"/>
      <c r="W32" s="324" t="s">
        <v>382</v>
      </c>
      <c r="X32" s="324" t="b">
        <v>1</v>
      </c>
      <c r="Y32" s="324" t="b">
        <v>1</v>
      </c>
      <c r="Z32" s="324" t="b">
        <v>1</v>
      </c>
      <c r="AA32" s="324" t="b">
        <v>1</v>
      </c>
      <c r="AB32" s="324" t="s">
        <v>342</v>
      </c>
      <c r="AC32" s="1045">
        <v>1.75</v>
      </c>
      <c r="AD32" s="1045">
        <v>3</v>
      </c>
      <c r="AE32" s="571" t="s">
        <v>429</v>
      </c>
      <c r="AF32" s="1046">
        <v>1.375</v>
      </c>
      <c r="HA32" s="1072"/>
      <c r="HB32" s="1073"/>
      <c r="HC32" s="1073"/>
      <c r="HD32" s="1080"/>
      <c r="HE32" s="1081"/>
      <c r="HF32" s="1073"/>
      <c r="HG32" s="1073"/>
      <c r="HH32" s="1073"/>
      <c r="HI32" s="1082"/>
      <c r="HJ32" s="1073"/>
      <c r="HK32" s="1073"/>
      <c r="HL32" s="1073"/>
      <c r="HM32" s="1073"/>
      <c r="HN32" s="1073"/>
      <c r="HO32" s="1073"/>
      <c r="HP32" s="1083"/>
      <c r="HQ32" s="1105"/>
    </row>
    <row r="33" spans="1:225" ht="12.6" customHeight="1" x14ac:dyDescent="0.25">
      <c r="A33" s="1323"/>
      <c r="B33" s="1324"/>
      <c r="C33" s="1564"/>
      <c r="D33" s="1325"/>
      <c r="E33" s="1323"/>
      <c r="F33" s="1326"/>
      <c r="G33" s="1323"/>
      <c r="H33" s="662"/>
      <c r="I33" s="1327"/>
      <c r="J33" s="1328"/>
      <c r="K33" s="1329"/>
      <c r="L33" s="1330"/>
      <c r="M33" s="1331"/>
      <c r="N33" s="1332"/>
      <c r="O33" s="1361"/>
      <c r="P33" s="1334"/>
      <c r="Q33" s="1284" t="b">
        <v>0</v>
      </c>
      <c r="R33" s="406" t="b">
        <v>0</v>
      </c>
      <c r="S33" s="399" t="e">
        <f t="shared" si="1"/>
        <v>#REF!</v>
      </c>
      <c r="T33" s="399" t="b">
        <f t="shared" si="2"/>
        <v>0</v>
      </c>
      <c r="U33" s="571" t="s">
        <v>421</v>
      </c>
      <c r="V33" s="324"/>
      <c r="W33" s="324" t="s">
        <v>329</v>
      </c>
      <c r="X33" s="324" t="b">
        <v>0</v>
      </c>
      <c r="Y33" s="324" t="b">
        <v>1</v>
      </c>
      <c r="Z33" s="324" t="b">
        <v>1</v>
      </c>
      <c r="AA33" s="324" t="b">
        <v>1</v>
      </c>
      <c r="AB33" s="103" t="s">
        <v>580</v>
      </c>
      <c r="AC33" s="1046">
        <v>0</v>
      </c>
      <c r="AD33" s="1046">
        <v>0</v>
      </c>
      <c r="AE33" s="571" t="s">
        <v>430</v>
      </c>
      <c r="AF33" s="1046">
        <v>1.375</v>
      </c>
      <c r="HA33" s="1072"/>
      <c r="HB33" s="1073"/>
      <c r="HC33" s="1073"/>
      <c r="HD33" s="1080"/>
      <c r="HE33" s="1081"/>
      <c r="HF33" s="1073"/>
      <c r="HG33" s="1073"/>
      <c r="HH33" s="1073"/>
      <c r="HI33" s="1082"/>
      <c r="HJ33" s="1073"/>
      <c r="HK33" s="1073"/>
      <c r="HL33" s="1073"/>
      <c r="HM33" s="1073"/>
      <c r="HN33" s="1073"/>
      <c r="HO33" s="1073"/>
      <c r="HP33" s="1083"/>
      <c r="HQ33" s="1105"/>
    </row>
    <row r="34" spans="1:225" ht="12.6" customHeight="1" x14ac:dyDescent="0.25">
      <c r="A34" s="1323"/>
      <c r="B34" s="1324"/>
      <c r="C34" s="1564"/>
      <c r="D34" s="1325"/>
      <c r="E34" s="1323"/>
      <c r="F34" s="1326"/>
      <c r="G34" s="1323"/>
      <c r="H34" s="662"/>
      <c r="I34" s="1327"/>
      <c r="J34" s="1328"/>
      <c r="K34" s="1329"/>
      <c r="L34" s="1330"/>
      <c r="M34" s="1331"/>
      <c r="N34" s="1332"/>
      <c r="O34" s="1361"/>
      <c r="P34" s="1334"/>
      <c r="Q34" s="1284" t="b">
        <v>0</v>
      </c>
      <c r="R34" s="406" t="b">
        <v>0</v>
      </c>
      <c r="S34" s="399" t="e">
        <f t="shared" si="1"/>
        <v>#REF!</v>
      </c>
      <c r="T34" s="399" t="b">
        <f t="shared" si="2"/>
        <v>0</v>
      </c>
      <c r="U34" s="571" t="s">
        <v>422</v>
      </c>
      <c r="V34" s="324"/>
      <c r="W34" s="324" t="s">
        <v>359</v>
      </c>
      <c r="X34" s="324" t="b">
        <v>0</v>
      </c>
      <c r="Y34" s="324" t="b">
        <v>0</v>
      </c>
      <c r="Z34" s="324" t="b">
        <v>0</v>
      </c>
      <c r="AA34" s="324" t="b">
        <v>0</v>
      </c>
      <c r="AB34" s="103" t="s">
        <v>581</v>
      </c>
      <c r="AC34" s="1046">
        <v>0</v>
      </c>
      <c r="AD34" s="1046">
        <v>0</v>
      </c>
      <c r="AE34" s="571" t="s">
        <v>431</v>
      </c>
      <c r="AF34" s="1046">
        <v>1.4375</v>
      </c>
      <c r="HA34" s="1072"/>
      <c r="HB34" s="1073"/>
      <c r="HC34" s="1073"/>
      <c r="HD34" s="1080"/>
      <c r="HE34" s="1081"/>
      <c r="HF34" s="1073"/>
      <c r="HG34" s="1073"/>
      <c r="HH34" s="1073"/>
      <c r="HI34" s="1082"/>
      <c r="HJ34" s="1073"/>
      <c r="HK34" s="1073"/>
      <c r="HL34" s="1073"/>
      <c r="HM34" s="1073"/>
      <c r="HN34" s="1073"/>
      <c r="HO34" s="1073"/>
      <c r="HP34" s="1083"/>
      <c r="HQ34" s="1105"/>
    </row>
    <row r="35" spans="1:225" ht="12.6" customHeight="1" x14ac:dyDescent="0.25">
      <c r="A35" s="1323"/>
      <c r="B35" s="1324"/>
      <c r="C35" s="1564"/>
      <c r="D35" s="1325"/>
      <c r="E35" s="1323"/>
      <c r="F35" s="1326"/>
      <c r="G35" s="1323"/>
      <c r="H35" s="662"/>
      <c r="I35" s="1327"/>
      <c r="J35" s="1328"/>
      <c r="K35" s="1329"/>
      <c r="L35" s="1330"/>
      <c r="M35" s="1331"/>
      <c r="N35" s="1332"/>
      <c r="O35" s="1361"/>
      <c r="P35" s="1334"/>
      <c r="Q35" s="1284" t="b">
        <v>0</v>
      </c>
      <c r="R35" s="406" t="b">
        <v>0</v>
      </c>
      <c r="S35" s="399" t="e">
        <f t="shared" si="1"/>
        <v>#REF!</v>
      </c>
      <c r="T35" s="399" t="b">
        <f t="shared" si="2"/>
        <v>0</v>
      </c>
      <c r="U35" s="571" t="s">
        <v>423</v>
      </c>
      <c r="V35" s="324"/>
      <c r="W35" s="324" t="s">
        <v>360</v>
      </c>
      <c r="X35" s="324" t="b">
        <v>0</v>
      </c>
      <c r="Y35" s="324" t="b">
        <v>0</v>
      </c>
      <c r="Z35" s="324" t="b">
        <v>0</v>
      </c>
      <c r="AA35" s="324" t="b">
        <v>0</v>
      </c>
      <c r="AB35" s="324"/>
      <c r="AC35" s="324"/>
      <c r="AD35" s="324"/>
      <c r="AE35" s="571" t="s">
        <v>432</v>
      </c>
      <c r="AF35" s="1046">
        <v>1.375</v>
      </c>
      <c r="HA35" s="1072"/>
      <c r="HB35" s="1073"/>
      <c r="HC35" s="1073"/>
      <c r="HD35" s="1080"/>
      <c r="HE35" s="1081"/>
      <c r="HF35" s="1073"/>
      <c r="HG35" s="1073"/>
      <c r="HH35" s="1073"/>
      <c r="HI35" s="1082"/>
      <c r="HJ35" s="1073"/>
      <c r="HK35" s="1073"/>
      <c r="HL35" s="1073"/>
      <c r="HM35" s="1073"/>
      <c r="HN35" s="1073"/>
      <c r="HO35" s="1073"/>
      <c r="HP35" s="1083"/>
      <c r="HQ35" s="1105"/>
    </row>
    <row r="36" spans="1:225" ht="12.6" customHeight="1" x14ac:dyDescent="0.25">
      <c r="A36" s="1323"/>
      <c r="B36" s="1324"/>
      <c r="C36" s="1564"/>
      <c r="D36" s="1325"/>
      <c r="E36" s="1323"/>
      <c r="F36" s="1326"/>
      <c r="G36" s="1323"/>
      <c r="H36" s="662"/>
      <c r="I36" s="1327"/>
      <c r="J36" s="1328"/>
      <c r="K36" s="1329"/>
      <c r="L36" s="1330"/>
      <c r="M36" s="1331"/>
      <c r="N36" s="1332"/>
      <c r="O36" s="1361"/>
      <c r="P36" s="1334"/>
      <c r="Q36" s="1284" t="b">
        <v>0</v>
      </c>
      <c r="R36" s="406" t="b">
        <v>0</v>
      </c>
      <c r="S36" s="399" t="e">
        <f t="shared" si="1"/>
        <v>#REF!</v>
      </c>
      <c r="T36" s="399" t="b">
        <f t="shared" si="2"/>
        <v>0</v>
      </c>
      <c r="U36" s="571" t="s">
        <v>424</v>
      </c>
      <c r="V36" s="324"/>
      <c r="W36" s="324"/>
      <c r="X36" s="324"/>
      <c r="Y36" s="324"/>
      <c r="Z36" s="324"/>
      <c r="AA36" s="324"/>
      <c r="AB36" s="324"/>
      <c r="AC36" s="324"/>
      <c r="AD36" s="324"/>
      <c r="AE36" s="571" t="s">
        <v>433</v>
      </c>
      <c r="AF36" s="1046">
        <v>1.5</v>
      </c>
      <c r="HA36" s="1072"/>
      <c r="HB36" s="1073"/>
      <c r="HC36" s="1073"/>
      <c r="HD36" s="1080"/>
      <c r="HE36" s="1081"/>
      <c r="HF36" s="1073"/>
      <c r="HG36" s="1073"/>
      <c r="HH36" s="1073"/>
      <c r="HI36" s="1082"/>
      <c r="HJ36" s="1073"/>
      <c r="HK36" s="1073"/>
      <c r="HL36" s="1073"/>
      <c r="HM36" s="1073"/>
      <c r="HN36" s="1073"/>
      <c r="HO36" s="1073"/>
      <c r="HP36" s="1083"/>
      <c r="HQ36" s="1105"/>
    </row>
    <row r="37" spans="1:225" ht="12.6" customHeight="1" x14ac:dyDescent="0.25">
      <c r="A37" s="1323"/>
      <c r="B37" s="1324"/>
      <c r="C37" s="1564"/>
      <c r="D37" s="1325"/>
      <c r="E37" s="1323"/>
      <c r="F37" s="1326"/>
      <c r="G37" s="1323"/>
      <c r="H37" s="662"/>
      <c r="I37" s="1327"/>
      <c r="J37" s="1328"/>
      <c r="K37" s="1329"/>
      <c r="L37" s="1330"/>
      <c r="M37" s="1331"/>
      <c r="N37" s="1332"/>
      <c r="O37" s="1361"/>
      <c r="P37" s="1334"/>
      <c r="Q37" s="1284" t="b">
        <v>0</v>
      </c>
      <c r="R37" s="406" t="b">
        <v>0</v>
      </c>
      <c r="S37" s="399" t="e">
        <f t="shared" si="1"/>
        <v>#REF!</v>
      </c>
      <c r="T37" s="399" t="b">
        <f t="shared" si="2"/>
        <v>0</v>
      </c>
      <c r="U37" s="571" t="s">
        <v>425</v>
      </c>
      <c r="V37" s="324"/>
      <c r="W37" s="324"/>
      <c r="X37" s="324"/>
      <c r="Y37" s="324"/>
      <c r="Z37" s="324"/>
      <c r="AA37" s="324"/>
      <c r="AB37" s="324"/>
      <c r="AC37" s="324"/>
      <c r="AD37" s="324"/>
      <c r="AE37" s="571" t="s">
        <v>434</v>
      </c>
      <c r="AF37" s="1046">
        <v>1.4370000000000001</v>
      </c>
      <c r="HA37" s="1072"/>
      <c r="HB37" s="1073"/>
      <c r="HC37" s="1073"/>
      <c r="HD37" s="1080"/>
      <c r="HE37" s="1081"/>
      <c r="HF37" s="1073"/>
      <c r="HG37" s="1073"/>
      <c r="HH37" s="1073"/>
      <c r="HI37" s="1082"/>
      <c r="HJ37" s="1073"/>
      <c r="HK37" s="1073"/>
      <c r="HL37" s="1073"/>
      <c r="HM37" s="1073"/>
      <c r="HN37" s="1073"/>
      <c r="HO37" s="1073"/>
      <c r="HP37" s="1083"/>
      <c r="HQ37" s="1105"/>
    </row>
    <row r="38" spans="1:225" ht="12.6" customHeight="1" x14ac:dyDescent="0.25">
      <c r="A38" s="1323"/>
      <c r="B38" s="1324"/>
      <c r="C38" s="1564"/>
      <c r="D38" s="1325"/>
      <c r="E38" s="1323"/>
      <c r="F38" s="1326"/>
      <c r="G38" s="1323"/>
      <c r="H38" s="662"/>
      <c r="I38" s="1327"/>
      <c r="J38" s="1328"/>
      <c r="K38" s="1329"/>
      <c r="L38" s="1330"/>
      <c r="M38" s="1331"/>
      <c r="N38" s="1332"/>
      <c r="O38" s="1361"/>
      <c r="P38" s="1334"/>
      <c r="Q38" s="1284" t="b">
        <v>0</v>
      </c>
      <c r="R38" s="406" t="b">
        <v>0</v>
      </c>
      <c r="S38" s="399" t="e">
        <f t="shared" si="1"/>
        <v>#REF!</v>
      </c>
      <c r="T38" s="399" t="b">
        <f t="shared" si="2"/>
        <v>0</v>
      </c>
      <c r="U38" s="571" t="s">
        <v>426</v>
      </c>
      <c r="V38" s="324"/>
      <c r="W38" s="324"/>
      <c r="X38" s="324"/>
      <c r="Y38" s="324"/>
      <c r="Z38" s="324"/>
      <c r="AA38" s="324"/>
      <c r="AB38" s="324"/>
      <c r="AC38" s="324"/>
      <c r="AD38" s="324"/>
      <c r="AE38" s="571" t="s">
        <v>435</v>
      </c>
      <c r="AF38" s="1046">
        <v>1.5</v>
      </c>
      <c r="HA38" s="1072"/>
      <c r="HB38" s="1073"/>
      <c r="HC38" s="1073"/>
      <c r="HD38" s="1080"/>
      <c r="HE38" s="1081"/>
      <c r="HF38" s="1073"/>
      <c r="HG38" s="1073"/>
      <c r="HH38" s="1073"/>
      <c r="HI38" s="1082"/>
      <c r="HJ38" s="1073"/>
      <c r="HK38" s="1073"/>
      <c r="HL38" s="1073"/>
      <c r="HM38" s="1073"/>
      <c r="HN38" s="1073"/>
      <c r="HO38" s="1073"/>
      <c r="HP38" s="1083"/>
      <c r="HQ38" s="1105"/>
    </row>
    <row r="39" spans="1:225" ht="12.6" customHeight="1" x14ac:dyDescent="0.25">
      <c r="A39" s="1323"/>
      <c r="B39" s="1324"/>
      <c r="C39" s="1564"/>
      <c r="D39" s="1325"/>
      <c r="E39" s="1323"/>
      <c r="F39" s="1326"/>
      <c r="G39" s="1323"/>
      <c r="H39" s="662"/>
      <c r="I39" s="1327"/>
      <c r="J39" s="1328"/>
      <c r="K39" s="1329"/>
      <c r="L39" s="1330"/>
      <c r="M39" s="1331"/>
      <c r="N39" s="1332"/>
      <c r="O39" s="1361"/>
      <c r="P39" s="1334"/>
      <c r="Q39" s="1284" t="b">
        <v>0</v>
      </c>
      <c r="R39" s="406" t="b">
        <v>0</v>
      </c>
      <c r="S39" s="399" t="e">
        <f t="shared" si="1"/>
        <v>#REF!</v>
      </c>
      <c r="T39" s="399" t="b">
        <f t="shared" si="2"/>
        <v>0</v>
      </c>
      <c r="U39" s="571" t="s">
        <v>427</v>
      </c>
      <c r="V39" s="324"/>
      <c r="W39" s="324"/>
      <c r="X39" s="324"/>
      <c r="Y39" s="324"/>
      <c r="Z39" s="324"/>
      <c r="AA39" s="324"/>
      <c r="AB39" s="324"/>
      <c r="AC39" s="324"/>
      <c r="AD39" s="324"/>
      <c r="AE39" s="571" t="s">
        <v>436</v>
      </c>
      <c r="AF39" s="1046">
        <v>1.5</v>
      </c>
      <c r="HA39" s="1072"/>
      <c r="HB39" s="1073"/>
      <c r="HC39" s="1073"/>
      <c r="HD39" s="1080"/>
      <c r="HE39" s="1081"/>
      <c r="HF39" s="1073"/>
      <c r="HG39" s="1073"/>
      <c r="HH39" s="1073"/>
      <c r="HI39" s="1082"/>
      <c r="HJ39" s="1073"/>
      <c r="HK39" s="1073"/>
      <c r="HL39" s="1073"/>
      <c r="HM39" s="1073"/>
      <c r="HN39" s="1073"/>
      <c r="HO39" s="1073"/>
      <c r="HP39" s="1083"/>
      <c r="HQ39" s="1105"/>
    </row>
    <row r="40" spans="1:225" ht="12.6" customHeight="1" x14ac:dyDescent="0.25">
      <c r="A40" s="1323"/>
      <c r="B40" s="1324"/>
      <c r="C40" s="1564"/>
      <c r="D40" s="1325"/>
      <c r="E40" s="1323"/>
      <c r="F40" s="1326"/>
      <c r="G40" s="1323"/>
      <c r="H40" s="662"/>
      <c r="I40" s="1327"/>
      <c r="J40" s="1328"/>
      <c r="K40" s="1329"/>
      <c r="L40" s="1330"/>
      <c r="M40" s="1331"/>
      <c r="N40" s="1332"/>
      <c r="O40" s="1361"/>
      <c r="P40" s="1334"/>
      <c r="Q40" s="1284" t="b">
        <v>0</v>
      </c>
      <c r="R40" s="406" t="b">
        <v>0</v>
      </c>
      <c r="S40" s="399" t="e">
        <f t="shared" si="1"/>
        <v>#REF!</v>
      </c>
      <c r="T40" s="399" t="b">
        <f t="shared" si="2"/>
        <v>0</v>
      </c>
      <c r="U40" s="497"/>
      <c r="V40" s="324"/>
      <c r="W40" s="324"/>
      <c r="X40" s="324"/>
      <c r="Y40" s="324"/>
      <c r="Z40" s="324"/>
      <c r="AA40" s="324"/>
      <c r="AB40" s="324"/>
      <c r="AC40" s="324"/>
      <c r="AD40" s="324"/>
      <c r="AE40" s="571" t="s">
        <v>437</v>
      </c>
      <c r="AF40" s="1046">
        <v>1.5938000000000001</v>
      </c>
      <c r="HA40" s="1072"/>
      <c r="HB40" s="1073"/>
      <c r="HC40" s="1073"/>
      <c r="HD40" s="1080"/>
      <c r="HE40" s="1081"/>
      <c r="HF40" s="1073"/>
      <c r="HG40" s="1073"/>
      <c r="HH40" s="1073"/>
      <c r="HI40" s="1082"/>
      <c r="HJ40" s="1073"/>
      <c r="HK40" s="1073"/>
      <c r="HL40" s="1073"/>
      <c r="HM40" s="1073"/>
      <c r="HN40" s="1073"/>
      <c r="HO40" s="1073"/>
      <c r="HP40" s="1083"/>
      <c r="HQ40" s="1105"/>
    </row>
    <row r="41" spans="1:225" ht="12.6" customHeight="1" x14ac:dyDescent="0.25">
      <c r="A41" s="1323"/>
      <c r="B41" s="1324"/>
      <c r="C41" s="1564"/>
      <c r="D41" s="1325"/>
      <c r="E41" s="1323"/>
      <c r="F41" s="1326"/>
      <c r="G41" s="1323"/>
      <c r="H41" s="662"/>
      <c r="I41" s="1327"/>
      <c r="J41" s="1328"/>
      <c r="K41" s="1329"/>
      <c r="L41" s="1330"/>
      <c r="M41" s="1331"/>
      <c r="N41" s="1332"/>
      <c r="O41" s="1361"/>
      <c r="P41" s="1334"/>
      <c r="Q41" s="1284" t="b">
        <v>0</v>
      </c>
      <c r="R41" s="406" t="b">
        <v>0</v>
      </c>
      <c r="S41" s="399" t="e">
        <f t="shared" si="1"/>
        <v>#REF!</v>
      </c>
      <c r="T41" s="399" t="b">
        <f t="shared" si="2"/>
        <v>0</v>
      </c>
      <c r="U41" s="497"/>
      <c r="V41" s="324"/>
      <c r="W41" s="324"/>
      <c r="X41" s="324"/>
      <c r="Y41" s="324"/>
      <c r="Z41" s="324"/>
      <c r="AA41" s="324"/>
      <c r="AB41" s="324"/>
      <c r="AC41" s="324"/>
      <c r="AD41" s="324"/>
      <c r="AE41" s="571" t="s">
        <v>438</v>
      </c>
      <c r="AF41" s="1046">
        <v>1.5940000000000001</v>
      </c>
      <c r="HA41" s="1072"/>
      <c r="HB41" s="1073"/>
      <c r="HC41" s="1073"/>
      <c r="HD41" s="1080"/>
      <c r="HE41" s="1081"/>
      <c r="HF41" s="1073"/>
      <c r="HG41" s="1073"/>
      <c r="HH41" s="1073"/>
      <c r="HI41" s="1082"/>
      <c r="HJ41" s="1073"/>
      <c r="HK41" s="1073"/>
      <c r="HL41" s="1073"/>
      <c r="HM41" s="1073"/>
      <c r="HN41" s="1073"/>
      <c r="HO41" s="1073"/>
      <c r="HP41" s="1083"/>
      <c r="HQ41" s="1105"/>
    </row>
    <row r="42" spans="1:225" ht="12.6" customHeight="1" thickBot="1" x14ac:dyDescent="0.3">
      <c r="A42" s="1335"/>
      <c r="B42" s="1336"/>
      <c r="C42" s="1565"/>
      <c r="D42" s="1337"/>
      <c r="E42" s="1335"/>
      <c r="F42" s="1338"/>
      <c r="G42" s="1335"/>
      <c r="H42" s="1339"/>
      <c r="I42" s="1340"/>
      <c r="J42" s="1341"/>
      <c r="K42" s="1342"/>
      <c r="L42" s="1343"/>
      <c r="M42" s="1344"/>
      <c r="N42" s="1345"/>
      <c r="O42" s="1362"/>
      <c r="P42" s="1347"/>
      <c r="Q42" s="1284" t="b">
        <v>0</v>
      </c>
      <c r="R42" s="406" t="b">
        <v>0</v>
      </c>
      <c r="S42" s="399" t="e">
        <f t="shared" si="1"/>
        <v>#REF!</v>
      </c>
      <c r="T42" s="399" t="b">
        <f>IF(OR(ISBLANK(D42),ISBLANK(E42),ISBLANK(F42),ISERROR(MATCH(F42,$AB$27:$AB$34,0))),FALSE,IF(ISERROR(FIND("B",$E42)),FALSE,IF(ISBLANK($D42),FALSE,IF(ISERROR(VLOOKUP(TRIM($D42),$AE$27:$AF$192,2,FALSE)),TRUE,VLOOKUP(TRIM($F42),$AB$27:$AD$34,IF(ISERROR(FIND("X",$E42)),3,2),FALSE)&lt;=VLOOKUP(TRIM($D42),$AE$27:$AF$192,2,FALSE)))))</f>
        <v>0</v>
      </c>
      <c r="U42" s="497"/>
      <c r="V42" s="324"/>
      <c r="W42" s="324"/>
      <c r="X42" s="324"/>
      <c r="Y42" s="324"/>
      <c r="Z42" s="324"/>
      <c r="AA42" s="324"/>
      <c r="AB42" s="324"/>
      <c r="AC42" s="324"/>
      <c r="AD42" s="324"/>
      <c r="AE42" s="571" t="s">
        <v>439</v>
      </c>
      <c r="AF42" s="1046">
        <v>1.6563000000000001</v>
      </c>
      <c r="HA42" s="1074"/>
      <c r="HB42" s="1075"/>
      <c r="HC42" s="1075"/>
      <c r="HD42" s="1084"/>
      <c r="HE42" s="1085"/>
      <c r="HF42" s="1075"/>
      <c r="HG42" s="1075"/>
      <c r="HH42" s="1075"/>
      <c r="HI42" s="1086"/>
      <c r="HJ42" s="1075"/>
      <c r="HK42" s="1075"/>
      <c r="HL42" s="1075"/>
      <c r="HM42" s="1075"/>
      <c r="HN42" s="1075"/>
      <c r="HO42" s="1075"/>
      <c r="HP42" s="1087"/>
      <c r="HQ42" s="1105"/>
    </row>
    <row r="43" spans="1:225" ht="12.6" customHeight="1" thickTop="1" x14ac:dyDescent="0.2">
      <c r="A43" s="1281"/>
      <c r="B43" s="1281"/>
      <c r="C43" s="1281"/>
      <c r="D43" s="1281"/>
      <c r="E43" s="1281"/>
      <c r="F43" s="1281"/>
      <c r="G43" s="1281"/>
      <c r="H43" s="1281"/>
      <c r="I43" s="1281"/>
      <c r="J43" s="1281"/>
      <c r="K43" s="1281"/>
      <c r="L43" s="1281"/>
      <c r="M43" s="1281"/>
      <c r="N43" s="1281"/>
      <c r="O43" s="1281"/>
      <c r="P43" s="1281"/>
      <c r="AE43" s="571" t="s">
        <v>440</v>
      </c>
      <c r="AF43" s="1046">
        <v>1.6559999999999999</v>
      </c>
    </row>
    <row r="44" spans="1:225" ht="12.6" customHeight="1" x14ac:dyDescent="0.2">
      <c r="AE44" s="571" t="s">
        <v>441</v>
      </c>
      <c r="AF44" s="1046">
        <v>1.75</v>
      </c>
    </row>
    <row r="45" spans="1:225" ht="12.6" customHeight="1" x14ac:dyDescent="0.2">
      <c r="AE45" s="571" t="s">
        <v>442</v>
      </c>
      <c r="AF45" s="1046">
        <v>1.7350000000000001</v>
      </c>
    </row>
    <row r="46" spans="1:225" ht="12.6" customHeight="1" x14ac:dyDescent="0.2">
      <c r="A46" s="836" t="s">
        <v>614</v>
      </c>
      <c r="AE46" s="571" t="s">
        <v>443</v>
      </c>
      <c r="AF46" s="1046">
        <v>1.8125</v>
      </c>
    </row>
    <row r="47" spans="1:225" ht="12.6" hidden="1" customHeight="1" x14ac:dyDescent="0.2">
      <c r="C47" s="20">
        <f>SUM(C14:C42)</f>
        <v>0</v>
      </c>
      <c r="E47" s="18" t="b">
        <f>SUMIF(E14:E42,"BA*",C14:C42)&gt;0</f>
        <v>0</v>
      </c>
      <c r="AE47" s="571" t="s">
        <v>444</v>
      </c>
      <c r="AF47" s="1046">
        <v>1.7969999999999999</v>
      </c>
    </row>
    <row r="48" spans="1:225" ht="12.6" hidden="1" customHeight="1" x14ac:dyDescent="0.2">
      <c r="AE48" s="571" t="s">
        <v>445</v>
      </c>
      <c r="AF48" s="1046">
        <v>1.875</v>
      </c>
    </row>
    <row r="49" spans="1:32" ht="12.6" hidden="1" customHeight="1" x14ac:dyDescent="0.2">
      <c r="AE49" s="571" t="s">
        <v>446</v>
      </c>
      <c r="AF49" s="1046">
        <v>1.9059999999999999</v>
      </c>
    </row>
    <row r="50" spans="1:32" ht="12.6" hidden="1" customHeight="1" x14ac:dyDescent="0.2">
      <c r="AE50" s="571" t="s">
        <v>447</v>
      </c>
      <c r="AF50" s="1046">
        <v>1.9313</v>
      </c>
    </row>
    <row r="51" spans="1:32" ht="12.6" hidden="1" customHeight="1" x14ac:dyDescent="0.2">
      <c r="AE51" s="571" t="s">
        <v>448</v>
      </c>
      <c r="AF51" s="1046">
        <v>1.9375</v>
      </c>
    </row>
    <row r="52" spans="1:32" ht="12.6" hidden="1" customHeight="1" x14ac:dyDescent="0.2">
      <c r="AE52" s="571" t="s">
        <v>449</v>
      </c>
      <c r="AF52" s="1046">
        <v>1.9379999999999999</v>
      </c>
    </row>
    <row r="53" spans="1:32" ht="12.6" hidden="1" customHeight="1" x14ac:dyDescent="0.2">
      <c r="AE53" s="571" t="s">
        <v>450</v>
      </c>
      <c r="AF53" s="1046">
        <v>2.0937999999999999</v>
      </c>
    </row>
    <row r="54" spans="1:32" ht="12.6" hidden="1" customHeight="1" x14ac:dyDescent="0.2">
      <c r="AE54" s="571" t="s">
        <v>451</v>
      </c>
      <c r="AF54" s="1046">
        <v>2.0779999999999998</v>
      </c>
    </row>
    <row r="55" spans="1:32" ht="12.6" hidden="1" customHeight="1" x14ac:dyDescent="0.2">
      <c r="AE55" s="571" t="s">
        <v>452</v>
      </c>
      <c r="AF55" s="1046">
        <v>2.0779999999999998</v>
      </c>
    </row>
    <row r="56" spans="1:32" ht="12.6" hidden="1" customHeight="1" x14ac:dyDescent="0.2">
      <c r="AE56" s="571" t="s">
        <v>453</v>
      </c>
      <c r="AF56" s="1046">
        <v>2.2187999999999999</v>
      </c>
    </row>
    <row r="57" spans="1:32" ht="12.6" hidden="1" customHeight="1" x14ac:dyDescent="0.2">
      <c r="AE57" s="571" t="s">
        <v>454</v>
      </c>
      <c r="AF57" s="1046">
        <v>2.2189999999999999</v>
      </c>
    </row>
    <row r="58" spans="1:32" ht="12.6" hidden="1" customHeight="1" x14ac:dyDescent="0.2">
      <c r="AE58" s="571" t="s">
        <v>455</v>
      </c>
      <c r="AF58" s="1046">
        <v>2.375</v>
      </c>
    </row>
    <row r="59" spans="1:32" ht="12.6" hidden="1" customHeight="1" x14ac:dyDescent="0.2">
      <c r="AE59" s="571" t="s">
        <v>456</v>
      </c>
      <c r="AF59" s="1046">
        <v>2.2360000000000002</v>
      </c>
    </row>
    <row r="60" spans="1:32" ht="12.6" hidden="1" customHeight="1" x14ac:dyDescent="0.2">
      <c r="A60" s="832" t="s">
        <v>742</v>
      </c>
      <c r="AE60" s="571" t="s">
        <v>457</v>
      </c>
      <c r="AF60" s="1046">
        <v>2.375</v>
      </c>
    </row>
    <row r="61" spans="1:32" ht="12.6" hidden="1" customHeight="1" x14ac:dyDescent="0.2">
      <c r="A61" s="833"/>
      <c r="AE61" s="571" t="s">
        <v>458</v>
      </c>
      <c r="AF61" s="1046">
        <v>2.3769999999999998</v>
      </c>
    </row>
    <row r="62" spans="1:32" ht="12.6" hidden="1" customHeight="1" x14ac:dyDescent="0.2">
      <c r="AE62" s="571" t="s">
        <v>459</v>
      </c>
      <c r="AF62" s="1046">
        <v>2.375</v>
      </c>
    </row>
    <row r="63" spans="1:32" ht="12.6" hidden="1" customHeight="1" x14ac:dyDescent="0.2">
      <c r="AE63" s="571" t="s">
        <v>460</v>
      </c>
      <c r="AF63" s="1046">
        <v>2.625</v>
      </c>
    </row>
    <row r="64" spans="1:32" ht="12.6" hidden="1" customHeight="1" x14ac:dyDescent="0.2">
      <c r="AE64" s="571" t="s">
        <v>461</v>
      </c>
      <c r="AF64" s="1046">
        <v>2.375</v>
      </c>
    </row>
    <row r="65" spans="1:32" ht="12.6" customHeight="1" x14ac:dyDescent="0.2">
      <c r="A65" s="836" t="s">
        <v>615</v>
      </c>
      <c r="AE65" s="571" t="s">
        <v>462</v>
      </c>
      <c r="AF65" s="1046">
        <v>2.375</v>
      </c>
    </row>
    <row r="66" spans="1:32" ht="12.6" customHeight="1" x14ac:dyDescent="0.2">
      <c r="AE66" s="571" t="s">
        <v>463</v>
      </c>
      <c r="AF66" s="1046">
        <v>2.875</v>
      </c>
    </row>
    <row r="67" spans="1:32" ht="12.6" customHeight="1" x14ac:dyDescent="0.2">
      <c r="AE67" s="571" t="s">
        <v>464</v>
      </c>
      <c r="AF67" s="1046">
        <v>2.375</v>
      </c>
    </row>
    <row r="68" spans="1:32" ht="12.6" customHeight="1" x14ac:dyDescent="0.2">
      <c r="AE68" s="571" t="s">
        <v>465</v>
      </c>
      <c r="AF68" s="1046">
        <v>2.5939000000000001</v>
      </c>
    </row>
    <row r="69" spans="1:32" ht="12.6" customHeight="1" x14ac:dyDescent="0.2">
      <c r="AE69" s="571" t="s">
        <v>466</v>
      </c>
      <c r="AF69" s="1046">
        <v>3.0625</v>
      </c>
    </row>
    <row r="70" spans="1:32" ht="12.6" customHeight="1" x14ac:dyDescent="0.2">
      <c r="AE70" s="571" t="s">
        <v>467</v>
      </c>
      <c r="AF70" s="1046">
        <v>3.0939000000000001</v>
      </c>
    </row>
    <row r="71" spans="1:32" ht="12.6" customHeight="1" x14ac:dyDescent="0.2">
      <c r="AE71" s="571" t="s">
        <v>468</v>
      </c>
      <c r="AF71" s="1046">
        <v>3.0937999999999999</v>
      </c>
    </row>
    <row r="72" spans="1:32" ht="12.6" customHeight="1" x14ac:dyDescent="0.2">
      <c r="AE72" s="571" t="s">
        <v>469</v>
      </c>
      <c r="AF72" s="1046">
        <v>2.5647000000000002</v>
      </c>
    </row>
    <row r="73" spans="1:32" ht="12.6" customHeight="1" x14ac:dyDescent="0.2">
      <c r="AE73" s="571" t="s">
        <v>470</v>
      </c>
      <c r="AF73" s="1046">
        <v>2.3439999999999999</v>
      </c>
    </row>
    <row r="74" spans="1:32" ht="12.6" customHeight="1" x14ac:dyDescent="0.2">
      <c r="AE74" s="571" t="s">
        <v>471</v>
      </c>
      <c r="AF74" s="1046">
        <v>1.8305</v>
      </c>
    </row>
    <row r="75" spans="1:32" ht="12.6" customHeight="1" x14ac:dyDescent="0.2">
      <c r="AE75" s="571" t="s">
        <v>472</v>
      </c>
      <c r="AF75" s="1046">
        <v>1.8848</v>
      </c>
    </row>
    <row r="76" spans="1:32" ht="12.6" customHeight="1" x14ac:dyDescent="0.2">
      <c r="AE76" s="571" t="s">
        <v>473</v>
      </c>
      <c r="AF76" s="1046">
        <v>2</v>
      </c>
    </row>
    <row r="77" spans="1:32" ht="12.6" customHeight="1" x14ac:dyDescent="0.2">
      <c r="AE77" s="571" t="s">
        <v>474</v>
      </c>
      <c r="AF77" s="1046">
        <v>2.75</v>
      </c>
    </row>
    <row r="78" spans="1:32" ht="12.6" customHeight="1" x14ac:dyDescent="0.2">
      <c r="AE78" s="571" t="s">
        <v>475</v>
      </c>
      <c r="AF78" s="1046">
        <v>2</v>
      </c>
    </row>
    <row r="79" spans="1:32" ht="12.6" customHeight="1" x14ac:dyDescent="0.2">
      <c r="AE79" s="571" t="s">
        <v>424</v>
      </c>
      <c r="AF79" s="1046">
        <v>1</v>
      </c>
    </row>
    <row r="80" spans="1:32" ht="12.6" customHeight="1" x14ac:dyDescent="0.2">
      <c r="AE80" s="571" t="s">
        <v>425</v>
      </c>
      <c r="AF80" s="1046">
        <v>1</v>
      </c>
    </row>
    <row r="81" spans="31:32" ht="12.6" customHeight="1" x14ac:dyDescent="0.2">
      <c r="AE81" s="571" t="s">
        <v>426</v>
      </c>
      <c r="AF81" s="1046">
        <v>1</v>
      </c>
    </row>
    <row r="82" spans="31:32" ht="12.6" customHeight="1" x14ac:dyDescent="0.2">
      <c r="AE82" s="571" t="s">
        <v>427</v>
      </c>
      <c r="AF82" s="1046">
        <v>1</v>
      </c>
    </row>
    <row r="83" spans="31:32" ht="12.6" customHeight="1" x14ac:dyDescent="0.2">
      <c r="AE83" s="571" t="s">
        <v>476</v>
      </c>
      <c r="AF83" s="1046">
        <v>1.25</v>
      </c>
    </row>
    <row r="84" spans="31:32" ht="12.6" customHeight="1" x14ac:dyDescent="0.2">
      <c r="AE84" s="571" t="s">
        <v>477</v>
      </c>
      <c r="AF84" s="1046">
        <v>1.25</v>
      </c>
    </row>
    <row r="85" spans="31:32" ht="12.6" customHeight="1" x14ac:dyDescent="0.2">
      <c r="AE85" s="571" t="s">
        <v>478</v>
      </c>
      <c r="AF85" s="1046">
        <v>1.25</v>
      </c>
    </row>
    <row r="86" spans="31:32" ht="12.6" customHeight="1" x14ac:dyDescent="0.2">
      <c r="AE86" s="571" t="s">
        <v>479</v>
      </c>
      <c r="AF86" s="1046">
        <v>1.25</v>
      </c>
    </row>
    <row r="87" spans="31:32" ht="12.6" customHeight="1" x14ac:dyDescent="0.2">
      <c r="AE87" s="571" t="s">
        <v>480</v>
      </c>
      <c r="AF87" s="1046">
        <v>1.5</v>
      </c>
    </row>
    <row r="88" spans="31:32" ht="12.6" customHeight="1" x14ac:dyDescent="0.2">
      <c r="AE88" s="571" t="s">
        <v>481</v>
      </c>
      <c r="AF88" s="1046">
        <v>1.5</v>
      </c>
    </row>
    <row r="89" spans="31:32" ht="12.6" customHeight="1" x14ac:dyDescent="0.2">
      <c r="AE89" s="571" t="s">
        <v>482</v>
      </c>
      <c r="AF89" s="1046">
        <v>1.5</v>
      </c>
    </row>
    <row r="90" spans="31:32" ht="12.6" customHeight="1" x14ac:dyDescent="0.2">
      <c r="AE90" s="571">
        <v>15125</v>
      </c>
      <c r="AF90" s="1046">
        <v>1.5</v>
      </c>
    </row>
    <row r="91" spans="31:32" ht="12.6" customHeight="1" x14ac:dyDescent="0.2">
      <c r="AE91" s="571">
        <v>15130</v>
      </c>
      <c r="AF91" s="1046">
        <v>1.5</v>
      </c>
    </row>
    <row r="92" spans="31:32" ht="12.6" customHeight="1" x14ac:dyDescent="0.2">
      <c r="AE92" s="571" t="s">
        <v>483</v>
      </c>
      <c r="AF92" s="1046">
        <v>1.5</v>
      </c>
    </row>
    <row r="93" spans="31:32" ht="12.6" customHeight="1" x14ac:dyDescent="0.2">
      <c r="AE93" s="571" t="s">
        <v>484</v>
      </c>
      <c r="AF93" s="1046">
        <v>1.5</v>
      </c>
    </row>
    <row r="94" spans="31:32" ht="12.6" customHeight="1" x14ac:dyDescent="0.2">
      <c r="AE94" s="571" t="s">
        <v>485</v>
      </c>
      <c r="AF94" s="1046">
        <v>1.5</v>
      </c>
    </row>
    <row r="95" spans="31:32" ht="12.6" customHeight="1" x14ac:dyDescent="0.2">
      <c r="AE95" s="571">
        <v>15156</v>
      </c>
      <c r="AF95" s="1046">
        <v>1.5</v>
      </c>
    </row>
    <row r="96" spans="31:32" ht="12.6" customHeight="1" x14ac:dyDescent="0.2">
      <c r="AE96" s="571" t="s">
        <v>486</v>
      </c>
      <c r="AF96" s="1046">
        <v>1.5</v>
      </c>
    </row>
    <row r="97" spans="31:32" ht="12.6" customHeight="1" x14ac:dyDescent="0.2">
      <c r="AE97" s="571">
        <v>15172</v>
      </c>
      <c r="AF97" s="1046">
        <v>1.5</v>
      </c>
    </row>
    <row r="98" spans="31:32" ht="12.6" customHeight="1" x14ac:dyDescent="0.2">
      <c r="AE98" s="571" t="s">
        <v>487</v>
      </c>
      <c r="AF98" s="1046">
        <v>1.5</v>
      </c>
    </row>
    <row r="99" spans="31:32" ht="12.6" customHeight="1" x14ac:dyDescent="0.2">
      <c r="AE99" s="571" t="s">
        <v>488</v>
      </c>
      <c r="AF99" s="1046">
        <v>1.5</v>
      </c>
    </row>
    <row r="100" spans="31:32" ht="12.6" customHeight="1" x14ac:dyDescent="0.2">
      <c r="AE100" s="571" t="s">
        <v>489</v>
      </c>
      <c r="AF100" s="1046">
        <v>1.75</v>
      </c>
    </row>
    <row r="101" spans="31:32" ht="12.6" customHeight="1" x14ac:dyDescent="0.2">
      <c r="AE101" s="571" t="s">
        <v>490</v>
      </c>
      <c r="AF101" s="1046">
        <v>1.75</v>
      </c>
    </row>
    <row r="102" spans="31:32" ht="12.6" customHeight="1" x14ac:dyDescent="0.2">
      <c r="AE102" s="571">
        <v>17141</v>
      </c>
      <c r="AF102" s="1046">
        <v>1.75</v>
      </c>
    </row>
    <row r="103" spans="31:32" ht="12.6" customHeight="1" x14ac:dyDescent="0.2">
      <c r="AE103" s="571" t="s">
        <v>491</v>
      </c>
      <c r="AF103" s="1046">
        <v>1.75</v>
      </c>
    </row>
    <row r="104" spans="31:32" ht="12.6" customHeight="1" x14ac:dyDescent="0.2">
      <c r="AE104" s="571" t="s">
        <v>492</v>
      </c>
      <c r="AF104" s="1046">
        <v>1.75</v>
      </c>
    </row>
    <row r="105" spans="31:32" ht="12.6" customHeight="1" x14ac:dyDescent="0.2">
      <c r="AE105" s="571">
        <v>17156</v>
      </c>
      <c r="AF105" s="1046">
        <v>1.75</v>
      </c>
    </row>
    <row r="106" spans="31:32" ht="12.6" customHeight="1" x14ac:dyDescent="0.2">
      <c r="AE106" s="571" t="s">
        <v>493</v>
      </c>
      <c r="AF106" s="1046">
        <v>1.75</v>
      </c>
    </row>
    <row r="107" spans="31:32" ht="12.6" customHeight="1" x14ac:dyDescent="0.2">
      <c r="AE107" s="571" t="s">
        <v>494</v>
      </c>
      <c r="AF107" s="1046">
        <v>1.75</v>
      </c>
    </row>
    <row r="108" spans="31:32" ht="12.6" customHeight="1" x14ac:dyDescent="0.2">
      <c r="AE108" s="571" t="s">
        <v>495</v>
      </c>
      <c r="AF108" s="1046">
        <v>1.75</v>
      </c>
    </row>
    <row r="109" spans="31:32" ht="12.6" customHeight="1" x14ac:dyDescent="0.2">
      <c r="AE109" s="571" t="s">
        <v>496</v>
      </c>
      <c r="AF109" s="1046">
        <v>2</v>
      </c>
    </row>
    <row r="110" spans="31:32" ht="12.6" customHeight="1" x14ac:dyDescent="0.2">
      <c r="AE110" s="571" t="s">
        <v>497</v>
      </c>
      <c r="AF110" s="1046">
        <v>2</v>
      </c>
    </row>
    <row r="111" spans="31:32" ht="12.6" customHeight="1" x14ac:dyDescent="0.2">
      <c r="AE111" s="571" t="s">
        <v>498</v>
      </c>
      <c r="AF111" s="1046">
        <v>2</v>
      </c>
    </row>
    <row r="112" spans="31:32" ht="12.6" customHeight="1" x14ac:dyDescent="0.2">
      <c r="AE112" s="571" t="s">
        <v>499</v>
      </c>
      <c r="AF112" s="1046">
        <v>2</v>
      </c>
    </row>
    <row r="113" spans="31:32" ht="12.6" customHeight="1" x14ac:dyDescent="0.2">
      <c r="AE113" s="571" t="s">
        <v>500</v>
      </c>
      <c r="AF113" s="1046">
        <v>2</v>
      </c>
    </row>
    <row r="114" spans="31:32" ht="12.6" customHeight="1" x14ac:dyDescent="0.2">
      <c r="AE114" s="103">
        <v>20184</v>
      </c>
      <c r="AF114" s="1046">
        <v>2</v>
      </c>
    </row>
    <row r="115" spans="31:32" ht="12.6" customHeight="1" x14ac:dyDescent="0.2">
      <c r="AE115" s="103" t="s">
        <v>501</v>
      </c>
      <c r="AF115" s="1046">
        <v>2</v>
      </c>
    </row>
    <row r="116" spans="31:32" ht="12.6" customHeight="1" x14ac:dyDescent="0.2">
      <c r="AE116" s="103">
        <v>252018</v>
      </c>
      <c r="AF116" s="1046">
        <v>10</v>
      </c>
    </row>
    <row r="117" spans="31:32" ht="12.6" customHeight="1" x14ac:dyDescent="0.2">
      <c r="AE117" s="103">
        <v>302018</v>
      </c>
      <c r="AF117" s="1046">
        <v>10</v>
      </c>
    </row>
    <row r="118" spans="31:32" ht="12.6" customHeight="1" x14ac:dyDescent="0.2">
      <c r="AE118" s="103" t="s">
        <v>502</v>
      </c>
      <c r="AF118" s="1046">
        <v>2</v>
      </c>
    </row>
    <row r="119" spans="31:32" ht="12.6" customHeight="1" x14ac:dyDescent="0.2">
      <c r="AE119" s="103" t="s">
        <v>503</v>
      </c>
      <c r="AF119" s="1046">
        <v>2</v>
      </c>
    </row>
    <row r="120" spans="31:32" ht="12.6" customHeight="1" x14ac:dyDescent="0.2">
      <c r="AE120" s="103">
        <v>20219</v>
      </c>
      <c r="AF120" s="1046">
        <v>2</v>
      </c>
    </row>
    <row r="121" spans="31:32" ht="12.6" customHeight="1" x14ac:dyDescent="0.2">
      <c r="AE121" s="103" t="s">
        <v>504</v>
      </c>
      <c r="AF121" s="1046">
        <v>2</v>
      </c>
    </row>
    <row r="122" spans="31:32" ht="12.6" customHeight="1" x14ac:dyDescent="0.2">
      <c r="AE122" s="103">
        <v>20232</v>
      </c>
      <c r="AF122" s="1046">
        <v>2</v>
      </c>
    </row>
    <row r="123" spans="31:32" ht="12.6" customHeight="1" x14ac:dyDescent="0.2">
      <c r="AE123" s="103" t="s">
        <v>505</v>
      </c>
      <c r="AF123" s="1046">
        <v>2</v>
      </c>
    </row>
    <row r="124" spans="31:32" ht="12.6" customHeight="1" x14ac:dyDescent="0.2">
      <c r="AE124" s="103" t="s">
        <v>506</v>
      </c>
      <c r="AF124" s="1046">
        <v>2</v>
      </c>
    </row>
    <row r="125" spans="31:32" ht="12.6" customHeight="1" x14ac:dyDescent="0.2">
      <c r="AE125" s="103">
        <v>302025</v>
      </c>
      <c r="AF125" s="1046">
        <v>10</v>
      </c>
    </row>
    <row r="126" spans="31:32" ht="12.6" customHeight="1" x14ac:dyDescent="0.2">
      <c r="AE126" s="103" t="s">
        <v>507</v>
      </c>
      <c r="AF126" s="1046">
        <v>2</v>
      </c>
    </row>
    <row r="127" spans="31:32" ht="12.6" customHeight="1" x14ac:dyDescent="0.2">
      <c r="AE127" s="103" t="s">
        <v>508</v>
      </c>
      <c r="AF127" s="1046">
        <v>2</v>
      </c>
    </row>
    <row r="128" spans="31:32" ht="12.6" customHeight="1" x14ac:dyDescent="0.2">
      <c r="AE128" s="103">
        <v>302037</v>
      </c>
      <c r="AF128" s="1046">
        <v>10</v>
      </c>
    </row>
    <row r="129" spans="31:32" ht="12.6" customHeight="1" x14ac:dyDescent="0.2">
      <c r="AE129" s="103" t="s">
        <v>509</v>
      </c>
      <c r="AF129" s="1046">
        <v>2.5</v>
      </c>
    </row>
    <row r="130" spans="31:32" ht="12.6" customHeight="1" x14ac:dyDescent="0.2">
      <c r="AE130" s="103">
        <v>202518</v>
      </c>
      <c r="AF130" s="1046">
        <v>10</v>
      </c>
    </row>
    <row r="131" spans="31:32" ht="12.6" customHeight="1" x14ac:dyDescent="0.2">
      <c r="AE131" s="103" t="s">
        <v>510</v>
      </c>
      <c r="AF131" s="1046">
        <v>2.5</v>
      </c>
    </row>
    <row r="132" spans="31:32" ht="12.6" customHeight="1" x14ac:dyDescent="0.2">
      <c r="AE132" s="103" t="s">
        <v>511</v>
      </c>
      <c r="AF132" s="1046">
        <v>2.5</v>
      </c>
    </row>
    <row r="133" spans="31:32" ht="12.6" customHeight="1" x14ac:dyDescent="0.2">
      <c r="AE133" s="103" t="s">
        <v>512</v>
      </c>
      <c r="AF133" s="1046">
        <v>2.5</v>
      </c>
    </row>
    <row r="134" spans="31:32" ht="12.6" customHeight="1" x14ac:dyDescent="0.2">
      <c r="AE134" s="103" t="s">
        <v>513</v>
      </c>
      <c r="AF134" s="1046">
        <v>2.5</v>
      </c>
    </row>
    <row r="135" spans="31:32" ht="12.6" customHeight="1" x14ac:dyDescent="0.2">
      <c r="AE135" s="103" t="s">
        <v>514</v>
      </c>
      <c r="AF135" s="1046">
        <v>2.5</v>
      </c>
    </row>
    <row r="136" spans="31:32" ht="12.6" customHeight="1" x14ac:dyDescent="0.2">
      <c r="AE136" s="103" t="s">
        <v>515</v>
      </c>
      <c r="AF136" s="1046">
        <v>3</v>
      </c>
    </row>
    <row r="137" spans="31:32" ht="12.6" customHeight="1" x14ac:dyDescent="0.2">
      <c r="AE137" s="103">
        <v>203018</v>
      </c>
      <c r="AF137" s="1046">
        <v>10</v>
      </c>
    </row>
    <row r="138" spans="31:32" ht="12.6" customHeight="1" x14ac:dyDescent="0.2">
      <c r="AE138" s="103" t="s">
        <v>516</v>
      </c>
      <c r="AF138" s="1046">
        <v>3</v>
      </c>
    </row>
    <row r="139" spans="31:32" ht="12.6" customHeight="1" x14ac:dyDescent="0.2">
      <c r="AE139" s="103" t="s">
        <v>517</v>
      </c>
      <c r="AF139" s="1046">
        <v>3</v>
      </c>
    </row>
    <row r="140" spans="31:32" ht="12.6" customHeight="1" x14ac:dyDescent="0.2">
      <c r="AE140" s="103">
        <v>203025</v>
      </c>
      <c r="AF140" s="1046">
        <v>10</v>
      </c>
    </row>
    <row r="141" spans="31:32" ht="12.6" customHeight="1" x14ac:dyDescent="0.2">
      <c r="AE141" s="103">
        <v>403025</v>
      </c>
      <c r="AF141" s="1046">
        <v>10</v>
      </c>
    </row>
    <row r="142" spans="31:32" ht="12.6" customHeight="1" x14ac:dyDescent="0.2">
      <c r="AE142" s="103">
        <v>503025</v>
      </c>
      <c r="AF142" s="1046">
        <v>10</v>
      </c>
    </row>
    <row r="143" spans="31:32" ht="12.6" customHeight="1" x14ac:dyDescent="0.2">
      <c r="AE143" s="103" t="s">
        <v>518</v>
      </c>
      <c r="AF143" s="1046">
        <v>3</v>
      </c>
    </row>
    <row r="144" spans="31:32" ht="12.6" customHeight="1" x14ac:dyDescent="0.2">
      <c r="AE144" s="103" t="s">
        <v>519</v>
      </c>
      <c r="AF144" s="1046">
        <v>3</v>
      </c>
    </row>
    <row r="145" spans="31:32" ht="12.6" customHeight="1" x14ac:dyDescent="0.2">
      <c r="AE145" s="103" t="s">
        <v>520</v>
      </c>
      <c r="AF145" s="1046">
        <v>3</v>
      </c>
    </row>
    <row r="146" spans="31:32" ht="12.6" customHeight="1" x14ac:dyDescent="0.2">
      <c r="AE146" s="103" t="s">
        <v>521</v>
      </c>
      <c r="AF146" s="1046">
        <v>3</v>
      </c>
    </row>
    <row r="147" spans="31:32" ht="12.6" customHeight="1" x14ac:dyDescent="0.2">
      <c r="AE147" s="103">
        <v>203037</v>
      </c>
      <c r="AF147" s="1046">
        <v>10</v>
      </c>
    </row>
    <row r="148" spans="31:32" ht="12.6" customHeight="1" x14ac:dyDescent="0.2">
      <c r="AE148" s="103">
        <v>403037</v>
      </c>
      <c r="AF148" s="1046">
        <v>10</v>
      </c>
    </row>
    <row r="149" spans="31:32" ht="12.6" customHeight="1" x14ac:dyDescent="0.2">
      <c r="AE149" s="103">
        <v>503037</v>
      </c>
      <c r="AF149" s="1046">
        <v>10</v>
      </c>
    </row>
    <row r="150" spans="31:32" ht="12.6" customHeight="1" x14ac:dyDescent="0.2">
      <c r="AE150" s="103">
        <v>3231</v>
      </c>
      <c r="AF150" s="1046">
        <v>3.25</v>
      </c>
    </row>
    <row r="151" spans="31:32" ht="12.6" customHeight="1" x14ac:dyDescent="0.2">
      <c r="AE151" s="103" t="s">
        <v>522</v>
      </c>
      <c r="AF151" s="1046">
        <v>3.5</v>
      </c>
    </row>
    <row r="152" spans="31:32" ht="12.6" customHeight="1" x14ac:dyDescent="0.2">
      <c r="AE152" s="103" t="s">
        <v>523</v>
      </c>
      <c r="AF152" s="1046">
        <v>3.5</v>
      </c>
    </row>
    <row r="153" spans="31:32" ht="12.6" customHeight="1" x14ac:dyDescent="0.2">
      <c r="AE153" s="103" t="s">
        <v>524</v>
      </c>
      <c r="AF153" s="1046">
        <v>3.5</v>
      </c>
    </row>
    <row r="154" spans="31:32" ht="12.6" customHeight="1" x14ac:dyDescent="0.2">
      <c r="AE154" s="103" t="s">
        <v>525</v>
      </c>
      <c r="AF154" s="1046">
        <v>3.5</v>
      </c>
    </row>
    <row r="155" spans="31:32" ht="12.6" customHeight="1" x14ac:dyDescent="0.2">
      <c r="AE155" s="103">
        <v>503537</v>
      </c>
      <c r="AF155" s="1046">
        <v>10</v>
      </c>
    </row>
    <row r="156" spans="31:32" ht="12.6" customHeight="1" x14ac:dyDescent="0.2">
      <c r="AE156" s="103">
        <v>503550</v>
      </c>
      <c r="AF156" s="1046">
        <v>10</v>
      </c>
    </row>
    <row r="157" spans="31:32" ht="12.6" customHeight="1" x14ac:dyDescent="0.2">
      <c r="AE157" s="103" t="s">
        <v>526</v>
      </c>
      <c r="AF157" s="1046">
        <v>4</v>
      </c>
    </row>
    <row r="158" spans="31:32" ht="12.6" customHeight="1" x14ac:dyDescent="0.2">
      <c r="AE158" s="103">
        <v>304025</v>
      </c>
      <c r="AF158" s="1046">
        <v>10</v>
      </c>
    </row>
    <row r="159" spans="31:32" ht="12.6" customHeight="1" x14ac:dyDescent="0.2">
      <c r="AE159" s="103" t="s">
        <v>527</v>
      </c>
      <c r="AF159" s="1046">
        <v>4</v>
      </c>
    </row>
    <row r="160" spans="31:32" ht="12.6" customHeight="1" x14ac:dyDescent="0.2">
      <c r="AE160" s="103" t="s">
        <v>528</v>
      </c>
      <c r="AF160" s="1046">
        <v>4</v>
      </c>
    </row>
    <row r="161" spans="31:32" ht="12.6" customHeight="1" x14ac:dyDescent="0.2">
      <c r="AE161" s="103" t="s">
        <v>529</v>
      </c>
      <c r="AF161" s="1046">
        <v>4</v>
      </c>
    </row>
    <row r="162" spans="31:32" ht="12.6" customHeight="1" x14ac:dyDescent="0.2">
      <c r="AE162" s="103">
        <v>304037</v>
      </c>
      <c r="AF162" s="1046">
        <v>10</v>
      </c>
    </row>
    <row r="163" spans="31:32" ht="12.6" customHeight="1" x14ac:dyDescent="0.2">
      <c r="AE163" s="103">
        <v>604037</v>
      </c>
      <c r="AF163" s="1046">
        <v>10</v>
      </c>
    </row>
    <row r="164" spans="31:32" ht="12.6" customHeight="1" x14ac:dyDescent="0.2">
      <c r="AE164" s="103">
        <v>704037</v>
      </c>
      <c r="AF164" s="1046">
        <v>10</v>
      </c>
    </row>
    <row r="165" spans="31:32" ht="12.6" customHeight="1" x14ac:dyDescent="0.2">
      <c r="AE165" s="103" t="s">
        <v>530</v>
      </c>
      <c r="AF165" s="1046">
        <v>4</v>
      </c>
    </row>
    <row r="166" spans="31:32" ht="12.6" customHeight="1" x14ac:dyDescent="0.2">
      <c r="AE166" s="103" t="s">
        <v>531</v>
      </c>
      <c r="AF166" s="1046">
        <v>4</v>
      </c>
    </row>
    <row r="167" spans="31:32" ht="12.6" customHeight="1" x14ac:dyDescent="0.2">
      <c r="AE167" s="103">
        <v>704050</v>
      </c>
      <c r="AF167" s="1046">
        <v>10</v>
      </c>
    </row>
    <row r="168" spans="31:32" ht="12.6" customHeight="1" x14ac:dyDescent="0.2">
      <c r="AE168" s="103">
        <v>305025</v>
      </c>
      <c r="AF168" s="1046">
        <v>10</v>
      </c>
    </row>
    <row r="169" spans="31:32" ht="12.6" customHeight="1" x14ac:dyDescent="0.2">
      <c r="AE169" s="103">
        <v>305037</v>
      </c>
      <c r="AF169" s="1046">
        <v>10</v>
      </c>
    </row>
    <row r="170" spans="31:32" ht="12.6" customHeight="1" x14ac:dyDescent="0.2">
      <c r="AE170" s="103">
        <v>355037</v>
      </c>
      <c r="AF170" s="1046">
        <v>10</v>
      </c>
    </row>
    <row r="171" spans="31:32" ht="12.6" customHeight="1" x14ac:dyDescent="0.2">
      <c r="AE171" s="103" t="s">
        <v>532</v>
      </c>
      <c r="AF171" s="1046">
        <v>5</v>
      </c>
    </row>
    <row r="172" spans="31:32" ht="12.6" customHeight="1" x14ac:dyDescent="0.2">
      <c r="AE172" s="103" t="s">
        <v>533</v>
      </c>
      <c r="AF172" s="1046">
        <v>5</v>
      </c>
    </row>
    <row r="173" spans="31:32" ht="12.6" customHeight="1" x14ac:dyDescent="0.2">
      <c r="AE173" s="103">
        <v>355050</v>
      </c>
      <c r="AF173" s="1046">
        <v>10</v>
      </c>
    </row>
    <row r="174" spans="31:32" ht="12.6" customHeight="1" x14ac:dyDescent="0.2">
      <c r="AE174" s="103">
        <v>406037</v>
      </c>
      <c r="AF174" s="1046">
        <v>10</v>
      </c>
    </row>
    <row r="175" spans="31:32" ht="12.6" customHeight="1" x14ac:dyDescent="0.2">
      <c r="AE175" s="103" t="s">
        <v>534</v>
      </c>
      <c r="AF175" s="1046">
        <v>6</v>
      </c>
    </row>
    <row r="176" spans="31:32" ht="12.6" customHeight="1" x14ac:dyDescent="0.2">
      <c r="AE176" s="103" t="s">
        <v>535</v>
      </c>
      <c r="AF176" s="1046">
        <v>6</v>
      </c>
    </row>
    <row r="177" spans="31:32" ht="12.6" customHeight="1" x14ac:dyDescent="0.2">
      <c r="AE177" s="103" t="s">
        <v>536</v>
      </c>
      <c r="AF177" s="1046">
        <v>6</v>
      </c>
    </row>
    <row r="178" spans="31:32" ht="12.6" customHeight="1" x14ac:dyDescent="0.2">
      <c r="AE178" s="103" t="s">
        <v>537</v>
      </c>
      <c r="AF178" s="1046">
        <v>6</v>
      </c>
    </row>
    <row r="179" spans="31:32" ht="12.6" customHeight="1" x14ac:dyDescent="0.2">
      <c r="AE179" s="103">
        <v>806062</v>
      </c>
      <c r="AF179" s="1046">
        <v>10</v>
      </c>
    </row>
    <row r="180" spans="31:32" ht="12.6" customHeight="1" x14ac:dyDescent="0.2">
      <c r="AE180" s="103" t="s">
        <v>538</v>
      </c>
      <c r="AF180" s="1046">
        <v>6</v>
      </c>
    </row>
    <row r="181" spans="31:32" ht="12.6" customHeight="1" x14ac:dyDescent="0.2">
      <c r="AE181" s="103" t="s">
        <v>539</v>
      </c>
      <c r="AF181" s="1046">
        <v>6</v>
      </c>
    </row>
    <row r="182" spans="31:32" ht="12.6" customHeight="1" x14ac:dyDescent="0.2">
      <c r="AE182" s="103">
        <v>407037</v>
      </c>
      <c r="AF182" s="1046">
        <v>10</v>
      </c>
    </row>
    <row r="183" spans="31:32" ht="12.6" customHeight="1" x14ac:dyDescent="0.2">
      <c r="AE183" s="103">
        <v>407050</v>
      </c>
      <c r="AF183" s="1046">
        <v>10</v>
      </c>
    </row>
    <row r="184" spans="31:32" ht="12.6" customHeight="1" x14ac:dyDescent="0.2">
      <c r="AE184" s="103" t="s">
        <v>540</v>
      </c>
      <c r="AF184" s="1046">
        <v>8</v>
      </c>
    </row>
    <row r="185" spans="31:32" ht="12.6" customHeight="1" x14ac:dyDescent="0.2">
      <c r="AE185" s="103">
        <v>8054</v>
      </c>
      <c r="AF185" s="1046">
        <v>8</v>
      </c>
    </row>
    <row r="186" spans="31:32" ht="12.6" customHeight="1" x14ac:dyDescent="0.2">
      <c r="AE186" s="103" t="s">
        <v>541</v>
      </c>
      <c r="AF186" s="1046">
        <v>8</v>
      </c>
    </row>
    <row r="187" spans="31:32" ht="12.6" customHeight="1" x14ac:dyDescent="0.2">
      <c r="AE187" s="103">
        <v>608062</v>
      </c>
      <c r="AF187" s="1046">
        <v>10</v>
      </c>
    </row>
    <row r="188" spans="31:32" ht="12.6" customHeight="1" x14ac:dyDescent="0.2">
      <c r="AE188" s="103" t="s">
        <v>542</v>
      </c>
      <c r="AF188" s="1046">
        <v>8</v>
      </c>
    </row>
    <row r="189" spans="31:32" ht="12.6" customHeight="1" x14ac:dyDescent="0.2">
      <c r="AE189" s="103" t="s">
        <v>543</v>
      </c>
      <c r="AF189" s="1046">
        <v>8</v>
      </c>
    </row>
    <row r="190" spans="31:32" ht="12.6" customHeight="1" x14ac:dyDescent="0.2">
      <c r="AE190" s="103" t="s">
        <v>544</v>
      </c>
      <c r="AF190" s="1046">
        <v>8</v>
      </c>
    </row>
    <row r="191" spans="31:32" ht="12.6" customHeight="1" x14ac:dyDescent="0.2">
      <c r="AE191" s="103" t="s">
        <v>545</v>
      </c>
      <c r="AF191" s="1046">
        <v>10</v>
      </c>
    </row>
    <row r="192" spans="31:32" ht="12.6" customHeight="1" x14ac:dyDescent="0.2">
      <c r="AE192" s="103" t="s">
        <v>546</v>
      </c>
      <c r="AF192" s="1046">
        <v>10</v>
      </c>
    </row>
    <row r="301" spans="31:32" ht="12.6" customHeight="1" x14ac:dyDescent="0.2">
      <c r="AE301" s="578" t="s">
        <v>547</v>
      </c>
      <c r="AF301" s="578"/>
    </row>
  </sheetData>
  <sheetProtection selectLockedCells="1"/>
  <dataConsolidate link="1"/>
  <mergeCells count="43">
    <mergeCell ref="HL12:HL13"/>
    <mergeCell ref="HM12:HM13"/>
    <mergeCell ref="HN12:HN13"/>
    <mergeCell ref="HO12:HO13"/>
    <mergeCell ref="HG12:HG13"/>
    <mergeCell ref="HH12:HH13"/>
    <mergeCell ref="HI12:HI13"/>
    <mergeCell ref="HJ12:HJ13"/>
    <mergeCell ref="HK12:HK13"/>
    <mergeCell ref="HD12:HD13"/>
    <mergeCell ref="HA12:HA13"/>
    <mergeCell ref="HB12:HB13"/>
    <mergeCell ref="HC12:HC13"/>
    <mergeCell ref="HF12:HF13"/>
    <mergeCell ref="HP12:HP13"/>
    <mergeCell ref="AC25:AD25"/>
    <mergeCell ref="O6:P6"/>
    <mergeCell ref="J9:P9"/>
    <mergeCell ref="I7:L7"/>
    <mergeCell ref="X25:AA25"/>
    <mergeCell ref="O12:O13"/>
    <mergeCell ref="M12:M13"/>
    <mergeCell ref="O10:P10"/>
    <mergeCell ref="N12:N13"/>
    <mergeCell ref="V25:V26"/>
    <mergeCell ref="K12:L13"/>
    <mergeCell ref="J10:L10"/>
    <mergeCell ref="I12:J12"/>
    <mergeCell ref="HA11:HP11"/>
    <mergeCell ref="HE12:HE13"/>
    <mergeCell ref="C12:C13"/>
    <mergeCell ref="F12:F13"/>
    <mergeCell ref="J1:L1"/>
    <mergeCell ref="J2:L3"/>
    <mergeCell ref="J4:L4"/>
    <mergeCell ref="I8:K8"/>
    <mergeCell ref="A5:G5"/>
    <mergeCell ref="A12:B13"/>
    <mergeCell ref="D12:D13"/>
    <mergeCell ref="E12:E13"/>
    <mergeCell ref="C9:G9"/>
    <mergeCell ref="C10:G10"/>
    <mergeCell ref="G12:H12"/>
  </mergeCells>
  <phoneticPr fontId="0" type="noConversion"/>
  <conditionalFormatting sqref="A14:A42 C14:C42">
    <cfRule type="expression" dxfId="234" priority="5">
      <formula>AND(NOT($S$1),$C14=0,OR($R$1="",$R$1="M"))</formula>
    </cfRule>
  </conditionalFormatting>
  <conditionalFormatting sqref="J2:L4">
    <cfRule type="cellIs" dxfId="233" priority="25" stopIfTrue="1" operator="equal">
      <formula>""</formula>
    </cfRule>
  </conditionalFormatting>
  <conditionalFormatting sqref="G7">
    <cfRule type="cellIs" dxfId="232" priority="26" stopIfTrue="1" operator="equal">
      <formula>"NO PAINT"</formula>
    </cfRule>
  </conditionalFormatting>
  <conditionalFormatting sqref="I7:K7">
    <cfRule type="expression" dxfId="231" priority="27" stopIfTrue="1">
      <formula>LOWER($I$7)&lt;&gt;"std gray primer: one shop coat"</formula>
    </cfRule>
  </conditionalFormatting>
  <conditionalFormatting sqref="F14:F42">
    <cfRule type="expression" dxfId="230" priority="21">
      <formula>OR(ISERROR(VLOOKUP(E14,$V$27:$V$42,1,FALSE)),ISERROR(VLOOKUP(F14,$AB$27:$AB$42,1,FALSE)))</formula>
    </cfRule>
  </conditionalFormatting>
  <conditionalFormatting sqref="D14:D42">
    <cfRule type="expression" dxfId="229" priority="9">
      <formula>OR(ISERROR(VLOOKUP(TRIM(D14),$AE$27:$AE$300,1,FALSE)),AND(NOT(ISERROR(VLOOKUP(E14,$V$27:$V$300,1,FALSE))),NOT(ISERROR(VLOOKUP(TRIM(D14),$U$27:$U$300,1,FALSE)))))</formula>
    </cfRule>
  </conditionalFormatting>
  <conditionalFormatting sqref="E14:E42">
    <cfRule type="expression" dxfId="228" priority="13">
      <formula>OR(ISERROR(VLOOKUP(E14,$W$27:$W$42,1,FALSE)),AND(NOT(ISERROR(VLOOKUP(E14,$V$27:$V$300,1,FALSE))),NOT(ISERROR(VLOOKUP(D14,$U$27:$U$300,1,FALSE)))))</formula>
    </cfRule>
  </conditionalFormatting>
  <conditionalFormatting sqref="I7:L7">
    <cfRule type="cellIs" dxfId="227" priority="6" operator="equal">
      <formula>0</formula>
    </cfRule>
  </conditionalFormatting>
  <conditionalFormatting sqref="A14:P42">
    <cfRule type="expression" dxfId="226" priority="42">
      <formula>$Q14</formula>
    </cfRule>
  </conditionalFormatting>
  <conditionalFormatting sqref="G14:G42">
    <cfRule type="expression" dxfId="225" priority="4">
      <formula>NOT(VLOOKUP($E14,$W$27:$AA$42,2,FALSE))</formula>
    </cfRule>
  </conditionalFormatting>
  <conditionalFormatting sqref="H14">
    <cfRule type="expression" dxfId="224" priority="3">
      <formula>NOT(VLOOKUP($E14,$W$27:$AA$42,3,FALSE))</formula>
    </cfRule>
  </conditionalFormatting>
  <conditionalFormatting sqref="I14:I42">
    <cfRule type="expression" dxfId="223" priority="2">
      <formula>NOT(VLOOKUP($E14,$W$27:$AA$42,4,FALSE))</formula>
    </cfRule>
  </conditionalFormatting>
  <conditionalFormatting sqref="J14:J42">
    <cfRule type="expression" dxfId="222" priority="1">
      <formula>NOT(VLOOKUP($E14,$W$27:$AA$42,5,FALSE))</formula>
    </cfRule>
  </conditionalFormatting>
  <dataValidations count="6">
    <dataValidation type="list" allowBlank="1" showInputMessage="1" sqref="F14:F42" xr:uid="{00000000-0002-0000-0F00-000000000000}">
      <formula1>$AB$27:$AB$34</formula1>
    </dataValidation>
    <dataValidation type="list" allowBlank="1" errorTitle="Invalid Bridging Type" error="You MUST use a bridging type provided in the list." sqref="E14:E42" xr:uid="{00000000-0002-0000-0F00-000001000000}">
      <formula1>OFFSET($W$27,0,0,$W$25)</formula1>
    </dataValidation>
    <dataValidation type="list" allowBlank="1" showInputMessage="1" sqref="I7:L7" xr:uid="{00000000-0002-0000-0F00-000002000000}">
      <formula1>"Std Gray Primer: One Shop Coat,NO Shop Primer,NO Shop Primer - GALV,Std Gray Primer: xx Shop Coats"</formula1>
    </dataValidation>
    <dataValidation type="whole" operator="greaterThanOrEqual" allowBlank="1" showErrorMessage="1" errorTitle="Dimensional Error" error="&quot;Feet&quot; can only be whole numbers." sqref="K14:K42" xr:uid="{00000000-0002-0000-0F00-000003000000}">
      <formula1>0</formula1>
    </dataValidation>
    <dataValidation type="decimal" allowBlank="1" showInputMessage="1" showErrorMessage="1" errorTitle="Dimensional Error" error="&quot;Inches&quot; must be a number from 0 to 11.875." sqref="L14:L42" xr:uid="{00000000-0002-0000-0F00-000004000000}">
      <formula1>0</formula1>
      <formula2>11.875</formula2>
    </dataValidation>
    <dataValidation type="whole" operator="greaterThan" allowBlank="1" showInputMessage="1" showErrorMessage="1" errorTitle="Quantity Error" error="Value must be an integer greater than -1000." sqref="C14:C42" xr:uid="{D2070425-B529-4ABF-B007-17C00EE0C3A7}">
      <formula1>-1001</formula1>
    </dataValidation>
  </dataValidations>
  <printOptions horizontalCentered="1"/>
  <pageMargins left="0.3" right="0.3" top="0.5" bottom="0.5" header="0" footer="0.25"/>
  <pageSetup pageOrder="overThenDown" orientation="landscape" r:id="rId1"/>
  <headerFooter alignWithMargins="0">
    <oddFooter>&amp;R&amp;7Printed: &amp;D &amp;T&amp;L&amp;7Version: 21.0428
File: &amp;F</oddFooter>
  </headerFooter>
  <drawing r:id="rId2"/>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4486B1-D2D3-4C0D-B423-642CA81FCF7C}">
  <sheetPr codeName="Sheet27">
    <tabColor rgb="FFFF6600"/>
  </sheetPr>
  <dimension ref="A1:V100"/>
  <sheetViews>
    <sheetView showGridLines="0" zoomScaleNormal="100" zoomScaleSheetLayoutView="100" workbookViewId="0">
      <selection activeCell="A13" sqref="A13"/>
    </sheetView>
  </sheetViews>
  <sheetFormatPr defaultColWidth="9.140625" defaultRowHeight="12" x14ac:dyDescent="0.2"/>
  <cols>
    <col min="1" max="1" width="10.7109375" style="154" customWidth="1"/>
    <col min="2" max="2" width="30.7109375" style="154" customWidth="1"/>
    <col min="3" max="6" width="6.42578125" style="154" customWidth="1"/>
    <col min="7" max="7" width="10.7109375" style="154" customWidth="1"/>
    <col min="8" max="8" width="6.7109375" style="154" customWidth="1"/>
    <col min="9" max="9" width="7.28515625" style="154" customWidth="1"/>
    <col min="10" max="10" width="10.7109375" style="154" customWidth="1"/>
    <col min="11" max="11" width="6.7109375" style="154" customWidth="1"/>
    <col min="12" max="13" width="5.7109375" style="154" hidden="1" customWidth="1"/>
    <col min="14" max="14" width="8.7109375" style="154" hidden="1" customWidth="1"/>
    <col min="15" max="15" width="8.7109375" style="729" hidden="1" customWidth="1"/>
    <col min="16" max="16" width="11.28515625" style="154" hidden="1" customWidth="1"/>
    <col min="17" max="18" width="15.7109375" style="154" hidden="1" customWidth="1"/>
    <col min="19" max="21" width="9.140625" style="154" hidden="1" customWidth="1"/>
    <col min="22" max="16384" width="9.140625" style="154"/>
  </cols>
  <sheetData>
    <row r="1" spans="1:22" s="303" customFormat="1" ht="15" customHeight="1" thickBot="1" x14ac:dyDescent="0.25">
      <c r="A1" s="298"/>
      <c r="B1" s="298"/>
      <c r="C1" s="298"/>
      <c r="D1" s="1705"/>
      <c r="E1" s="1706"/>
      <c r="F1" s="1706"/>
      <c r="G1" s="1707" t="s">
        <v>77</v>
      </c>
      <c r="H1" s="1708"/>
      <c r="I1" s="1709"/>
      <c r="J1" s="1710"/>
      <c r="K1" s="423" t="s">
        <v>375</v>
      </c>
      <c r="L1" s="302" t="e">
        <f>#REF!</f>
        <v>#REF!</v>
      </c>
      <c r="M1" s="302" t="e">
        <f>#REF!</f>
        <v>#REF!</v>
      </c>
      <c r="N1" s="302"/>
      <c r="O1" s="727"/>
      <c r="R1" s="716" t="s">
        <v>791</v>
      </c>
      <c r="S1" s="576"/>
      <c r="T1" s="576" t="s">
        <v>797</v>
      </c>
      <c r="V1" s="424" t="s">
        <v>376</v>
      </c>
    </row>
    <row r="2" spans="1:22" s="303" customFormat="1" ht="12.95" customHeight="1" thickTop="1" x14ac:dyDescent="0.2">
      <c r="A2" s="298"/>
      <c r="B2" s="298"/>
      <c r="C2" s="298"/>
      <c r="D2" s="1711"/>
      <c r="E2" s="1712"/>
      <c r="F2" s="1713"/>
      <c r="G2" s="1707" t="s">
        <v>78</v>
      </c>
      <c r="H2" s="1707"/>
      <c r="I2" s="1709"/>
      <c r="J2" s="1710"/>
      <c r="O2" s="727"/>
      <c r="S2" s="576"/>
      <c r="T2" s="576" t="s">
        <v>793</v>
      </c>
    </row>
    <row r="3" spans="1:22" s="303" customFormat="1" ht="12.95" customHeight="1" x14ac:dyDescent="0.2">
      <c r="A3" s="298"/>
      <c r="B3" s="298"/>
      <c r="C3" s="298"/>
      <c r="D3" s="1714"/>
      <c r="E3" s="1715"/>
      <c r="F3" s="1716"/>
      <c r="G3" s="1707" t="s">
        <v>80</v>
      </c>
      <c r="H3" s="1707"/>
      <c r="I3" s="1709"/>
      <c r="J3" s="1710"/>
      <c r="O3" s="727"/>
      <c r="S3" s="576"/>
      <c r="T3" s="576" t="s">
        <v>794</v>
      </c>
    </row>
    <row r="4" spans="1:22" s="303" customFormat="1" ht="12.95" customHeight="1" thickBot="1" x14ac:dyDescent="0.25">
      <c r="A4" s="298"/>
      <c r="B4" s="298"/>
      <c r="C4" s="298"/>
      <c r="D4" s="1717"/>
      <c r="E4" s="1718"/>
      <c r="F4" s="1719"/>
      <c r="G4" s="1707" t="s">
        <v>79</v>
      </c>
      <c r="H4" s="1707"/>
      <c r="I4" s="1709"/>
      <c r="J4" s="1710"/>
      <c r="O4" s="727"/>
      <c r="S4" s="576"/>
      <c r="T4" s="576" t="s">
        <v>795</v>
      </c>
    </row>
    <row r="5" spans="1:22" s="303" customFormat="1" ht="12.95" customHeight="1" thickTop="1" x14ac:dyDescent="0.2">
      <c r="A5" s="1720"/>
      <c r="B5" s="1720"/>
      <c r="C5" s="1720"/>
      <c r="D5" s="1720"/>
      <c r="E5" s="1720"/>
      <c r="F5" s="1720"/>
      <c r="G5" s="1670"/>
      <c r="H5" s="298"/>
      <c r="I5" s="298"/>
      <c r="J5" s="298"/>
      <c r="N5" s="1412"/>
      <c r="O5" s="727"/>
      <c r="S5" s="576"/>
      <c r="T5" s="576" t="s">
        <v>796</v>
      </c>
    </row>
    <row r="6" spans="1:22" s="303" customFormat="1" ht="12.95" customHeight="1" x14ac:dyDescent="0.2">
      <c r="A6" s="298"/>
      <c r="B6" s="298"/>
      <c r="C6" s="298"/>
      <c r="D6" s="298"/>
      <c r="E6" s="298"/>
      <c r="F6" s="298"/>
      <c r="G6" s="396" t="s">
        <v>20</v>
      </c>
      <c r="H6" s="1721"/>
      <c r="I6" s="1721"/>
      <c r="J6" s="298"/>
      <c r="L6" s="995" t="s">
        <v>705</v>
      </c>
      <c r="M6" s="711"/>
      <c r="N6" s="1413"/>
      <c r="O6" s="727"/>
      <c r="T6" s="576" t="s">
        <v>798</v>
      </c>
    </row>
    <row r="7" spans="1:22" ht="12.95" customHeight="1" x14ac:dyDescent="0.2">
      <c r="A7" s="321" t="s">
        <v>42</v>
      </c>
      <c r="B7" s="322"/>
      <c r="C7" s="322"/>
      <c r="D7" s="322"/>
      <c r="E7" s="322"/>
      <c r="F7" s="742"/>
      <c r="G7" s="397" t="s">
        <v>21</v>
      </c>
      <c r="H7" s="1109"/>
      <c r="I7" s="601"/>
      <c r="J7" s="418"/>
      <c r="L7" s="997"/>
      <c r="M7" s="307"/>
      <c r="N7" s="1414"/>
      <c r="Q7" s="728"/>
      <c r="T7" s="707" t="s">
        <v>799</v>
      </c>
    </row>
    <row r="8" spans="1:22" ht="3.95" customHeight="1" x14ac:dyDescent="0.2">
      <c r="A8" s="322"/>
      <c r="B8" s="322"/>
      <c r="C8" s="322"/>
      <c r="D8" s="322"/>
      <c r="E8" s="322"/>
      <c r="F8" s="322"/>
      <c r="G8" s="322"/>
      <c r="H8" s="322"/>
      <c r="I8" s="322"/>
      <c r="J8" s="322"/>
      <c r="T8" s="707" t="s">
        <v>800</v>
      </c>
    </row>
    <row r="9" spans="1:22" ht="12.6" customHeight="1" x14ac:dyDescent="0.2">
      <c r="A9" s="417" t="s">
        <v>1</v>
      </c>
      <c r="B9" s="1699"/>
      <c r="C9" s="1699"/>
      <c r="D9" s="1700"/>
      <c r="E9" s="419"/>
      <c r="F9" s="420" t="s">
        <v>2</v>
      </c>
      <c r="G9" s="1699"/>
      <c r="H9" s="1699"/>
      <c r="I9" s="1699"/>
      <c r="J9" s="1700"/>
      <c r="L9" s="307"/>
      <c r="T9" s="707"/>
    </row>
    <row r="10" spans="1:22" ht="12.6" customHeight="1" x14ac:dyDescent="0.2">
      <c r="A10" s="417" t="s">
        <v>3</v>
      </c>
      <c r="B10" s="1699"/>
      <c r="C10" s="1699"/>
      <c r="D10" s="1700"/>
      <c r="E10" s="412"/>
      <c r="F10" s="417" t="s">
        <v>22</v>
      </c>
      <c r="G10" s="1664"/>
      <c r="H10" s="145"/>
      <c r="I10" s="420" t="s">
        <v>23</v>
      </c>
      <c r="J10" s="1664"/>
      <c r="L10" s="876" t="s">
        <v>570</v>
      </c>
      <c r="M10" s="876" t="s">
        <v>138</v>
      </c>
      <c r="N10" s="707" t="s">
        <v>789</v>
      </c>
      <c r="O10" s="707"/>
      <c r="P10" s="154">
        <f>COUNTA(Q13:Q99)</f>
        <v>67</v>
      </c>
      <c r="R10" s="729"/>
    </row>
    <row r="11" spans="1:22" ht="3.95" customHeight="1" x14ac:dyDescent="0.2">
      <c r="A11" s="999"/>
      <c r="B11" s="322"/>
      <c r="C11" s="322"/>
      <c r="D11" s="322"/>
      <c r="E11" s="322"/>
      <c r="F11" s="322"/>
      <c r="G11" s="322"/>
      <c r="H11" s="322"/>
      <c r="I11" s="322"/>
      <c r="J11" s="322"/>
      <c r="N11" s="729"/>
      <c r="R11" s="729"/>
    </row>
    <row r="12" spans="1:22" s="415" customFormat="1" ht="15.4" customHeight="1" thickBot="1" x14ac:dyDescent="0.25">
      <c r="A12" s="1662" t="s">
        <v>30</v>
      </c>
      <c r="B12" s="1725" t="s">
        <v>15</v>
      </c>
      <c r="C12" s="1726"/>
      <c r="D12" s="1726"/>
      <c r="E12" s="1726"/>
      <c r="F12" s="1726"/>
      <c r="G12" s="1726"/>
      <c r="H12" s="1726"/>
      <c r="I12" s="1726"/>
      <c r="J12" s="1727"/>
      <c r="P12" s="734" t="s">
        <v>560</v>
      </c>
      <c r="Q12" s="735" t="s">
        <v>561</v>
      </c>
      <c r="R12" s="730" t="s">
        <v>565</v>
      </c>
    </row>
    <row r="13" spans="1:22" ht="15.4" customHeight="1" thickTop="1" x14ac:dyDescent="0.2">
      <c r="A13" s="1363"/>
      <c r="B13" s="1728"/>
      <c r="C13" s="1729"/>
      <c r="D13" s="1729"/>
      <c r="E13" s="1729"/>
      <c r="F13" s="1729"/>
      <c r="G13" s="1729"/>
      <c r="H13" s="1729"/>
      <c r="I13" s="1729"/>
      <c r="J13" s="1730"/>
      <c r="L13" s="878" t="str">
        <f>IF(ISBLANK(A13),"",SUBSTITUTE(A13,"*",""))</f>
        <v/>
      </c>
      <c r="M13" s="1411"/>
      <c r="N13" s="1415"/>
      <c r="O13" s="1403"/>
      <c r="P13" s="736"/>
      <c r="Q13" s="737" t="s">
        <v>617</v>
      </c>
      <c r="R13" s="731" t="str">
        <f>CONCATENATE("[",P13, "] - ", Q13)</f>
        <v>[] - SHAPES</v>
      </c>
    </row>
    <row r="14" spans="1:22" ht="15.4" customHeight="1" x14ac:dyDescent="0.2">
      <c r="A14" s="1367"/>
      <c r="B14" s="1722"/>
      <c r="C14" s="1723"/>
      <c r="D14" s="1723"/>
      <c r="E14" s="1723"/>
      <c r="F14" s="1723"/>
      <c r="G14" s="1723"/>
      <c r="H14" s="1723"/>
      <c r="I14" s="1723"/>
      <c r="J14" s="1724"/>
      <c r="L14" s="878" t="str">
        <f>IF(ISBLANK(A14),L13,SUBSTITUTE(A14,"*",""))</f>
        <v/>
      </c>
      <c r="M14" s="1411"/>
      <c r="N14" s="1415"/>
      <c r="O14" s="1403"/>
      <c r="P14" s="738" t="s">
        <v>562</v>
      </c>
      <c r="Q14" s="739" t="s">
        <v>618</v>
      </c>
      <c r="R14" s="732" t="str">
        <f t="shared" ref="R14:R77" si="0">CONCATENATE("[",P14, "] - ", Q14)</f>
        <v>[SP] - Single Pitch: (Ctr Depth=Designation) ##" Depth @ LBL, ##" Depth @ RBL</v>
      </c>
    </row>
    <row r="15" spans="1:22" ht="15.4" customHeight="1" x14ac:dyDescent="0.2">
      <c r="A15" s="1367"/>
      <c r="B15" s="1722"/>
      <c r="C15" s="1723"/>
      <c r="D15" s="1723"/>
      <c r="E15" s="1723"/>
      <c r="F15" s="1723"/>
      <c r="G15" s="1723"/>
      <c r="H15" s="1723"/>
      <c r="I15" s="1723"/>
      <c r="J15" s="1724"/>
      <c r="L15" s="878" t="str">
        <f t="shared" ref="L15:L51" si="1">IF(ISBLANK(A15),L14,SUBSTITUTE(A15,"*",""))</f>
        <v/>
      </c>
      <c r="M15" s="1411"/>
      <c r="N15" s="1415"/>
      <c r="O15" s="1403"/>
      <c r="P15" s="738" t="s">
        <v>563</v>
      </c>
      <c r="Q15" s="739" t="s">
        <v>619</v>
      </c>
      <c r="R15" s="732" t="str">
        <f t="shared" si="0"/>
        <v>[DP] - Double Pitch: Ridge @ ##’-## From LBL (Depth=Designation), ##" Depth @ LBL, ##" Depth @ RBL</v>
      </c>
    </row>
    <row r="16" spans="1:22" ht="15.4" customHeight="1" x14ac:dyDescent="0.2">
      <c r="A16" s="1367"/>
      <c r="B16" s="1722"/>
      <c r="C16" s="1723"/>
      <c r="D16" s="1723"/>
      <c r="E16" s="1723"/>
      <c r="F16" s="1723"/>
      <c r="G16" s="1723"/>
      <c r="H16" s="1723"/>
      <c r="I16" s="1723"/>
      <c r="J16" s="1724"/>
      <c r="L16" s="878" t="str">
        <f t="shared" si="1"/>
        <v/>
      </c>
      <c r="M16" s="1411"/>
      <c r="N16" s="1415"/>
      <c r="O16" s="1403"/>
      <c r="P16" s="738" t="s">
        <v>564</v>
      </c>
      <c r="Q16" s="739" t="s">
        <v>620</v>
      </c>
      <c r="R16" s="732" t="str">
        <f t="shared" si="0"/>
        <v>[TP] - Triple Pitch: Ridge Left @ ##’-## From LBL (Depth=Designation), ##" Depth @ LBL, ##" Depth @ RBL, Ridge Right @ ##'-## From LBL</v>
      </c>
    </row>
    <row r="17" spans="1:18" ht="15.4" customHeight="1" x14ac:dyDescent="0.2">
      <c r="A17" s="1367"/>
      <c r="B17" s="1722"/>
      <c r="C17" s="1723"/>
      <c r="D17" s="1723"/>
      <c r="E17" s="1723"/>
      <c r="F17" s="1723"/>
      <c r="G17" s="1723"/>
      <c r="H17" s="1723"/>
      <c r="I17" s="1723"/>
      <c r="J17" s="1724"/>
      <c r="L17" s="878" t="str">
        <f t="shared" si="1"/>
        <v/>
      </c>
      <c r="M17" s="1411"/>
      <c r="N17" s="1415"/>
      <c r="O17" s="1403"/>
      <c r="P17" s="738" t="s">
        <v>588</v>
      </c>
      <c r="Q17" s="739" t="s">
        <v>621</v>
      </c>
      <c r="R17" s="732" t="str">
        <f t="shared" si="0"/>
        <v>[AC] - Arched Chords: (Depth=Designation) ##" TC Radius</v>
      </c>
    </row>
    <row r="18" spans="1:18" ht="15.4" customHeight="1" x14ac:dyDescent="0.2">
      <c r="A18" s="1367"/>
      <c r="B18" s="1722"/>
      <c r="C18" s="1723"/>
      <c r="D18" s="1723"/>
      <c r="E18" s="1723"/>
      <c r="F18" s="1723"/>
      <c r="G18" s="1723"/>
      <c r="H18" s="1723"/>
      <c r="I18" s="1723"/>
      <c r="J18" s="1724"/>
      <c r="L18" s="878" t="str">
        <f t="shared" si="1"/>
        <v/>
      </c>
      <c r="M18" s="1411"/>
      <c r="N18" s="1415"/>
      <c r="O18" s="1403"/>
      <c r="P18" s="738" t="s">
        <v>589</v>
      </c>
      <c r="Q18" s="739" t="s">
        <v>622</v>
      </c>
      <c r="R18" s="732" t="str">
        <f t="shared" si="0"/>
        <v>[BW] - Bowstring: Ridge @ ##’-## From LBL (Depth=Designation), ##" Depth @ LBL, ##" TC Radius</v>
      </c>
    </row>
    <row r="19" spans="1:18" ht="15.4" customHeight="1" x14ac:dyDescent="0.2">
      <c r="A19" s="1367"/>
      <c r="B19" s="1722"/>
      <c r="C19" s="1723"/>
      <c r="D19" s="1723"/>
      <c r="E19" s="1723"/>
      <c r="F19" s="1723"/>
      <c r="G19" s="1723"/>
      <c r="H19" s="1723"/>
      <c r="I19" s="1723"/>
      <c r="J19" s="1724"/>
      <c r="L19" s="878" t="str">
        <f t="shared" si="1"/>
        <v/>
      </c>
      <c r="M19" s="1411"/>
      <c r="N19" s="1415"/>
      <c r="O19" s="1403"/>
      <c r="P19" s="738" t="s">
        <v>590</v>
      </c>
      <c r="Q19" s="739" t="s">
        <v>661</v>
      </c>
      <c r="R19" s="732" t="str">
        <f t="shared" si="0"/>
        <v>[SC] - Scissor: Ridge @ ##’-## From LBL (Vert Depth=Designation), BC Rise ##” @ Ridge From LBL, ##" Vert Depth @ LBL, ##" Vert Depth @ RBL, ##" BC Elev difference @ RBL</v>
      </c>
    </row>
    <row r="20" spans="1:18" ht="15.4" customHeight="1" x14ac:dyDescent="0.2">
      <c r="A20" s="1367"/>
      <c r="B20" s="1722"/>
      <c r="C20" s="1723"/>
      <c r="D20" s="1723"/>
      <c r="E20" s="1723"/>
      <c r="F20" s="1723"/>
      <c r="G20" s="1723"/>
      <c r="H20" s="1723"/>
      <c r="I20" s="1723"/>
      <c r="J20" s="1724"/>
      <c r="L20" s="878" t="str">
        <f t="shared" si="1"/>
        <v/>
      </c>
      <c r="M20" s="1411"/>
      <c r="N20" s="1415"/>
      <c r="O20" s="1403"/>
      <c r="P20" s="738"/>
      <c r="Q20" s="739" t="s">
        <v>623</v>
      </c>
      <c r="R20" s="732" t="str">
        <f t="shared" si="0"/>
        <v>[] - DEFLECTION</v>
      </c>
    </row>
    <row r="21" spans="1:18" ht="15.4" customHeight="1" x14ac:dyDescent="0.2">
      <c r="A21" s="1367"/>
      <c r="B21" s="1731"/>
      <c r="C21" s="1732"/>
      <c r="D21" s="1732"/>
      <c r="E21" s="1732"/>
      <c r="F21" s="1732"/>
      <c r="G21" s="1732"/>
      <c r="H21" s="1732"/>
      <c r="I21" s="1732"/>
      <c r="J21" s="1733"/>
      <c r="L21" s="878" t="str">
        <f t="shared" si="1"/>
        <v/>
      </c>
      <c r="M21" s="1411"/>
      <c r="N21" s="1415"/>
      <c r="O21" s="1415"/>
      <c r="P21" s="738" t="s">
        <v>583</v>
      </c>
      <c r="Q21" s="739" t="s">
        <v>624</v>
      </c>
      <c r="R21" s="732" t="str">
        <f t="shared" si="0"/>
        <v>[DefLL] - LL Deflection = L/###|Deflection=L/### Due To ### PLF LL|LL Deflection=L/### (LL/TL Ratio = ##%)</v>
      </c>
    </row>
    <row r="22" spans="1:18" ht="15.4" customHeight="1" x14ac:dyDescent="0.2">
      <c r="A22" s="1367"/>
      <c r="B22" s="1722"/>
      <c r="C22" s="1723"/>
      <c r="D22" s="1723"/>
      <c r="E22" s="1723"/>
      <c r="F22" s="1723"/>
      <c r="G22" s="1723"/>
      <c r="H22" s="1723"/>
      <c r="I22" s="1723"/>
      <c r="J22" s="1724"/>
      <c r="L22" s="878" t="str">
        <f t="shared" si="1"/>
        <v/>
      </c>
      <c r="M22" s="1411"/>
      <c r="N22" s="1415"/>
      <c r="O22" s="1403"/>
      <c r="P22" s="738" t="s">
        <v>584</v>
      </c>
      <c r="Q22" s="739" t="s">
        <v>625</v>
      </c>
      <c r="R22" s="732" t="str">
        <f t="shared" si="0"/>
        <v>[DefTL] - TL Deflection = L/###, Ck Std Camber Satisfies DL Def</v>
      </c>
    </row>
    <row r="23" spans="1:18" ht="15.4" customHeight="1" x14ac:dyDescent="0.2">
      <c r="A23" s="1367"/>
      <c r="B23" s="1728"/>
      <c r="C23" s="1729"/>
      <c r="D23" s="1729"/>
      <c r="E23" s="1729"/>
      <c r="F23" s="1729"/>
      <c r="G23" s="1729"/>
      <c r="H23" s="1729"/>
      <c r="I23" s="1729"/>
      <c r="J23" s="1730"/>
      <c r="L23" s="878" t="str">
        <f t="shared" si="1"/>
        <v/>
      </c>
      <c r="M23" s="1411"/>
      <c r="N23" s="1415"/>
      <c r="O23" s="1403"/>
      <c r="P23" s="738" t="s">
        <v>585</v>
      </c>
      <c r="Q23" s="739" t="s">
        <v>627</v>
      </c>
      <c r="R23" s="732" t="str">
        <f t="shared" si="0"/>
        <v>[DefTCX] - TCXL|TCXR Deflection = ##" Max Due To ### PLF LL|DL|TL</v>
      </c>
    </row>
    <row r="24" spans="1:18" ht="15.4" customHeight="1" x14ac:dyDescent="0.2">
      <c r="A24" s="1367"/>
      <c r="B24" s="1722"/>
      <c r="C24" s="1723"/>
      <c r="D24" s="1723"/>
      <c r="E24" s="1723"/>
      <c r="F24" s="1723"/>
      <c r="G24" s="1723"/>
      <c r="H24" s="1723"/>
      <c r="I24" s="1723"/>
      <c r="J24" s="1724"/>
      <c r="L24" s="878" t="str">
        <f t="shared" si="1"/>
        <v/>
      </c>
      <c r="M24" s="1411"/>
      <c r="N24" s="1415"/>
      <c r="O24" s="1403"/>
      <c r="P24" s="738" t="s">
        <v>586</v>
      </c>
      <c r="Q24" s="739" t="s">
        <v>626</v>
      </c>
      <c r="R24" s="732" t="str">
        <f t="shared" si="0"/>
        <v>[DefSP] - Special Deflection = ##" Max Due To ### PLF LL|DL|TL</v>
      </c>
    </row>
    <row r="25" spans="1:18" ht="15.4" customHeight="1" x14ac:dyDescent="0.2">
      <c r="A25" s="1367"/>
      <c r="B25" s="1722"/>
      <c r="C25" s="1723"/>
      <c r="D25" s="1723"/>
      <c r="E25" s="1723"/>
      <c r="F25" s="1723"/>
      <c r="G25" s="1723"/>
      <c r="H25" s="1723"/>
      <c r="I25" s="1723"/>
      <c r="J25" s="1724"/>
      <c r="L25" s="878" t="str">
        <f t="shared" si="1"/>
        <v/>
      </c>
      <c r="M25" s="1411"/>
      <c r="N25" s="1415"/>
      <c r="O25" s="1403"/>
      <c r="P25" s="738"/>
      <c r="Q25" s="739" t="s">
        <v>628</v>
      </c>
      <c r="R25" s="732" t="str">
        <f t="shared" si="0"/>
        <v>[] - BEARING SEATS</v>
      </c>
    </row>
    <row r="26" spans="1:18" ht="15.4" customHeight="1" x14ac:dyDescent="0.2">
      <c r="A26" s="1367"/>
      <c r="B26" s="1722"/>
      <c r="C26" s="1723"/>
      <c r="D26" s="1723"/>
      <c r="E26" s="1723"/>
      <c r="F26" s="1723"/>
      <c r="G26" s="1723"/>
      <c r="H26" s="1723"/>
      <c r="I26" s="1723"/>
      <c r="J26" s="1724"/>
      <c r="L26" s="878" t="str">
        <f t="shared" si="1"/>
        <v/>
      </c>
      <c r="M26" s="1411"/>
      <c r="N26" s="1403"/>
      <c r="O26" s="1403"/>
      <c r="P26" s="738" t="s">
        <v>770</v>
      </c>
      <c r="Q26" s="739" t="s">
        <v>774</v>
      </c>
      <c r="R26" s="732" t="str">
        <f t="shared" si="0"/>
        <v>[AddSeat] - Addn’l Bearing Seat @ LE|RE|BE, Setback = #’-##”, Depth = ##”</v>
      </c>
    </row>
    <row r="27" spans="1:18" ht="15.4" customHeight="1" x14ac:dyDescent="0.2">
      <c r="A27" s="1367"/>
      <c r="B27" s="1722"/>
      <c r="C27" s="1723"/>
      <c r="D27" s="1723"/>
      <c r="E27" s="1723"/>
      <c r="F27" s="1723"/>
      <c r="G27" s="1723"/>
      <c r="H27" s="1723"/>
      <c r="I27" s="1723"/>
      <c r="J27" s="1724"/>
      <c r="L27" s="878" t="str">
        <f t="shared" si="1"/>
        <v/>
      </c>
      <c r="M27" s="1411"/>
      <c r="N27" s="1403"/>
      <c r="O27" s="1403"/>
      <c r="P27" s="738" t="s">
        <v>597</v>
      </c>
      <c r="Q27" s="739" t="s">
        <v>641</v>
      </c>
      <c r="R27" s="732" t="str">
        <f t="shared" si="0"/>
        <v>[AddSlt] - Addn'l Seat Slots @ #" from L-OAL|R-OAL</v>
      </c>
    </row>
    <row r="28" spans="1:18" ht="15.4" customHeight="1" x14ac:dyDescent="0.2">
      <c r="A28" s="1367"/>
      <c r="B28" s="1722"/>
      <c r="C28" s="1723"/>
      <c r="D28" s="1723"/>
      <c r="E28" s="1723"/>
      <c r="F28" s="1723"/>
      <c r="G28" s="1723"/>
      <c r="H28" s="1723"/>
      <c r="I28" s="1723"/>
      <c r="J28" s="1724"/>
      <c r="L28" s="878" t="str">
        <f t="shared" si="1"/>
        <v/>
      </c>
      <c r="M28" s="1411"/>
      <c r="N28" s="1403"/>
      <c r="O28" s="1403"/>
      <c r="P28" s="738" t="s">
        <v>578</v>
      </c>
      <c r="Q28" s="739" t="s">
        <v>638</v>
      </c>
      <c r="R28" s="732" t="str">
        <f t="shared" si="0"/>
        <v>[BCBrg] - Bottom Chord Bearing @ LE|RE|BE</v>
      </c>
    </row>
    <row r="29" spans="1:18" ht="15.4" customHeight="1" x14ac:dyDescent="0.2">
      <c r="A29" s="1367"/>
      <c r="B29" s="1722"/>
      <c r="C29" s="1723"/>
      <c r="D29" s="1723"/>
      <c r="E29" s="1723"/>
      <c r="F29" s="1723"/>
      <c r="G29" s="1723"/>
      <c r="H29" s="1723"/>
      <c r="I29" s="1723"/>
      <c r="J29" s="1724"/>
      <c r="L29" s="878" t="str">
        <f t="shared" si="1"/>
        <v/>
      </c>
      <c r="M29" s="1411"/>
      <c r="N29" s="1403"/>
      <c r="O29" s="1403"/>
      <c r="P29" s="738" t="s">
        <v>771</v>
      </c>
      <c r="Q29" s="739" t="s">
        <v>775</v>
      </c>
      <c r="R29" s="732" t="str">
        <f t="shared" si="0"/>
        <v>[BCBrgCant] - Bottom Chord Bearing Cantilever @ LE|RE|BE, Ctr Line of Support = #’-##” @ LE|RE|BE</v>
      </c>
    </row>
    <row r="30" spans="1:18" ht="15.4" customHeight="1" x14ac:dyDescent="0.2">
      <c r="A30" s="1367"/>
      <c r="B30" s="1722"/>
      <c r="C30" s="1723"/>
      <c r="D30" s="1723"/>
      <c r="E30" s="1723"/>
      <c r="F30" s="1723"/>
      <c r="G30" s="1723"/>
      <c r="H30" s="1723"/>
      <c r="I30" s="1723"/>
      <c r="J30" s="1724"/>
      <c r="L30" s="878" t="str">
        <f t="shared" si="1"/>
        <v/>
      </c>
      <c r="M30" s="1411"/>
      <c r="N30" s="1403"/>
      <c r="O30" s="1403"/>
      <c r="P30" s="738" t="s">
        <v>772</v>
      </c>
      <c r="Q30" s="739" t="s">
        <v>776</v>
      </c>
      <c r="R30" s="732" t="str">
        <f t="shared" si="0"/>
        <v>[BPSetBk] - Shorten Base Pl @ LE|RE|BE, Setback = #’-#, Max TC Depth = ##”, Ck TCX For Unrein Length, See Section ##</v>
      </c>
    </row>
    <row r="31" spans="1:18" ht="15.4" customHeight="1" x14ac:dyDescent="0.2">
      <c r="A31" s="1367"/>
      <c r="B31" s="1722"/>
      <c r="C31" s="1723"/>
      <c r="D31" s="1723"/>
      <c r="E31" s="1723"/>
      <c r="F31" s="1723"/>
      <c r="G31" s="1723"/>
      <c r="H31" s="1723"/>
      <c r="I31" s="1723"/>
      <c r="J31" s="1724"/>
      <c r="L31" s="878" t="str">
        <f t="shared" si="1"/>
        <v/>
      </c>
      <c r="M31" s="1411"/>
      <c r="N31" s="1403"/>
      <c r="O31" s="1403"/>
      <c r="P31" s="738" t="s">
        <v>576</v>
      </c>
      <c r="Q31" s="739" t="s">
        <v>642</v>
      </c>
      <c r="R31" s="732" t="str">
        <f t="shared" si="0"/>
        <v>[BPThk] - Min Thickness of Base Plate = 0.xxx" @ LE|RE|BE</v>
      </c>
    </row>
    <row r="32" spans="1:18" ht="15.4" customHeight="1" x14ac:dyDescent="0.2">
      <c r="A32" s="1367"/>
      <c r="B32" s="1722"/>
      <c r="C32" s="1723"/>
      <c r="D32" s="1723"/>
      <c r="E32" s="1723"/>
      <c r="F32" s="1723"/>
      <c r="G32" s="1723"/>
      <c r="H32" s="1723"/>
      <c r="I32" s="1723"/>
      <c r="J32" s="1724"/>
      <c r="L32" s="878" t="str">
        <f t="shared" si="1"/>
        <v/>
      </c>
      <c r="M32" s="1411"/>
      <c r="N32" s="1403"/>
      <c r="O32" s="1403"/>
      <c r="P32" s="738" t="s">
        <v>598</v>
      </c>
      <c r="Q32" s="739" t="s">
        <v>599</v>
      </c>
      <c r="R32" s="732" t="str">
        <f t="shared" si="0"/>
        <v>[ClrBrg] - Min Clear Bearing = #" @ LE(RE)(BE)</v>
      </c>
    </row>
    <row r="33" spans="1:18" ht="15.4" customHeight="1" x14ac:dyDescent="0.2">
      <c r="A33" s="1367"/>
      <c r="B33" s="1722"/>
      <c r="C33" s="1723"/>
      <c r="D33" s="1723"/>
      <c r="E33" s="1723"/>
      <c r="F33" s="1723"/>
      <c r="G33" s="1723"/>
      <c r="H33" s="1723"/>
      <c r="I33" s="1723"/>
      <c r="J33" s="1724"/>
      <c r="L33" s="878" t="str">
        <f t="shared" si="1"/>
        <v/>
      </c>
      <c r="M33" s="1411"/>
      <c r="N33" s="1403"/>
      <c r="O33" s="1403"/>
      <c r="P33" s="738" t="s">
        <v>773</v>
      </c>
      <c r="Q33" s="739" t="s">
        <v>777</v>
      </c>
      <c r="R33" s="732" t="str">
        <f t="shared" si="0"/>
        <v>[ContAngle] - Continuity Angles for Load Transfer, Hold Double Angle W2 Down for Field Install, No TC Splices within 1st ##” @ LE|RE|BE</v>
      </c>
    </row>
    <row r="34" spans="1:18" ht="15.4" customHeight="1" x14ac:dyDescent="0.2">
      <c r="A34" s="1367"/>
      <c r="B34" s="1722"/>
      <c r="C34" s="1723"/>
      <c r="D34" s="1723"/>
      <c r="E34" s="1723"/>
      <c r="F34" s="1723"/>
      <c r="G34" s="1723"/>
      <c r="H34" s="1723"/>
      <c r="I34" s="1723"/>
      <c r="J34" s="1724"/>
      <c r="L34" s="878" t="str">
        <f t="shared" si="1"/>
        <v/>
      </c>
      <c r="M34" s="1411"/>
      <c r="N34" s="1403"/>
      <c r="O34" s="1403"/>
      <c r="P34" s="738" t="s">
        <v>633</v>
      </c>
      <c r="Q34" s="739" t="s">
        <v>635</v>
      </c>
      <c r="R34" s="732" t="str">
        <f t="shared" si="0"/>
        <v>[KickLd] - Axial Load Due To Kicker, No Rein Req’d</v>
      </c>
    </row>
    <row r="35" spans="1:18" ht="15.4" customHeight="1" x14ac:dyDescent="0.2">
      <c r="A35" s="1367"/>
      <c r="B35" s="1722"/>
      <c r="C35" s="1723"/>
      <c r="D35" s="1723"/>
      <c r="E35" s="1723"/>
      <c r="F35" s="1723"/>
      <c r="G35" s="1723"/>
      <c r="H35" s="1723"/>
      <c r="I35" s="1723"/>
      <c r="J35" s="1724"/>
      <c r="L35" s="878" t="str">
        <f t="shared" si="1"/>
        <v/>
      </c>
      <c r="M35" s="1411"/>
      <c r="N35" s="1403"/>
      <c r="O35" s="1403"/>
      <c r="P35" s="738" t="s">
        <v>632</v>
      </c>
      <c r="Q35" s="739" t="s">
        <v>634</v>
      </c>
      <c r="R35" s="732" t="str">
        <f t="shared" si="0"/>
        <v>[KnifePL] - Knife Pl Provided for Load Transfer, TC/Seat Gap Clear for 1st ##” @ LE|RE|BE</v>
      </c>
    </row>
    <row r="36" spans="1:18" ht="15.4" customHeight="1" x14ac:dyDescent="0.2">
      <c r="A36" s="1367"/>
      <c r="B36" s="1722"/>
      <c r="C36" s="1723"/>
      <c r="D36" s="1723"/>
      <c r="E36" s="1723"/>
      <c r="F36" s="1723"/>
      <c r="G36" s="1723"/>
      <c r="H36" s="1723"/>
      <c r="I36" s="1723"/>
      <c r="J36" s="1724"/>
      <c r="L36" s="878" t="str">
        <f t="shared" si="1"/>
        <v/>
      </c>
      <c r="M36" s="1411"/>
      <c r="N36" s="1403"/>
      <c r="O36" s="1403"/>
      <c r="P36" s="738" t="s">
        <v>643</v>
      </c>
      <c r="Q36" s="739" t="s">
        <v>644</v>
      </c>
      <c r="R36" s="732" t="str">
        <f t="shared" si="0"/>
        <v>[MaxWidth] - Max Width of TC &amp; Base Plate|BC for 1st ##” @ LE|RE|BE</v>
      </c>
    </row>
    <row r="37" spans="1:18" ht="15.4" customHeight="1" x14ac:dyDescent="0.2">
      <c r="A37" s="1367"/>
      <c r="B37" s="1722"/>
      <c r="C37" s="1723"/>
      <c r="D37" s="1723"/>
      <c r="E37" s="1723"/>
      <c r="F37" s="1723"/>
      <c r="G37" s="1723"/>
      <c r="H37" s="1723"/>
      <c r="I37" s="1723"/>
      <c r="J37" s="1724"/>
      <c r="L37" s="878" t="str">
        <f t="shared" si="1"/>
        <v/>
      </c>
      <c r="M37" s="1411"/>
      <c r="N37" s="1403"/>
      <c r="O37" s="1403"/>
      <c r="P37" s="738" t="s">
        <v>630</v>
      </c>
      <c r="Q37" s="739" t="s">
        <v>778</v>
      </c>
      <c r="R37" s="732" t="str">
        <f t="shared" si="0"/>
        <v>[NoRein] - Tie Pl Provided for Load Transfer, No Rein Req’d (***Could Show This Note in Load Note Remarks***)</v>
      </c>
    </row>
    <row r="38" spans="1:18" ht="15.4" customHeight="1" x14ac:dyDescent="0.2">
      <c r="A38" s="1367"/>
      <c r="B38" s="1722"/>
      <c r="C38" s="1723"/>
      <c r="D38" s="1723"/>
      <c r="E38" s="1723"/>
      <c r="F38" s="1723"/>
      <c r="G38" s="1723"/>
      <c r="H38" s="1723"/>
      <c r="I38" s="1723"/>
      <c r="J38" s="1724"/>
      <c r="L38" s="878" t="str">
        <f t="shared" si="1"/>
        <v/>
      </c>
      <c r="M38" s="1411"/>
      <c r="N38" s="1403"/>
      <c r="O38" s="1403"/>
      <c r="P38" s="738" t="s">
        <v>631</v>
      </c>
      <c r="Q38" s="739" t="s">
        <v>665</v>
      </c>
      <c r="R38" s="732" t="str">
        <f t="shared" si="0"/>
        <v>[Rein] - Reinforce Seats @ LE|RE|BE for Axial Load Transfer</v>
      </c>
    </row>
    <row r="39" spans="1:18" ht="15.4" customHeight="1" x14ac:dyDescent="0.2">
      <c r="A39" s="1367"/>
      <c r="B39" s="1722"/>
      <c r="C39" s="1723"/>
      <c r="D39" s="1723"/>
      <c r="E39" s="1723"/>
      <c r="F39" s="1723"/>
      <c r="G39" s="1723"/>
      <c r="H39" s="1723"/>
      <c r="I39" s="1723"/>
      <c r="J39" s="1724"/>
      <c r="L39" s="878" t="str">
        <f t="shared" si="1"/>
        <v/>
      </c>
      <c r="M39" s="1411"/>
      <c r="N39" s="1403"/>
      <c r="O39" s="1403"/>
      <c r="P39" s="738" t="s">
        <v>670</v>
      </c>
      <c r="Q39" s="739" t="s">
        <v>671</v>
      </c>
      <c r="R39" s="732" t="str">
        <f t="shared" si="0"/>
        <v>[RndShrtSlt] - #/#" Round Holes|#/#”x1” Slots, Ga=#” @ LE|RE|BE</v>
      </c>
    </row>
    <row r="40" spans="1:18" ht="15.4" customHeight="1" x14ac:dyDescent="0.2">
      <c r="A40" s="1367"/>
      <c r="B40" s="1722"/>
      <c r="C40" s="1723"/>
      <c r="D40" s="1723"/>
      <c r="E40" s="1723"/>
      <c r="F40" s="1723"/>
      <c r="G40" s="1723"/>
      <c r="H40" s="1723"/>
      <c r="I40" s="1723"/>
      <c r="J40" s="1724"/>
      <c r="L40" s="878" t="str">
        <f t="shared" si="1"/>
        <v/>
      </c>
      <c r="M40" s="1411"/>
      <c r="N40" s="1403"/>
      <c r="O40" s="1403"/>
      <c r="P40" s="738" t="s">
        <v>636</v>
      </c>
      <c r="Q40" s="739" t="s">
        <v>637</v>
      </c>
      <c r="R40" s="732" t="str">
        <f t="shared" si="0"/>
        <v>[Roll] - Seat Rollover Force = ##Kips @ LE|RE|BE</v>
      </c>
    </row>
    <row r="41" spans="1:18" ht="15.4" customHeight="1" x14ac:dyDescent="0.2">
      <c r="A41" s="1367"/>
      <c r="B41" s="1722"/>
      <c r="C41" s="1723"/>
      <c r="D41" s="1723"/>
      <c r="E41" s="1723"/>
      <c r="F41" s="1723"/>
      <c r="G41" s="1723"/>
      <c r="H41" s="1723"/>
      <c r="I41" s="1723"/>
      <c r="J41" s="1724"/>
      <c r="L41" s="878" t="str">
        <f t="shared" si="1"/>
        <v/>
      </c>
      <c r="M41" s="1411"/>
      <c r="N41" s="1403"/>
      <c r="O41" s="1403"/>
      <c r="P41" s="738" t="s">
        <v>662</v>
      </c>
      <c r="Q41" s="739" t="s">
        <v>663</v>
      </c>
      <c r="R41" s="732" t="str">
        <f t="shared" si="0"/>
        <v>[ShrtBrg] - Short Bearing = #” @ LE|RE|BE</v>
      </c>
    </row>
    <row r="42" spans="1:18" ht="15.4" customHeight="1" x14ac:dyDescent="0.2">
      <c r="A42" s="1367"/>
      <c r="B42" s="1722"/>
      <c r="C42" s="1723"/>
      <c r="D42" s="1723"/>
      <c r="E42" s="1723"/>
      <c r="F42" s="1723"/>
      <c r="G42" s="1723"/>
      <c r="H42" s="1723"/>
      <c r="I42" s="1723"/>
      <c r="J42" s="1724"/>
      <c r="L42" s="878" t="str">
        <f t="shared" si="1"/>
        <v/>
      </c>
      <c r="M42" s="1411"/>
      <c r="N42" s="1403"/>
      <c r="O42" s="1403"/>
      <c r="P42" s="738" t="s">
        <v>666</v>
      </c>
      <c r="Q42" s="739" t="s">
        <v>587</v>
      </c>
      <c r="R42" s="732" t="str">
        <f t="shared" si="0"/>
        <v>[Skew] - ##º Half(Full)-Skew, NS(FS), LE(RE)</v>
      </c>
    </row>
    <row r="43" spans="1:18" ht="15.4" customHeight="1" x14ac:dyDescent="0.2">
      <c r="A43" s="1367"/>
      <c r="B43" s="1722"/>
      <c r="C43" s="1723"/>
      <c r="D43" s="1723"/>
      <c r="E43" s="1723"/>
      <c r="F43" s="1723"/>
      <c r="G43" s="1723"/>
      <c r="H43" s="1723"/>
      <c r="I43" s="1723"/>
      <c r="J43" s="1724"/>
      <c r="L43" s="878" t="str">
        <f t="shared" si="1"/>
        <v/>
      </c>
      <c r="M43" s="1411"/>
      <c r="N43" s="1403"/>
      <c r="O43" s="1403"/>
      <c r="P43" s="738" t="s">
        <v>573</v>
      </c>
      <c r="Q43" s="739" t="s">
        <v>640</v>
      </c>
      <c r="R43" s="732" t="str">
        <f t="shared" si="0"/>
        <v>[SpSlt] - Special Seat Slots: #"x#" Slots, Ga=#" @ LE|RE|BE</v>
      </c>
    </row>
    <row r="44" spans="1:18" ht="15.4" customHeight="1" x14ac:dyDescent="0.2">
      <c r="A44" s="1367"/>
      <c r="B44" s="1722"/>
      <c r="C44" s="1723"/>
      <c r="D44" s="1723"/>
      <c r="E44" s="1723"/>
      <c r="F44" s="1723"/>
      <c r="G44" s="1723"/>
      <c r="H44" s="1723"/>
      <c r="I44" s="1723"/>
      <c r="J44" s="1724"/>
      <c r="L44" s="878" t="str">
        <f t="shared" si="1"/>
        <v/>
      </c>
      <c r="M44" s="1411"/>
      <c r="N44" s="1403"/>
      <c r="O44" s="1403"/>
      <c r="P44" s="738" t="s">
        <v>572</v>
      </c>
      <c r="Q44" s="739" t="s">
        <v>639</v>
      </c>
      <c r="R44" s="732" t="str">
        <f t="shared" si="0"/>
        <v>[StgSlt] - Stagger Seat Slots LE|RE: ##" NS, ##" FS</v>
      </c>
    </row>
    <row r="45" spans="1:18" ht="15.4" customHeight="1" x14ac:dyDescent="0.2">
      <c r="A45" s="1367"/>
      <c r="B45" s="1722"/>
      <c r="C45" s="1723"/>
      <c r="D45" s="1723"/>
      <c r="E45" s="1723"/>
      <c r="F45" s="1723"/>
      <c r="G45" s="1723"/>
      <c r="H45" s="1723"/>
      <c r="I45" s="1723"/>
      <c r="J45" s="1724"/>
      <c r="L45" s="878" t="str">
        <f t="shared" si="1"/>
        <v/>
      </c>
      <c r="M45" s="1411"/>
      <c r="N45" s="1403"/>
      <c r="O45" s="1403"/>
      <c r="P45" s="738" t="s">
        <v>577</v>
      </c>
      <c r="Q45" s="739" t="s">
        <v>629</v>
      </c>
      <c r="R45" s="732" t="str">
        <f t="shared" si="0"/>
        <v>[TCXMax] - Max Depth of TCXL|TCXR = ##"</v>
      </c>
    </row>
    <row r="46" spans="1:18" ht="15.4" customHeight="1" x14ac:dyDescent="0.2">
      <c r="A46" s="1367"/>
      <c r="B46" s="1722"/>
      <c r="C46" s="1723"/>
      <c r="D46" s="1723"/>
      <c r="E46" s="1723"/>
      <c r="F46" s="1723"/>
      <c r="G46" s="1723"/>
      <c r="H46" s="1723"/>
      <c r="I46" s="1723"/>
      <c r="J46" s="1724"/>
      <c r="L46" s="878" t="str">
        <f t="shared" si="1"/>
        <v/>
      </c>
      <c r="M46" s="1411"/>
      <c r="N46" s="1403"/>
      <c r="O46" s="1403"/>
      <c r="P46" s="738" t="s">
        <v>571</v>
      </c>
      <c r="Q46" s="739" t="s">
        <v>664</v>
      </c>
      <c r="R46" s="732" t="str">
        <f t="shared" si="0"/>
        <v>[TCXSup] - TCXL|TCXR Supported @ End</v>
      </c>
    </row>
    <row r="47" spans="1:18" ht="15.4" customHeight="1" x14ac:dyDescent="0.2">
      <c r="A47" s="1367"/>
      <c r="B47" s="1722"/>
      <c r="C47" s="1723"/>
      <c r="D47" s="1723"/>
      <c r="E47" s="1723"/>
      <c r="F47" s="1723"/>
      <c r="G47" s="1723"/>
      <c r="H47" s="1723"/>
      <c r="I47" s="1723"/>
      <c r="J47" s="1724"/>
      <c r="L47" s="878" t="str">
        <f t="shared" si="1"/>
        <v/>
      </c>
      <c r="M47" s="1411"/>
      <c r="N47" s="1403"/>
      <c r="O47" s="1403"/>
      <c r="P47" s="738"/>
      <c r="Q47" s="739" t="s">
        <v>645</v>
      </c>
      <c r="R47" s="732" t="str">
        <f t="shared" si="0"/>
        <v>[] - MISCELLANEOUS</v>
      </c>
    </row>
    <row r="48" spans="1:18" ht="15.4" customHeight="1" x14ac:dyDescent="0.2">
      <c r="A48" s="1367"/>
      <c r="B48" s="1722"/>
      <c r="C48" s="1723"/>
      <c r="D48" s="1723"/>
      <c r="E48" s="1723"/>
      <c r="F48" s="1723"/>
      <c r="G48" s="1723"/>
      <c r="H48" s="1723"/>
      <c r="I48" s="1723"/>
      <c r="J48" s="1724"/>
      <c r="L48" s="878" t="str">
        <f t="shared" si="1"/>
        <v/>
      </c>
      <c r="M48" s="1411"/>
      <c r="N48" s="1403"/>
      <c r="O48" s="1403"/>
      <c r="P48" s="738" t="s">
        <v>579</v>
      </c>
      <c r="Q48" s="739" t="s">
        <v>648</v>
      </c>
      <c r="R48" s="732" t="str">
        <f t="shared" si="0"/>
        <v>[BClip] - Bridging Clip(s) Required per Plan</v>
      </c>
    </row>
    <row r="49" spans="1:18" ht="15.4" customHeight="1" x14ac:dyDescent="0.2">
      <c r="A49" s="1367"/>
      <c r="B49" s="1722"/>
      <c r="C49" s="1723"/>
      <c r="D49" s="1723"/>
      <c r="E49" s="1723"/>
      <c r="F49" s="1723"/>
      <c r="G49" s="1723"/>
      <c r="H49" s="1723"/>
      <c r="I49" s="1723"/>
      <c r="J49" s="1724"/>
      <c r="L49" s="878" t="str">
        <f t="shared" si="1"/>
        <v/>
      </c>
      <c r="M49" s="1411"/>
      <c r="N49" s="1403"/>
      <c r="O49" s="1403"/>
      <c r="P49" s="738" t="s">
        <v>575</v>
      </c>
      <c r="Q49" s="739" t="s">
        <v>567</v>
      </c>
      <c r="R49" s="732" t="str">
        <f t="shared" si="0"/>
        <v>[BCThk] - Min Thickness of BC = 0.xxx"</v>
      </c>
    </row>
    <row r="50" spans="1:18" ht="15.4" customHeight="1" x14ac:dyDescent="0.2">
      <c r="A50" s="1367"/>
      <c r="B50" s="1722"/>
      <c r="C50" s="1723"/>
      <c r="D50" s="1723"/>
      <c r="E50" s="1723"/>
      <c r="F50" s="1723"/>
      <c r="G50" s="1723"/>
      <c r="H50" s="1723"/>
      <c r="I50" s="1723"/>
      <c r="J50" s="1724"/>
      <c r="L50" s="878" t="str">
        <f t="shared" si="1"/>
        <v/>
      </c>
      <c r="M50" s="1411"/>
      <c r="N50" s="1403"/>
      <c r="O50" s="1403"/>
      <c r="P50" s="738" t="s">
        <v>667</v>
      </c>
      <c r="Q50" s="739" t="s">
        <v>647</v>
      </c>
      <c r="R50" s="732" t="str">
        <f t="shared" si="0"/>
        <v>[Camb] - Camber = #"|Camber for DL|50% Std Camber|No Camber</v>
      </c>
    </row>
    <row r="51" spans="1:18" ht="15.4" customHeight="1" x14ac:dyDescent="0.2">
      <c r="A51" s="1371"/>
      <c r="B51" s="1734"/>
      <c r="C51" s="1735"/>
      <c r="D51" s="1735"/>
      <c r="E51" s="1735"/>
      <c r="F51" s="1735"/>
      <c r="G51" s="1735"/>
      <c r="H51" s="1735"/>
      <c r="I51" s="1735"/>
      <c r="J51" s="1736"/>
      <c r="L51" s="878" t="str">
        <f t="shared" si="1"/>
        <v/>
      </c>
      <c r="M51" s="1411"/>
      <c r="N51" s="1403"/>
      <c r="O51" s="1403"/>
      <c r="P51" s="738" t="s">
        <v>781</v>
      </c>
      <c r="Q51" s="739" t="s">
        <v>786</v>
      </c>
      <c r="R51" s="732" t="str">
        <f t="shared" si="0"/>
        <v>[DUCT] - ##" Dia|##"H x ##"W Duct @ #'-# from L-OAL</v>
      </c>
    </row>
    <row r="52" spans="1:18" ht="15.6" customHeight="1" x14ac:dyDescent="0.2">
      <c r="N52" s="154" t="e">
        <f>COUNTIF(N13:O51,TRUE)+IF(NOT($M$1),1,0)</f>
        <v>#REF!</v>
      </c>
      <c r="O52" s="1406" t="s">
        <v>792</v>
      </c>
      <c r="P52" s="738" t="s">
        <v>591</v>
      </c>
      <c r="Q52" s="739" t="s">
        <v>600</v>
      </c>
      <c r="R52" s="732" t="str">
        <f t="shared" si="0"/>
        <v>[HS] - Horiz Field Splice: See Detail on J1.xx</v>
      </c>
    </row>
    <row r="53" spans="1:18" ht="15.6" customHeight="1" x14ac:dyDescent="0.2">
      <c r="P53" s="738" t="s">
        <v>593</v>
      </c>
      <c r="Q53" s="739" t="s">
        <v>602</v>
      </c>
      <c r="R53" s="732" t="str">
        <f t="shared" si="0"/>
        <v>[MS] - Multiple Vert Field Splices: Type xx</v>
      </c>
    </row>
    <row r="54" spans="1:18" ht="15.6" customHeight="1" x14ac:dyDescent="0.2">
      <c r="P54" s="738" t="s">
        <v>782</v>
      </c>
      <c r="Q54" s="739" t="s">
        <v>785</v>
      </c>
      <c r="R54" s="732" t="str">
        <f t="shared" si="0"/>
        <v>[SpBClip] - Special Bridging Clip(s) Required per Plan, See Sketch</v>
      </c>
    </row>
    <row r="55" spans="1:18" ht="15.6" customHeight="1" x14ac:dyDescent="0.2">
      <c r="P55" s="738" t="s">
        <v>649</v>
      </c>
      <c r="Q55" s="739" t="s">
        <v>650</v>
      </c>
      <c r="R55" s="732" t="str">
        <f t="shared" si="0"/>
        <v>[SpConn] - Special Connection @ (location), See Section ##</v>
      </c>
    </row>
    <row r="56" spans="1:18" ht="15.6" customHeight="1" x14ac:dyDescent="0.2">
      <c r="P56" s="738" t="s">
        <v>574</v>
      </c>
      <c r="Q56" s="739" t="s">
        <v>566</v>
      </c>
      <c r="R56" s="732" t="str">
        <f t="shared" si="0"/>
        <v>[TCThk] - Min Thickness of TC = 0.xxx"</v>
      </c>
    </row>
    <row r="57" spans="1:18" ht="15.6" customHeight="1" x14ac:dyDescent="0.2">
      <c r="P57" s="738" t="s">
        <v>783</v>
      </c>
      <c r="Q57" s="739" t="s">
        <v>784</v>
      </c>
      <c r="R57" s="732" t="str">
        <f t="shared" si="0"/>
        <v xml:space="preserve">[V100] - Add Vertical to Support Load On BCXL|R </v>
      </c>
    </row>
    <row r="58" spans="1:18" ht="15.6" customHeight="1" x14ac:dyDescent="0.2">
      <c r="P58" s="738" t="s">
        <v>674</v>
      </c>
      <c r="Q58" s="739" t="s">
        <v>686</v>
      </c>
      <c r="R58" s="732" t="str">
        <f t="shared" si="0"/>
        <v>[Vier] - Vierendeel Panel, ##” W x ##” H, Bottom Left Corner of Opening @ ##” From Bot/Jst, ##’-##” From L-OAL</v>
      </c>
    </row>
    <row r="59" spans="1:18" ht="15.6" customHeight="1" x14ac:dyDescent="0.2">
      <c r="A59" s="707" t="s">
        <v>614</v>
      </c>
      <c r="P59" s="738" t="s">
        <v>592</v>
      </c>
      <c r="Q59" s="739" t="s">
        <v>601</v>
      </c>
      <c r="R59" s="732" t="str">
        <f t="shared" si="0"/>
        <v>[VS] - Vert Field Splice: Type xx, Near Midspan</v>
      </c>
    </row>
    <row r="60" spans="1:18" ht="15.6" hidden="1" customHeight="1" x14ac:dyDescent="0.2">
      <c r="A60" s="831" t="s">
        <v>613</v>
      </c>
      <c r="P60" s="738" t="s">
        <v>672</v>
      </c>
      <c r="Q60" s="739" t="s">
        <v>673</v>
      </c>
      <c r="R60" s="732" t="str">
        <f t="shared" si="0"/>
        <v>[ChdWdth] - Min|Max Width of TC|BC = ##”</v>
      </c>
    </row>
    <row r="61" spans="1:18" ht="15.6" hidden="1" customHeight="1" x14ac:dyDescent="0.2">
      <c r="A61" s="833"/>
      <c r="P61" s="738" t="s">
        <v>668</v>
      </c>
      <c r="Q61" s="739" t="s">
        <v>595</v>
      </c>
      <c r="R61" s="732" t="str">
        <f t="shared" si="0"/>
        <v>[Duct] - ##" Dia (##"H x ##"W) Duct @ #'-# from L-OAL</v>
      </c>
    </row>
    <row r="62" spans="1:18" ht="15.6" hidden="1" customHeight="1" x14ac:dyDescent="0.2">
      <c r="P62" s="738" t="s">
        <v>591</v>
      </c>
      <c r="Q62" s="739" t="s">
        <v>600</v>
      </c>
      <c r="R62" s="732" t="str">
        <f t="shared" si="0"/>
        <v>[HS] - Horiz Field Splice: See Detail on J1.xx</v>
      </c>
    </row>
    <row r="63" spans="1:18" ht="15.6" hidden="1" customHeight="1" x14ac:dyDescent="0.2">
      <c r="P63" s="738" t="s">
        <v>592</v>
      </c>
      <c r="Q63" s="739" t="s">
        <v>601</v>
      </c>
      <c r="R63" s="732" t="str">
        <f t="shared" si="0"/>
        <v>[VS] - Vert Field Splice: Type xx, Near Midspan</v>
      </c>
    </row>
    <row r="64" spans="1:18" ht="15.6" hidden="1" customHeight="1" x14ac:dyDescent="0.2">
      <c r="P64" s="738" t="s">
        <v>593</v>
      </c>
      <c r="Q64" s="739" t="s">
        <v>602</v>
      </c>
      <c r="R64" s="732" t="str">
        <f t="shared" si="0"/>
        <v>[MS] - Multiple Vert Field Splices: Type xx</v>
      </c>
    </row>
    <row r="65" spans="1:18" ht="15.6" customHeight="1" x14ac:dyDescent="0.2">
      <c r="A65" s="707" t="s">
        <v>615</v>
      </c>
      <c r="P65" s="738"/>
      <c r="Q65" s="739" t="s">
        <v>651</v>
      </c>
      <c r="R65" s="732" t="str">
        <f t="shared" si="0"/>
        <v>[] - GENERAL</v>
      </c>
    </row>
    <row r="66" spans="1:18" ht="15.6" customHeight="1" x14ac:dyDescent="0.2">
      <c r="P66" s="738" t="s">
        <v>779</v>
      </c>
      <c r="Q66" s="739" t="s">
        <v>780</v>
      </c>
      <c r="R66" s="732" t="str">
        <f t="shared" si="0"/>
        <v>[PAINT] - NO Shop Primer|NO Shop Primer – Galv|# Shop Coats – Std Gray Primer</v>
      </c>
    </row>
    <row r="67" spans="1:18" ht="15.6" customHeight="1" x14ac:dyDescent="0.2">
      <c r="P67" s="738" t="s">
        <v>609</v>
      </c>
      <c r="Q67" s="739" t="s">
        <v>610</v>
      </c>
      <c r="R67" s="732" t="str">
        <f t="shared" si="0"/>
        <v>[LRFD] - **LRFD**   **LRFD**   **LRFD**</v>
      </c>
    </row>
    <row r="68" spans="1:18" ht="15.6" customHeight="1" x14ac:dyDescent="0.2">
      <c r="P68" s="738" t="s">
        <v>569</v>
      </c>
      <c r="Q68" s="739" t="s">
        <v>596</v>
      </c>
      <c r="R68" s="732" t="str">
        <f t="shared" si="0"/>
        <v>[ESFR] - #"Dia Pipes, 8" Below Top/Jst, 15" Horiz Clearance @ ##'-#,  ##'-# &amp;  ##'-# from L-OAL</v>
      </c>
    </row>
    <row r="69" spans="1:18" ht="15.6" customHeight="1" x14ac:dyDescent="0.2">
      <c r="P69" s="738" t="s">
        <v>669</v>
      </c>
      <c r="Q69" s="739" t="s">
        <v>568</v>
      </c>
      <c r="R69" s="732" t="str">
        <f t="shared" si="0"/>
        <v>[Self] - Add Self-Weight to Design</v>
      </c>
    </row>
    <row r="70" spans="1:18" ht="15.6" customHeight="1" x14ac:dyDescent="0.2">
      <c r="P70" s="738" t="s">
        <v>604</v>
      </c>
      <c r="Q70" s="739" t="s">
        <v>606</v>
      </c>
      <c r="R70" s="732" t="str">
        <f t="shared" si="0"/>
        <v>[SpChd] - ##"^2 Min Chord Area</v>
      </c>
    </row>
    <row r="71" spans="1:18" ht="15.6" customHeight="1" x14ac:dyDescent="0.2">
      <c r="P71" s="738" t="s">
        <v>605</v>
      </c>
      <c r="Q71" s="739" t="s">
        <v>607</v>
      </c>
      <c r="R71" s="732" t="str">
        <f t="shared" si="0"/>
        <v>[SpWeb] - ##"^2 Min Web Area</v>
      </c>
    </row>
    <row r="72" spans="1:18" ht="15.6" customHeight="1" x14ac:dyDescent="0.2">
      <c r="P72" s="738" t="s">
        <v>646</v>
      </c>
      <c r="Q72" s="739" t="s">
        <v>608</v>
      </c>
      <c r="R72" s="732" t="str">
        <f t="shared" si="0"/>
        <v>[DomStl] - Domestic Steel Required (ARRA)</v>
      </c>
    </row>
    <row r="73" spans="1:18" ht="15.6" customHeight="1" x14ac:dyDescent="0.2">
      <c r="P73" s="738" t="s">
        <v>594</v>
      </c>
      <c r="Q73" s="739" t="s">
        <v>603</v>
      </c>
      <c r="R73" s="732" t="str">
        <f t="shared" si="0"/>
        <v>[SSR] - Standing Seam Roof: TC Lateral Support @ ##" Max.</v>
      </c>
    </row>
    <row r="74" spans="1:18" ht="15.6" customHeight="1" x14ac:dyDescent="0.2">
      <c r="P74" s="738" t="s">
        <v>675</v>
      </c>
      <c r="Q74" s="739" t="s">
        <v>681</v>
      </c>
      <c r="R74" s="732" t="str">
        <f t="shared" si="0"/>
        <v>[AlignPnls] - Align Panels of Adjacent Jsts</v>
      </c>
    </row>
    <row r="75" spans="1:18" ht="15.6" customHeight="1" x14ac:dyDescent="0.2">
      <c r="P75" s="738" t="s">
        <v>676</v>
      </c>
      <c r="Q75" s="739" t="s">
        <v>682</v>
      </c>
      <c r="R75" s="732" t="str">
        <f t="shared" si="0"/>
        <v>[SpBund] - Special Bundling Req’d, See Attached Listing</v>
      </c>
    </row>
    <row r="76" spans="1:18" ht="15.6" customHeight="1" x14ac:dyDescent="0.2">
      <c r="P76" s="738" t="s">
        <v>677</v>
      </c>
      <c r="Q76" s="739" t="s">
        <v>683</v>
      </c>
      <c r="R76" s="732" t="str">
        <f t="shared" si="0"/>
        <v>[BIM] - Building Information Modeling, Inform Dtlr When Design Completed</v>
      </c>
    </row>
    <row r="77" spans="1:18" ht="15.6" customHeight="1" x14ac:dyDescent="0.2">
      <c r="P77" s="738" t="s">
        <v>678</v>
      </c>
      <c r="Q77" s="739" t="s">
        <v>684</v>
      </c>
      <c r="R77" s="732" t="str">
        <f t="shared" si="0"/>
        <v>[Calcs] - Sealed Calcs req’d for Record|Appl</v>
      </c>
    </row>
    <row r="78" spans="1:18" ht="15.6" customHeight="1" x14ac:dyDescent="0.2">
      <c r="P78" s="738" t="s">
        <v>679</v>
      </c>
      <c r="Q78" s="739" t="s">
        <v>685</v>
      </c>
      <c r="R78" s="732" t="str">
        <f t="shared" ref="R78:R99" si="2">CONCATENATE("[",P78, "] - ", Q78)</f>
        <v>[Prof] - Joist|Girder Profiles Req’d</v>
      </c>
    </row>
    <row r="79" spans="1:18" ht="15.6" customHeight="1" x14ac:dyDescent="0.2">
      <c r="P79" s="738" t="s">
        <v>680</v>
      </c>
      <c r="Q79" s="739" t="s">
        <v>652</v>
      </c>
      <c r="R79" s="732" t="str">
        <f t="shared" si="2"/>
        <v>[UnDef] - Special Note Here (special condition not matching pre-defined codes)</v>
      </c>
    </row>
    <row r="80" spans="1:18" ht="15.6" customHeight="1" x14ac:dyDescent="0.2">
      <c r="P80" s="738"/>
      <c r="Q80" s="739"/>
      <c r="R80" s="732" t="str">
        <f t="shared" si="2"/>
        <v xml:space="preserve">[] - </v>
      </c>
    </row>
    <row r="81" spans="16:18" ht="15.6" customHeight="1" x14ac:dyDescent="0.2">
      <c r="P81" s="738"/>
      <c r="Q81" s="739"/>
      <c r="R81" s="732" t="str">
        <f t="shared" si="2"/>
        <v xml:space="preserve">[] - </v>
      </c>
    </row>
    <row r="82" spans="16:18" ht="15.6" customHeight="1" x14ac:dyDescent="0.2">
      <c r="P82" s="738"/>
      <c r="Q82" s="739"/>
      <c r="R82" s="732" t="str">
        <f t="shared" si="2"/>
        <v xml:space="preserve">[] - </v>
      </c>
    </row>
    <row r="83" spans="16:18" ht="15.6" customHeight="1" x14ac:dyDescent="0.2">
      <c r="P83" s="738"/>
      <c r="Q83" s="739"/>
      <c r="R83" s="732" t="str">
        <f t="shared" si="2"/>
        <v xml:space="preserve">[] - </v>
      </c>
    </row>
    <row r="84" spans="16:18" ht="15.6" customHeight="1" x14ac:dyDescent="0.2">
      <c r="P84" s="738"/>
      <c r="Q84" s="739"/>
      <c r="R84" s="732" t="str">
        <f t="shared" si="2"/>
        <v xml:space="preserve">[] - </v>
      </c>
    </row>
    <row r="85" spans="16:18" ht="15.6" customHeight="1" x14ac:dyDescent="0.2">
      <c r="P85" s="738"/>
      <c r="Q85" s="739"/>
      <c r="R85" s="732" t="str">
        <f t="shared" si="2"/>
        <v xml:space="preserve">[] - </v>
      </c>
    </row>
    <row r="86" spans="16:18" ht="15.6" customHeight="1" x14ac:dyDescent="0.2">
      <c r="P86" s="738"/>
      <c r="Q86" s="739"/>
      <c r="R86" s="732" t="str">
        <f t="shared" si="2"/>
        <v xml:space="preserve">[] - </v>
      </c>
    </row>
    <row r="87" spans="16:18" ht="15.6" customHeight="1" x14ac:dyDescent="0.2">
      <c r="P87" s="738"/>
      <c r="Q87" s="739"/>
      <c r="R87" s="732" t="str">
        <f t="shared" si="2"/>
        <v xml:space="preserve">[] - </v>
      </c>
    </row>
    <row r="88" spans="16:18" ht="15.6" customHeight="1" x14ac:dyDescent="0.2">
      <c r="P88" s="738"/>
      <c r="Q88" s="739"/>
      <c r="R88" s="732" t="str">
        <f t="shared" si="2"/>
        <v xml:space="preserve">[] - </v>
      </c>
    </row>
    <row r="89" spans="16:18" ht="15.6" customHeight="1" x14ac:dyDescent="0.2">
      <c r="P89" s="738"/>
      <c r="Q89" s="739"/>
      <c r="R89" s="732" t="str">
        <f t="shared" si="2"/>
        <v xml:space="preserve">[] - </v>
      </c>
    </row>
    <row r="90" spans="16:18" ht="15.6" customHeight="1" x14ac:dyDescent="0.2">
      <c r="P90" s="738"/>
      <c r="Q90" s="739"/>
      <c r="R90" s="732" t="str">
        <f t="shared" si="2"/>
        <v xml:space="preserve">[] - </v>
      </c>
    </row>
    <row r="91" spans="16:18" ht="15.6" customHeight="1" x14ac:dyDescent="0.2">
      <c r="P91" s="738"/>
      <c r="Q91" s="739"/>
      <c r="R91" s="732" t="str">
        <f t="shared" si="2"/>
        <v xml:space="preserve">[] - </v>
      </c>
    </row>
    <row r="92" spans="16:18" ht="15.6" customHeight="1" x14ac:dyDescent="0.2">
      <c r="P92" s="738"/>
      <c r="Q92" s="739"/>
      <c r="R92" s="732" t="str">
        <f t="shared" si="2"/>
        <v xml:space="preserve">[] - </v>
      </c>
    </row>
    <row r="93" spans="16:18" ht="15.6" customHeight="1" x14ac:dyDescent="0.2">
      <c r="P93" s="738"/>
      <c r="Q93" s="739"/>
      <c r="R93" s="732" t="str">
        <f t="shared" si="2"/>
        <v xml:space="preserve">[] - </v>
      </c>
    </row>
    <row r="94" spans="16:18" ht="15.6" customHeight="1" x14ac:dyDescent="0.2">
      <c r="P94" s="738"/>
      <c r="Q94" s="739"/>
      <c r="R94" s="732" t="str">
        <f t="shared" si="2"/>
        <v xml:space="preserve">[] - </v>
      </c>
    </row>
    <row r="95" spans="16:18" ht="15.6" customHeight="1" x14ac:dyDescent="0.2">
      <c r="P95" s="738"/>
      <c r="Q95" s="739"/>
      <c r="R95" s="732" t="str">
        <f t="shared" si="2"/>
        <v xml:space="preserve">[] - </v>
      </c>
    </row>
    <row r="96" spans="16:18" ht="15.6" customHeight="1" x14ac:dyDescent="0.2">
      <c r="P96" s="738"/>
      <c r="Q96" s="739"/>
      <c r="R96" s="732" t="str">
        <f t="shared" si="2"/>
        <v xml:space="preserve">[] - </v>
      </c>
    </row>
    <row r="97" spans="16:18" ht="15.6" customHeight="1" x14ac:dyDescent="0.2">
      <c r="P97" s="738"/>
      <c r="Q97" s="739"/>
      <c r="R97" s="732" t="str">
        <f t="shared" si="2"/>
        <v xml:space="preserve">[] - </v>
      </c>
    </row>
    <row r="98" spans="16:18" ht="15.6" customHeight="1" x14ac:dyDescent="0.2">
      <c r="P98" s="738"/>
      <c r="Q98" s="739"/>
      <c r="R98" s="732" t="str">
        <f t="shared" si="2"/>
        <v xml:space="preserve">[] - </v>
      </c>
    </row>
    <row r="99" spans="16:18" ht="15.6" customHeight="1" x14ac:dyDescent="0.2">
      <c r="P99" s="740"/>
      <c r="Q99" s="741"/>
      <c r="R99" s="733" t="str">
        <f t="shared" si="2"/>
        <v xml:space="preserve">[] - </v>
      </c>
    </row>
    <row r="100" spans="16:18" x14ac:dyDescent="0.2">
      <c r="R100" s="729"/>
    </row>
  </sheetData>
  <sheetProtection selectLockedCells="1"/>
  <mergeCells count="56">
    <mergeCell ref="B47:J47"/>
    <mergeCell ref="B48:J48"/>
    <mergeCell ref="B49:J49"/>
    <mergeCell ref="B50:J50"/>
    <mergeCell ref="B51:J51"/>
    <mergeCell ref="B46:J46"/>
    <mergeCell ref="B35:J35"/>
    <mergeCell ref="B36:J36"/>
    <mergeCell ref="B37:J37"/>
    <mergeCell ref="B38:J38"/>
    <mergeCell ref="B39:J39"/>
    <mergeCell ref="B40:J40"/>
    <mergeCell ref="B41:J41"/>
    <mergeCell ref="B42:J42"/>
    <mergeCell ref="B43:J43"/>
    <mergeCell ref="B44:J44"/>
    <mergeCell ref="B45:J45"/>
    <mergeCell ref="B34:J34"/>
    <mergeCell ref="B23:J23"/>
    <mergeCell ref="B24:J24"/>
    <mergeCell ref="B25:J25"/>
    <mergeCell ref="B26:J26"/>
    <mergeCell ref="B27:J27"/>
    <mergeCell ref="B28:J28"/>
    <mergeCell ref="B29:J29"/>
    <mergeCell ref="B30:J30"/>
    <mergeCell ref="B31:J31"/>
    <mergeCell ref="B32:J32"/>
    <mergeCell ref="B33:J33"/>
    <mergeCell ref="B22:J22"/>
    <mergeCell ref="B10:D10"/>
    <mergeCell ref="B12:J12"/>
    <mergeCell ref="B13:J13"/>
    <mergeCell ref="B14:J14"/>
    <mergeCell ref="B15:J15"/>
    <mergeCell ref="B16:J16"/>
    <mergeCell ref="B17:J17"/>
    <mergeCell ref="B18:J18"/>
    <mergeCell ref="B19:J19"/>
    <mergeCell ref="B20:J20"/>
    <mergeCell ref="B21:J21"/>
    <mergeCell ref="B9:D9"/>
    <mergeCell ref="G9:J9"/>
    <mergeCell ref="D1:F1"/>
    <mergeCell ref="G1:H1"/>
    <mergeCell ref="I1:J1"/>
    <mergeCell ref="D2:F3"/>
    <mergeCell ref="G2:H2"/>
    <mergeCell ref="I2:J2"/>
    <mergeCell ref="G3:H3"/>
    <mergeCell ref="I3:J3"/>
    <mergeCell ref="D4:F4"/>
    <mergeCell ref="G4:H4"/>
    <mergeCell ref="I4:J4"/>
    <mergeCell ref="A5:F5"/>
    <mergeCell ref="H6:I6"/>
  </mergeCells>
  <conditionalFormatting sqref="D2:F4">
    <cfRule type="cellIs" dxfId="221" priority="1" stopIfTrue="1" operator="equal">
      <formula>""</formula>
    </cfRule>
  </conditionalFormatting>
  <dataValidations count="2">
    <dataValidation type="list" allowBlank="1" showInputMessage="1" sqref="Q7" xr:uid="{2C1F1C19-C19A-481E-B743-B36AF67A381E}">
      <formula1>OFFSET($R$13,0,0,$P$10,1)</formula1>
    </dataValidation>
    <dataValidation type="list" allowBlank="1" sqref="B13:J51" xr:uid="{AE898238-8F98-463C-9355-1E61FDAAB67C}">
      <formula1>OFFSET($R$13,0,0,$P$10,1)</formula1>
    </dataValidation>
  </dataValidations>
  <printOptions horizontalCentered="1"/>
  <pageMargins left="0.3" right="0.3" top="0.5" bottom="0.5" header="0" footer="0.25"/>
  <pageSetup orientation="portrait" r:id="rId1"/>
  <headerFooter alignWithMargins="0">
    <oddFooter>&amp;R&amp;7Printed: &amp;D &amp;T&amp;L&amp;7Version: 19.1021
File: &amp;F</oddFooter>
  </headerFooter>
  <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5D2894-2FD4-4D1F-A907-8F132C4179DC}">
  <sheetPr codeName="Sheet26">
    <tabColor indexed="44"/>
  </sheetPr>
  <dimension ref="A1:V100"/>
  <sheetViews>
    <sheetView showGridLines="0" zoomScaleNormal="100" zoomScaleSheetLayoutView="100" workbookViewId="0">
      <selection activeCell="A13" sqref="A13"/>
    </sheetView>
  </sheetViews>
  <sheetFormatPr defaultColWidth="9.140625" defaultRowHeight="12" x14ac:dyDescent="0.2"/>
  <cols>
    <col min="1" max="1" width="10.7109375" style="154" customWidth="1"/>
    <col min="2" max="2" width="30.7109375" style="154" customWidth="1"/>
    <col min="3" max="6" width="6.42578125" style="154" customWidth="1"/>
    <col min="7" max="7" width="10.7109375" style="154" customWidth="1"/>
    <col min="8" max="8" width="6.7109375" style="154" customWidth="1"/>
    <col min="9" max="9" width="7.28515625" style="154" customWidth="1"/>
    <col min="10" max="10" width="10.7109375" style="154" customWidth="1"/>
    <col min="11" max="11" width="6.7109375" style="154" customWidth="1"/>
    <col min="12" max="13" width="5.7109375" style="154" hidden="1" customWidth="1"/>
    <col min="14" max="14" width="8.7109375" style="154" hidden="1" customWidth="1"/>
    <col min="15" max="15" width="8.7109375" style="729" hidden="1" customWidth="1"/>
    <col min="16" max="16" width="11.28515625" style="154" hidden="1" customWidth="1"/>
    <col min="17" max="18" width="15.7109375" style="154" hidden="1" customWidth="1"/>
    <col min="19" max="21" width="9.140625" style="154" hidden="1" customWidth="1"/>
    <col min="22" max="16384" width="9.140625" style="154"/>
  </cols>
  <sheetData>
    <row r="1" spans="1:22" s="303" customFormat="1" ht="15" customHeight="1" thickBot="1" x14ac:dyDescent="0.25">
      <c r="A1" s="298"/>
      <c r="B1" s="298"/>
      <c r="C1" s="298"/>
      <c r="D1" s="1705"/>
      <c r="E1" s="1706"/>
      <c r="F1" s="1706"/>
      <c r="G1" s="1707" t="s">
        <v>77</v>
      </c>
      <c r="H1" s="1708"/>
      <c r="I1" s="1709"/>
      <c r="J1" s="1710"/>
      <c r="K1" s="423" t="s">
        <v>375</v>
      </c>
      <c r="L1" s="302" t="e">
        <f>#REF!</f>
        <v>#REF!</v>
      </c>
      <c r="M1" s="302" t="e">
        <f>#REF!</f>
        <v>#REF!</v>
      </c>
      <c r="N1" s="302"/>
      <c r="O1" s="727"/>
      <c r="R1" s="716" t="s">
        <v>791</v>
      </c>
      <c r="S1" s="576"/>
      <c r="T1" s="576" t="s">
        <v>797</v>
      </c>
      <c r="V1" s="424" t="s">
        <v>376</v>
      </c>
    </row>
    <row r="2" spans="1:22" s="303" customFormat="1" ht="12.95" customHeight="1" thickTop="1" x14ac:dyDescent="0.2">
      <c r="A2" s="298"/>
      <c r="B2" s="298"/>
      <c r="C2" s="298"/>
      <c r="D2" s="1711"/>
      <c r="E2" s="1712"/>
      <c r="F2" s="1713"/>
      <c r="G2" s="1707" t="s">
        <v>78</v>
      </c>
      <c r="H2" s="1707"/>
      <c r="I2" s="1709"/>
      <c r="J2" s="1710"/>
      <c r="O2" s="727"/>
      <c r="S2" s="576"/>
      <c r="T2" s="576" t="s">
        <v>793</v>
      </c>
    </row>
    <row r="3" spans="1:22" s="303" customFormat="1" ht="12.95" customHeight="1" x14ac:dyDescent="0.2">
      <c r="A3" s="298"/>
      <c r="B3" s="298"/>
      <c r="C3" s="298"/>
      <c r="D3" s="1714"/>
      <c r="E3" s="1715"/>
      <c r="F3" s="1716"/>
      <c r="G3" s="1707" t="s">
        <v>80</v>
      </c>
      <c r="H3" s="1707"/>
      <c r="I3" s="1709"/>
      <c r="J3" s="1710"/>
      <c r="O3" s="727"/>
      <c r="S3" s="576"/>
      <c r="T3" s="576" t="s">
        <v>794</v>
      </c>
    </row>
    <row r="4" spans="1:22" s="303" customFormat="1" ht="12.95" customHeight="1" thickBot="1" x14ac:dyDescent="0.25">
      <c r="A4" s="298"/>
      <c r="B4" s="298"/>
      <c r="C4" s="298"/>
      <c r="D4" s="1717"/>
      <c r="E4" s="1718"/>
      <c r="F4" s="1719"/>
      <c r="G4" s="1707" t="s">
        <v>79</v>
      </c>
      <c r="H4" s="1707"/>
      <c r="I4" s="1709"/>
      <c r="J4" s="1710"/>
      <c r="O4" s="727"/>
      <c r="S4" s="576"/>
      <c r="T4" s="576" t="s">
        <v>795</v>
      </c>
    </row>
    <row r="5" spans="1:22" s="303" customFormat="1" ht="12.95" customHeight="1" thickTop="1" x14ac:dyDescent="0.2">
      <c r="A5" s="1720"/>
      <c r="B5" s="1720"/>
      <c r="C5" s="1720"/>
      <c r="D5" s="1720"/>
      <c r="E5" s="1720"/>
      <c r="F5" s="1720"/>
      <c r="G5" s="1670"/>
      <c r="H5" s="298"/>
      <c r="I5" s="298"/>
      <c r="J5" s="298"/>
      <c r="N5" s="1412"/>
      <c r="O5" s="727"/>
      <c r="S5" s="576"/>
      <c r="T5" s="576" t="s">
        <v>796</v>
      </c>
    </row>
    <row r="6" spans="1:22" s="303" customFormat="1" ht="12.95" customHeight="1" x14ac:dyDescent="0.2">
      <c r="A6" s="298"/>
      <c r="B6" s="298"/>
      <c r="C6" s="298"/>
      <c r="D6" s="298"/>
      <c r="E6" s="298"/>
      <c r="F6" s="298"/>
      <c r="G6" s="396" t="s">
        <v>20</v>
      </c>
      <c r="H6" s="1721"/>
      <c r="I6" s="1721"/>
      <c r="J6" s="298"/>
      <c r="L6" s="995" t="s">
        <v>705</v>
      </c>
      <c r="M6" s="711"/>
      <c r="N6" s="1413"/>
      <c r="O6" s="727"/>
      <c r="T6" s="576" t="s">
        <v>798</v>
      </c>
    </row>
    <row r="7" spans="1:22" ht="12.95" customHeight="1" x14ac:dyDescent="0.2">
      <c r="A7" s="321" t="s">
        <v>29</v>
      </c>
      <c r="B7" s="322"/>
      <c r="C7" s="322"/>
      <c r="D7" s="322"/>
      <c r="E7" s="322"/>
      <c r="F7" s="742"/>
      <c r="G7" s="397" t="s">
        <v>21</v>
      </c>
      <c r="H7" s="1109"/>
      <c r="I7" s="601"/>
      <c r="J7" s="418"/>
      <c r="L7" s="997"/>
      <c r="M7" s="307"/>
      <c r="N7" s="1414"/>
      <c r="Q7" s="728"/>
      <c r="T7" s="707" t="s">
        <v>799</v>
      </c>
    </row>
    <row r="8" spans="1:22" ht="3.95" customHeight="1" x14ac:dyDescent="0.2">
      <c r="A8" s="322"/>
      <c r="B8" s="322"/>
      <c r="C8" s="322"/>
      <c r="D8" s="322"/>
      <c r="E8" s="322"/>
      <c r="F8" s="322"/>
      <c r="G8" s="322"/>
      <c r="H8" s="322"/>
      <c r="I8" s="322"/>
      <c r="J8" s="322"/>
      <c r="T8" s="707" t="s">
        <v>800</v>
      </c>
    </row>
    <row r="9" spans="1:22" ht="12.6" customHeight="1" x14ac:dyDescent="0.2">
      <c r="A9" s="417" t="s">
        <v>1</v>
      </c>
      <c r="B9" s="1699"/>
      <c r="C9" s="1699"/>
      <c r="D9" s="1700"/>
      <c r="E9" s="419"/>
      <c r="F9" s="420" t="s">
        <v>2</v>
      </c>
      <c r="G9" s="1699"/>
      <c r="H9" s="1699"/>
      <c r="I9" s="1699"/>
      <c r="J9" s="1700"/>
      <c r="L9" s="307"/>
      <c r="T9" s="707" t="s">
        <v>88</v>
      </c>
    </row>
    <row r="10" spans="1:22" ht="12.6" customHeight="1" x14ac:dyDescent="0.2">
      <c r="A10" s="417" t="s">
        <v>3</v>
      </c>
      <c r="B10" s="1699"/>
      <c r="C10" s="1699"/>
      <c r="D10" s="1700"/>
      <c r="E10" s="412"/>
      <c r="F10" s="417" t="s">
        <v>22</v>
      </c>
      <c r="G10" s="1664"/>
      <c r="H10" s="145"/>
      <c r="I10" s="420" t="s">
        <v>23</v>
      </c>
      <c r="J10" s="1664"/>
      <c r="L10" s="876" t="s">
        <v>570</v>
      </c>
      <c r="M10" s="876" t="s">
        <v>138</v>
      </c>
      <c r="N10" s="707" t="s">
        <v>789</v>
      </c>
      <c r="O10" s="707"/>
      <c r="P10" s="154">
        <f>COUNTA(Q13:Q99)</f>
        <v>67</v>
      </c>
      <c r="R10" s="729"/>
      <c r="T10" s="707" t="s">
        <v>807</v>
      </c>
    </row>
    <row r="11" spans="1:22" ht="3.95" customHeight="1" x14ac:dyDescent="0.2">
      <c r="A11" s="999"/>
      <c r="B11" s="322"/>
      <c r="C11" s="322"/>
      <c r="D11" s="322"/>
      <c r="E11" s="322"/>
      <c r="F11" s="322"/>
      <c r="G11" s="322"/>
      <c r="H11" s="322"/>
      <c r="I11" s="322"/>
      <c r="J11" s="322"/>
      <c r="N11" s="729"/>
      <c r="R11" s="729"/>
    </row>
    <row r="12" spans="1:22" s="415" customFormat="1" ht="15.4" customHeight="1" thickBot="1" x14ac:dyDescent="0.25">
      <c r="A12" s="1662" t="s">
        <v>30</v>
      </c>
      <c r="B12" s="1725" t="s">
        <v>15</v>
      </c>
      <c r="C12" s="1726"/>
      <c r="D12" s="1726"/>
      <c r="E12" s="1726"/>
      <c r="F12" s="1726"/>
      <c r="G12" s="1726"/>
      <c r="H12" s="1726"/>
      <c r="I12" s="1726"/>
      <c r="J12" s="1727"/>
      <c r="P12" s="734" t="s">
        <v>560</v>
      </c>
      <c r="Q12" s="735" t="s">
        <v>561</v>
      </c>
      <c r="R12" s="730" t="s">
        <v>565</v>
      </c>
    </row>
    <row r="13" spans="1:22" ht="15.4" customHeight="1" thickTop="1" x14ac:dyDescent="0.2">
      <c r="A13" s="1363"/>
      <c r="B13" s="1728"/>
      <c r="C13" s="1729"/>
      <c r="D13" s="1729"/>
      <c r="E13" s="1729"/>
      <c r="F13" s="1729"/>
      <c r="G13" s="1729"/>
      <c r="H13" s="1729"/>
      <c r="I13" s="1729"/>
      <c r="J13" s="1730"/>
      <c r="L13" s="878" t="str">
        <f>IF(ISBLANK(A13),"",SUBSTITUTE(A13,"*",""))</f>
        <v/>
      </c>
      <c r="M13" s="1411" t="b">
        <v>0</v>
      </c>
      <c r="N13" s="1415" t="b">
        <f>IF(ISERROR(VLOOKUP(L13,S:S,1,FALSE)),FALSE,VLOOKUP(L13,S:S,1,FALSE)=L13)</f>
        <v>0</v>
      </c>
      <c r="O13" s="1403" t="b" cm="1">
        <f t="array" ref="O13">IF(AND(NOT(N13),LEN(L13)&gt;2),OR(ISNUMBER(SEARCH($T$1:$T$15,L13))),FALSE)</f>
        <v>0</v>
      </c>
      <c r="P13" s="736"/>
      <c r="Q13" s="737" t="s">
        <v>617</v>
      </c>
      <c r="R13" s="731" t="str">
        <f>CONCATENATE("[",P13, "] - ", Q13)</f>
        <v>[] - SHAPES</v>
      </c>
    </row>
    <row r="14" spans="1:22" ht="15.4" customHeight="1" x14ac:dyDescent="0.2">
      <c r="A14" s="1367"/>
      <c r="B14" s="1722"/>
      <c r="C14" s="1723"/>
      <c r="D14" s="1723"/>
      <c r="E14" s="1723"/>
      <c r="F14" s="1723"/>
      <c r="G14" s="1723"/>
      <c r="H14" s="1723"/>
      <c r="I14" s="1723"/>
      <c r="J14" s="1724"/>
      <c r="L14" s="878" t="str">
        <f>IF(ISBLANK(A14),L13,SUBSTITUTE(A14,"*",""))</f>
        <v/>
      </c>
      <c r="M14" s="1411" t="b">
        <v>0</v>
      </c>
      <c r="N14" s="1415" t="b">
        <f t="shared" ref="N14:N51" si="0">IF(ISERROR(VLOOKUP(L14,S:S,1,FALSE)),FALSE,VLOOKUP(L14,S:S,1,FALSE)=L14)</f>
        <v>0</v>
      </c>
      <c r="O14" s="1403" t="b" cm="1">
        <f t="array" ref="O14">IF(AND(NOT(N14),LEN(L14)&gt;2),OR(ISNUMBER(SEARCH($T$1:$T$15,L14))),FALSE)</f>
        <v>0</v>
      </c>
      <c r="P14" s="738" t="s">
        <v>562</v>
      </c>
      <c r="Q14" s="739" t="s">
        <v>618</v>
      </c>
      <c r="R14" s="732" t="str">
        <f t="shared" ref="R14:R77" si="1">CONCATENATE("[",P14, "] - ", Q14)</f>
        <v>[SP] - Single Pitch: (Ctr Depth=Designation) ##" Depth @ LBL, ##" Depth @ RBL</v>
      </c>
    </row>
    <row r="15" spans="1:22" ht="15.4" customHeight="1" x14ac:dyDescent="0.2">
      <c r="A15" s="1367"/>
      <c r="B15" s="1722"/>
      <c r="C15" s="1723"/>
      <c r="D15" s="1723"/>
      <c r="E15" s="1723"/>
      <c r="F15" s="1723"/>
      <c r="G15" s="1723"/>
      <c r="H15" s="1723"/>
      <c r="I15" s="1723"/>
      <c r="J15" s="1724"/>
      <c r="L15" s="878" t="str">
        <f t="shared" ref="L15:L51" si="2">IF(ISBLANK(A15),L14,SUBSTITUTE(A15,"*",""))</f>
        <v/>
      </c>
      <c r="M15" s="1411" t="b">
        <v>0</v>
      </c>
      <c r="N15" s="1415" t="b">
        <f t="shared" si="0"/>
        <v>0</v>
      </c>
      <c r="O15" s="1403" t="b" cm="1">
        <f t="array" ref="O15">IF(AND(NOT(N15),LEN(L15)&gt;2),OR(ISNUMBER(SEARCH($T$1:$T$15,L15))),FALSE)</f>
        <v>0</v>
      </c>
      <c r="P15" s="738" t="s">
        <v>563</v>
      </c>
      <c r="Q15" s="739" t="s">
        <v>619</v>
      </c>
      <c r="R15" s="732" t="str">
        <f t="shared" si="1"/>
        <v>[DP] - Double Pitch: Ridge @ ##’-## From LBL (Depth=Designation), ##" Depth @ LBL, ##" Depth @ RBL</v>
      </c>
    </row>
    <row r="16" spans="1:22" ht="15.4" customHeight="1" x14ac:dyDescent="0.2">
      <c r="A16" s="1367"/>
      <c r="B16" s="1722"/>
      <c r="C16" s="1723"/>
      <c r="D16" s="1723"/>
      <c r="E16" s="1723"/>
      <c r="F16" s="1723"/>
      <c r="G16" s="1723"/>
      <c r="H16" s="1723"/>
      <c r="I16" s="1723"/>
      <c r="J16" s="1724"/>
      <c r="L16" s="878" t="str">
        <f t="shared" si="2"/>
        <v/>
      </c>
      <c r="M16" s="1411" t="b">
        <v>0</v>
      </c>
      <c r="N16" s="1415" t="b">
        <f t="shared" si="0"/>
        <v>0</v>
      </c>
      <c r="O16" s="1403" t="b" cm="1">
        <f t="array" ref="O16">IF(AND(NOT(N16),LEN(L16)&gt;2),OR(ISNUMBER(SEARCH($T$1:$T$15,L16))),FALSE)</f>
        <v>0</v>
      </c>
      <c r="P16" s="738" t="s">
        <v>564</v>
      </c>
      <c r="Q16" s="739" t="s">
        <v>620</v>
      </c>
      <c r="R16" s="732" t="str">
        <f t="shared" si="1"/>
        <v>[TP] - Triple Pitch: Ridge Left @ ##’-## From LBL (Depth=Designation), ##" Depth @ LBL, ##" Depth @ RBL, Ridge Right @ ##'-## From LBL</v>
      </c>
    </row>
    <row r="17" spans="1:18" ht="15.4" customHeight="1" x14ac:dyDescent="0.2">
      <c r="A17" s="1367"/>
      <c r="B17" s="1722"/>
      <c r="C17" s="1723"/>
      <c r="D17" s="1723"/>
      <c r="E17" s="1723"/>
      <c r="F17" s="1723"/>
      <c r="G17" s="1723"/>
      <c r="H17" s="1723"/>
      <c r="I17" s="1723"/>
      <c r="J17" s="1724"/>
      <c r="L17" s="878" t="str">
        <f t="shared" si="2"/>
        <v/>
      </c>
      <c r="M17" s="1411" t="b">
        <v>0</v>
      </c>
      <c r="N17" s="1415" t="b">
        <f t="shared" si="0"/>
        <v>0</v>
      </c>
      <c r="O17" s="1403" t="b" cm="1">
        <f t="array" ref="O17">IF(AND(NOT(N17),LEN(L17)&gt;2),OR(ISNUMBER(SEARCH($T$1:$T$15,L17))),FALSE)</f>
        <v>0</v>
      </c>
      <c r="P17" s="738" t="s">
        <v>588</v>
      </c>
      <c r="Q17" s="739" t="s">
        <v>621</v>
      </c>
      <c r="R17" s="732" t="str">
        <f t="shared" si="1"/>
        <v>[AC] - Arched Chords: (Depth=Designation) ##" TC Radius</v>
      </c>
    </row>
    <row r="18" spans="1:18" ht="15.4" customHeight="1" x14ac:dyDescent="0.2">
      <c r="A18" s="1367"/>
      <c r="B18" s="1722"/>
      <c r="C18" s="1723"/>
      <c r="D18" s="1723"/>
      <c r="E18" s="1723"/>
      <c r="F18" s="1723"/>
      <c r="G18" s="1723"/>
      <c r="H18" s="1723"/>
      <c r="I18" s="1723"/>
      <c r="J18" s="1724"/>
      <c r="L18" s="878" t="str">
        <f t="shared" si="2"/>
        <v/>
      </c>
      <c r="M18" s="1411" t="b">
        <v>0</v>
      </c>
      <c r="N18" s="1415" t="b">
        <f t="shared" si="0"/>
        <v>0</v>
      </c>
      <c r="O18" s="1403" t="b" cm="1">
        <f t="array" ref="O18">IF(AND(NOT(N18),LEN(L18)&gt;2),OR(ISNUMBER(SEARCH($T$1:$T$15,L18))),FALSE)</f>
        <v>0</v>
      </c>
      <c r="P18" s="738" t="s">
        <v>589</v>
      </c>
      <c r="Q18" s="739" t="s">
        <v>622</v>
      </c>
      <c r="R18" s="732" t="str">
        <f t="shared" si="1"/>
        <v>[BW] - Bowstring: Ridge @ ##’-## From LBL (Depth=Designation), ##" Depth @ LBL, ##" TC Radius</v>
      </c>
    </row>
    <row r="19" spans="1:18" ht="15.4" customHeight="1" x14ac:dyDescent="0.2">
      <c r="A19" s="1367"/>
      <c r="B19" s="1722"/>
      <c r="C19" s="1723"/>
      <c r="D19" s="1723"/>
      <c r="E19" s="1723"/>
      <c r="F19" s="1723"/>
      <c r="G19" s="1723"/>
      <c r="H19" s="1723"/>
      <c r="I19" s="1723"/>
      <c r="J19" s="1724"/>
      <c r="L19" s="878" t="str">
        <f t="shared" si="2"/>
        <v/>
      </c>
      <c r="M19" s="1411" t="b">
        <v>0</v>
      </c>
      <c r="N19" s="1415" t="b">
        <f t="shared" si="0"/>
        <v>0</v>
      </c>
      <c r="O19" s="1403" t="b" cm="1">
        <f t="array" ref="O19">IF(AND(NOT(N19),LEN(L19)&gt;2),OR(ISNUMBER(SEARCH($T$1:$T$15,L19))),FALSE)</f>
        <v>0</v>
      </c>
      <c r="P19" s="738" t="s">
        <v>590</v>
      </c>
      <c r="Q19" s="739" t="s">
        <v>661</v>
      </c>
      <c r="R19" s="732" t="str">
        <f t="shared" si="1"/>
        <v>[SC] - Scissor: Ridge @ ##’-## From LBL (Vert Depth=Designation), BC Rise ##” @ Ridge From LBL, ##" Vert Depth @ LBL, ##" Vert Depth @ RBL, ##" BC Elev difference @ RBL</v>
      </c>
    </row>
    <row r="20" spans="1:18" ht="15.4" customHeight="1" x14ac:dyDescent="0.2">
      <c r="A20" s="1367"/>
      <c r="B20" s="1722"/>
      <c r="C20" s="1723"/>
      <c r="D20" s="1723"/>
      <c r="E20" s="1723"/>
      <c r="F20" s="1723"/>
      <c r="G20" s="1723"/>
      <c r="H20" s="1723"/>
      <c r="I20" s="1723"/>
      <c r="J20" s="1724"/>
      <c r="L20" s="878" t="str">
        <f t="shared" si="2"/>
        <v/>
      </c>
      <c r="M20" s="1411" t="b">
        <v>0</v>
      </c>
      <c r="N20" s="1415" t="b">
        <f t="shared" si="0"/>
        <v>0</v>
      </c>
      <c r="O20" s="1403" t="b" cm="1">
        <f t="array" ref="O20">IF(AND(NOT(N20),LEN(L20)&gt;2),OR(ISNUMBER(SEARCH($T$1:$T$15,L20))),FALSE)</f>
        <v>0</v>
      </c>
      <c r="P20" s="738"/>
      <c r="Q20" s="739" t="s">
        <v>623</v>
      </c>
      <c r="R20" s="732" t="str">
        <f t="shared" si="1"/>
        <v>[] - DEFLECTION</v>
      </c>
    </row>
    <row r="21" spans="1:18" ht="15.4" customHeight="1" x14ac:dyDescent="0.2">
      <c r="A21" s="1367"/>
      <c r="B21" s="1731"/>
      <c r="C21" s="1732"/>
      <c r="D21" s="1732"/>
      <c r="E21" s="1732"/>
      <c r="F21" s="1732"/>
      <c r="G21" s="1732"/>
      <c r="H21" s="1732"/>
      <c r="I21" s="1732"/>
      <c r="J21" s="1733"/>
      <c r="L21" s="878" t="str">
        <f t="shared" si="2"/>
        <v/>
      </c>
      <c r="M21" s="1411" t="b">
        <v>0</v>
      </c>
      <c r="N21" s="1415" t="b">
        <f t="shared" si="0"/>
        <v>0</v>
      </c>
      <c r="O21" s="1415" t="b" cm="1">
        <f t="array" ref="O21">IF(AND(NOT(N21),LEN(L21)&gt;2),OR(ISNUMBER(SEARCH($T$1:$T$15,L21))),FALSE)</f>
        <v>0</v>
      </c>
      <c r="P21" s="738" t="s">
        <v>583</v>
      </c>
      <c r="Q21" s="739" t="s">
        <v>624</v>
      </c>
      <c r="R21" s="732" t="str">
        <f t="shared" si="1"/>
        <v>[DefLL] - LL Deflection = L/###|Deflection=L/### Due To ### PLF LL|LL Deflection=L/### (LL/TL Ratio = ##%)</v>
      </c>
    </row>
    <row r="22" spans="1:18" ht="15.4" customHeight="1" x14ac:dyDescent="0.2">
      <c r="A22" s="1367"/>
      <c r="B22" s="1722"/>
      <c r="C22" s="1723"/>
      <c r="D22" s="1723"/>
      <c r="E22" s="1723"/>
      <c r="F22" s="1723"/>
      <c r="G22" s="1723"/>
      <c r="H22" s="1723"/>
      <c r="I22" s="1723"/>
      <c r="J22" s="1724"/>
      <c r="L22" s="878" t="str">
        <f t="shared" si="2"/>
        <v/>
      </c>
      <c r="M22" s="1411" t="b">
        <v>0</v>
      </c>
      <c r="N22" s="1415" t="b">
        <f t="shared" si="0"/>
        <v>0</v>
      </c>
      <c r="O22" s="1403" t="b" cm="1">
        <f t="array" ref="O22">IF(AND(NOT(N22),LEN(L22)&gt;2),OR(ISNUMBER(SEARCH($T$1:$T$15,L22))),FALSE)</f>
        <v>0</v>
      </c>
      <c r="P22" s="738" t="s">
        <v>584</v>
      </c>
      <c r="Q22" s="739" t="s">
        <v>625</v>
      </c>
      <c r="R22" s="732" t="str">
        <f t="shared" si="1"/>
        <v>[DefTL] - TL Deflection = L/###, Ck Std Camber Satisfies DL Def</v>
      </c>
    </row>
    <row r="23" spans="1:18" ht="15.4" customHeight="1" x14ac:dyDescent="0.2">
      <c r="A23" s="1367"/>
      <c r="B23" s="1728"/>
      <c r="C23" s="1729"/>
      <c r="D23" s="1729"/>
      <c r="E23" s="1729"/>
      <c r="F23" s="1729"/>
      <c r="G23" s="1729"/>
      <c r="H23" s="1729"/>
      <c r="I23" s="1729"/>
      <c r="J23" s="1730"/>
      <c r="L23" s="878" t="str">
        <f t="shared" si="2"/>
        <v/>
      </c>
      <c r="M23" s="1411" t="b">
        <v>0</v>
      </c>
      <c r="N23" s="1415" t="b">
        <f t="shared" si="0"/>
        <v>0</v>
      </c>
      <c r="O23" s="1403" t="b" cm="1">
        <f t="array" ref="O23">IF(AND(NOT(N23),LEN(L23)&gt;2),OR(ISNUMBER(SEARCH($T$1:$T$15,L23))),FALSE)</f>
        <v>0</v>
      </c>
      <c r="P23" s="738" t="s">
        <v>585</v>
      </c>
      <c r="Q23" s="739" t="s">
        <v>627</v>
      </c>
      <c r="R23" s="732" t="str">
        <f t="shared" si="1"/>
        <v>[DefTCX] - TCXL|TCXR Deflection = ##" Max Due To ### PLF LL|DL|TL</v>
      </c>
    </row>
    <row r="24" spans="1:18" ht="15.4" customHeight="1" x14ac:dyDescent="0.2">
      <c r="A24" s="1367"/>
      <c r="B24" s="1722"/>
      <c r="C24" s="1723"/>
      <c r="D24" s="1723"/>
      <c r="E24" s="1723"/>
      <c r="F24" s="1723"/>
      <c r="G24" s="1723"/>
      <c r="H24" s="1723"/>
      <c r="I24" s="1723"/>
      <c r="J24" s="1724"/>
      <c r="L24" s="878" t="str">
        <f t="shared" si="2"/>
        <v/>
      </c>
      <c r="M24" s="1411" t="b">
        <v>0</v>
      </c>
      <c r="N24" s="1415" t="b">
        <f t="shared" si="0"/>
        <v>0</v>
      </c>
      <c r="O24" s="1403" t="b" cm="1">
        <f t="array" ref="O24">IF(AND(NOT(N24),LEN(L24)&gt;2),OR(ISNUMBER(SEARCH($T$1:$T$15,L24))),FALSE)</f>
        <v>0</v>
      </c>
      <c r="P24" s="738" t="s">
        <v>586</v>
      </c>
      <c r="Q24" s="739" t="s">
        <v>626</v>
      </c>
      <c r="R24" s="732" t="str">
        <f t="shared" si="1"/>
        <v>[DefSP] - Special Deflection = ##" Max Due To ### PLF LL|DL|TL</v>
      </c>
    </row>
    <row r="25" spans="1:18" ht="15.4" customHeight="1" x14ac:dyDescent="0.2">
      <c r="A25" s="1367"/>
      <c r="B25" s="1722"/>
      <c r="C25" s="1723"/>
      <c r="D25" s="1723"/>
      <c r="E25" s="1723"/>
      <c r="F25" s="1723"/>
      <c r="G25" s="1723"/>
      <c r="H25" s="1723"/>
      <c r="I25" s="1723"/>
      <c r="J25" s="1724"/>
      <c r="L25" s="878" t="str">
        <f t="shared" si="2"/>
        <v/>
      </c>
      <c r="M25" s="1411" t="b">
        <v>0</v>
      </c>
      <c r="N25" s="1415" t="b">
        <f t="shared" si="0"/>
        <v>0</v>
      </c>
      <c r="O25" s="1403" t="b" cm="1">
        <f t="array" ref="O25">IF(AND(NOT(N25),LEN(L25)&gt;2),OR(ISNUMBER(SEARCH($T$1:$T$15,L25))),FALSE)</f>
        <v>0</v>
      </c>
      <c r="P25" s="738"/>
      <c r="Q25" s="739" t="s">
        <v>628</v>
      </c>
      <c r="R25" s="732" t="str">
        <f t="shared" si="1"/>
        <v>[] - BEARING SEATS</v>
      </c>
    </row>
    <row r="26" spans="1:18" ht="15.4" customHeight="1" x14ac:dyDescent="0.2">
      <c r="A26" s="1367"/>
      <c r="B26" s="1722"/>
      <c r="C26" s="1723"/>
      <c r="D26" s="1723"/>
      <c r="E26" s="1723"/>
      <c r="F26" s="1723"/>
      <c r="G26" s="1723"/>
      <c r="H26" s="1723"/>
      <c r="I26" s="1723"/>
      <c r="J26" s="1724"/>
      <c r="L26" s="878" t="str">
        <f t="shared" si="2"/>
        <v/>
      </c>
      <c r="M26" s="1411" t="b">
        <v>0</v>
      </c>
      <c r="N26" s="1403" t="b">
        <f t="shared" si="0"/>
        <v>0</v>
      </c>
      <c r="O26" s="1403" t="b" cm="1">
        <f t="array" ref="O26">IF(AND(NOT(N26),LEN(L26)&gt;2),OR(ISNUMBER(SEARCH($T$1:$T$15,L26))),FALSE)</f>
        <v>0</v>
      </c>
      <c r="P26" s="738" t="s">
        <v>770</v>
      </c>
      <c r="Q26" s="739" t="s">
        <v>774</v>
      </c>
      <c r="R26" s="732" t="str">
        <f t="shared" si="1"/>
        <v>[AddSeat] - Addn’l Bearing Seat @ LE|RE|BE, Setback = #’-##”, Depth = ##”</v>
      </c>
    </row>
    <row r="27" spans="1:18" ht="15.4" customHeight="1" x14ac:dyDescent="0.2">
      <c r="A27" s="1367"/>
      <c r="B27" s="1722"/>
      <c r="C27" s="1723"/>
      <c r="D27" s="1723"/>
      <c r="E27" s="1723"/>
      <c r="F27" s="1723"/>
      <c r="G27" s="1723"/>
      <c r="H27" s="1723"/>
      <c r="I27" s="1723"/>
      <c r="J27" s="1724"/>
      <c r="L27" s="878" t="str">
        <f t="shared" si="2"/>
        <v/>
      </c>
      <c r="M27" s="1411" t="b">
        <v>0</v>
      </c>
      <c r="N27" s="1403" t="b">
        <f t="shared" si="0"/>
        <v>0</v>
      </c>
      <c r="O27" s="1403" t="b" cm="1">
        <f t="array" ref="O27">IF(AND(NOT(N27),LEN(L27)&gt;2),OR(ISNUMBER(SEARCH($T$1:$T$15,L27))),FALSE)</f>
        <v>0</v>
      </c>
      <c r="P27" s="738" t="s">
        <v>597</v>
      </c>
      <c r="Q27" s="739" t="s">
        <v>641</v>
      </c>
      <c r="R27" s="732" t="str">
        <f t="shared" si="1"/>
        <v>[AddSlt] - Addn'l Seat Slots @ #" from L-OAL|R-OAL</v>
      </c>
    </row>
    <row r="28" spans="1:18" ht="15.4" customHeight="1" x14ac:dyDescent="0.2">
      <c r="A28" s="1367"/>
      <c r="B28" s="1722"/>
      <c r="C28" s="1723"/>
      <c r="D28" s="1723"/>
      <c r="E28" s="1723"/>
      <c r="F28" s="1723"/>
      <c r="G28" s="1723"/>
      <c r="H28" s="1723"/>
      <c r="I28" s="1723"/>
      <c r="J28" s="1724"/>
      <c r="L28" s="878" t="str">
        <f t="shared" si="2"/>
        <v/>
      </c>
      <c r="M28" s="1411" t="b">
        <v>0</v>
      </c>
      <c r="N28" s="1403" t="b">
        <f t="shared" si="0"/>
        <v>0</v>
      </c>
      <c r="O28" s="1403" t="b" cm="1">
        <f t="array" ref="O28">IF(AND(NOT(N28),LEN(L28)&gt;2),OR(ISNUMBER(SEARCH($T$1:$T$15,L28))),FALSE)</f>
        <v>0</v>
      </c>
      <c r="P28" s="738" t="s">
        <v>578</v>
      </c>
      <c r="Q28" s="739" t="s">
        <v>638</v>
      </c>
      <c r="R28" s="732" t="str">
        <f t="shared" si="1"/>
        <v>[BCBrg] - Bottom Chord Bearing @ LE|RE|BE</v>
      </c>
    </row>
    <row r="29" spans="1:18" ht="15.4" customHeight="1" x14ac:dyDescent="0.2">
      <c r="A29" s="1367"/>
      <c r="B29" s="1722"/>
      <c r="C29" s="1723"/>
      <c r="D29" s="1723"/>
      <c r="E29" s="1723"/>
      <c r="F29" s="1723"/>
      <c r="G29" s="1723"/>
      <c r="H29" s="1723"/>
      <c r="I29" s="1723"/>
      <c r="J29" s="1724"/>
      <c r="L29" s="878" t="str">
        <f t="shared" si="2"/>
        <v/>
      </c>
      <c r="M29" s="1411" t="b">
        <v>0</v>
      </c>
      <c r="N29" s="1403" t="b">
        <f t="shared" si="0"/>
        <v>0</v>
      </c>
      <c r="O29" s="1403" t="b" cm="1">
        <f t="array" ref="O29">IF(AND(NOT(N29),LEN(L29)&gt;2),OR(ISNUMBER(SEARCH($T$1:$T$15,L29))),FALSE)</f>
        <v>0</v>
      </c>
      <c r="P29" s="738" t="s">
        <v>771</v>
      </c>
      <c r="Q29" s="739" t="s">
        <v>775</v>
      </c>
      <c r="R29" s="732" t="str">
        <f t="shared" si="1"/>
        <v>[BCBrgCant] - Bottom Chord Bearing Cantilever @ LE|RE|BE, Ctr Line of Support = #’-##” @ LE|RE|BE</v>
      </c>
    </row>
    <row r="30" spans="1:18" ht="15.4" customHeight="1" x14ac:dyDescent="0.2">
      <c r="A30" s="1367"/>
      <c r="B30" s="1722"/>
      <c r="C30" s="1723"/>
      <c r="D30" s="1723"/>
      <c r="E30" s="1723"/>
      <c r="F30" s="1723"/>
      <c r="G30" s="1723"/>
      <c r="H30" s="1723"/>
      <c r="I30" s="1723"/>
      <c r="J30" s="1724"/>
      <c r="L30" s="878" t="str">
        <f t="shared" si="2"/>
        <v/>
      </c>
      <c r="M30" s="1411" t="b">
        <v>0</v>
      </c>
      <c r="N30" s="1403" t="b">
        <f t="shared" si="0"/>
        <v>0</v>
      </c>
      <c r="O30" s="1403" t="b" cm="1">
        <f t="array" ref="O30">IF(AND(NOT(N30),LEN(L30)&gt;2),OR(ISNUMBER(SEARCH($T$1:$T$15,L30))),FALSE)</f>
        <v>0</v>
      </c>
      <c r="P30" s="738" t="s">
        <v>772</v>
      </c>
      <c r="Q30" s="739" t="s">
        <v>776</v>
      </c>
      <c r="R30" s="732" t="str">
        <f t="shared" si="1"/>
        <v>[BPSetBk] - Shorten Base Pl @ LE|RE|BE, Setback = #’-#, Max TC Depth = ##”, Ck TCX For Unrein Length, See Section ##</v>
      </c>
    </row>
    <row r="31" spans="1:18" ht="15.4" customHeight="1" x14ac:dyDescent="0.2">
      <c r="A31" s="1367"/>
      <c r="B31" s="1722"/>
      <c r="C31" s="1723"/>
      <c r="D31" s="1723"/>
      <c r="E31" s="1723"/>
      <c r="F31" s="1723"/>
      <c r="G31" s="1723"/>
      <c r="H31" s="1723"/>
      <c r="I31" s="1723"/>
      <c r="J31" s="1724"/>
      <c r="L31" s="878" t="str">
        <f t="shared" si="2"/>
        <v/>
      </c>
      <c r="M31" s="1411" t="b">
        <v>0</v>
      </c>
      <c r="N31" s="1403" t="b">
        <f t="shared" si="0"/>
        <v>0</v>
      </c>
      <c r="O31" s="1403" t="b" cm="1">
        <f t="array" ref="O31">IF(AND(NOT(N31),LEN(L31)&gt;2),OR(ISNUMBER(SEARCH($T$1:$T$15,L31))),FALSE)</f>
        <v>0</v>
      </c>
      <c r="P31" s="738" t="s">
        <v>576</v>
      </c>
      <c r="Q31" s="739" t="s">
        <v>642</v>
      </c>
      <c r="R31" s="732" t="str">
        <f t="shared" si="1"/>
        <v>[BPThk] - Min Thickness of Base Plate = 0.xxx" @ LE|RE|BE</v>
      </c>
    </row>
    <row r="32" spans="1:18" ht="15.4" customHeight="1" x14ac:dyDescent="0.2">
      <c r="A32" s="1367"/>
      <c r="B32" s="1722"/>
      <c r="C32" s="1723"/>
      <c r="D32" s="1723"/>
      <c r="E32" s="1723"/>
      <c r="F32" s="1723"/>
      <c r="G32" s="1723"/>
      <c r="H32" s="1723"/>
      <c r="I32" s="1723"/>
      <c r="J32" s="1724"/>
      <c r="L32" s="878" t="str">
        <f t="shared" si="2"/>
        <v/>
      </c>
      <c r="M32" s="1411" t="b">
        <v>0</v>
      </c>
      <c r="N32" s="1403" t="b">
        <f t="shared" si="0"/>
        <v>0</v>
      </c>
      <c r="O32" s="1403" t="b" cm="1">
        <f t="array" ref="O32">IF(AND(NOT(N32),LEN(L32)&gt;2),OR(ISNUMBER(SEARCH($T$1:$T$15,L32))),FALSE)</f>
        <v>0</v>
      </c>
      <c r="P32" s="738" t="s">
        <v>598</v>
      </c>
      <c r="Q32" s="739" t="s">
        <v>599</v>
      </c>
      <c r="R32" s="732" t="str">
        <f t="shared" si="1"/>
        <v>[ClrBrg] - Min Clear Bearing = #" @ LE(RE)(BE)</v>
      </c>
    </row>
    <row r="33" spans="1:18" ht="15.4" customHeight="1" x14ac:dyDescent="0.2">
      <c r="A33" s="1367"/>
      <c r="B33" s="1722"/>
      <c r="C33" s="1723"/>
      <c r="D33" s="1723"/>
      <c r="E33" s="1723"/>
      <c r="F33" s="1723"/>
      <c r="G33" s="1723"/>
      <c r="H33" s="1723"/>
      <c r="I33" s="1723"/>
      <c r="J33" s="1724"/>
      <c r="L33" s="878" t="str">
        <f t="shared" si="2"/>
        <v/>
      </c>
      <c r="M33" s="1411" t="b">
        <v>0</v>
      </c>
      <c r="N33" s="1403" t="b">
        <f t="shared" si="0"/>
        <v>0</v>
      </c>
      <c r="O33" s="1403" t="b" cm="1">
        <f t="array" ref="O33">IF(AND(NOT(N33),LEN(L33)&gt;2),OR(ISNUMBER(SEARCH($T$1:$T$15,L33))),FALSE)</f>
        <v>0</v>
      </c>
      <c r="P33" s="738" t="s">
        <v>773</v>
      </c>
      <c r="Q33" s="739" t="s">
        <v>777</v>
      </c>
      <c r="R33" s="732" t="str">
        <f t="shared" si="1"/>
        <v>[ContAngle] - Continuity Angles for Load Transfer, Hold Double Angle W2 Down for Field Install, No TC Splices within 1st ##” @ LE|RE|BE</v>
      </c>
    </row>
    <row r="34" spans="1:18" ht="15.4" customHeight="1" x14ac:dyDescent="0.2">
      <c r="A34" s="1367"/>
      <c r="B34" s="1722"/>
      <c r="C34" s="1723"/>
      <c r="D34" s="1723"/>
      <c r="E34" s="1723"/>
      <c r="F34" s="1723"/>
      <c r="G34" s="1723"/>
      <c r="H34" s="1723"/>
      <c r="I34" s="1723"/>
      <c r="J34" s="1724"/>
      <c r="L34" s="878" t="str">
        <f t="shared" si="2"/>
        <v/>
      </c>
      <c r="M34" s="1411" t="b">
        <v>0</v>
      </c>
      <c r="N34" s="1403" t="b">
        <f t="shared" si="0"/>
        <v>0</v>
      </c>
      <c r="O34" s="1403" t="b" cm="1">
        <f t="array" ref="O34">IF(AND(NOT(N34),LEN(L34)&gt;2),OR(ISNUMBER(SEARCH($T$1:$T$15,L34))),FALSE)</f>
        <v>0</v>
      </c>
      <c r="P34" s="738" t="s">
        <v>633</v>
      </c>
      <c r="Q34" s="739" t="s">
        <v>635</v>
      </c>
      <c r="R34" s="732" t="str">
        <f t="shared" si="1"/>
        <v>[KickLd] - Axial Load Due To Kicker, No Rein Req’d</v>
      </c>
    </row>
    <row r="35" spans="1:18" ht="15.4" customHeight="1" x14ac:dyDescent="0.2">
      <c r="A35" s="1367"/>
      <c r="B35" s="1722"/>
      <c r="C35" s="1723"/>
      <c r="D35" s="1723"/>
      <c r="E35" s="1723"/>
      <c r="F35" s="1723"/>
      <c r="G35" s="1723"/>
      <c r="H35" s="1723"/>
      <c r="I35" s="1723"/>
      <c r="J35" s="1724"/>
      <c r="L35" s="878" t="str">
        <f t="shared" si="2"/>
        <v/>
      </c>
      <c r="M35" s="1411" t="b">
        <v>0</v>
      </c>
      <c r="N35" s="1403" t="b">
        <f t="shared" si="0"/>
        <v>0</v>
      </c>
      <c r="O35" s="1403" t="b" cm="1">
        <f t="array" ref="O35">IF(AND(NOT(N35),LEN(L35)&gt;2),OR(ISNUMBER(SEARCH($T$1:$T$15,L35))),FALSE)</f>
        <v>0</v>
      </c>
      <c r="P35" s="738" t="s">
        <v>632</v>
      </c>
      <c r="Q35" s="739" t="s">
        <v>634</v>
      </c>
      <c r="R35" s="732" t="str">
        <f t="shared" si="1"/>
        <v>[KnifePL] - Knife Pl Provided for Load Transfer, TC/Seat Gap Clear for 1st ##” @ LE|RE|BE</v>
      </c>
    </row>
    <row r="36" spans="1:18" ht="15.4" customHeight="1" x14ac:dyDescent="0.2">
      <c r="A36" s="1367"/>
      <c r="B36" s="1722"/>
      <c r="C36" s="1723"/>
      <c r="D36" s="1723"/>
      <c r="E36" s="1723"/>
      <c r="F36" s="1723"/>
      <c r="G36" s="1723"/>
      <c r="H36" s="1723"/>
      <c r="I36" s="1723"/>
      <c r="J36" s="1724"/>
      <c r="L36" s="878" t="str">
        <f t="shared" si="2"/>
        <v/>
      </c>
      <c r="M36" s="1411" t="b">
        <v>0</v>
      </c>
      <c r="N36" s="1403" t="b">
        <f t="shared" si="0"/>
        <v>0</v>
      </c>
      <c r="O36" s="1403" t="b" cm="1">
        <f t="array" ref="O36">IF(AND(NOT(N36),LEN(L36)&gt;2),OR(ISNUMBER(SEARCH($T$1:$T$15,L36))),FALSE)</f>
        <v>0</v>
      </c>
      <c r="P36" s="738" t="s">
        <v>643</v>
      </c>
      <c r="Q36" s="739" t="s">
        <v>644</v>
      </c>
      <c r="R36" s="732" t="str">
        <f t="shared" si="1"/>
        <v>[MaxWidth] - Max Width of TC &amp; Base Plate|BC for 1st ##” @ LE|RE|BE</v>
      </c>
    </row>
    <row r="37" spans="1:18" ht="15.4" customHeight="1" x14ac:dyDescent="0.2">
      <c r="A37" s="1367"/>
      <c r="B37" s="1722"/>
      <c r="C37" s="1723"/>
      <c r="D37" s="1723"/>
      <c r="E37" s="1723"/>
      <c r="F37" s="1723"/>
      <c r="G37" s="1723"/>
      <c r="H37" s="1723"/>
      <c r="I37" s="1723"/>
      <c r="J37" s="1724"/>
      <c r="L37" s="878" t="str">
        <f t="shared" si="2"/>
        <v/>
      </c>
      <c r="M37" s="1411" t="b">
        <v>0</v>
      </c>
      <c r="N37" s="1403" t="b">
        <f t="shared" si="0"/>
        <v>0</v>
      </c>
      <c r="O37" s="1403" t="b" cm="1">
        <f t="array" ref="O37">IF(AND(NOT(N37),LEN(L37)&gt;2),OR(ISNUMBER(SEARCH($T$1:$T$15,L37))),FALSE)</f>
        <v>0</v>
      </c>
      <c r="P37" s="738" t="s">
        <v>630</v>
      </c>
      <c r="Q37" s="739" t="s">
        <v>778</v>
      </c>
      <c r="R37" s="732" t="str">
        <f t="shared" si="1"/>
        <v>[NoRein] - Tie Pl Provided for Load Transfer, No Rein Req’d (***Could Show This Note in Load Note Remarks***)</v>
      </c>
    </row>
    <row r="38" spans="1:18" ht="15.4" customHeight="1" x14ac:dyDescent="0.2">
      <c r="A38" s="1367"/>
      <c r="B38" s="1722"/>
      <c r="C38" s="1723"/>
      <c r="D38" s="1723"/>
      <c r="E38" s="1723"/>
      <c r="F38" s="1723"/>
      <c r="G38" s="1723"/>
      <c r="H38" s="1723"/>
      <c r="I38" s="1723"/>
      <c r="J38" s="1724"/>
      <c r="L38" s="878" t="str">
        <f t="shared" si="2"/>
        <v/>
      </c>
      <c r="M38" s="1411" t="b">
        <v>0</v>
      </c>
      <c r="N38" s="1403" t="b">
        <f t="shared" si="0"/>
        <v>0</v>
      </c>
      <c r="O38" s="1403" t="b" cm="1">
        <f t="array" ref="O38">IF(AND(NOT(N38),LEN(L38)&gt;2),OR(ISNUMBER(SEARCH($T$1:$T$15,L38))),FALSE)</f>
        <v>0</v>
      </c>
      <c r="P38" s="738" t="s">
        <v>631</v>
      </c>
      <c r="Q38" s="739" t="s">
        <v>665</v>
      </c>
      <c r="R38" s="732" t="str">
        <f t="shared" si="1"/>
        <v>[Rein] - Reinforce Seats @ LE|RE|BE for Axial Load Transfer</v>
      </c>
    </row>
    <row r="39" spans="1:18" ht="15.4" customHeight="1" x14ac:dyDescent="0.2">
      <c r="A39" s="1367"/>
      <c r="B39" s="1722"/>
      <c r="C39" s="1723"/>
      <c r="D39" s="1723"/>
      <c r="E39" s="1723"/>
      <c r="F39" s="1723"/>
      <c r="G39" s="1723"/>
      <c r="H39" s="1723"/>
      <c r="I39" s="1723"/>
      <c r="J39" s="1724"/>
      <c r="L39" s="878" t="str">
        <f t="shared" si="2"/>
        <v/>
      </c>
      <c r="M39" s="1411" t="b">
        <v>0</v>
      </c>
      <c r="N39" s="1403" t="b">
        <f t="shared" si="0"/>
        <v>0</v>
      </c>
      <c r="O39" s="1403" t="b" cm="1">
        <f t="array" ref="O39">IF(AND(NOT(N39),LEN(L39)&gt;2),OR(ISNUMBER(SEARCH($T$1:$T$15,L39))),FALSE)</f>
        <v>0</v>
      </c>
      <c r="P39" s="738" t="s">
        <v>670</v>
      </c>
      <c r="Q39" s="739" t="s">
        <v>671</v>
      </c>
      <c r="R39" s="732" t="str">
        <f t="shared" si="1"/>
        <v>[RndShrtSlt] - #/#" Round Holes|#/#”x1” Slots, Ga=#” @ LE|RE|BE</v>
      </c>
    </row>
    <row r="40" spans="1:18" ht="15.4" customHeight="1" x14ac:dyDescent="0.2">
      <c r="A40" s="1367"/>
      <c r="B40" s="1722"/>
      <c r="C40" s="1723"/>
      <c r="D40" s="1723"/>
      <c r="E40" s="1723"/>
      <c r="F40" s="1723"/>
      <c r="G40" s="1723"/>
      <c r="H40" s="1723"/>
      <c r="I40" s="1723"/>
      <c r="J40" s="1724"/>
      <c r="L40" s="878" t="str">
        <f t="shared" si="2"/>
        <v/>
      </c>
      <c r="M40" s="1411" t="b">
        <v>0</v>
      </c>
      <c r="N40" s="1403" t="b">
        <f t="shared" si="0"/>
        <v>0</v>
      </c>
      <c r="O40" s="1403" t="b" cm="1">
        <f t="array" ref="O40">IF(AND(NOT(N40),LEN(L40)&gt;2),OR(ISNUMBER(SEARCH($T$1:$T$15,L40))),FALSE)</f>
        <v>0</v>
      </c>
      <c r="P40" s="738" t="s">
        <v>636</v>
      </c>
      <c r="Q40" s="739" t="s">
        <v>637</v>
      </c>
      <c r="R40" s="732" t="str">
        <f t="shared" si="1"/>
        <v>[Roll] - Seat Rollover Force = ##Kips @ LE|RE|BE</v>
      </c>
    </row>
    <row r="41" spans="1:18" ht="15.4" customHeight="1" x14ac:dyDescent="0.2">
      <c r="A41" s="1367"/>
      <c r="B41" s="1722"/>
      <c r="C41" s="1723"/>
      <c r="D41" s="1723"/>
      <c r="E41" s="1723"/>
      <c r="F41" s="1723"/>
      <c r="G41" s="1723"/>
      <c r="H41" s="1723"/>
      <c r="I41" s="1723"/>
      <c r="J41" s="1724"/>
      <c r="L41" s="878" t="str">
        <f t="shared" si="2"/>
        <v/>
      </c>
      <c r="M41" s="1411" t="b">
        <v>0</v>
      </c>
      <c r="N41" s="1403" t="b">
        <f t="shared" si="0"/>
        <v>0</v>
      </c>
      <c r="O41" s="1403" t="b" cm="1">
        <f t="array" ref="O41">IF(AND(NOT(N41),LEN(L41)&gt;2),OR(ISNUMBER(SEARCH($T$1:$T$15,L41))),FALSE)</f>
        <v>0</v>
      </c>
      <c r="P41" s="738" t="s">
        <v>662</v>
      </c>
      <c r="Q41" s="739" t="s">
        <v>663</v>
      </c>
      <c r="R41" s="732" t="str">
        <f t="shared" si="1"/>
        <v>[ShrtBrg] - Short Bearing = #” @ LE|RE|BE</v>
      </c>
    </row>
    <row r="42" spans="1:18" ht="15.4" customHeight="1" x14ac:dyDescent="0.2">
      <c r="A42" s="1367"/>
      <c r="B42" s="1722"/>
      <c r="C42" s="1723"/>
      <c r="D42" s="1723"/>
      <c r="E42" s="1723"/>
      <c r="F42" s="1723"/>
      <c r="G42" s="1723"/>
      <c r="H42" s="1723"/>
      <c r="I42" s="1723"/>
      <c r="J42" s="1724"/>
      <c r="L42" s="878" t="str">
        <f t="shared" si="2"/>
        <v/>
      </c>
      <c r="M42" s="1411" t="b">
        <v>0</v>
      </c>
      <c r="N42" s="1403" t="b">
        <f t="shared" si="0"/>
        <v>0</v>
      </c>
      <c r="O42" s="1403" t="b" cm="1">
        <f t="array" ref="O42">IF(AND(NOT(N42),LEN(L42)&gt;2),OR(ISNUMBER(SEARCH($T$1:$T$15,L42))),FALSE)</f>
        <v>0</v>
      </c>
      <c r="P42" s="738" t="s">
        <v>666</v>
      </c>
      <c r="Q42" s="739" t="s">
        <v>587</v>
      </c>
      <c r="R42" s="732" t="str">
        <f t="shared" si="1"/>
        <v>[Skew] - ##º Half(Full)-Skew, NS(FS), LE(RE)</v>
      </c>
    </row>
    <row r="43" spans="1:18" ht="15.4" customHeight="1" x14ac:dyDescent="0.2">
      <c r="A43" s="1367"/>
      <c r="B43" s="1722"/>
      <c r="C43" s="1723"/>
      <c r="D43" s="1723"/>
      <c r="E43" s="1723"/>
      <c r="F43" s="1723"/>
      <c r="G43" s="1723"/>
      <c r="H43" s="1723"/>
      <c r="I43" s="1723"/>
      <c r="J43" s="1724"/>
      <c r="L43" s="878" t="str">
        <f t="shared" si="2"/>
        <v/>
      </c>
      <c r="M43" s="1411" t="b">
        <v>0</v>
      </c>
      <c r="N43" s="1403" t="b">
        <f t="shared" si="0"/>
        <v>0</v>
      </c>
      <c r="O43" s="1403" t="b" cm="1">
        <f t="array" ref="O43">IF(AND(NOT(N43),LEN(L43)&gt;2),OR(ISNUMBER(SEARCH($T$1:$T$15,L43))),FALSE)</f>
        <v>0</v>
      </c>
      <c r="P43" s="738" t="s">
        <v>573</v>
      </c>
      <c r="Q43" s="739" t="s">
        <v>640</v>
      </c>
      <c r="R43" s="732" t="str">
        <f t="shared" si="1"/>
        <v>[SpSlt] - Special Seat Slots: #"x#" Slots, Ga=#" @ LE|RE|BE</v>
      </c>
    </row>
    <row r="44" spans="1:18" ht="15.4" customHeight="1" x14ac:dyDescent="0.2">
      <c r="A44" s="1367"/>
      <c r="B44" s="1722"/>
      <c r="C44" s="1723"/>
      <c r="D44" s="1723"/>
      <c r="E44" s="1723"/>
      <c r="F44" s="1723"/>
      <c r="G44" s="1723"/>
      <c r="H44" s="1723"/>
      <c r="I44" s="1723"/>
      <c r="J44" s="1724"/>
      <c r="L44" s="878" t="str">
        <f t="shared" si="2"/>
        <v/>
      </c>
      <c r="M44" s="1411" t="b">
        <v>0</v>
      </c>
      <c r="N44" s="1403" t="b">
        <f t="shared" si="0"/>
        <v>0</v>
      </c>
      <c r="O44" s="1403" t="b" cm="1">
        <f t="array" ref="O44">IF(AND(NOT(N44),LEN(L44)&gt;2),OR(ISNUMBER(SEARCH($T$1:$T$15,L44))),FALSE)</f>
        <v>0</v>
      </c>
      <c r="P44" s="738" t="s">
        <v>572</v>
      </c>
      <c r="Q44" s="739" t="s">
        <v>639</v>
      </c>
      <c r="R44" s="732" t="str">
        <f t="shared" si="1"/>
        <v>[StgSlt] - Stagger Seat Slots LE|RE: ##" NS, ##" FS</v>
      </c>
    </row>
    <row r="45" spans="1:18" ht="15.4" customHeight="1" x14ac:dyDescent="0.2">
      <c r="A45" s="1367"/>
      <c r="B45" s="1722"/>
      <c r="C45" s="1723"/>
      <c r="D45" s="1723"/>
      <c r="E45" s="1723"/>
      <c r="F45" s="1723"/>
      <c r="G45" s="1723"/>
      <c r="H45" s="1723"/>
      <c r="I45" s="1723"/>
      <c r="J45" s="1724"/>
      <c r="L45" s="878" t="str">
        <f t="shared" si="2"/>
        <v/>
      </c>
      <c r="M45" s="1411" t="b">
        <v>0</v>
      </c>
      <c r="N45" s="1403" t="b">
        <f t="shared" si="0"/>
        <v>0</v>
      </c>
      <c r="O45" s="1403" t="b" cm="1">
        <f t="array" ref="O45">IF(AND(NOT(N45),LEN(L45)&gt;2),OR(ISNUMBER(SEARCH($T$1:$T$15,L45))),FALSE)</f>
        <v>0</v>
      </c>
      <c r="P45" s="738" t="s">
        <v>577</v>
      </c>
      <c r="Q45" s="739" t="s">
        <v>629</v>
      </c>
      <c r="R45" s="732" t="str">
        <f t="shared" si="1"/>
        <v>[TCXMax] - Max Depth of TCXL|TCXR = ##"</v>
      </c>
    </row>
    <row r="46" spans="1:18" ht="15.4" customHeight="1" x14ac:dyDescent="0.2">
      <c r="A46" s="1367"/>
      <c r="B46" s="1722"/>
      <c r="C46" s="1723"/>
      <c r="D46" s="1723"/>
      <c r="E46" s="1723"/>
      <c r="F46" s="1723"/>
      <c r="G46" s="1723"/>
      <c r="H46" s="1723"/>
      <c r="I46" s="1723"/>
      <c r="J46" s="1724"/>
      <c r="L46" s="878" t="str">
        <f t="shared" si="2"/>
        <v/>
      </c>
      <c r="M46" s="1411" t="b">
        <v>0</v>
      </c>
      <c r="N46" s="1403" t="b">
        <f t="shared" si="0"/>
        <v>0</v>
      </c>
      <c r="O46" s="1403" t="b" cm="1">
        <f t="array" ref="O46">IF(AND(NOT(N46),LEN(L46)&gt;2),OR(ISNUMBER(SEARCH($T$1:$T$15,L46))),FALSE)</f>
        <v>0</v>
      </c>
      <c r="P46" s="738" t="s">
        <v>571</v>
      </c>
      <c r="Q46" s="739" t="s">
        <v>664</v>
      </c>
      <c r="R46" s="732" t="str">
        <f t="shared" si="1"/>
        <v>[TCXSup] - TCXL|TCXR Supported @ End</v>
      </c>
    </row>
    <row r="47" spans="1:18" ht="15.4" customHeight="1" x14ac:dyDescent="0.2">
      <c r="A47" s="1367"/>
      <c r="B47" s="1722"/>
      <c r="C47" s="1723"/>
      <c r="D47" s="1723"/>
      <c r="E47" s="1723"/>
      <c r="F47" s="1723"/>
      <c r="G47" s="1723"/>
      <c r="H47" s="1723"/>
      <c r="I47" s="1723"/>
      <c r="J47" s="1724"/>
      <c r="L47" s="878" t="str">
        <f t="shared" si="2"/>
        <v/>
      </c>
      <c r="M47" s="1411" t="b">
        <v>0</v>
      </c>
      <c r="N47" s="1403" t="b">
        <f t="shared" si="0"/>
        <v>0</v>
      </c>
      <c r="O47" s="1403" t="b" cm="1">
        <f t="array" ref="O47">IF(AND(NOT(N47),LEN(L47)&gt;2),OR(ISNUMBER(SEARCH($T$1:$T$15,L47))),FALSE)</f>
        <v>0</v>
      </c>
      <c r="P47" s="738"/>
      <c r="Q47" s="739" t="s">
        <v>645</v>
      </c>
      <c r="R47" s="732" t="str">
        <f t="shared" si="1"/>
        <v>[] - MISCELLANEOUS</v>
      </c>
    </row>
    <row r="48" spans="1:18" ht="15.4" customHeight="1" x14ac:dyDescent="0.2">
      <c r="A48" s="1367"/>
      <c r="B48" s="1722"/>
      <c r="C48" s="1723"/>
      <c r="D48" s="1723"/>
      <c r="E48" s="1723"/>
      <c r="F48" s="1723"/>
      <c r="G48" s="1723"/>
      <c r="H48" s="1723"/>
      <c r="I48" s="1723"/>
      <c r="J48" s="1724"/>
      <c r="L48" s="878" t="str">
        <f t="shared" si="2"/>
        <v/>
      </c>
      <c r="M48" s="1411" t="b">
        <v>0</v>
      </c>
      <c r="N48" s="1403" t="b">
        <f t="shared" si="0"/>
        <v>0</v>
      </c>
      <c r="O48" s="1403" t="b" cm="1">
        <f t="array" ref="O48">IF(AND(NOT(N48),LEN(L48)&gt;2),OR(ISNUMBER(SEARCH($T$1:$T$15,L48))),FALSE)</f>
        <v>0</v>
      </c>
      <c r="P48" s="738" t="s">
        <v>579</v>
      </c>
      <c r="Q48" s="739" t="s">
        <v>648</v>
      </c>
      <c r="R48" s="732" t="str">
        <f t="shared" si="1"/>
        <v>[BClip] - Bridging Clip(s) Required per Plan</v>
      </c>
    </row>
    <row r="49" spans="1:18" ht="15.4" customHeight="1" x14ac:dyDescent="0.2">
      <c r="A49" s="1367"/>
      <c r="B49" s="1722"/>
      <c r="C49" s="1723"/>
      <c r="D49" s="1723"/>
      <c r="E49" s="1723"/>
      <c r="F49" s="1723"/>
      <c r="G49" s="1723"/>
      <c r="H49" s="1723"/>
      <c r="I49" s="1723"/>
      <c r="J49" s="1724"/>
      <c r="L49" s="878" t="str">
        <f t="shared" si="2"/>
        <v/>
      </c>
      <c r="M49" s="1411" t="b">
        <v>0</v>
      </c>
      <c r="N49" s="1403" t="b">
        <f t="shared" si="0"/>
        <v>0</v>
      </c>
      <c r="O49" s="1403" t="b" cm="1">
        <f t="array" ref="O49">IF(AND(NOT(N49),LEN(L49)&gt;2),OR(ISNUMBER(SEARCH($T$1:$T$15,L49))),FALSE)</f>
        <v>0</v>
      </c>
      <c r="P49" s="738" t="s">
        <v>575</v>
      </c>
      <c r="Q49" s="739" t="s">
        <v>567</v>
      </c>
      <c r="R49" s="732" t="str">
        <f t="shared" si="1"/>
        <v>[BCThk] - Min Thickness of BC = 0.xxx"</v>
      </c>
    </row>
    <row r="50" spans="1:18" ht="15.4" customHeight="1" x14ac:dyDescent="0.2">
      <c r="A50" s="1367"/>
      <c r="B50" s="1722"/>
      <c r="C50" s="1723"/>
      <c r="D50" s="1723"/>
      <c r="E50" s="1723"/>
      <c r="F50" s="1723"/>
      <c r="G50" s="1723"/>
      <c r="H50" s="1723"/>
      <c r="I50" s="1723"/>
      <c r="J50" s="1724"/>
      <c r="L50" s="878" t="str">
        <f t="shared" si="2"/>
        <v/>
      </c>
      <c r="M50" s="1411" t="b">
        <v>0</v>
      </c>
      <c r="N50" s="1403" t="b">
        <f t="shared" si="0"/>
        <v>0</v>
      </c>
      <c r="O50" s="1403" t="b" cm="1">
        <f t="array" ref="O50">IF(AND(NOT(N50),LEN(L50)&gt;2),OR(ISNUMBER(SEARCH($T$1:$T$15,L50))),FALSE)</f>
        <v>0</v>
      </c>
      <c r="P50" s="738" t="s">
        <v>667</v>
      </c>
      <c r="Q50" s="739" t="s">
        <v>647</v>
      </c>
      <c r="R50" s="732" t="str">
        <f t="shared" si="1"/>
        <v>[Camb] - Camber = #"|Camber for DL|50% Std Camber|No Camber</v>
      </c>
    </row>
    <row r="51" spans="1:18" ht="15.4" customHeight="1" x14ac:dyDescent="0.2">
      <c r="A51" s="1371"/>
      <c r="B51" s="1734"/>
      <c r="C51" s="1735"/>
      <c r="D51" s="1735"/>
      <c r="E51" s="1735"/>
      <c r="F51" s="1735"/>
      <c r="G51" s="1735"/>
      <c r="H51" s="1735"/>
      <c r="I51" s="1735"/>
      <c r="J51" s="1736"/>
      <c r="L51" s="878" t="str">
        <f t="shared" si="2"/>
        <v/>
      </c>
      <c r="M51" s="1411" t="b">
        <v>0</v>
      </c>
      <c r="N51" s="1403" t="b">
        <f t="shared" si="0"/>
        <v>0</v>
      </c>
      <c r="O51" s="1403" t="b" cm="1">
        <f t="array" ref="O51">IF(AND(NOT(N51),LEN(L51)&gt;2),OR(ISNUMBER(SEARCH($T$1:$T$15,L51))),FALSE)</f>
        <v>0</v>
      </c>
      <c r="P51" s="738" t="s">
        <v>781</v>
      </c>
      <c r="Q51" s="739" t="s">
        <v>786</v>
      </c>
      <c r="R51" s="732" t="str">
        <f t="shared" si="1"/>
        <v>[DUCT] - ##" Dia|##"H x ##"W Duct @ #'-# from L-OAL</v>
      </c>
    </row>
    <row r="52" spans="1:18" ht="15.6" customHeight="1" x14ac:dyDescent="0.2">
      <c r="N52" s="154" t="e">
        <f>COUNTIF(N13:O51,TRUE)+IF(NOT($M$1),1,0)</f>
        <v>#REF!</v>
      </c>
      <c r="O52" s="1406" t="s">
        <v>792</v>
      </c>
      <c r="P52" s="738" t="s">
        <v>591</v>
      </c>
      <c r="Q52" s="739" t="s">
        <v>600</v>
      </c>
      <c r="R52" s="732" t="str">
        <f t="shared" si="1"/>
        <v>[HS] - Horiz Field Splice: See Detail on J1.xx</v>
      </c>
    </row>
    <row r="53" spans="1:18" ht="15.6" customHeight="1" x14ac:dyDescent="0.2">
      <c r="P53" s="738" t="s">
        <v>593</v>
      </c>
      <c r="Q53" s="739" t="s">
        <v>602</v>
      </c>
      <c r="R53" s="732" t="str">
        <f t="shared" si="1"/>
        <v>[MS] - Multiple Vert Field Splices: Type xx</v>
      </c>
    </row>
    <row r="54" spans="1:18" ht="15.6" customHeight="1" x14ac:dyDescent="0.2">
      <c r="P54" s="738" t="s">
        <v>782</v>
      </c>
      <c r="Q54" s="739" t="s">
        <v>785</v>
      </c>
      <c r="R54" s="732" t="str">
        <f t="shared" si="1"/>
        <v>[SpBClip] - Special Bridging Clip(s) Required per Plan, See Sketch</v>
      </c>
    </row>
    <row r="55" spans="1:18" ht="15.6" customHeight="1" x14ac:dyDescent="0.2">
      <c r="P55" s="738" t="s">
        <v>649</v>
      </c>
      <c r="Q55" s="739" t="s">
        <v>650</v>
      </c>
      <c r="R55" s="732" t="str">
        <f t="shared" si="1"/>
        <v>[SpConn] - Special Connection @ (location), See Section ##</v>
      </c>
    </row>
    <row r="56" spans="1:18" ht="15.6" customHeight="1" x14ac:dyDescent="0.2">
      <c r="P56" s="738" t="s">
        <v>574</v>
      </c>
      <c r="Q56" s="739" t="s">
        <v>566</v>
      </c>
      <c r="R56" s="732" t="str">
        <f t="shared" si="1"/>
        <v>[TCThk] - Min Thickness of TC = 0.xxx"</v>
      </c>
    </row>
    <row r="57" spans="1:18" ht="15.6" customHeight="1" x14ac:dyDescent="0.2">
      <c r="P57" s="738" t="s">
        <v>783</v>
      </c>
      <c r="Q57" s="739" t="s">
        <v>784</v>
      </c>
      <c r="R57" s="732" t="str">
        <f t="shared" si="1"/>
        <v xml:space="preserve">[V100] - Add Vertical to Support Load On BCXL|R </v>
      </c>
    </row>
    <row r="58" spans="1:18" ht="15.6" customHeight="1" x14ac:dyDescent="0.2">
      <c r="P58" s="738" t="s">
        <v>674</v>
      </c>
      <c r="Q58" s="739" t="s">
        <v>686</v>
      </c>
      <c r="R58" s="732" t="str">
        <f t="shared" si="1"/>
        <v>[Vier] - Vierendeel Panel, ##” W x ##” H, Bottom Left Corner of Opening @ ##” From Bot/Jst, ##’-##” From L-OAL</v>
      </c>
    </row>
    <row r="59" spans="1:18" ht="15.6" customHeight="1" x14ac:dyDescent="0.2">
      <c r="A59" s="707" t="s">
        <v>614</v>
      </c>
      <c r="P59" s="738" t="s">
        <v>592</v>
      </c>
      <c r="Q59" s="739" t="s">
        <v>601</v>
      </c>
      <c r="R59" s="732" t="str">
        <f t="shared" si="1"/>
        <v>[VS] - Vert Field Splice: Type xx, Near Midspan</v>
      </c>
    </row>
    <row r="60" spans="1:18" ht="15.6" hidden="1" customHeight="1" x14ac:dyDescent="0.2">
      <c r="A60" s="831" t="s">
        <v>34</v>
      </c>
      <c r="P60" s="738" t="s">
        <v>672</v>
      </c>
      <c r="Q60" s="739" t="s">
        <v>673</v>
      </c>
      <c r="R60" s="732" t="str">
        <f t="shared" si="1"/>
        <v>[ChdWdth] - Min|Max Width of TC|BC = ##”</v>
      </c>
    </row>
    <row r="61" spans="1:18" ht="15.6" hidden="1" customHeight="1" x14ac:dyDescent="0.2">
      <c r="A61" s="833"/>
      <c r="P61" s="738" t="s">
        <v>668</v>
      </c>
      <c r="Q61" s="739" t="s">
        <v>595</v>
      </c>
      <c r="R61" s="732" t="str">
        <f t="shared" si="1"/>
        <v>[Duct] - ##" Dia (##"H x ##"W) Duct @ #'-# from L-OAL</v>
      </c>
    </row>
    <row r="62" spans="1:18" ht="15.6" hidden="1" customHeight="1" x14ac:dyDescent="0.2">
      <c r="P62" s="738" t="s">
        <v>591</v>
      </c>
      <c r="Q62" s="739" t="s">
        <v>600</v>
      </c>
      <c r="R62" s="732" t="str">
        <f t="shared" si="1"/>
        <v>[HS] - Horiz Field Splice: See Detail on J1.xx</v>
      </c>
    </row>
    <row r="63" spans="1:18" ht="15.6" hidden="1" customHeight="1" x14ac:dyDescent="0.2">
      <c r="P63" s="738" t="s">
        <v>592</v>
      </c>
      <c r="Q63" s="739" t="s">
        <v>601</v>
      </c>
      <c r="R63" s="732" t="str">
        <f t="shared" si="1"/>
        <v>[VS] - Vert Field Splice: Type xx, Near Midspan</v>
      </c>
    </row>
    <row r="64" spans="1:18" ht="15.6" hidden="1" customHeight="1" x14ac:dyDescent="0.2">
      <c r="P64" s="738" t="s">
        <v>593</v>
      </c>
      <c r="Q64" s="739" t="s">
        <v>602</v>
      </c>
      <c r="R64" s="732" t="str">
        <f t="shared" si="1"/>
        <v>[MS] - Multiple Vert Field Splices: Type xx</v>
      </c>
    </row>
    <row r="65" spans="1:18" ht="15.6" customHeight="1" x14ac:dyDescent="0.2">
      <c r="A65" s="707" t="s">
        <v>615</v>
      </c>
      <c r="P65" s="738"/>
      <c r="Q65" s="739" t="s">
        <v>651</v>
      </c>
      <c r="R65" s="732" t="str">
        <f t="shared" si="1"/>
        <v>[] - GENERAL</v>
      </c>
    </row>
    <row r="66" spans="1:18" ht="15.6" customHeight="1" x14ac:dyDescent="0.2">
      <c r="P66" s="738" t="s">
        <v>779</v>
      </c>
      <c r="Q66" s="739" t="s">
        <v>780</v>
      </c>
      <c r="R66" s="732" t="str">
        <f t="shared" si="1"/>
        <v>[PAINT] - NO Shop Primer|NO Shop Primer – Galv|# Shop Coats – Std Gray Primer</v>
      </c>
    </row>
    <row r="67" spans="1:18" ht="15.6" customHeight="1" x14ac:dyDescent="0.2">
      <c r="P67" s="738" t="s">
        <v>609</v>
      </c>
      <c r="Q67" s="739" t="s">
        <v>610</v>
      </c>
      <c r="R67" s="732" t="str">
        <f t="shared" si="1"/>
        <v>[LRFD] - **LRFD**   **LRFD**   **LRFD**</v>
      </c>
    </row>
    <row r="68" spans="1:18" ht="15.6" customHeight="1" x14ac:dyDescent="0.2">
      <c r="P68" s="738" t="s">
        <v>569</v>
      </c>
      <c r="Q68" s="739" t="s">
        <v>596</v>
      </c>
      <c r="R68" s="732" t="str">
        <f t="shared" si="1"/>
        <v>[ESFR] - #"Dia Pipes, 8" Below Top/Jst, 15" Horiz Clearance @ ##'-#,  ##'-# &amp;  ##'-# from L-OAL</v>
      </c>
    </row>
    <row r="69" spans="1:18" ht="15.6" customHeight="1" x14ac:dyDescent="0.2">
      <c r="P69" s="738" t="s">
        <v>669</v>
      </c>
      <c r="Q69" s="739" t="s">
        <v>568</v>
      </c>
      <c r="R69" s="732" t="str">
        <f t="shared" si="1"/>
        <v>[Self] - Add Self-Weight to Design</v>
      </c>
    </row>
    <row r="70" spans="1:18" ht="15.6" customHeight="1" x14ac:dyDescent="0.2">
      <c r="P70" s="738" t="s">
        <v>604</v>
      </c>
      <c r="Q70" s="739" t="s">
        <v>606</v>
      </c>
      <c r="R70" s="732" t="str">
        <f t="shared" si="1"/>
        <v>[SpChd] - ##"^2 Min Chord Area</v>
      </c>
    </row>
    <row r="71" spans="1:18" ht="15.6" customHeight="1" x14ac:dyDescent="0.2">
      <c r="P71" s="738" t="s">
        <v>605</v>
      </c>
      <c r="Q71" s="739" t="s">
        <v>607</v>
      </c>
      <c r="R71" s="732" t="str">
        <f t="shared" si="1"/>
        <v>[SpWeb] - ##"^2 Min Web Area</v>
      </c>
    </row>
    <row r="72" spans="1:18" ht="15.6" customHeight="1" x14ac:dyDescent="0.2">
      <c r="P72" s="738" t="s">
        <v>646</v>
      </c>
      <c r="Q72" s="739" t="s">
        <v>608</v>
      </c>
      <c r="R72" s="732" t="str">
        <f t="shared" si="1"/>
        <v>[DomStl] - Domestic Steel Required (ARRA)</v>
      </c>
    </row>
    <row r="73" spans="1:18" ht="15.6" customHeight="1" x14ac:dyDescent="0.2">
      <c r="P73" s="738" t="s">
        <v>594</v>
      </c>
      <c r="Q73" s="739" t="s">
        <v>603</v>
      </c>
      <c r="R73" s="732" t="str">
        <f t="shared" si="1"/>
        <v>[SSR] - Standing Seam Roof: TC Lateral Support @ ##" Max.</v>
      </c>
    </row>
    <row r="74" spans="1:18" ht="15.6" customHeight="1" x14ac:dyDescent="0.2">
      <c r="P74" s="738" t="s">
        <v>675</v>
      </c>
      <c r="Q74" s="739" t="s">
        <v>681</v>
      </c>
      <c r="R74" s="732" t="str">
        <f t="shared" si="1"/>
        <v>[AlignPnls] - Align Panels of Adjacent Jsts</v>
      </c>
    </row>
    <row r="75" spans="1:18" ht="15.6" customHeight="1" x14ac:dyDescent="0.2">
      <c r="P75" s="738" t="s">
        <v>676</v>
      </c>
      <c r="Q75" s="739" t="s">
        <v>682</v>
      </c>
      <c r="R75" s="732" t="str">
        <f t="shared" si="1"/>
        <v>[SpBund] - Special Bundling Req’d, See Attached Listing</v>
      </c>
    </row>
    <row r="76" spans="1:18" ht="15.6" customHeight="1" x14ac:dyDescent="0.2">
      <c r="P76" s="738" t="s">
        <v>677</v>
      </c>
      <c r="Q76" s="739" t="s">
        <v>683</v>
      </c>
      <c r="R76" s="732" t="str">
        <f t="shared" si="1"/>
        <v>[BIM] - Building Information Modeling, Inform Dtlr When Design Completed</v>
      </c>
    </row>
    <row r="77" spans="1:18" ht="15.6" customHeight="1" x14ac:dyDescent="0.2">
      <c r="P77" s="738" t="s">
        <v>678</v>
      </c>
      <c r="Q77" s="739" t="s">
        <v>684</v>
      </c>
      <c r="R77" s="732" t="str">
        <f t="shared" si="1"/>
        <v>[Calcs] - Sealed Calcs req’d for Record|Appl</v>
      </c>
    </row>
    <row r="78" spans="1:18" ht="15.6" customHeight="1" x14ac:dyDescent="0.2">
      <c r="P78" s="738" t="s">
        <v>679</v>
      </c>
      <c r="Q78" s="739" t="s">
        <v>685</v>
      </c>
      <c r="R78" s="732" t="str">
        <f t="shared" ref="R78:R99" si="3">CONCATENATE("[",P78, "] - ", Q78)</f>
        <v>[Prof] - Joist|Girder Profiles Req’d</v>
      </c>
    </row>
    <row r="79" spans="1:18" ht="15.6" customHeight="1" x14ac:dyDescent="0.2">
      <c r="P79" s="738" t="s">
        <v>680</v>
      </c>
      <c r="Q79" s="739" t="s">
        <v>652</v>
      </c>
      <c r="R79" s="732" t="str">
        <f t="shared" si="3"/>
        <v>[UnDef] - Special Note Here (special condition not matching pre-defined codes)</v>
      </c>
    </row>
    <row r="80" spans="1:18" ht="15.6" customHeight="1" x14ac:dyDescent="0.2">
      <c r="P80" s="738"/>
      <c r="Q80" s="739"/>
      <c r="R80" s="732" t="str">
        <f t="shared" si="3"/>
        <v xml:space="preserve">[] - </v>
      </c>
    </row>
    <row r="81" spans="16:18" ht="15.6" customHeight="1" x14ac:dyDescent="0.2">
      <c r="P81" s="738"/>
      <c r="Q81" s="739"/>
      <c r="R81" s="732" t="str">
        <f t="shared" si="3"/>
        <v xml:space="preserve">[] - </v>
      </c>
    </row>
    <row r="82" spans="16:18" ht="15.6" customHeight="1" x14ac:dyDescent="0.2">
      <c r="P82" s="738"/>
      <c r="Q82" s="739"/>
      <c r="R82" s="732" t="str">
        <f t="shared" si="3"/>
        <v xml:space="preserve">[] - </v>
      </c>
    </row>
    <row r="83" spans="16:18" ht="15.6" customHeight="1" x14ac:dyDescent="0.2">
      <c r="P83" s="738"/>
      <c r="Q83" s="739"/>
      <c r="R83" s="732" t="str">
        <f t="shared" si="3"/>
        <v xml:space="preserve">[] - </v>
      </c>
    </row>
    <row r="84" spans="16:18" ht="15.6" customHeight="1" x14ac:dyDescent="0.2">
      <c r="P84" s="738"/>
      <c r="Q84" s="739"/>
      <c r="R84" s="732" t="str">
        <f t="shared" si="3"/>
        <v xml:space="preserve">[] - </v>
      </c>
    </row>
    <row r="85" spans="16:18" ht="15.6" customHeight="1" x14ac:dyDescent="0.2">
      <c r="P85" s="738"/>
      <c r="Q85" s="739"/>
      <c r="R85" s="732" t="str">
        <f t="shared" si="3"/>
        <v xml:space="preserve">[] - </v>
      </c>
    </row>
    <row r="86" spans="16:18" ht="15.6" customHeight="1" x14ac:dyDescent="0.2">
      <c r="P86" s="738"/>
      <c r="Q86" s="739"/>
      <c r="R86" s="732" t="str">
        <f t="shared" si="3"/>
        <v xml:space="preserve">[] - </v>
      </c>
    </row>
    <row r="87" spans="16:18" ht="15.6" customHeight="1" x14ac:dyDescent="0.2">
      <c r="P87" s="738"/>
      <c r="Q87" s="739"/>
      <c r="R87" s="732" t="str">
        <f t="shared" si="3"/>
        <v xml:space="preserve">[] - </v>
      </c>
    </row>
    <row r="88" spans="16:18" ht="15.6" customHeight="1" x14ac:dyDescent="0.2">
      <c r="P88" s="738"/>
      <c r="Q88" s="739"/>
      <c r="R88" s="732" t="str">
        <f t="shared" si="3"/>
        <v xml:space="preserve">[] - </v>
      </c>
    </row>
    <row r="89" spans="16:18" ht="15.6" customHeight="1" x14ac:dyDescent="0.2">
      <c r="P89" s="738"/>
      <c r="Q89" s="739"/>
      <c r="R89" s="732" t="str">
        <f t="shared" si="3"/>
        <v xml:space="preserve">[] - </v>
      </c>
    </row>
    <row r="90" spans="16:18" ht="15.6" customHeight="1" x14ac:dyDescent="0.2">
      <c r="P90" s="738"/>
      <c r="Q90" s="739"/>
      <c r="R90" s="732" t="str">
        <f t="shared" si="3"/>
        <v xml:space="preserve">[] - </v>
      </c>
    </row>
    <row r="91" spans="16:18" ht="15.6" customHeight="1" x14ac:dyDescent="0.2">
      <c r="P91" s="738"/>
      <c r="Q91" s="739"/>
      <c r="R91" s="732" t="str">
        <f t="shared" si="3"/>
        <v xml:space="preserve">[] - </v>
      </c>
    </row>
    <row r="92" spans="16:18" ht="15.6" customHeight="1" x14ac:dyDescent="0.2">
      <c r="P92" s="738"/>
      <c r="Q92" s="739"/>
      <c r="R92" s="732" t="str">
        <f t="shared" si="3"/>
        <v xml:space="preserve">[] - </v>
      </c>
    </row>
    <row r="93" spans="16:18" ht="15.6" customHeight="1" x14ac:dyDescent="0.2">
      <c r="P93" s="738"/>
      <c r="Q93" s="739"/>
      <c r="R93" s="732" t="str">
        <f t="shared" si="3"/>
        <v xml:space="preserve">[] - </v>
      </c>
    </row>
    <row r="94" spans="16:18" ht="15.6" customHeight="1" x14ac:dyDescent="0.2">
      <c r="P94" s="738"/>
      <c r="Q94" s="739"/>
      <c r="R94" s="732" t="str">
        <f t="shared" si="3"/>
        <v xml:space="preserve">[] - </v>
      </c>
    </row>
    <row r="95" spans="16:18" ht="15.6" customHeight="1" x14ac:dyDescent="0.2">
      <c r="P95" s="738"/>
      <c r="Q95" s="739"/>
      <c r="R95" s="732" t="str">
        <f t="shared" si="3"/>
        <v xml:space="preserve">[] - </v>
      </c>
    </row>
    <row r="96" spans="16:18" ht="15.6" customHeight="1" x14ac:dyDescent="0.2">
      <c r="P96" s="738"/>
      <c r="Q96" s="739"/>
      <c r="R96" s="732" t="str">
        <f t="shared" si="3"/>
        <v xml:space="preserve">[] - </v>
      </c>
    </row>
    <row r="97" spans="16:18" ht="15.6" customHeight="1" x14ac:dyDescent="0.2">
      <c r="P97" s="738"/>
      <c r="Q97" s="739"/>
      <c r="R97" s="732" t="str">
        <f t="shared" si="3"/>
        <v xml:space="preserve">[] - </v>
      </c>
    </row>
    <row r="98" spans="16:18" ht="15.6" customHeight="1" x14ac:dyDescent="0.2">
      <c r="P98" s="738"/>
      <c r="Q98" s="739"/>
      <c r="R98" s="732" t="str">
        <f t="shared" si="3"/>
        <v xml:space="preserve">[] - </v>
      </c>
    </row>
    <row r="99" spans="16:18" ht="15.6" customHeight="1" x14ac:dyDescent="0.2">
      <c r="P99" s="740"/>
      <c r="Q99" s="741"/>
      <c r="R99" s="733" t="str">
        <f t="shared" si="3"/>
        <v xml:space="preserve">[] - </v>
      </c>
    </row>
    <row r="100" spans="16:18" x14ac:dyDescent="0.2">
      <c r="R100" s="729"/>
    </row>
  </sheetData>
  <sheetProtection selectLockedCells="1"/>
  <mergeCells count="56">
    <mergeCell ref="B47:J47"/>
    <mergeCell ref="B48:J48"/>
    <mergeCell ref="B49:J49"/>
    <mergeCell ref="B50:J50"/>
    <mergeCell ref="B51:J51"/>
    <mergeCell ref="B46:J46"/>
    <mergeCell ref="B35:J35"/>
    <mergeCell ref="B36:J36"/>
    <mergeCell ref="B37:J37"/>
    <mergeCell ref="B38:J38"/>
    <mergeCell ref="B39:J39"/>
    <mergeCell ref="B40:J40"/>
    <mergeCell ref="B41:J41"/>
    <mergeCell ref="B42:J42"/>
    <mergeCell ref="B43:J43"/>
    <mergeCell ref="B44:J44"/>
    <mergeCell ref="B45:J45"/>
    <mergeCell ref="B34:J34"/>
    <mergeCell ref="B23:J23"/>
    <mergeCell ref="B24:J24"/>
    <mergeCell ref="B25:J25"/>
    <mergeCell ref="B26:J26"/>
    <mergeCell ref="B27:J27"/>
    <mergeCell ref="B28:J28"/>
    <mergeCell ref="B29:J29"/>
    <mergeCell ref="B30:J30"/>
    <mergeCell ref="B31:J31"/>
    <mergeCell ref="B32:J32"/>
    <mergeCell ref="B33:J33"/>
    <mergeCell ref="B22:J22"/>
    <mergeCell ref="B10:D10"/>
    <mergeCell ref="B12:J12"/>
    <mergeCell ref="B13:J13"/>
    <mergeCell ref="B14:J14"/>
    <mergeCell ref="B15:J15"/>
    <mergeCell ref="B16:J16"/>
    <mergeCell ref="B17:J17"/>
    <mergeCell ref="B18:J18"/>
    <mergeCell ref="B19:J19"/>
    <mergeCell ref="B20:J20"/>
    <mergeCell ref="B21:J21"/>
    <mergeCell ref="B9:D9"/>
    <mergeCell ref="G9:J9"/>
    <mergeCell ref="D1:F1"/>
    <mergeCell ref="G1:H1"/>
    <mergeCell ref="I1:J1"/>
    <mergeCell ref="D2:F3"/>
    <mergeCell ref="G2:H2"/>
    <mergeCell ref="I2:J2"/>
    <mergeCell ref="G3:H3"/>
    <mergeCell ref="I3:J3"/>
    <mergeCell ref="D4:F4"/>
    <mergeCell ref="G4:H4"/>
    <mergeCell ref="I4:J4"/>
    <mergeCell ref="A5:F5"/>
    <mergeCell ref="H6:I6"/>
  </mergeCells>
  <conditionalFormatting sqref="D2:F4">
    <cfRule type="cellIs" dxfId="220" priority="4" stopIfTrue="1" operator="equal">
      <formula>""</formula>
    </cfRule>
  </conditionalFormatting>
  <conditionalFormatting sqref="A13:J51">
    <cfRule type="expression" dxfId="219" priority="1">
      <formula>AND(NOT($N13),NOT($O13),$M$1)</formula>
    </cfRule>
    <cfRule type="expression" dxfId="218" priority="3">
      <formula>AND($M13,$L$1="M")</formula>
    </cfRule>
  </conditionalFormatting>
  <conditionalFormatting sqref="A13:A51">
    <cfRule type="expression" dxfId="217" priority="2">
      <formula>NOT(OR($N13,$O13))</formula>
    </cfRule>
  </conditionalFormatting>
  <dataValidations count="2">
    <dataValidation type="list" allowBlank="1" sqref="B13:J51" xr:uid="{93D6D858-4989-42CA-8951-B0B40BB02210}">
      <formula1>OFFSET($R$13,0,0,$P$10,1)</formula1>
    </dataValidation>
    <dataValidation type="list" allowBlank="1" showInputMessage="1" sqref="Q7" xr:uid="{AAF17188-407D-42DA-8660-02BD60F5410A}">
      <formula1>OFFSET($R$13,0,0,$P$10,1)</formula1>
    </dataValidation>
  </dataValidations>
  <printOptions horizontalCentered="1"/>
  <pageMargins left="0.3" right="0.3" top="0.5" bottom="0.5" header="0" footer="0.25"/>
  <pageSetup orientation="portrait" r:id="rId1"/>
  <headerFooter alignWithMargins="0">
    <oddFooter>&amp;R&amp;7Printed: &amp;D &amp;T&amp;L&amp;7Version: 21.0428
File: &amp;F</oddFooter>
  </headerFooter>
  <drawing r:id="rId2"/>
  <legacyDrawing r:id="rId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30E6A8-DA22-4153-A67D-F50D507DCDB8}">
  <sheetPr codeName="Sheet20">
    <tabColor indexed="51"/>
  </sheetPr>
  <dimension ref="A1:AM67"/>
  <sheetViews>
    <sheetView showGridLines="0" zoomScaleNormal="100" zoomScaleSheetLayoutView="100" workbookViewId="0">
      <selection activeCell="A13" sqref="A13"/>
    </sheetView>
  </sheetViews>
  <sheetFormatPr defaultColWidth="9.140625" defaultRowHeight="11.25" x14ac:dyDescent="0.2"/>
  <cols>
    <col min="1" max="1" width="10.7109375" style="154" customWidth="1"/>
    <col min="2" max="2" width="4.7109375" style="156" customWidth="1"/>
    <col min="3" max="3" width="4.7109375" style="154" customWidth="1"/>
    <col min="4" max="4" width="5.7109375" style="307" customWidth="1"/>
    <col min="5" max="10" width="6.7109375" style="154" customWidth="1"/>
    <col min="11" max="11" width="11.28515625" style="154" customWidth="1"/>
    <col min="12" max="12" width="7.28515625" style="154" customWidth="1"/>
    <col min="13" max="13" width="11.28515625" style="154" customWidth="1"/>
    <col min="14" max="15" width="6.7109375" style="154" customWidth="1"/>
    <col min="16" max="16" width="10.7109375" style="154" hidden="1" customWidth="1"/>
    <col min="17" max="35" width="6.7109375" style="154" hidden="1" customWidth="1"/>
    <col min="36" max="38" width="9.140625" style="154" hidden="1" customWidth="1"/>
    <col min="39" max="16384" width="9.140625" style="154"/>
  </cols>
  <sheetData>
    <row r="1" spans="1:39" s="303" customFormat="1" ht="14.45" customHeight="1" thickBot="1" x14ac:dyDescent="0.25">
      <c r="A1" s="298"/>
      <c r="B1" s="396"/>
      <c r="C1" s="298"/>
      <c r="D1" s="410"/>
      <c r="E1" s="319"/>
      <c r="F1" s="319"/>
      <c r="G1" s="319"/>
      <c r="H1" s="1705"/>
      <c r="I1" s="1705"/>
      <c r="J1" s="1705"/>
      <c r="K1" s="1707" t="s">
        <v>77</v>
      </c>
      <c r="L1" s="1708"/>
      <c r="M1" s="1709"/>
      <c r="N1" s="1710"/>
      <c r="O1" s="423" t="s">
        <v>375</v>
      </c>
      <c r="P1" s="302" t="e">
        <f>#REF!</f>
        <v>#REF!</v>
      </c>
      <c r="Q1" s="302" t="e">
        <f>#REF!</f>
        <v>#REF!</v>
      </c>
      <c r="R1" s="303" t="s">
        <v>93</v>
      </c>
      <c r="S1" s="303" t="s">
        <v>103</v>
      </c>
      <c r="T1" s="302"/>
      <c r="AM1" s="424" t="s">
        <v>397</v>
      </c>
    </row>
    <row r="2" spans="1:39" s="303" customFormat="1" ht="12.95" customHeight="1" thickTop="1" x14ac:dyDescent="0.2">
      <c r="A2" s="298"/>
      <c r="B2" s="396"/>
      <c r="C2" s="298"/>
      <c r="D2" s="410"/>
      <c r="E2" s="319"/>
      <c r="F2" s="319"/>
      <c r="G2" s="319"/>
      <c r="H2" s="1711"/>
      <c r="I2" s="1750"/>
      <c r="J2" s="1751"/>
      <c r="K2" s="1707" t="s">
        <v>78</v>
      </c>
      <c r="L2" s="1707"/>
      <c r="M2" s="1709"/>
      <c r="N2" s="1710"/>
      <c r="R2" s="303" t="s">
        <v>94</v>
      </c>
      <c r="S2" s="303" t="s">
        <v>104</v>
      </c>
      <c r="T2" s="302"/>
    </row>
    <row r="3" spans="1:39" s="303" customFormat="1" ht="12.95" customHeight="1" x14ac:dyDescent="0.2">
      <c r="A3" s="298"/>
      <c r="B3" s="396"/>
      <c r="C3" s="298"/>
      <c r="D3" s="410"/>
      <c r="E3" s="319"/>
      <c r="F3" s="319"/>
      <c r="G3" s="319"/>
      <c r="H3" s="1752"/>
      <c r="I3" s="1753"/>
      <c r="J3" s="1754"/>
      <c r="K3" s="1707" t="s">
        <v>80</v>
      </c>
      <c r="L3" s="1707"/>
      <c r="M3" s="1709"/>
      <c r="N3" s="1710"/>
      <c r="R3" s="303" t="s">
        <v>95</v>
      </c>
      <c r="S3" s="303" t="s">
        <v>105</v>
      </c>
    </row>
    <row r="4" spans="1:39" s="303" customFormat="1" ht="12.95" customHeight="1" thickBot="1" x14ac:dyDescent="0.25">
      <c r="A4" s="298"/>
      <c r="B4" s="396"/>
      <c r="C4" s="298"/>
      <c r="D4" s="410"/>
      <c r="E4" s="319"/>
      <c r="F4" s="319"/>
      <c r="G4" s="319"/>
      <c r="H4" s="1717"/>
      <c r="I4" s="1755"/>
      <c r="J4" s="1756"/>
      <c r="K4" s="1707" t="s">
        <v>79</v>
      </c>
      <c r="L4" s="1707"/>
      <c r="M4" s="1709"/>
      <c r="N4" s="1710"/>
      <c r="R4" s="303" t="s">
        <v>96</v>
      </c>
      <c r="S4" s="303" t="s">
        <v>106</v>
      </c>
    </row>
    <row r="5" spans="1:39" s="303" customFormat="1" ht="12.95" customHeight="1" thickTop="1" x14ac:dyDescent="0.2">
      <c r="A5" s="1720"/>
      <c r="B5" s="1776"/>
      <c r="C5" s="1776"/>
      <c r="D5" s="1776"/>
      <c r="E5" s="1776"/>
      <c r="F5" s="1776"/>
      <c r="G5" s="1776"/>
      <c r="H5" s="1776"/>
      <c r="I5" s="1776"/>
      <c r="J5" s="1776"/>
      <c r="K5" s="17"/>
      <c r="L5" s="298"/>
      <c r="M5" s="298"/>
      <c r="N5" s="298"/>
      <c r="R5" s="303" t="s">
        <v>97</v>
      </c>
      <c r="S5" s="303" t="s">
        <v>107</v>
      </c>
    </row>
    <row r="6" spans="1:39" s="303" customFormat="1" ht="12.95" customHeight="1" x14ac:dyDescent="0.2">
      <c r="A6" s="298"/>
      <c r="B6" s="396"/>
      <c r="C6" s="298"/>
      <c r="D6" s="410"/>
      <c r="E6" s="298"/>
      <c r="F6" s="298"/>
      <c r="G6" s="298"/>
      <c r="H6" s="298"/>
      <c r="I6" s="298"/>
      <c r="J6" s="298"/>
      <c r="K6" s="396" t="s">
        <v>20</v>
      </c>
      <c r="L6" s="1702"/>
      <c r="M6" s="1702"/>
      <c r="N6" s="298"/>
      <c r="P6" s="995" t="s">
        <v>705</v>
      </c>
      <c r="R6" s="303" t="s">
        <v>98</v>
      </c>
      <c r="S6" s="303" t="s">
        <v>108</v>
      </c>
    </row>
    <row r="7" spans="1:39" ht="12.95" customHeight="1" x14ac:dyDescent="0.2">
      <c r="A7" s="321" t="s">
        <v>55</v>
      </c>
      <c r="B7" s="397"/>
      <c r="C7" s="322"/>
      <c r="D7" s="411"/>
      <c r="E7" s="413"/>
      <c r="F7" s="413"/>
      <c r="G7" s="298"/>
      <c r="H7" s="298"/>
      <c r="I7" s="298"/>
      <c r="J7" s="298"/>
      <c r="K7" s="397" t="s">
        <v>21</v>
      </c>
      <c r="L7" s="1108"/>
      <c r="M7" s="601"/>
      <c r="N7" s="322"/>
      <c r="P7" s="996"/>
      <c r="R7" s="154" t="s">
        <v>99</v>
      </c>
      <c r="S7" s="154" t="s">
        <v>109</v>
      </c>
    </row>
    <row r="8" spans="1:39" ht="3.95" customHeight="1" x14ac:dyDescent="0.2">
      <c r="A8" s="322"/>
      <c r="B8" s="397"/>
      <c r="C8" s="322"/>
      <c r="D8" s="411"/>
      <c r="E8" s="322"/>
      <c r="F8" s="322"/>
      <c r="G8" s="322"/>
      <c r="H8" s="322"/>
      <c r="I8" s="322"/>
      <c r="J8" s="322"/>
      <c r="K8" s="322"/>
      <c r="L8" s="322"/>
      <c r="M8" s="322"/>
      <c r="N8" s="322"/>
      <c r="R8" s="154" t="s">
        <v>100</v>
      </c>
      <c r="S8" s="154" t="s">
        <v>110</v>
      </c>
    </row>
    <row r="9" spans="1:39" ht="12.6" customHeight="1" x14ac:dyDescent="0.2">
      <c r="A9" s="417" t="s">
        <v>1</v>
      </c>
      <c r="B9" s="1699"/>
      <c r="C9" s="1770"/>
      <c r="D9" s="1770"/>
      <c r="E9" s="1770"/>
      <c r="F9" s="1770"/>
      <c r="G9" s="1770"/>
      <c r="H9" s="1770"/>
      <c r="I9" s="1770"/>
      <c r="J9" s="1771"/>
      <c r="K9" s="417" t="s">
        <v>2</v>
      </c>
      <c r="L9" s="1663"/>
      <c r="M9" s="331"/>
      <c r="N9" s="414"/>
      <c r="R9" s="154" t="s">
        <v>101</v>
      </c>
      <c r="S9" s="154" t="s">
        <v>111</v>
      </c>
    </row>
    <row r="10" spans="1:39" ht="12.6" customHeight="1" x14ac:dyDescent="0.2">
      <c r="A10" s="417" t="s">
        <v>3</v>
      </c>
      <c r="B10" s="1699"/>
      <c r="C10" s="1770"/>
      <c r="D10" s="1770"/>
      <c r="E10" s="1770"/>
      <c r="F10" s="1770"/>
      <c r="G10" s="1770"/>
      <c r="H10" s="1770"/>
      <c r="I10" s="1770"/>
      <c r="J10" s="1771"/>
      <c r="K10" s="417" t="s">
        <v>22</v>
      </c>
      <c r="L10" s="603"/>
      <c r="M10" s="417" t="s">
        <v>23</v>
      </c>
      <c r="N10" s="1664"/>
      <c r="AJ10" s="1781" t="s">
        <v>700</v>
      </c>
      <c r="AK10" s="1782"/>
      <c r="AL10" s="1782"/>
    </row>
    <row r="11" spans="1:39" ht="3.95" customHeight="1" x14ac:dyDescent="0.2">
      <c r="A11" s="999"/>
      <c r="B11" s="397"/>
      <c r="C11" s="322"/>
      <c r="D11" s="411"/>
      <c r="E11" s="322"/>
      <c r="F11" s="322"/>
      <c r="G11" s="322"/>
      <c r="H11" s="322"/>
      <c r="I11" s="322"/>
      <c r="J11" s="322"/>
      <c r="K11" s="322"/>
      <c r="L11" s="322"/>
      <c r="M11" s="322"/>
      <c r="N11" s="322"/>
      <c r="AJ11" s="1782"/>
      <c r="AK11" s="1782"/>
      <c r="AL11" s="1782"/>
    </row>
    <row r="12" spans="1:39" s="415" customFormat="1" ht="16.350000000000001" customHeight="1" x14ac:dyDescent="0.2">
      <c r="A12" s="1675" t="s">
        <v>54</v>
      </c>
      <c r="B12" s="1769" t="s">
        <v>92</v>
      </c>
      <c r="C12" s="1726"/>
      <c r="D12" s="1727"/>
      <c r="E12" s="1725" t="s">
        <v>748</v>
      </c>
      <c r="F12" s="1726"/>
      <c r="G12" s="1726"/>
      <c r="H12" s="1726"/>
      <c r="I12" s="1726"/>
      <c r="J12" s="1726"/>
      <c r="K12" s="1767"/>
      <c r="L12" s="1767"/>
      <c r="M12" s="1767"/>
      <c r="N12" s="1768"/>
      <c r="R12" s="416">
        <v>0</v>
      </c>
      <c r="S12" s="416">
        <v>1</v>
      </c>
      <c r="T12" s="416">
        <v>2</v>
      </c>
      <c r="U12" s="416">
        <v>3</v>
      </c>
      <c r="V12" s="416">
        <v>4</v>
      </c>
      <c r="W12" s="416">
        <v>5</v>
      </c>
      <c r="X12" s="416">
        <v>6</v>
      </c>
      <c r="Y12" s="416">
        <v>7</v>
      </c>
      <c r="Z12" s="416">
        <v>0</v>
      </c>
      <c r="AA12" s="416">
        <v>1</v>
      </c>
      <c r="AB12" s="416">
        <v>2</v>
      </c>
      <c r="AC12" s="416">
        <v>3</v>
      </c>
      <c r="AD12" s="416">
        <v>4</v>
      </c>
      <c r="AE12" s="416">
        <v>5</v>
      </c>
      <c r="AF12" s="416">
        <v>6</v>
      </c>
      <c r="AJ12" s="1783"/>
      <c r="AK12" s="1783"/>
      <c r="AL12" s="1783"/>
    </row>
    <row r="13" spans="1:39" ht="16.350000000000001" customHeight="1" x14ac:dyDescent="0.2">
      <c r="A13" s="989"/>
      <c r="B13" s="990"/>
      <c r="C13" s="968"/>
      <c r="D13" s="991"/>
      <c r="E13" s="1772"/>
      <c r="F13" s="1773"/>
      <c r="G13" s="1774"/>
      <c r="H13" s="1774"/>
      <c r="I13" s="1774"/>
      <c r="J13" s="1774"/>
      <c r="K13" s="1774"/>
      <c r="L13" s="1774"/>
      <c r="M13" s="1774"/>
      <c r="N13" s="1775"/>
      <c r="P13" s="399" t="str">
        <f t="shared" ref="P13:P48" si="0">CONCATENATE(IF(ISBLANK(B13),"",VLOOKUP(B13,$R$1:$S$9,2,FALSE)),IF(ISBLANK(C13),"",CONCATENATE("/",VLOOKUP(C13,$R$1:$S$9,2,FALSE))),IF(ISBLANK(D13),"",CONCATENATE("/",VLOOKUP(D13,$R$1:$S$9,2,FALSE))))</f>
        <v/>
      </c>
      <c r="R13" s="143" t="str">
        <f t="shared" ref="R13:R48" ca="1" si="1">OFFSET($R$1,R$12+(COUNTIF($R$1:$R$1,B13)),0)</f>
        <v>WHT</v>
      </c>
      <c r="S13" s="143" t="str">
        <f t="shared" ref="S13:S48" ca="1" si="2">OFFSET($R$1,S$12+(COUNTIF($R$1:$R$2,B13)),0)</f>
        <v>BRN</v>
      </c>
      <c r="T13" s="143" t="str">
        <f t="shared" ref="T13:T48" ca="1" si="3">OFFSET($R$1,T$12+(COUNTIF($R$1:$R$3,B13)),0)</f>
        <v>ORG</v>
      </c>
      <c r="U13" s="143" t="str">
        <f t="shared" ref="U13:U48" ca="1" si="4">OFFSET($R$1,U$12+(COUNTIF($R$1:$R$4,B13)),0)</f>
        <v>BLU</v>
      </c>
      <c r="V13" s="143" t="str">
        <f t="shared" ref="V13:V48" ca="1" si="5">OFFSET($R$1,V$12+(COUNTIF($R$1:$R$5,B13)),0)</f>
        <v>GRN</v>
      </c>
      <c r="W13" s="143" t="str">
        <f t="shared" ref="W13:W48" ca="1" si="6">OFFSET($R$1,W$12+(COUNTIF($R$1:$R$6,B13)),0)</f>
        <v>YLW</v>
      </c>
      <c r="X13" s="143" t="str">
        <f t="shared" ref="X13:X48" ca="1" si="7">OFFSET($R$1,X$12+(COUNTIF($R$1:$R$7,B13)),0)</f>
        <v>PRP</v>
      </c>
      <c r="Y13" s="143" t="str">
        <f t="shared" ref="Y13:Y48" ca="1" si="8">OFFSET($R$1,Y$12+(COUNTIF($R$1:$R$8,B13)),0)</f>
        <v>RED</v>
      </c>
      <c r="Z13" s="143" t="str">
        <f ca="1">OFFSET($R13,0,R$12+(COUNTIF($R13:R13,$C13)))</f>
        <v>WHT</v>
      </c>
      <c r="AA13" s="143" t="str">
        <f ca="1">OFFSET($R13,0,S$12+(COUNTIF($R13:S13,$C13)))</f>
        <v>BRN</v>
      </c>
      <c r="AB13" s="143" t="str">
        <f ca="1">OFFSET($R13,0,T$12+(COUNTIF($R13:T13,$C13)))</f>
        <v>ORG</v>
      </c>
      <c r="AC13" s="143" t="str">
        <f ca="1">OFFSET($R13,0,U$12+(COUNTIF($R13:U13,$C13)))</f>
        <v>BLU</v>
      </c>
      <c r="AD13" s="143" t="str">
        <f ca="1">OFFSET($R13,0,V$12+(COUNTIF($R13:V13,$C13)))</f>
        <v>GRN</v>
      </c>
      <c r="AE13" s="143" t="str">
        <f ca="1">OFFSET($R13,0,W$12+(COUNTIF($R13:W13,$C13)))</f>
        <v>YLW</v>
      </c>
      <c r="AF13" s="143" t="str">
        <f ca="1">OFFSET($R13,0,X$12+(COUNTIF($R13:X13,$C13)))</f>
        <v>PRP</v>
      </c>
      <c r="AG13" s="154" t="b">
        <f t="shared" ref="AG13:AH28" si="9">ISBLANK(B13)</f>
        <v>1</v>
      </c>
      <c r="AH13" s="154" t="b">
        <f t="shared" si="9"/>
        <v>1</v>
      </c>
      <c r="AJ13" s="916" t="s">
        <v>93</v>
      </c>
      <c r="AK13" s="916"/>
      <c r="AL13" s="916"/>
    </row>
    <row r="14" spans="1:39" ht="16.350000000000001" customHeight="1" x14ac:dyDescent="0.2">
      <c r="A14" s="983"/>
      <c r="B14" s="985"/>
      <c r="C14" s="595"/>
      <c r="D14" s="986"/>
      <c r="E14" s="1763"/>
      <c r="F14" s="1764"/>
      <c r="G14" s="1765"/>
      <c r="H14" s="1765"/>
      <c r="I14" s="1765"/>
      <c r="J14" s="1765"/>
      <c r="K14" s="1765"/>
      <c r="L14" s="1765"/>
      <c r="M14" s="1765"/>
      <c r="N14" s="1766"/>
      <c r="P14" s="399" t="str">
        <f t="shared" si="0"/>
        <v/>
      </c>
      <c r="R14" s="143" t="str">
        <f t="shared" ca="1" si="1"/>
        <v>WHT</v>
      </c>
      <c r="S14" s="143" t="str">
        <f t="shared" ca="1" si="2"/>
        <v>BRN</v>
      </c>
      <c r="T14" s="143" t="str">
        <f t="shared" ca="1" si="3"/>
        <v>ORG</v>
      </c>
      <c r="U14" s="143" t="str">
        <f t="shared" ca="1" si="4"/>
        <v>BLU</v>
      </c>
      <c r="V14" s="143" t="str">
        <f t="shared" ca="1" si="5"/>
        <v>GRN</v>
      </c>
      <c r="W14" s="143" t="str">
        <f t="shared" ca="1" si="6"/>
        <v>YLW</v>
      </c>
      <c r="X14" s="143" t="str">
        <f t="shared" ca="1" si="7"/>
        <v>PRP</v>
      </c>
      <c r="Y14" s="143" t="str">
        <f t="shared" ca="1" si="8"/>
        <v>RED</v>
      </c>
      <c r="Z14" s="143" t="str">
        <f ca="1">OFFSET($R14,0,R$12+(COUNTIF($R14:R14,$C14)))</f>
        <v>WHT</v>
      </c>
      <c r="AA14" s="143" t="str">
        <f ca="1">OFFSET($R14,0,S$12+(COUNTIF($R14:S14,$C14)))</f>
        <v>BRN</v>
      </c>
      <c r="AB14" s="143" t="str">
        <f ca="1">OFFSET($R14,0,T$12+(COUNTIF($R14:T14,$C14)))</f>
        <v>ORG</v>
      </c>
      <c r="AC14" s="143" t="str">
        <f ca="1">OFFSET($R14,0,U$12+(COUNTIF($R14:U14,$C14)))</f>
        <v>BLU</v>
      </c>
      <c r="AD14" s="143" t="str">
        <f ca="1">OFFSET($R14,0,V$12+(COUNTIF($R14:V14,$C14)))</f>
        <v>GRN</v>
      </c>
      <c r="AE14" s="143" t="str">
        <f ca="1">OFFSET($R14,0,W$12+(COUNTIF($R14:W14,$C14)))</f>
        <v>YLW</v>
      </c>
      <c r="AF14" s="143" t="str">
        <f ca="1">OFFSET($R14,0,X$12+(COUNTIF($R14:X14,$C14)))</f>
        <v>PRP</v>
      </c>
      <c r="AG14" s="154" t="b">
        <f t="shared" si="9"/>
        <v>1</v>
      </c>
      <c r="AH14" s="154" t="b">
        <f t="shared" si="9"/>
        <v>1</v>
      </c>
      <c r="AJ14" s="916" t="s">
        <v>94</v>
      </c>
      <c r="AK14" s="916"/>
      <c r="AL14" s="916"/>
    </row>
    <row r="15" spans="1:39" ht="16.350000000000001" customHeight="1" x14ac:dyDescent="0.2">
      <c r="A15" s="983"/>
      <c r="B15" s="985"/>
      <c r="C15" s="595"/>
      <c r="D15" s="986"/>
      <c r="E15" s="1763"/>
      <c r="F15" s="1764"/>
      <c r="G15" s="1765"/>
      <c r="H15" s="1765"/>
      <c r="I15" s="1765"/>
      <c r="J15" s="1765"/>
      <c r="K15" s="1765"/>
      <c r="L15" s="1765"/>
      <c r="M15" s="1765"/>
      <c r="N15" s="1766"/>
      <c r="P15" s="399" t="str">
        <f t="shared" si="0"/>
        <v/>
      </c>
      <c r="R15" s="143" t="str">
        <f t="shared" ca="1" si="1"/>
        <v>WHT</v>
      </c>
      <c r="S15" s="143" t="str">
        <f t="shared" ca="1" si="2"/>
        <v>BRN</v>
      </c>
      <c r="T15" s="143" t="str">
        <f t="shared" ca="1" si="3"/>
        <v>ORG</v>
      </c>
      <c r="U15" s="143" t="str">
        <f t="shared" ca="1" si="4"/>
        <v>BLU</v>
      </c>
      <c r="V15" s="143" t="str">
        <f t="shared" ca="1" si="5"/>
        <v>GRN</v>
      </c>
      <c r="W15" s="143" t="str">
        <f t="shared" ca="1" si="6"/>
        <v>YLW</v>
      </c>
      <c r="X15" s="143" t="str">
        <f t="shared" ca="1" si="7"/>
        <v>PRP</v>
      </c>
      <c r="Y15" s="143" t="str">
        <f t="shared" ca="1" si="8"/>
        <v>RED</v>
      </c>
      <c r="Z15" s="143" t="str">
        <f ca="1">OFFSET($R15,0,R$12+(COUNTIF($R15:R15,$C15)))</f>
        <v>WHT</v>
      </c>
      <c r="AA15" s="143" t="str">
        <f ca="1">OFFSET($R15,0,S$12+(COUNTIF($R15:S15,$C15)))</f>
        <v>BRN</v>
      </c>
      <c r="AB15" s="143" t="str">
        <f ca="1">OFFSET($R15,0,T$12+(COUNTIF($R15:T15,$C15)))</f>
        <v>ORG</v>
      </c>
      <c r="AC15" s="143" t="str">
        <f ca="1">OFFSET($R15,0,U$12+(COUNTIF($R15:U15,$C15)))</f>
        <v>BLU</v>
      </c>
      <c r="AD15" s="143" t="str">
        <f ca="1">OFFSET($R15,0,V$12+(COUNTIF($R15:V15,$C15)))</f>
        <v>GRN</v>
      </c>
      <c r="AE15" s="143" t="str">
        <f ca="1">OFFSET($R15,0,W$12+(COUNTIF($R15:W15,$C15)))</f>
        <v>YLW</v>
      </c>
      <c r="AF15" s="143" t="str">
        <f ca="1">OFFSET($R15,0,X$12+(COUNTIF($R15:X15,$C15)))</f>
        <v>PRP</v>
      </c>
      <c r="AG15" s="154" t="b">
        <f t="shared" si="9"/>
        <v>1</v>
      </c>
      <c r="AH15" s="154" t="b">
        <f t="shared" si="9"/>
        <v>1</v>
      </c>
      <c r="AJ15" s="916" t="s">
        <v>95</v>
      </c>
      <c r="AK15" s="916"/>
      <c r="AL15" s="916"/>
    </row>
    <row r="16" spans="1:39" ht="16.350000000000001" customHeight="1" x14ac:dyDescent="0.2">
      <c r="A16" s="983"/>
      <c r="B16" s="985"/>
      <c r="C16" s="595"/>
      <c r="D16" s="986"/>
      <c r="E16" s="1763"/>
      <c r="F16" s="1764"/>
      <c r="G16" s="1765"/>
      <c r="H16" s="1765"/>
      <c r="I16" s="1765"/>
      <c r="J16" s="1765"/>
      <c r="K16" s="1765"/>
      <c r="L16" s="1765"/>
      <c r="M16" s="1765"/>
      <c r="N16" s="1766"/>
      <c r="P16" s="399" t="str">
        <f t="shared" si="0"/>
        <v/>
      </c>
      <c r="R16" s="143" t="str">
        <f t="shared" ca="1" si="1"/>
        <v>WHT</v>
      </c>
      <c r="S16" s="143" t="str">
        <f t="shared" ca="1" si="2"/>
        <v>BRN</v>
      </c>
      <c r="T16" s="143" t="str">
        <f t="shared" ca="1" si="3"/>
        <v>ORG</v>
      </c>
      <c r="U16" s="143" t="str">
        <f t="shared" ca="1" si="4"/>
        <v>BLU</v>
      </c>
      <c r="V16" s="143" t="str">
        <f t="shared" ca="1" si="5"/>
        <v>GRN</v>
      </c>
      <c r="W16" s="143" t="str">
        <f t="shared" ca="1" si="6"/>
        <v>YLW</v>
      </c>
      <c r="X16" s="143" t="str">
        <f t="shared" ca="1" si="7"/>
        <v>PRP</v>
      </c>
      <c r="Y16" s="143" t="str">
        <f t="shared" ca="1" si="8"/>
        <v>RED</v>
      </c>
      <c r="Z16" s="143" t="str">
        <f ca="1">OFFSET($R16,0,R$12+(COUNTIF($R16:R16,$C16)))</f>
        <v>WHT</v>
      </c>
      <c r="AA16" s="143" t="str">
        <f ca="1">OFFSET($R16,0,S$12+(COUNTIF($R16:S16,$C16)))</f>
        <v>BRN</v>
      </c>
      <c r="AB16" s="143" t="str">
        <f ca="1">OFFSET($R16,0,T$12+(COUNTIF($R16:T16,$C16)))</f>
        <v>ORG</v>
      </c>
      <c r="AC16" s="143" t="str">
        <f ca="1">OFFSET($R16,0,U$12+(COUNTIF($R16:U16,$C16)))</f>
        <v>BLU</v>
      </c>
      <c r="AD16" s="143" t="str">
        <f ca="1">OFFSET($R16,0,V$12+(COUNTIF($R16:V16,$C16)))</f>
        <v>GRN</v>
      </c>
      <c r="AE16" s="143" t="str">
        <f ca="1">OFFSET($R16,0,W$12+(COUNTIF($R16:W16,$C16)))</f>
        <v>YLW</v>
      </c>
      <c r="AF16" s="143" t="str">
        <f ca="1">OFFSET($R16,0,X$12+(COUNTIF($R16:X16,$C16)))</f>
        <v>PRP</v>
      </c>
      <c r="AG16" s="154" t="b">
        <f t="shared" si="9"/>
        <v>1</v>
      </c>
      <c r="AH16" s="154" t="b">
        <f t="shared" si="9"/>
        <v>1</v>
      </c>
      <c r="AJ16" s="916" t="s">
        <v>96</v>
      </c>
      <c r="AK16" s="916"/>
      <c r="AL16" s="916"/>
    </row>
    <row r="17" spans="1:38" ht="16.350000000000001" customHeight="1" x14ac:dyDescent="0.2">
      <c r="A17" s="983"/>
      <c r="B17" s="985"/>
      <c r="C17" s="595"/>
      <c r="D17" s="986"/>
      <c r="E17" s="1763"/>
      <c r="F17" s="1764"/>
      <c r="G17" s="1765"/>
      <c r="H17" s="1765"/>
      <c r="I17" s="1765"/>
      <c r="J17" s="1765"/>
      <c r="K17" s="1765"/>
      <c r="L17" s="1765"/>
      <c r="M17" s="1765"/>
      <c r="N17" s="1766"/>
      <c r="P17" s="399" t="str">
        <f t="shared" si="0"/>
        <v/>
      </c>
      <c r="R17" s="143" t="str">
        <f t="shared" ca="1" si="1"/>
        <v>WHT</v>
      </c>
      <c r="S17" s="143" t="str">
        <f t="shared" ca="1" si="2"/>
        <v>BRN</v>
      </c>
      <c r="T17" s="143" t="str">
        <f t="shared" ca="1" si="3"/>
        <v>ORG</v>
      </c>
      <c r="U17" s="143" t="str">
        <f t="shared" ca="1" si="4"/>
        <v>BLU</v>
      </c>
      <c r="V17" s="143" t="str">
        <f t="shared" ca="1" si="5"/>
        <v>GRN</v>
      </c>
      <c r="W17" s="143" t="str">
        <f t="shared" ca="1" si="6"/>
        <v>YLW</v>
      </c>
      <c r="X17" s="143" t="str">
        <f t="shared" ca="1" si="7"/>
        <v>PRP</v>
      </c>
      <c r="Y17" s="143" t="str">
        <f t="shared" ca="1" si="8"/>
        <v>RED</v>
      </c>
      <c r="Z17" s="143" t="str">
        <f ca="1">OFFSET($R17,0,R$12+(COUNTIF($R17:R17,$C17)))</f>
        <v>WHT</v>
      </c>
      <c r="AA17" s="143" t="str">
        <f ca="1">OFFSET($R17,0,S$12+(COUNTIF($R17:S17,$C17)))</f>
        <v>BRN</v>
      </c>
      <c r="AB17" s="143" t="str">
        <f ca="1">OFFSET($R17,0,T$12+(COUNTIF($R17:T17,$C17)))</f>
        <v>ORG</v>
      </c>
      <c r="AC17" s="143" t="str">
        <f ca="1">OFFSET($R17,0,U$12+(COUNTIF($R17:U17,$C17)))</f>
        <v>BLU</v>
      </c>
      <c r="AD17" s="143" t="str">
        <f ca="1">OFFSET($R17,0,V$12+(COUNTIF($R17:V17,$C17)))</f>
        <v>GRN</v>
      </c>
      <c r="AE17" s="143" t="str">
        <f ca="1">OFFSET($R17,0,W$12+(COUNTIF($R17:W17,$C17)))</f>
        <v>YLW</v>
      </c>
      <c r="AF17" s="143" t="str">
        <f ca="1">OFFSET($R17,0,X$12+(COUNTIF($R17:X17,$C17)))</f>
        <v>PRP</v>
      </c>
      <c r="AG17" s="154" t="b">
        <f t="shared" si="9"/>
        <v>1</v>
      </c>
      <c r="AH17" s="154" t="b">
        <f t="shared" si="9"/>
        <v>1</v>
      </c>
      <c r="AJ17" s="916" t="s">
        <v>97</v>
      </c>
      <c r="AK17" s="916"/>
      <c r="AL17" s="916"/>
    </row>
    <row r="18" spans="1:38" ht="16.350000000000001" customHeight="1" x14ac:dyDescent="0.2">
      <c r="A18" s="983"/>
      <c r="B18" s="985"/>
      <c r="C18" s="595"/>
      <c r="D18" s="986"/>
      <c r="E18" s="1763"/>
      <c r="F18" s="1764"/>
      <c r="G18" s="1765"/>
      <c r="H18" s="1765"/>
      <c r="I18" s="1765"/>
      <c r="J18" s="1765"/>
      <c r="K18" s="1765"/>
      <c r="L18" s="1765"/>
      <c r="M18" s="1765"/>
      <c r="N18" s="1766"/>
      <c r="P18" s="399" t="str">
        <f t="shared" si="0"/>
        <v/>
      </c>
      <c r="R18" s="143" t="str">
        <f t="shared" ca="1" si="1"/>
        <v>WHT</v>
      </c>
      <c r="S18" s="143" t="str">
        <f t="shared" ca="1" si="2"/>
        <v>BRN</v>
      </c>
      <c r="T18" s="143" t="str">
        <f t="shared" ca="1" si="3"/>
        <v>ORG</v>
      </c>
      <c r="U18" s="143" t="str">
        <f t="shared" ca="1" si="4"/>
        <v>BLU</v>
      </c>
      <c r="V18" s="143" t="str">
        <f t="shared" ca="1" si="5"/>
        <v>GRN</v>
      </c>
      <c r="W18" s="143" t="str">
        <f t="shared" ca="1" si="6"/>
        <v>YLW</v>
      </c>
      <c r="X18" s="143" t="str">
        <f t="shared" ca="1" si="7"/>
        <v>PRP</v>
      </c>
      <c r="Y18" s="143" t="str">
        <f t="shared" ca="1" si="8"/>
        <v>RED</v>
      </c>
      <c r="Z18" s="143" t="str">
        <f ca="1">OFFSET($R18,0,R$12+(COUNTIF($R18:R18,$C18)))</f>
        <v>WHT</v>
      </c>
      <c r="AA18" s="143" t="str">
        <f ca="1">OFFSET($R18,0,S$12+(COUNTIF($R18:S18,$C18)))</f>
        <v>BRN</v>
      </c>
      <c r="AB18" s="143" t="str">
        <f ca="1">OFFSET($R18,0,T$12+(COUNTIF($R18:T18,$C18)))</f>
        <v>ORG</v>
      </c>
      <c r="AC18" s="143" t="str">
        <f ca="1">OFFSET($R18,0,U$12+(COUNTIF($R18:U18,$C18)))</f>
        <v>BLU</v>
      </c>
      <c r="AD18" s="143" t="str">
        <f ca="1">OFFSET($R18,0,V$12+(COUNTIF($R18:V18,$C18)))</f>
        <v>GRN</v>
      </c>
      <c r="AE18" s="143" t="str">
        <f ca="1">OFFSET($R18,0,W$12+(COUNTIF($R18:W18,$C18)))</f>
        <v>YLW</v>
      </c>
      <c r="AF18" s="143" t="str">
        <f ca="1">OFFSET($R18,0,X$12+(COUNTIF($R18:X18,$C18)))</f>
        <v>PRP</v>
      </c>
      <c r="AG18" s="154" t="b">
        <f t="shared" si="9"/>
        <v>1</v>
      </c>
      <c r="AH18" s="154" t="b">
        <f t="shared" si="9"/>
        <v>1</v>
      </c>
      <c r="AJ18" s="916" t="s">
        <v>98</v>
      </c>
      <c r="AK18" s="916"/>
      <c r="AL18" s="916"/>
    </row>
    <row r="19" spans="1:38" ht="16.350000000000001" customHeight="1" x14ac:dyDescent="0.2">
      <c r="A19" s="983"/>
      <c r="B19" s="985"/>
      <c r="C19" s="595"/>
      <c r="D19" s="986"/>
      <c r="E19" s="1763"/>
      <c r="F19" s="1764"/>
      <c r="G19" s="1765"/>
      <c r="H19" s="1765"/>
      <c r="I19" s="1765"/>
      <c r="J19" s="1765"/>
      <c r="K19" s="1765"/>
      <c r="L19" s="1765"/>
      <c r="M19" s="1765"/>
      <c r="N19" s="1766"/>
      <c r="P19" s="399" t="str">
        <f t="shared" si="0"/>
        <v/>
      </c>
      <c r="R19" s="143" t="str">
        <f t="shared" ca="1" si="1"/>
        <v>WHT</v>
      </c>
      <c r="S19" s="143" t="str">
        <f t="shared" ca="1" si="2"/>
        <v>BRN</v>
      </c>
      <c r="T19" s="143" t="str">
        <f t="shared" ca="1" si="3"/>
        <v>ORG</v>
      </c>
      <c r="U19" s="143" t="str">
        <f t="shared" ca="1" si="4"/>
        <v>BLU</v>
      </c>
      <c r="V19" s="143" t="str">
        <f t="shared" ca="1" si="5"/>
        <v>GRN</v>
      </c>
      <c r="W19" s="143" t="str">
        <f t="shared" ca="1" si="6"/>
        <v>YLW</v>
      </c>
      <c r="X19" s="143" t="str">
        <f t="shared" ca="1" si="7"/>
        <v>PRP</v>
      </c>
      <c r="Y19" s="143" t="str">
        <f t="shared" ca="1" si="8"/>
        <v>RED</v>
      </c>
      <c r="Z19" s="143" t="str">
        <f ca="1">OFFSET($R19,0,R$12+(COUNTIF($R19:R19,$C19)))</f>
        <v>WHT</v>
      </c>
      <c r="AA19" s="143" t="str">
        <f ca="1">OFFSET($R19,0,S$12+(COUNTIF($R19:S19,$C19)))</f>
        <v>BRN</v>
      </c>
      <c r="AB19" s="143" t="str">
        <f ca="1">OFFSET($R19,0,T$12+(COUNTIF($R19:T19,$C19)))</f>
        <v>ORG</v>
      </c>
      <c r="AC19" s="143" t="str">
        <f ca="1">OFFSET($R19,0,U$12+(COUNTIF($R19:U19,$C19)))</f>
        <v>BLU</v>
      </c>
      <c r="AD19" s="143" t="str">
        <f ca="1">OFFSET($R19,0,V$12+(COUNTIF($R19:V19,$C19)))</f>
        <v>GRN</v>
      </c>
      <c r="AE19" s="143" t="str">
        <f ca="1">OFFSET($R19,0,W$12+(COUNTIF($R19:W19,$C19)))</f>
        <v>YLW</v>
      </c>
      <c r="AF19" s="143" t="str">
        <f ca="1">OFFSET($R19,0,X$12+(COUNTIF($R19:X19,$C19)))</f>
        <v>PRP</v>
      </c>
      <c r="AG19" s="154" t="b">
        <f t="shared" si="9"/>
        <v>1</v>
      </c>
      <c r="AH19" s="154" t="b">
        <f t="shared" si="9"/>
        <v>1</v>
      </c>
      <c r="AJ19" s="916" t="s">
        <v>99</v>
      </c>
      <c r="AK19" s="916"/>
      <c r="AL19" s="916"/>
    </row>
    <row r="20" spans="1:38" ht="16.350000000000001" customHeight="1" x14ac:dyDescent="0.2">
      <c r="A20" s="983"/>
      <c r="B20" s="985"/>
      <c r="C20" s="595"/>
      <c r="D20" s="986"/>
      <c r="E20" s="1763"/>
      <c r="F20" s="1764"/>
      <c r="G20" s="1765"/>
      <c r="H20" s="1765"/>
      <c r="I20" s="1765"/>
      <c r="J20" s="1765"/>
      <c r="K20" s="1765"/>
      <c r="L20" s="1765"/>
      <c r="M20" s="1765"/>
      <c r="N20" s="1766"/>
      <c r="P20" s="399" t="str">
        <f t="shared" si="0"/>
        <v/>
      </c>
      <c r="R20" s="143" t="str">
        <f t="shared" ca="1" si="1"/>
        <v>WHT</v>
      </c>
      <c r="S20" s="143" t="str">
        <f t="shared" ca="1" si="2"/>
        <v>BRN</v>
      </c>
      <c r="T20" s="143" t="str">
        <f t="shared" ca="1" si="3"/>
        <v>ORG</v>
      </c>
      <c r="U20" s="143" t="str">
        <f t="shared" ca="1" si="4"/>
        <v>BLU</v>
      </c>
      <c r="V20" s="143" t="str">
        <f t="shared" ca="1" si="5"/>
        <v>GRN</v>
      </c>
      <c r="W20" s="143" t="str">
        <f t="shared" ca="1" si="6"/>
        <v>YLW</v>
      </c>
      <c r="X20" s="143" t="str">
        <f t="shared" ca="1" si="7"/>
        <v>PRP</v>
      </c>
      <c r="Y20" s="143" t="str">
        <f t="shared" ca="1" si="8"/>
        <v>RED</v>
      </c>
      <c r="Z20" s="143" t="str">
        <f ca="1">OFFSET($R20,0,R$12+(COUNTIF($R20:R20,$C20)))</f>
        <v>WHT</v>
      </c>
      <c r="AA20" s="143" t="str">
        <f ca="1">OFFSET($R20,0,S$12+(COUNTIF($R20:S20,$C20)))</f>
        <v>BRN</v>
      </c>
      <c r="AB20" s="143" t="str">
        <f ca="1">OFFSET($R20,0,T$12+(COUNTIF($R20:T20,$C20)))</f>
        <v>ORG</v>
      </c>
      <c r="AC20" s="143" t="str">
        <f ca="1">OFFSET($R20,0,U$12+(COUNTIF($R20:U20,$C20)))</f>
        <v>BLU</v>
      </c>
      <c r="AD20" s="143" t="str">
        <f ca="1">OFFSET($R20,0,V$12+(COUNTIF($R20:V20,$C20)))</f>
        <v>GRN</v>
      </c>
      <c r="AE20" s="143" t="str">
        <f ca="1">OFFSET($R20,0,W$12+(COUNTIF($R20:W20,$C20)))</f>
        <v>YLW</v>
      </c>
      <c r="AF20" s="143" t="str">
        <f ca="1">OFFSET($R20,0,X$12+(COUNTIF($R20:X20,$C20)))</f>
        <v>PRP</v>
      </c>
      <c r="AG20" s="154" t="b">
        <f t="shared" si="9"/>
        <v>1</v>
      </c>
      <c r="AH20" s="154" t="b">
        <f t="shared" si="9"/>
        <v>1</v>
      </c>
      <c r="AJ20" s="916" t="s">
        <v>100</v>
      </c>
      <c r="AK20" s="916"/>
      <c r="AL20" s="916"/>
    </row>
    <row r="21" spans="1:38" ht="16.350000000000001" customHeight="1" x14ac:dyDescent="0.2">
      <c r="A21" s="983"/>
      <c r="B21" s="985"/>
      <c r="C21" s="595"/>
      <c r="D21" s="986"/>
      <c r="E21" s="1763"/>
      <c r="F21" s="1764"/>
      <c r="G21" s="1765"/>
      <c r="H21" s="1765"/>
      <c r="I21" s="1765"/>
      <c r="J21" s="1765"/>
      <c r="K21" s="1765"/>
      <c r="L21" s="1765"/>
      <c r="M21" s="1765"/>
      <c r="N21" s="1766"/>
      <c r="P21" s="399" t="str">
        <f t="shared" si="0"/>
        <v/>
      </c>
      <c r="R21" s="143" t="str">
        <f t="shared" ca="1" si="1"/>
        <v>WHT</v>
      </c>
      <c r="S21" s="143" t="str">
        <f t="shared" ca="1" si="2"/>
        <v>BRN</v>
      </c>
      <c r="T21" s="143" t="str">
        <f t="shared" ca="1" si="3"/>
        <v>ORG</v>
      </c>
      <c r="U21" s="143" t="str">
        <f t="shared" ca="1" si="4"/>
        <v>BLU</v>
      </c>
      <c r="V21" s="143" t="str">
        <f t="shared" ca="1" si="5"/>
        <v>GRN</v>
      </c>
      <c r="W21" s="143" t="str">
        <f t="shared" ca="1" si="6"/>
        <v>YLW</v>
      </c>
      <c r="X21" s="143" t="str">
        <f t="shared" ca="1" si="7"/>
        <v>PRP</v>
      </c>
      <c r="Y21" s="143" t="str">
        <f t="shared" ca="1" si="8"/>
        <v>RED</v>
      </c>
      <c r="Z21" s="143" t="str">
        <f ca="1">OFFSET($R21,0,R$12+(COUNTIF($R21:R21,$C21)))</f>
        <v>WHT</v>
      </c>
      <c r="AA21" s="143" t="str">
        <f ca="1">OFFSET($R21,0,S$12+(COUNTIF($R21:S21,$C21)))</f>
        <v>BRN</v>
      </c>
      <c r="AB21" s="143" t="str">
        <f ca="1">OFFSET($R21,0,T$12+(COUNTIF($R21:T21,$C21)))</f>
        <v>ORG</v>
      </c>
      <c r="AC21" s="143" t="str">
        <f ca="1">OFFSET($R21,0,U$12+(COUNTIF($R21:U21,$C21)))</f>
        <v>BLU</v>
      </c>
      <c r="AD21" s="143" t="str">
        <f ca="1">OFFSET($R21,0,V$12+(COUNTIF($R21:V21,$C21)))</f>
        <v>GRN</v>
      </c>
      <c r="AE21" s="143" t="str">
        <f ca="1">OFFSET($R21,0,W$12+(COUNTIF($R21:W21,$C21)))</f>
        <v>YLW</v>
      </c>
      <c r="AF21" s="143" t="str">
        <f ca="1">OFFSET($R21,0,X$12+(COUNTIF($R21:X21,$C21)))</f>
        <v>PRP</v>
      </c>
      <c r="AG21" s="154" t="b">
        <f t="shared" si="9"/>
        <v>1</v>
      </c>
      <c r="AH21" s="154" t="b">
        <f t="shared" si="9"/>
        <v>1</v>
      </c>
      <c r="AJ21" s="916" t="s">
        <v>101</v>
      </c>
      <c r="AK21" s="916"/>
      <c r="AL21" s="916"/>
    </row>
    <row r="22" spans="1:38" ht="16.350000000000001" customHeight="1" x14ac:dyDescent="0.2">
      <c r="A22" s="983"/>
      <c r="B22" s="985"/>
      <c r="C22" s="595"/>
      <c r="D22" s="986"/>
      <c r="E22" s="1763"/>
      <c r="F22" s="1764"/>
      <c r="G22" s="1765"/>
      <c r="H22" s="1765"/>
      <c r="I22" s="1765"/>
      <c r="J22" s="1765"/>
      <c r="K22" s="1765"/>
      <c r="L22" s="1765"/>
      <c r="M22" s="1765"/>
      <c r="N22" s="1766"/>
      <c r="P22" s="399" t="str">
        <f t="shared" si="0"/>
        <v/>
      </c>
      <c r="R22" s="143" t="str">
        <f t="shared" ca="1" si="1"/>
        <v>WHT</v>
      </c>
      <c r="S22" s="143" t="str">
        <f t="shared" ca="1" si="2"/>
        <v>BRN</v>
      </c>
      <c r="T22" s="143" t="str">
        <f t="shared" ca="1" si="3"/>
        <v>ORG</v>
      </c>
      <c r="U22" s="143" t="str">
        <f t="shared" ca="1" si="4"/>
        <v>BLU</v>
      </c>
      <c r="V22" s="143" t="str">
        <f t="shared" ca="1" si="5"/>
        <v>GRN</v>
      </c>
      <c r="W22" s="143" t="str">
        <f t="shared" ca="1" si="6"/>
        <v>YLW</v>
      </c>
      <c r="X22" s="143" t="str">
        <f t="shared" ca="1" si="7"/>
        <v>PRP</v>
      </c>
      <c r="Y22" s="143" t="str">
        <f t="shared" ca="1" si="8"/>
        <v>RED</v>
      </c>
      <c r="Z22" s="143" t="str">
        <f ca="1">OFFSET($R22,0,R$12+(COUNTIF($R22:R22,$C22)))</f>
        <v>WHT</v>
      </c>
      <c r="AA22" s="143" t="str">
        <f ca="1">OFFSET($R22,0,S$12+(COUNTIF($R22:S22,$C22)))</f>
        <v>BRN</v>
      </c>
      <c r="AB22" s="143" t="str">
        <f ca="1">OFFSET($R22,0,T$12+(COUNTIF($R22:T22,$C22)))</f>
        <v>ORG</v>
      </c>
      <c r="AC22" s="143" t="str">
        <f ca="1">OFFSET($R22,0,U$12+(COUNTIF($R22:U22,$C22)))</f>
        <v>BLU</v>
      </c>
      <c r="AD22" s="143" t="str">
        <f ca="1">OFFSET($R22,0,V$12+(COUNTIF($R22:V22,$C22)))</f>
        <v>GRN</v>
      </c>
      <c r="AE22" s="143" t="str">
        <f ca="1">OFFSET($R22,0,W$12+(COUNTIF($R22:W22,$C22)))</f>
        <v>YLW</v>
      </c>
      <c r="AF22" s="143" t="str">
        <f ca="1">OFFSET($R22,0,X$12+(COUNTIF($R22:X22,$C22)))</f>
        <v>PRP</v>
      </c>
      <c r="AG22" s="154" t="b">
        <f t="shared" si="9"/>
        <v>1</v>
      </c>
      <c r="AH22" s="154" t="b">
        <f t="shared" si="9"/>
        <v>1</v>
      </c>
      <c r="AJ22" s="916" t="s">
        <v>93</v>
      </c>
      <c r="AK22" s="916" t="s">
        <v>101</v>
      </c>
      <c r="AL22" s="916"/>
    </row>
    <row r="23" spans="1:38" ht="16.350000000000001" customHeight="1" x14ac:dyDescent="0.2">
      <c r="A23" s="983"/>
      <c r="B23" s="985"/>
      <c r="C23" s="595"/>
      <c r="D23" s="986"/>
      <c r="E23" s="1763"/>
      <c r="F23" s="1764"/>
      <c r="G23" s="1765"/>
      <c r="H23" s="1765"/>
      <c r="I23" s="1765"/>
      <c r="J23" s="1765"/>
      <c r="K23" s="1765"/>
      <c r="L23" s="1765"/>
      <c r="M23" s="1765"/>
      <c r="N23" s="1766"/>
      <c r="P23" s="399" t="str">
        <f t="shared" si="0"/>
        <v/>
      </c>
      <c r="R23" s="143" t="str">
        <f t="shared" ca="1" si="1"/>
        <v>WHT</v>
      </c>
      <c r="S23" s="143" t="str">
        <f t="shared" ca="1" si="2"/>
        <v>BRN</v>
      </c>
      <c r="T23" s="143" t="str">
        <f t="shared" ca="1" si="3"/>
        <v>ORG</v>
      </c>
      <c r="U23" s="143" t="str">
        <f t="shared" ca="1" si="4"/>
        <v>BLU</v>
      </c>
      <c r="V23" s="143" t="str">
        <f t="shared" ca="1" si="5"/>
        <v>GRN</v>
      </c>
      <c r="W23" s="143" t="str">
        <f t="shared" ca="1" si="6"/>
        <v>YLW</v>
      </c>
      <c r="X23" s="143" t="str">
        <f t="shared" ca="1" si="7"/>
        <v>PRP</v>
      </c>
      <c r="Y23" s="143" t="str">
        <f t="shared" ca="1" si="8"/>
        <v>RED</v>
      </c>
      <c r="Z23" s="143" t="str">
        <f ca="1">OFFSET($R23,0,R$12+(COUNTIF($R23:R23,$C23)))</f>
        <v>WHT</v>
      </c>
      <c r="AA23" s="143" t="str">
        <f ca="1">OFFSET($R23,0,S$12+(COUNTIF($R23:S23,$C23)))</f>
        <v>BRN</v>
      </c>
      <c r="AB23" s="143" t="str">
        <f ca="1">OFFSET($R23,0,T$12+(COUNTIF($R23:T23,$C23)))</f>
        <v>ORG</v>
      </c>
      <c r="AC23" s="143" t="str">
        <f ca="1">OFFSET($R23,0,U$12+(COUNTIF($R23:U23,$C23)))</f>
        <v>BLU</v>
      </c>
      <c r="AD23" s="143" t="str">
        <f ca="1">OFFSET($R23,0,V$12+(COUNTIF($R23:V23,$C23)))</f>
        <v>GRN</v>
      </c>
      <c r="AE23" s="143" t="str">
        <f ca="1">OFFSET($R23,0,W$12+(COUNTIF($R23:W23,$C23)))</f>
        <v>YLW</v>
      </c>
      <c r="AF23" s="143" t="str">
        <f ca="1">OFFSET($R23,0,X$12+(COUNTIF($R23:X23,$C23)))</f>
        <v>PRP</v>
      </c>
      <c r="AG23" s="154" t="b">
        <f t="shared" si="9"/>
        <v>1</v>
      </c>
      <c r="AH23" s="154" t="b">
        <f t="shared" si="9"/>
        <v>1</v>
      </c>
      <c r="AJ23" s="916" t="s">
        <v>94</v>
      </c>
      <c r="AK23" s="916" t="s">
        <v>100</v>
      </c>
      <c r="AL23" s="916"/>
    </row>
    <row r="24" spans="1:38" ht="16.350000000000001" customHeight="1" x14ac:dyDescent="0.2">
      <c r="A24" s="983"/>
      <c r="B24" s="985"/>
      <c r="C24" s="595"/>
      <c r="D24" s="986"/>
      <c r="E24" s="1763"/>
      <c r="F24" s="1764"/>
      <c r="G24" s="1765"/>
      <c r="H24" s="1765"/>
      <c r="I24" s="1765"/>
      <c r="J24" s="1765"/>
      <c r="K24" s="1765"/>
      <c r="L24" s="1765"/>
      <c r="M24" s="1765"/>
      <c r="N24" s="1766"/>
      <c r="P24" s="399" t="str">
        <f t="shared" si="0"/>
        <v/>
      </c>
      <c r="R24" s="143" t="str">
        <f t="shared" ca="1" si="1"/>
        <v>WHT</v>
      </c>
      <c r="S24" s="143" t="str">
        <f t="shared" ca="1" si="2"/>
        <v>BRN</v>
      </c>
      <c r="T24" s="143" t="str">
        <f t="shared" ca="1" si="3"/>
        <v>ORG</v>
      </c>
      <c r="U24" s="143" t="str">
        <f t="shared" ca="1" si="4"/>
        <v>BLU</v>
      </c>
      <c r="V24" s="143" t="str">
        <f t="shared" ca="1" si="5"/>
        <v>GRN</v>
      </c>
      <c r="W24" s="143" t="str">
        <f t="shared" ca="1" si="6"/>
        <v>YLW</v>
      </c>
      <c r="X24" s="143" t="str">
        <f t="shared" ca="1" si="7"/>
        <v>PRP</v>
      </c>
      <c r="Y24" s="143" t="str">
        <f t="shared" ca="1" si="8"/>
        <v>RED</v>
      </c>
      <c r="Z24" s="143" t="str">
        <f ca="1">OFFSET($R24,0,R$12+(COUNTIF($R24:R24,$C24)))</f>
        <v>WHT</v>
      </c>
      <c r="AA24" s="143" t="str">
        <f ca="1">OFFSET($R24,0,S$12+(COUNTIF($R24:S24,$C24)))</f>
        <v>BRN</v>
      </c>
      <c r="AB24" s="143" t="str">
        <f ca="1">OFFSET($R24,0,T$12+(COUNTIF($R24:T24,$C24)))</f>
        <v>ORG</v>
      </c>
      <c r="AC24" s="143" t="str">
        <f ca="1">OFFSET($R24,0,U$12+(COUNTIF($R24:U24,$C24)))</f>
        <v>BLU</v>
      </c>
      <c r="AD24" s="143" t="str">
        <f ca="1">OFFSET($R24,0,V$12+(COUNTIF($R24:V24,$C24)))</f>
        <v>GRN</v>
      </c>
      <c r="AE24" s="143" t="str">
        <f ca="1">OFFSET($R24,0,W$12+(COUNTIF($R24:W24,$C24)))</f>
        <v>YLW</v>
      </c>
      <c r="AF24" s="143" t="str">
        <f ca="1">OFFSET($R24,0,X$12+(COUNTIF($R24:X24,$C24)))</f>
        <v>PRP</v>
      </c>
      <c r="AG24" s="154" t="b">
        <f t="shared" si="9"/>
        <v>1</v>
      </c>
      <c r="AH24" s="154" t="b">
        <f t="shared" si="9"/>
        <v>1</v>
      </c>
      <c r="AJ24" s="916" t="s">
        <v>95</v>
      </c>
      <c r="AK24" s="916" t="s">
        <v>99</v>
      </c>
      <c r="AL24" s="916"/>
    </row>
    <row r="25" spans="1:38" ht="16.350000000000001" customHeight="1" x14ac:dyDescent="0.2">
      <c r="A25" s="983"/>
      <c r="B25" s="985"/>
      <c r="C25" s="595"/>
      <c r="D25" s="986"/>
      <c r="E25" s="1763"/>
      <c r="F25" s="1764"/>
      <c r="G25" s="1765"/>
      <c r="H25" s="1765"/>
      <c r="I25" s="1765"/>
      <c r="J25" s="1765"/>
      <c r="K25" s="1765"/>
      <c r="L25" s="1765"/>
      <c r="M25" s="1765"/>
      <c r="N25" s="1766"/>
      <c r="P25" s="399" t="str">
        <f t="shared" si="0"/>
        <v/>
      </c>
      <c r="R25" s="143" t="str">
        <f t="shared" ca="1" si="1"/>
        <v>WHT</v>
      </c>
      <c r="S25" s="143" t="str">
        <f t="shared" ca="1" si="2"/>
        <v>BRN</v>
      </c>
      <c r="T25" s="143" t="str">
        <f t="shared" ca="1" si="3"/>
        <v>ORG</v>
      </c>
      <c r="U25" s="143" t="str">
        <f t="shared" ca="1" si="4"/>
        <v>BLU</v>
      </c>
      <c r="V25" s="143" t="str">
        <f t="shared" ca="1" si="5"/>
        <v>GRN</v>
      </c>
      <c r="W25" s="143" t="str">
        <f t="shared" ca="1" si="6"/>
        <v>YLW</v>
      </c>
      <c r="X25" s="143" t="str">
        <f t="shared" ca="1" si="7"/>
        <v>PRP</v>
      </c>
      <c r="Y25" s="143" t="str">
        <f t="shared" ca="1" si="8"/>
        <v>RED</v>
      </c>
      <c r="Z25" s="143" t="str">
        <f ca="1">OFFSET($R25,0,R$12+(COUNTIF($R25:R25,$C25)))</f>
        <v>WHT</v>
      </c>
      <c r="AA25" s="143" t="str">
        <f ca="1">OFFSET($R25,0,S$12+(COUNTIF($R25:S25,$C25)))</f>
        <v>BRN</v>
      </c>
      <c r="AB25" s="143" t="str">
        <f ca="1">OFFSET($R25,0,T$12+(COUNTIF($R25:T25,$C25)))</f>
        <v>ORG</v>
      </c>
      <c r="AC25" s="143" t="str">
        <f ca="1">OFFSET($R25,0,U$12+(COUNTIF($R25:U25,$C25)))</f>
        <v>BLU</v>
      </c>
      <c r="AD25" s="143" t="str">
        <f ca="1">OFFSET($R25,0,V$12+(COUNTIF($R25:V25,$C25)))</f>
        <v>GRN</v>
      </c>
      <c r="AE25" s="143" t="str">
        <f ca="1">OFFSET($R25,0,W$12+(COUNTIF($R25:W25,$C25)))</f>
        <v>YLW</v>
      </c>
      <c r="AF25" s="143" t="str">
        <f ca="1">OFFSET($R25,0,X$12+(COUNTIF($R25:X25,$C25)))</f>
        <v>PRP</v>
      </c>
      <c r="AG25" s="154" t="b">
        <f t="shared" si="9"/>
        <v>1</v>
      </c>
      <c r="AH25" s="154" t="b">
        <f t="shared" si="9"/>
        <v>1</v>
      </c>
      <c r="AJ25" s="916" t="s">
        <v>96</v>
      </c>
      <c r="AK25" s="916" t="s">
        <v>98</v>
      </c>
      <c r="AL25" s="916"/>
    </row>
    <row r="26" spans="1:38" ht="16.350000000000001" customHeight="1" x14ac:dyDescent="0.2">
      <c r="A26" s="983"/>
      <c r="B26" s="985"/>
      <c r="C26" s="595"/>
      <c r="D26" s="986"/>
      <c r="E26" s="1763"/>
      <c r="F26" s="1764"/>
      <c r="G26" s="1765"/>
      <c r="H26" s="1765"/>
      <c r="I26" s="1765"/>
      <c r="J26" s="1765"/>
      <c r="K26" s="1765"/>
      <c r="L26" s="1765"/>
      <c r="M26" s="1765"/>
      <c r="N26" s="1766"/>
      <c r="P26" s="399" t="str">
        <f t="shared" si="0"/>
        <v/>
      </c>
      <c r="R26" s="143" t="str">
        <f t="shared" ca="1" si="1"/>
        <v>WHT</v>
      </c>
      <c r="S26" s="143" t="str">
        <f t="shared" ca="1" si="2"/>
        <v>BRN</v>
      </c>
      <c r="T26" s="143" t="str">
        <f t="shared" ca="1" si="3"/>
        <v>ORG</v>
      </c>
      <c r="U26" s="143" t="str">
        <f t="shared" ca="1" si="4"/>
        <v>BLU</v>
      </c>
      <c r="V26" s="143" t="str">
        <f t="shared" ca="1" si="5"/>
        <v>GRN</v>
      </c>
      <c r="W26" s="143" t="str">
        <f t="shared" ca="1" si="6"/>
        <v>YLW</v>
      </c>
      <c r="X26" s="143" t="str">
        <f t="shared" ca="1" si="7"/>
        <v>PRP</v>
      </c>
      <c r="Y26" s="143" t="str">
        <f t="shared" ca="1" si="8"/>
        <v>RED</v>
      </c>
      <c r="Z26" s="143" t="str">
        <f ca="1">OFFSET($R26,0,R$12+(COUNTIF($R26:R26,$C26)))</f>
        <v>WHT</v>
      </c>
      <c r="AA26" s="143" t="str">
        <f ca="1">OFFSET($R26,0,S$12+(COUNTIF($R26:S26,$C26)))</f>
        <v>BRN</v>
      </c>
      <c r="AB26" s="143" t="str">
        <f ca="1">OFFSET($R26,0,T$12+(COUNTIF($R26:T26,$C26)))</f>
        <v>ORG</v>
      </c>
      <c r="AC26" s="143" t="str">
        <f ca="1">OFFSET($R26,0,U$12+(COUNTIF($R26:U26,$C26)))</f>
        <v>BLU</v>
      </c>
      <c r="AD26" s="143" t="str">
        <f ca="1">OFFSET($R26,0,V$12+(COUNTIF($R26:V26,$C26)))</f>
        <v>GRN</v>
      </c>
      <c r="AE26" s="143" t="str">
        <f ca="1">OFFSET($R26,0,W$12+(COUNTIF($R26:W26,$C26)))</f>
        <v>YLW</v>
      </c>
      <c r="AF26" s="143" t="str">
        <f ca="1">OFFSET($R26,0,X$12+(COUNTIF($R26:X26,$C26)))</f>
        <v>PRP</v>
      </c>
      <c r="AG26" s="154" t="b">
        <f t="shared" si="9"/>
        <v>1</v>
      </c>
      <c r="AH26" s="154" t="b">
        <f t="shared" si="9"/>
        <v>1</v>
      </c>
      <c r="AJ26" s="916" t="s">
        <v>97</v>
      </c>
      <c r="AK26" s="916" t="s">
        <v>699</v>
      </c>
      <c r="AL26" s="916"/>
    </row>
    <row r="27" spans="1:38" ht="16.350000000000001" customHeight="1" x14ac:dyDescent="0.2">
      <c r="A27" s="983"/>
      <c r="B27" s="985"/>
      <c r="C27" s="595"/>
      <c r="D27" s="986"/>
      <c r="E27" s="1763"/>
      <c r="F27" s="1764"/>
      <c r="G27" s="1765"/>
      <c r="H27" s="1765"/>
      <c r="I27" s="1765"/>
      <c r="J27" s="1765"/>
      <c r="K27" s="1765"/>
      <c r="L27" s="1765"/>
      <c r="M27" s="1765"/>
      <c r="N27" s="1766"/>
      <c r="P27" s="399" t="str">
        <f t="shared" si="0"/>
        <v/>
      </c>
      <c r="R27" s="143" t="str">
        <f t="shared" ca="1" si="1"/>
        <v>WHT</v>
      </c>
      <c r="S27" s="143" t="str">
        <f t="shared" ca="1" si="2"/>
        <v>BRN</v>
      </c>
      <c r="T27" s="143" t="str">
        <f t="shared" ca="1" si="3"/>
        <v>ORG</v>
      </c>
      <c r="U27" s="143" t="str">
        <f t="shared" ca="1" si="4"/>
        <v>BLU</v>
      </c>
      <c r="V27" s="143" t="str">
        <f t="shared" ca="1" si="5"/>
        <v>GRN</v>
      </c>
      <c r="W27" s="143" t="str">
        <f t="shared" ca="1" si="6"/>
        <v>YLW</v>
      </c>
      <c r="X27" s="143" t="str">
        <f t="shared" ca="1" si="7"/>
        <v>PRP</v>
      </c>
      <c r="Y27" s="143" t="str">
        <f t="shared" ca="1" si="8"/>
        <v>RED</v>
      </c>
      <c r="Z27" s="143" t="str">
        <f ca="1">OFFSET($R27,0,R$12+(COUNTIF($R27:R27,$C27)))</f>
        <v>WHT</v>
      </c>
      <c r="AA27" s="143" t="str">
        <f ca="1">OFFSET($R27,0,S$12+(COUNTIF($R27:S27,$C27)))</f>
        <v>BRN</v>
      </c>
      <c r="AB27" s="143" t="str">
        <f ca="1">OFFSET($R27,0,T$12+(COUNTIF($R27:T27,$C27)))</f>
        <v>ORG</v>
      </c>
      <c r="AC27" s="143" t="str">
        <f ca="1">OFFSET($R27,0,U$12+(COUNTIF($R27:U27,$C27)))</f>
        <v>BLU</v>
      </c>
      <c r="AD27" s="143" t="str">
        <f ca="1">OFFSET($R27,0,V$12+(COUNTIF($R27:V27,$C27)))</f>
        <v>GRN</v>
      </c>
      <c r="AE27" s="143" t="str">
        <f ca="1">OFFSET($R27,0,W$12+(COUNTIF($R27:W27,$C27)))</f>
        <v>YLW</v>
      </c>
      <c r="AF27" s="143" t="str">
        <f ca="1">OFFSET($R27,0,X$12+(COUNTIF($R27:X27,$C27)))</f>
        <v>PRP</v>
      </c>
      <c r="AG27" s="154" t="b">
        <f t="shared" si="9"/>
        <v>1</v>
      </c>
      <c r="AH27" s="154" t="b">
        <f t="shared" si="9"/>
        <v>1</v>
      </c>
      <c r="AJ27" s="916" t="s">
        <v>94</v>
      </c>
      <c r="AK27" s="916" t="s">
        <v>101</v>
      </c>
      <c r="AL27" s="916"/>
    </row>
    <row r="28" spans="1:38" ht="16.350000000000001" customHeight="1" x14ac:dyDescent="0.2">
      <c r="A28" s="983"/>
      <c r="B28" s="985"/>
      <c r="C28" s="595"/>
      <c r="D28" s="986"/>
      <c r="E28" s="1784"/>
      <c r="F28" s="1785"/>
      <c r="G28" s="1785"/>
      <c r="H28" s="1785"/>
      <c r="I28" s="1785"/>
      <c r="J28" s="1785"/>
      <c r="K28" s="1785"/>
      <c r="L28" s="1785"/>
      <c r="M28" s="1785"/>
      <c r="N28" s="1786"/>
      <c r="P28" s="399" t="str">
        <f t="shared" si="0"/>
        <v/>
      </c>
      <c r="R28" s="143" t="str">
        <f t="shared" ca="1" si="1"/>
        <v>WHT</v>
      </c>
      <c r="S28" s="143" t="str">
        <f t="shared" ca="1" si="2"/>
        <v>BRN</v>
      </c>
      <c r="T28" s="143" t="str">
        <f t="shared" ca="1" si="3"/>
        <v>ORG</v>
      </c>
      <c r="U28" s="143" t="str">
        <f t="shared" ca="1" si="4"/>
        <v>BLU</v>
      </c>
      <c r="V28" s="143" t="str">
        <f t="shared" ca="1" si="5"/>
        <v>GRN</v>
      </c>
      <c r="W28" s="143" t="str">
        <f t="shared" ca="1" si="6"/>
        <v>YLW</v>
      </c>
      <c r="X28" s="143" t="str">
        <f t="shared" ca="1" si="7"/>
        <v>PRP</v>
      </c>
      <c r="Y28" s="143" t="str">
        <f t="shared" ca="1" si="8"/>
        <v>RED</v>
      </c>
      <c r="Z28" s="143" t="str">
        <f ca="1">OFFSET($R28,0,R$12+(COUNTIF($R28:R28,$C28)))</f>
        <v>WHT</v>
      </c>
      <c r="AA28" s="143" t="str">
        <f ca="1">OFFSET($R28,0,S$12+(COUNTIF($R28:S28,$C28)))</f>
        <v>BRN</v>
      </c>
      <c r="AB28" s="143" t="str">
        <f ca="1">OFFSET($R28,0,T$12+(COUNTIF($R28:T28,$C28)))</f>
        <v>ORG</v>
      </c>
      <c r="AC28" s="143" t="str">
        <f ca="1">OFFSET($R28,0,U$12+(COUNTIF($R28:U28,$C28)))</f>
        <v>BLU</v>
      </c>
      <c r="AD28" s="143" t="str">
        <f ca="1">OFFSET($R28,0,V$12+(COUNTIF($R28:V28,$C28)))</f>
        <v>GRN</v>
      </c>
      <c r="AE28" s="143" t="str">
        <f ca="1">OFFSET($R28,0,W$12+(COUNTIF($R28:W28,$C28)))</f>
        <v>YLW</v>
      </c>
      <c r="AF28" s="143" t="str">
        <f ca="1">OFFSET($R28,0,X$12+(COUNTIF($R28:X28,$C28)))</f>
        <v>PRP</v>
      </c>
      <c r="AG28" s="154" t="b">
        <f t="shared" si="9"/>
        <v>1</v>
      </c>
      <c r="AH28" s="154" t="b">
        <f t="shared" si="9"/>
        <v>1</v>
      </c>
      <c r="AJ28" s="916" t="s">
        <v>95</v>
      </c>
      <c r="AK28" s="916" t="s">
        <v>100</v>
      </c>
      <c r="AL28" s="916"/>
    </row>
    <row r="29" spans="1:38" ht="16.350000000000001" customHeight="1" x14ac:dyDescent="0.2">
      <c r="A29" s="983"/>
      <c r="B29" s="985"/>
      <c r="C29" s="595"/>
      <c r="D29" s="986"/>
      <c r="E29" s="1784"/>
      <c r="F29" s="1785"/>
      <c r="G29" s="1785"/>
      <c r="H29" s="1785"/>
      <c r="I29" s="1785"/>
      <c r="J29" s="1785"/>
      <c r="K29" s="1785"/>
      <c r="L29" s="1785"/>
      <c r="M29" s="1785"/>
      <c r="N29" s="1786"/>
      <c r="P29" s="399" t="str">
        <f t="shared" si="0"/>
        <v/>
      </c>
      <c r="R29" s="143" t="str">
        <f t="shared" ca="1" si="1"/>
        <v>WHT</v>
      </c>
      <c r="S29" s="143" t="str">
        <f t="shared" ca="1" si="2"/>
        <v>BRN</v>
      </c>
      <c r="T29" s="143" t="str">
        <f t="shared" ca="1" si="3"/>
        <v>ORG</v>
      </c>
      <c r="U29" s="143" t="str">
        <f t="shared" ca="1" si="4"/>
        <v>BLU</v>
      </c>
      <c r="V29" s="143" t="str">
        <f t="shared" ca="1" si="5"/>
        <v>GRN</v>
      </c>
      <c r="W29" s="143" t="str">
        <f t="shared" ca="1" si="6"/>
        <v>YLW</v>
      </c>
      <c r="X29" s="143" t="str">
        <f t="shared" ca="1" si="7"/>
        <v>PRP</v>
      </c>
      <c r="Y29" s="143" t="str">
        <f t="shared" ca="1" si="8"/>
        <v>RED</v>
      </c>
      <c r="Z29" s="143" t="str">
        <f ca="1">OFFSET($R29,0,R$12+(COUNTIF($R29:R29,$C29)))</f>
        <v>WHT</v>
      </c>
      <c r="AA29" s="143" t="str">
        <f ca="1">OFFSET($R29,0,S$12+(COUNTIF($R29:S29,$C29)))</f>
        <v>BRN</v>
      </c>
      <c r="AB29" s="143" t="str">
        <f ca="1">OFFSET($R29,0,T$12+(COUNTIF($R29:T29,$C29)))</f>
        <v>ORG</v>
      </c>
      <c r="AC29" s="143" t="str">
        <f ca="1">OFFSET($R29,0,U$12+(COUNTIF($R29:U29,$C29)))</f>
        <v>BLU</v>
      </c>
      <c r="AD29" s="143" t="str">
        <f ca="1">OFFSET($R29,0,V$12+(COUNTIF($R29:V29,$C29)))</f>
        <v>GRN</v>
      </c>
      <c r="AE29" s="143" t="str">
        <f ca="1">OFFSET($R29,0,W$12+(COUNTIF($R29:W29,$C29)))</f>
        <v>YLW</v>
      </c>
      <c r="AF29" s="143" t="str">
        <f ca="1">OFFSET($R29,0,X$12+(COUNTIF($R29:X29,$C29)))</f>
        <v>PRP</v>
      </c>
      <c r="AG29" s="154" t="b">
        <f t="shared" ref="AG29:AH48" si="10">ISBLANK(B29)</f>
        <v>1</v>
      </c>
      <c r="AH29" s="154" t="b">
        <f t="shared" si="10"/>
        <v>1</v>
      </c>
      <c r="AJ29" s="916" t="s">
        <v>96</v>
      </c>
      <c r="AK29" s="916" t="s">
        <v>99</v>
      </c>
      <c r="AL29" s="916"/>
    </row>
    <row r="30" spans="1:38" ht="16.350000000000001" customHeight="1" x14ac:dyDescent="0.2">
      <c r="A30" s="983"/>
      <c r="B30" s="985"/>
      <c r="C30" s="595"/>
      <c r="D30" s="986"/>
      <c r="E30" s="1784"/>
      <c r="F30" s="1785"/>
      <c r="G30" s="1785"/>
      <c r="H30" s="1785"/>
      <c r="I30" s="1785"/>
      <c r="J30" s="1785"/>
      <c r="K30" s="1785"/>
      <c r="L30" s="1785"/>
      <c r="M30" s="1785"/>
      <c r="N30" s="1786"/>
      <c r="P30" s="399" t="str">
        <f t="shared" si="0"/>
        <v/>
      </c>
      <c r="R30" s="143" t="str">
        <f t="shared" ca="1" si="1"/>
        <v>WHT</v>
      </c>
      <c r="S30" s="143" t="str">
        <f t="shared" ca="1" si="2"/>
        <v>BRN</v>
      </c>
      <c r="T30" s="143" t="str">
        <f t="shared" ca="1" si="3"/>
        <v>ORG</v>
      </c>
      <c r="U30" s="143" t="str">
        <f t="shared" ca="1" si="4"/>
        <v>BLU</v>
      </c>
      <c r="V30" s="143" t="str">
        <f t="shared" ca="1" si="5"/>
        <v>GRN</v>
      </c>
      <c r="W30" s="143" t="str">
        <f t="shared" ca="1" si="6"/>
        <v>YLW</v>
      </c>
      <c r="X30" s="143" t="str">
        <f t="shared" ca="1" si="7"/>
        <v>PRP</v>
      </c>
      <c r="Y30" s="143" t="str">
        <f t="shared" ca="1" si="8"/>
        <v>RED</v>
      </c>
      <c r="Z30" s="143" t="str">
        <f ca="1">OFFSET($R30,0,R$12+(COUNTIF($R30:R30,$C30)))</f>
        <v>WHT</v>
      </c>
      <c r="AA30" s="143" t="str">
        <f ca="1">OFFSET($R30,0,S$12+(COUNTIF($R30:S30,$C30)))</f>
        <v>BRN</v>
      </c>
      <c r="AB30" s="143" t="str">
        <f ca="1">OFFSET($R30,0,T$12+(COUNTIF($R30:T30,$C30)))</f>
        <v>ORG</v>
      </c>
      <c r="AC30" s="143" t="str">
        <f ca="1">OFFSET($R30,0,U$12+(COUNTIF($R30:U30,$C30)))</f>
        <v>BLU</v>
      </c>
      <c r="AD30" s="143" t="str">
        <f ca="1">OFFSET($R30,0,V$12+(COUNTIF($R30:V30,$C30)))</f>
        <v>GRN</v>
      </c>
      <c r="AE30" s="143" t="str">
        <f ca="1">OFFSET($R30,0,W$12+(COUNTIF($R30:W30,$C30)))</f>
        <v>YLW</v>
      </c>
      <c r="AF30" s="143" t="str">
        <f ca="1">OFFSET($R30,0,X$12+(COUNTIF($R30:X30,$C30)))</f>
        <v>PRP</v>
      </c>
      <c r="AG30" s="154" t="b">
        <f t="shared" si="10"/>
        <v>1</v>
      </c>
      <c r="AH30" s="154" t="b">
        <f t="shared" si="10"/>
        <v>1</v>
      </c>
      <c r="AJ30" s="916" t="s">
        <v>97</v>
      </c>
      <c r="AK30" s="916" t="s">
        <v>98</v>
      </c>
      <c r="AL30" s="916"/>
    </row>
    <row r="31" spans="1:38" ht="16.350000000000001" customHeight="1" x14ac:dyDescent="0.2">
      <c r="A31" s="983"/>
      <c r="B31" s="985"/>
      <c r="C31" s="595"/>
      <c r="D31" s="986"/>
      <c r="E31" s="1784"/>
      <c r="F31" s="1785"/>
      <c r="G31" s="1785"/>
      <c r="H31" s="1785"/>
      <c r="I31" s="1785"/>
      <c r="J31" s="1785"/>
      <c r="K31" s="1785"/>
      <c r="L31" s="1785"/>
      <c r="M31" s="1785"/>
      <c r="N31" s="1786"/>
      <c r="P31" s="399" t="str">
        <f t="shared" si="0"/>
        <v/>
      </c>
      <c r="R31" s="143" t="str">
        <f t="shared" ca="1" si="1"/>
        <v>WHT</v>
      </c>
      <c r="S31" s="143" t="str">
        <f t="shared" ca="1" si="2"/>
        <v>BRN</v>
      </c>
      <c r="T31" s="143" t="str">
        <f t="shared" ca="1" si="3"/>
        <v>ORG</v>
      </c>
      <c r="U31" s="143" t="str">
        <f t="shared" ca="1" si="4"/>
        <v>BLU</v>
      </c>
      <c r="V31" s="143" t="str">
        <f t="shared" ca="1" si="5"/>
        <v>GRN</v>
      </c>
      <c r="W31" s="143" t="str">
        <f t="shared" ca="1" si="6"/>
        <v>YLW</v>
      </c>
      <c r="X31" s="143" t="str">
        <f t="shared" ca="1" si="7"/>
        <v>PRP</v>
      </c>
      <c r="Y31" s="143" t="str">
        <f t="shared" ca="1" si="8"/>
        <v>RED</v>
      </c>
      <c r="Z31" s="143" t="str">
        <f ca="1">OFFSET($R31,0,R$12+(COUNTIF($R31:R31,$C31)))</f>
        <v>WHT</v>
      </c>
      <c r="AA31" s="143" t="str">
        <f ca="1">OFFSET($R31,0,S$12+(COUNTIF($R31:S31,$C31)))</f>
        <v>BRN</v>
      </c>
      <c r="AB31" s="143" t="str">
        <f ca="1">OFFSET($R31,0,T$12+(COUNTIF($R31:T31,$C31)))</f>
        <v>ORG</v>
      </c>
      <c r="AC31" s="143" t="str">
        <f ca="1">OFFSET($R31,0,U$12+(COUNTIF($R31:U31,$C31)))</f>
        <v>BLU</v>
      </c>
      <c r="AD31" s="143" t="str">
        <f ca="1">OFFSET($R31,0,V$12+(COUNTIF($R31:V31,$C31)))</f>
        <v>GRN</v>
      </c>
      <c r="AE31" s="143" t="str">
        <f ca="1">OFFSET($R31,0,W$12+(COUNTIF($R31:W31,$C31)))</f>
        <v>YLW</v>
      </c>
      <c r="AF31" s="143" t="str">
        <f ca="1">OFFSET($R31,0,X$12+(COUNTIF($R31:X31,$C31)))</f>
        <v>PRP</v>
      </c>
      <c r="AG31" s="154" t="b">
        <f t="shared" si="10"/>
        <v>1</v>
      </c>
      <c r="AH31" s="154" t="b">
        <f t="shared" si="10"/>
        <v>1</v>
      </c>
      <c r="AJ31" s="916" t="s">
        <v>93</v>
      </c>
      <c r="AK31" s="916" t="s">
        <v>94</v>
      </c>
      <c r="AL31" s="916"/>
    </row>
    <row r="32" spans="1:38" ht="16.350000000000001" customHeight="1" x14ac:dyDescent="0.2">
      <c r="A32" s="983"/>
      <c r="B32" s="985"/>
      <c r="C32" s="595"/>
      <c r="D32" s="986"/>
      <c r="E32" s="1784"/>
      <c r="F32" s="1785"/>
      <c r="G32" s="1785"/>
      <c r="H32" s="1785"/>
      <c r="I32" s="1785"/>
      <c r="J32" s="1785"/>
      <c r="K32" s="1785"/>
      <c r="L32" s="1785"/>
      <c r="M32" s="1785"/>
      <c r="N32" s="1786"/>
      <c r="P32" s="399" t="str">
        <f t="shared" si="0"/>
        <v/>
      </c>
      <c r="R32" s="143" t="str">
        <f t="shared" ca="1" si="1"/>
        <v>WHT</v>
      </c>
      <c r="S32" s="143" t="str">
        <f t="shared" ca="1" si="2"/>
        <v>BRN</v>
      </c>
      <c r="T32" s="143" t="str">
        <f t="shared" ca="1" si="3"/>
        <v>ORG</v>
      </c>
      <c r="U32" s="143" t="str">
        <f t="shared" ca="1" si="4"/>
        <v>BLU</v>
      </c>
      <c r="V32" s="143" t="str">
        <f t="shared" ca="1" si="5"/>
        <v>GRN</v>
      </c>
      <c r="W32" s="143" t="str">
        <f t="shared" ca="1" si="6"/>
        <v>YLW</v>
      </c>
      <c r="X32" s="143" t="str">
        <f t="shared" ca="1" si="7"/>
        <v>PRP</v>
      </c>
      <c r="Y32" s="143" t="str">
        <f t="shared" ca="1" si="8"/>
        <v>RED</v>
      </c>
      <c r="Z32" s="143" t="str">
        <f ca="1">OFFSET($R32,0,R$12+(COUNTIF($R32:R32,$C32)))</f>
        <v>WHT</v>
      </c>
      <c r="AA32" s="143" t="str">
        <f ca="1">OFFSET($R32,0,S$12+(COUNTIF($R32:S32,$C32)))</f>
        <v>BRN</v>
      </c>
      <c r="AB32" s="143" t="str">
        <f ca="1">OFFSET($R32,0,T$12+(COUNTIF($R32:T32,$C32)))</f>
        <v>ORG</v>
      </c>
      <c r="AC32" s="143" t="str">
        <f ca="1">OFFSET($R32,0,U$12+(COUNTIF($R32:U32,$C32)))</f>
        <v>BLU</v>
      </c>
      <c r="AD32" s="143" t="str">
        <f ca="1">OFFSET($R32,0,V$12+(COUNTIF($R32:V32,$C32)))</f>
        <v>GRN</v>
      </c>
      <c r="AE32" s="143" t="str">
        <f ca="1">OFFSET($R32,0,W$12+(COUNTIF($R32:W32,$C32)))</f>
        <v>YLW</v>
      </c>
      <c r="AF32" s="143" t="str">
        <f ca="1">OFFSET($R32,0,X$12+(COUNTIF($R32:X32,$C32)))</f>
        <v>PRP</v>
      </c>
      <c r="AG32" s="154" t="b">
        <f t="shared" si="10"/>
        <v>1</v>
      </c>
      <c r="AH32" s="154" t="b">
        <f t="shared" si="10"/>
        <v>1</v>
      </c>
      <c r="AJ32" s="916" t="s">
        <v>95</v>
      </c>
      <c r="AK32" s="916" t="s">
        <v>96</v>
      </c>
      <c r="AL32" s="916"/>
    </row>
    <row r="33" spans="1:38" ht="16.350000000000001" customHeight="1" x14ac:dyDescent="0.2">
      <c r="A33" s="983"/>
      <c r="B33" s="985"/>
      <c r="C33" s="595"/>
      <c r="D33" s="986"/>
      <c r="E33" s="1784"/>
      <c r="F33" s="1785"/>
      <c r="G33" s="1785"/>
      <c r="H33" s="1785"/>
      <c r="I33" s="1785"/>
      <c r="J33" s="1785"/>
      <c r="K33" s="1785"/>
      <c r="L33" s="1785"/>
      <c r="M33" s="1785"/>
      <c r="N33" s="1786"/>
      <c r="P33" s="399" t="str">
        <f t="shared" si="0"/>
        <v/>
      </c>
      <c r="R33" s="143" t="str">
        <f t="shared" ca="1" si="1"/>
        <v>WHT</v>
      </c>
      <c r="S33" s="143" t="str">
        <f t="shared" ca="1" si="2"/>
        <v>BRN</v>
      </c>
      <c r="T33" s="143" t="str">
        <f t="shared" ca="1" si="3"/>
        <v>ORG</v>
      </c>
      <c r="U33" s="143" t="str">
        <f t="shared" ca="1" si="4"/>
        <v>BLU</v>
      </c>
      <c r="V33" s="143" t="str">
        <f t="shared" ca="1" si="5"/>
        <v>GRN</v>
      </c>
      <c r="W33" s="143" t="str">
        <f t="shared" ca="1" si="6"/>
        <v>YLW</v>
      </c>
      <c r="X33" s="143" t="str">
        <f t="shared" ca="1" si="7"/>
        <v>PRP</v>
      </c>
      <c r="Y33" s="143" t="str">
        <f t="shared" ca="1" si="8"/>
        <v>RED</v>
      </c>
      <c r="Z33" s="143" t="str">
        <f ca="1">OFFSET($R33,0,R$12+(COUNTIF($R33:R33,$C33)))</f>
        <v>WHT</v>
      </c>
      <c r="AA33" s="143" t="str">
        <f ca="1">OFFSET($R33,0,S$12+(COUNTIF($R33:S33,$C33)))</f>
        <v>BRN</v>
      </c>
      <c r="AB33" s="143" t="str">
        <f ca="1">OFFSET($R33,0,T$12+(COUNTIF($R33:T33,$C33)))</f>
        <v>ORG</v>
      </c>
      <c r="AC33" s="143" t="str">
        <f ca="1">OFFSET($R33,0,U$12+(COUNTIF($R33:U33,$C33)))</f>
        <v>BLU</v>
      </c>
      <c r="AD33" s="143" t="str">
        <f ca="1">OFFSET($R33,0,V$12+(COUNTIF($R33:V33,$C33)))</f>
        <v>GRN</v>
      </c>
      <c r="AE33" s="143" t="str">
        <f ca="1">OFFSET($R33,0,W$12+(COUNTIF($R33:W33,$C33)))</f>
        <v>YLW</v>
      </c>
      <c r="AF33" s="143" t="str">
        <f ca="1">OFFSET($R33,0,X$12+(COUNTIF($R33:X33,$C33)))</f>
        <v>PRP</v>
      </c>
      <c r="AG33" s="154" t="b">
        <f t="shared" si="10"/>
        <v>1</v>
      </c>
      <c r="AH33" s="154" t="b">
        <f t="shared" si="10"/>
        <v>1</v>
      </c>
      <c r="AJ33" s="916" t="s">
        <v>98</v>
      </c>
      <c r="AK33" s="916" t="s">
        <v>99</v>
      </c>
      <c r="AL33" s="916"/>
    </row>
    <row r="34" spans="1:38" ht="16.350000000000001" customHeight="1" x14ac:dyDescent="0.2">
      <c r="A34" s="983"/>
      <c r="B34" s="985"/>
      <c r="C34" s="595"/>
      <c r="D34" s="986"/>
      <c r="E34" s="1784"/>
      <c r="F34" s="1785"/>
      <c r="G34" s="1785"/>
      <c r="H34" s="1785"/>
      <c r="I34" s="1785"/>
      <c r="J34" s="1785"/>
      <c r="K34" s="1785"/>
      <c r="L34" s="1785"/>
      <c r="M34" s="1785"/>
      <c r="N34" s="1786"/>
      <c r="P34" s="399" t="str">
        <f t="shared" si="0"/>
        <v/>
      </c>
      <c r="R34" s="143" t="str">
        <f t="shared" ca="1" si="1"/>
        <v>WHT</v>
      </c>
      <c r="S34" s="143" t="str">
        <f t="shared" ca="1" si="2"/>
        <v>BRN</v>
      </c>
      <c r="T34" s="143" t="str">
        <f t="shared" ca="1" si="3"/>
        <v>ORG</v>
      </c>
      <c r="U34" s="143" t="str">
        <f t="shared" ca="1" si="4"/>
        <v>BLU</v>
      </c>
      <c r="V34" s="143" t="str">
        <f t="shared" ca="1" si="5"/>
        <v>GRN</v>
      </c>
      <c r="W34" s="143" t="str">
        <f t="shared" ca="1" si="6"/>
        <v>YLW</v>
      </c>
      <c r="X34" s="143" t="str">
        <f t="shared" ca="1" si="7"/>
        <v>PRP</v>
      </c>
      <c r="Y34" s="143" t="str">
        <f t="shared" ca="1" si="8"/>
        <v>RED</v>
      </c>
      <c r="Z34" s="143" t="str">
        <f ca="1">OFFSET($R34,0,R$12+(COUNTIF($R34:R34,$C34)))</f>
        <v>WHT</v>
      </c>
      <c r="AA34" s="143" t="str">
        <f ca="1">OFFSET($R34,0,S$12+(COUNTIF($R34:S34,$C34)))</f>
        <v>BRN</v>
      </c>
      <c r="AB34" s="143" t="str">
        <f ca="1">OFFSET($R34,0,T$12+(COUNTIF($R34:T34,$C34)))</f>
        <v>ORG</v>
      </c>
      <c r="AC34" s="143" t="str">
        <f ca="1">OFFSET($R34,0,U$12+(COUNTIF($R34:U34,$C34)))</f>
        <v>BLU</v>
      </c>
      <c r="AD34" s="143" t="str">
        <f ca="1">OFFSET($R34,0,V$12+(COUNTIF($R34:V34,$C34)))</f>
        <v>GRN</v>
      </c>
      <c r="AE34" s="143" t="str">
        <f ca="1">OFFSET($R34,0,W$12+(COUNTIF($R34:W34,$C34)))</f>
        <v>YLW</v>
      </c>
      <c r="AF34" s="143" t="str">
        <f ca="1">OFFSET($R34,0,X$12+(COUNTIF($R34:X34,$C34)))</f>
        <v>PRP</v>
      </c>
      <c r="AG34" s="154" t="b">
        <f t="shared" si="10"/>
        <v>1</v>
      </c>
      <c r="AH34" s="154" t="b">
        <f t="shared" si="10"/>
        <v>1</v>
      </c>
      <c r="AJ34" s="916" t="s">
        <v>100</v>
      </c>
      <c r="AK34" s="916" t="s">
        <v>101</v>
      </c>
      <c r="AL34" s="916"/>
    </row>
    <row r="35" spans="1:38" ht="16.350000000000001" customHeight="1" x14ac:dyDescent="0.2">
      <c r="A35" s="983"/>
      <c r="B35" s="985"/>
      <c r="C35" s="595"/>
      <c r="D35" s="986"/>
      <c r="E35" s="1763"/>
      <c r="F35" s="1764"/>
      <c r="G35" s="1765"/>
      <c r="H35" s="1765"/>
      <c r="I35" s="1765"/>
      <c r="J35" s="1765"/>
      <c r="K35" s="1765"/>
      <c r="L35" s="1765"/>
      <c r="M35" s="1765"/>
      <c r="N35" s="1766"/>
      <c r="P35" s="399" t="str">
        <f t="shared" si="0"/>
        <v/>
      </c>
      <c r="R35" s="143" t="str">
        <f t="shared" ca="1" si="1"/>
        <v>WHT</v>
      </c>
      <c r="S35" s="143" t="str">
        <f t="shared" ca="1" si="2"/>
        <v>BRN</v>
      </c>
      <c r="T35" s="143" t="str">
        <f t="shared" ca="1" si="3"/>
        <v>ORG</v>
      </c>
      <c r="U35" s="143" t="str">
        <f t="shared" ca="1" si="4"/>
        <v>BLU</v>
      </c>
      <c r="V35" s="143" t="str">
        <f t="shared" ca="1" si="5"/>
        <v>GRN</v>
      </c>
      <c r="W35" s="143" t="str">
        <f t="shared" ca="1" si="6"/>
        <v>YLW</v>
      </c>
      <c r="X35" s="143" t="str">
        <f t="shared" ca="1" si="7"/>
        <v>PRP</v>
      </c>
      <c r="Y35" s="143" t="str">
        <f t="shared" ca="1" si="8"/>
        <v>RED</v>
      </c>
      <c r="Z35" s="143" t="str">
        <f ca="1">OFFSET($R35,0,R$12+(COUNTIF($R35:R35,$C35)))</f>
        <v>WHT</v>
      </c>
      <c r="AA35" s="143" t="str">
        <f ca="1">OFFSET($R35,0,S$12+(COUNTIF($R35:S35,$C35)))</f>
        <v>BRN</v>
      </c>
      <c r="AB35" s="143" t="str">
        <f ca="1">OFFSET($R35,0,T$12+(COUNTIF($R35:T35,$C35)))</f>
        <v>ORG</v>
      </c>
      <c r="AC35" s="143" t="str">
        <f ca="1">OFFSET($R35,0,U$12+(COUNTIF($R35:U35,$C35)))</f>
        <v>BLU</v>
      </c>
      <c r="AD35" s="143" t="str">
        <f ca="1">OFFSET($R35,0,V$12+(COUNTIF($R35:V35,$C35)))</f>
        <v>GRN</v>
      </c>
      <c r="AE35" s="143" t="str">
        <f ca="1">OFFSET($R35,0,W$12+(COUNTIF($R35:W35,$C35)))</f>
        <v>YLW</v>
      </c>
      <c r="AF35" s="143" t="str">
        <f ca="1">OFFSET($R35,0,X$12+(COUNTIF($R35:X35,$C35)))</f>
        <v>PRP</v>
      </c>
      <c r="AG35" s="154" t="b">
        <f t="shared" si="10"/>
        <v>1</v>
      </c>
      <c r="AH35" s="154" t="b">
        <f t="shared" si="10"/>
        <v>1</v>
      </c>
      <c r="AJ35" s="916" t="s">
        <v>94</v>
      </c>
      <c r="AK35" s="916" t="s">
        <v>97</v>
      </c>
      <c r="AL35" s="916"/>
    </row>
    <row r="36" spans="1:38" ht="16.350000000000001" customHeight="1" x14ac:dyDescent="0.2">
      <c r="A36" s="983"/>
      <c r="B36" s="985"/>
      <c r="C36" s="595"/>
      <c r="D36" s="986"/>
      <c r="E36" s="1763"/>
      <c r="F36" s="1764"/>
      <c r="G36" s="1765"/>
      <c r="H36" s="1765"/>
      <c r="I36" s="1765"/>
      <c r="J36" s="1765"/>
      <c r="K36" s="1765"/>
      <c r="L36" s="1765"/>
      <c r="M36" s="1765"/>
      <c r="N36" s="1766"/>
      <c r="P36" s="399" t="str">
        <f t="shared" si="0"/>
        <v/>
      </c>
      <c r="R36" s="143" t="str">
        <f t="shared" ca="1" si="1"/>
        <v>WHT</v>
      </c>
      <c r="S36" s="143" t="str">
        <f t="shared" ca="1" si="2"/>
        <v>BRN</v>
      </c>
      <c r="T36" s="143" t="str">
        <f t="shared" ca="1" si="3"/>
        <v>ORG</v>
      </c>
      <c r="U36" s="143" t="str">
        <f t="shared" ca="1" si="4"/>
        <v>BLU</v>
      </c>
      <c r="V36" s="143" t="str">
        <f t="shared" ca="1" si="5"/>
        <v>GRN</v>
      </c>
      <c r="W36" s="143" t="str">
        <f t="shared" ca="1" si="6"/>
        <v>YLW</v>
      </c>
      <c r="X36" s="143" t="str">
        <f t="shared" ca="1" si="7"/>
        <v>PRP</v>
      </c>
      <c r="Y36" s="143" t="str">
        <f t="shared" ca="1" si="8"/>
        <v>RED</v>
      </c>
      <c r="Z36" s="143" t="str">
        <f ca="1">OFFSET($R36,0,R$12+(COUNTIF($R36:R36,$C36)))</f>
        <v>WHT</v>
      </c>
      <c r="AA36" s="143" t="str">
        <f ca="1">OFFSET($R36,0,S$12+(COUNTIF($R36:S36,$C36)))</f>
        <v>BRN</v>
      </c>
      <c r="AB36" s="143" t="str">
        <f ca="1">OFFSET($R36,0,T$12+(COUNTIF($R36:T36,$C36)))</f>
        <v>ORG</v>
      </c>
      <c r="AC36" s="143" t="str">
        <f ca="1">OFFSET($R36,0,U$12+(COUNTIF($R36:U36,$C36)))</f>
        <v>BLU</v>
      </c>
      <c r="AD36" s="143" t="str">
        <f ca="1">OFFSET($R36,0,V$12+(COUNTIF($R36:V36,$C36)))</f>
        <v>GRN</v>
      </c>
      <c r="AE36" s="143" t="str">
        <f ca="1">OFFSET($R36,0,W$12+(COUNTIF($R36:W36,$C36)))</f>
        <v>YLW</v>
      </c>
      <c r="AF36" s="143" t="str">
        <f ca="1">OFFSET($R36,0,X$12+(COUNTIF($R36:X36,$C36)))</f>
        <v>PRP</v>
      </c>
      <c r="AG36" s="154" t="b">
        <f t="shared" si="10"/>
        <v>1</v>
      </c>
      <c r="AH36" s="154" t="b">
        <f t="shared" si="10"/>
        <v>1</v>
      </c>
      <c r="AJ36" s="916" t="s">
        <v>96</v>
      </c>
      <c r="AK36" s="916" t="s">
        <v>100</v>
      </c>
      <c r="AL36" s="916"/>
    </row>
    <row r="37" spans="1:38" ht="16.350000000000001" customHeight="1" x14ac:dyDescent="0.2">
      <c r="A37" s="983"/>
      <c r="B37" s="985"/>
      <c r="C37" s="595"/>
      <c r="D37" s="986"/>
      <c r="E37" s="1763"/>
      <c r="F37" s="1764"/>
      <c r="G37" s="1765"/>
      <c r="H37" s="1765"/>
      <c r="I37" s="1765"/>
      <c r="J37" s="1765"/>
      <c r="K37" s="1765"/>
      <c r="L37" s="1765"/>
      <c r="M37" s="1765"/>
      <c r="N37" s="1766"/>
      <c r="P37" s="399" t="str">
        <f t="shared" si="0"/>
        <v/>
      </c>
      <c r="R37" s="143" t="str">
        <f t="shared" ca="1" si="1"/>
        <v>WHT</v>
      </c>
      <c r="S37" s="143" t="str">
        <f t="shared" ca="1" si="2"/>
        <v>BRN</v>
      </c>
      <c r="T37" s="143" t="str">
        <f t="shared" ca="1" si="3"/>
        <v>ORG</v>
      </c>
      <c r="U37" s="143" t="str">
        <f t="shared" ca="1" si="4"/>
        <v>BLU</v>
      </c>
      <c r="V37" s="143" t="str">
        <f t="shared" ca="1" si="5"/>
        <v>GRN</v>
      </c>
      <c r="W37" s="143" t="str">
        <f t="shared" ca="1" si="6"/>
        <v>YLW</v>
      </c>
      <c r="X37" s="143" t="str">
        <f t="shared" ca="1" si="7"/>
        <v>PRP</v>
      </c>
      <c r="Y37" s="143" t="str">
        <f t="shared" ca="1" si="8"/>
        <v>RED</v>
      </c>
      <c r="Z37" s="143" t="str">
        <f ca="1">OFFSET($R37,0,R$12+(COUNTIF($R37:R37,$C37)))</f>
        <v>WHT</v>
      </c>
      <c r="AA37" s="143" t="str">
        <f ca="1">OFFSET($R37,0,S$12+(COUNTIF($R37:S37,$C37)))</f>
        <v>BRN</v>
      </c>
      <c r="AB37" s="143" t="str">
        <f ca="1">OFFSET($R37,0,T$12+(COUNTIF($R37:T37,$C37)))</f>
        <v>ORG</v>
      </c>
      <c r="AC37" s="143" t="str">
        <f ca="1">OFFSET($R37,0,U$12+(COUNTIF($R37:U37,$C37)))</f>
        <v>BLU</v>
      </c>
      <c r="AD37" s="143" t="str">
        <f ca="1">OFFSET($R37,0,V$12+(COUNTIF($R37:V37,$C37)))</f>
        <v>GRN</v>
      </c>
      <c r="AE37" s="143" t="str">
        <f ca="1">OFFSET($R37,0,W$12+(COUNTIF($R37:W37,$C37)))</f>
        <v>YLW</v>
      </c>
      <c r="AF37" s="143" t="str">
        <f ca="1">OFFSET($R37,0,X$12+(COUNTIF($R37:X37,$C37)))</f>
        <v>PRP</v>
      </c>
      <c r="AG37" s="154" t="b">
        <f t="shared" si="10"/>
        <v>1</v>
      </c>
      <c r="AH37" s="154" t="b">
        <f t="shared" si="10"/>
        <v>1</v>
      </c>
      <c r="AJ37" s="916" t="s">
        <v>97</v>
      </c>
      <c r="AK37" s="916" t="s">
        <v>99</v>
      </c>
      <c r="AL37" s="916"/>
    </row>
    <row r="38" spans="1:38" ht="16.350000000000001" customHeight="1" x14ac:dyDescent="0.2">
      <c r="A38" s="983"/>
      <c r="B38" s="985"/>
      <c r="C38" s="595"/>
      <c r="D38" s="986"/>
      <c r="E38" s="1763"/>
      <c r="F38" s="1764"/>
      <c r="G38" s="1765"/>
      <c r="H38" s="1765"/>
      <c r="I38" s="1765"/>
      <c r="J38" s="1765"/>
      <c r="K38" s="1765"/>
      <c r="L38" s="1765"/>
      <c r="M38" s="1765"/>
      <c r="N38" s="1766"/>
      <c r="P38" s="399" t="str">
        <f t="shared" si="0"/>
        <v/>
      </c>
      <c r="R38" s="143" t="str">
        <f t="shared" ca="1" si="1"/>
        <v>WHT</v>
      </c>
      <c r="S38" s="143" t="str">
        <f t="shared" ca="1" si="2"/>
        <v>BRN</v>
      </c>
      <c r="T38" s="143" t="str">
        <f t="shared" ca="1" si="3"/>
        <v>ORG</v>
      </c>
      <c r="U38" s="143" t="str">
        <f t="shared" ca="1" si="4"/>
        <v>BLU</v>
      </c>
      <c r="V38" s="143" t="str">
        <f t="shared" ca="1" si="5"/>
        <v>GRN</v>
      </c>
      <c r="W38" s="143" t="str">
        <f t="shared" ca="1" si="6"/>
        <v>YLW</v>
      </c>
      <c r="X38" s="143" t="str">
        <f t="shared" ca="1" si="7"/>
        <v>PRP</v>
      </c>
      <c r="Y38" s="143" t="str">
        <f t="shared" ca="1" si="8"/>
        <v>RED</v>
      </c>
      <c r="Z38" s="143" t="str">
        <f ca="1">OFFSET($R38,0,R$12+(COUNTIF($R38:R38,$C38)))</f>
        <v>WHT</v>
      </c>
      <c r="AA38" s="143" t="str">
        <f ca="1">OFFSET($R38,0,S$12+(COUNTIF($R38:S38,$C38)))</f>
        <v>BRN</v>
      </c>
      <c r="AB38" s="143" t="str">
        <f ca="1">OFFSET($R38,0,T$12+(COUNTIF($R38:T38,$C38)))</f>
        <v>ORG</v>
      </c>
      <c r="AC38" s="143" t="str">
        <f ca="1">OFFSET($R38,0,U$12+(COUNTIF($R38:U38,$C38)))</f>
        <v>BLU</v>
      </c>
      <c r="AD38" s="143" t="str">
        <f ca="1">OFFSET($R38,0,V$12+(COUNTIF($R38:V38,$C38)))</f>
        <v>GRN</v>
      </c>
      <c r="AE38" s="143" t="str">
        <f ca="1">OFFSET($R38,0,W$12+(COUNTIF($R38:W38,$C38)))</f>
        <v>YLW</v>
      </c>
      <c r="AF38" s="143" t="str">
        <f ca="1">OFFSET($R38,0,X$12+(COUNTIF($R38:X38,$C38)))</f>
        <v>PRP</v>
      </c>
      <c r="AG38" s="154" t="b">
        <f t="shared" si="10"/>
        <v>1</v>
      </c>
      <c r="AH38" s="154" t="b">
        <f t="shared" si="10"/>
        <v>1</v>
      </c>
      <c r="AJ38" s="916" t="s">
        <v>98</v>
      </c>
      <c r="AK38" s="916" t="s">
        <v>93</v>
      </c>
      <c r="AL38" s="916"/>
    </row>
    <row r="39" spans="1:38" ht="16.350000000000001" customHeight="1" x14ac:dyDescent="0.2">
      <c r="A39" s="983"/>
      <c r="B39" s="985"/>
      <c r="C39" s="595"/>
      <c r="D39" s="986"/>
      <c r="E39" s="1763"/>
      <c r="F39" s="1764"/>
      <c r="G39" s="1765"/>
      <c r="H39" s="1765"/>
      <c r="I39" s="1765"/>
      <c r="J39" s="1765"/>
      <c r="K39" s="1765"/>
      <c r="L39" s="1765"/>
      <c r="M39" s="1765"/>
      <c r="N39" s="1766"/>
      <c r="P39" s="399" t="str">
        <f t="shared" si="0"/>
        <v/>
      </c>
      <c r="R39" s="143" t="str">
        <f t="shared" ca="1" si="1"/>
        <v>WHT</v>
      </c>
      <c r="S39" s="143" t="str">
        <f t="shared" ca="1" si="2"/>
        <v>BRN</v>
      </c>
      <c r="T39" s="143" t="str">
        <f t="shared" ca="1" si="3"/>
        <v>ORG</v>
      </c>
      <c r="U39" s="143" t="str">
        <f t="shared" ca="1" si="4"/>
        <v>BLU</v>
      </c>
      <c r="V39" s="143" t="str">
        <f t="shared" ca="1" si="5"/>
        <v>GRN</v>
      </c>
      <c r="W39" s="143" t="str">
        <f t="shared" ca="1" si="6"/>
        <v>YLW</v>
      </c>
      <c r="X39" s="143" t="str">
        <f t="shared" ca="1" si="7"/>
        <v>PRP</v>
      </c>
      <c r="Y39" s="143" t="str">
        <f t="shared" ca="1" si="8"/>
        <v>RED</v>
      </c>
      <c r="Z39" s="143" t="str">
        <f ca="1">OFFSET($R39,0,R$12+(COUNTIF($R39:R39,$C39)))</f>
        <v>WHT</v>
      </c>
      <c r="AA39" s="143" t="str">
        <f ca="1">OFFSET($R39,0,S$12+(COUNTIF($R39:S39,$C39)))</f>
        <v>BRN</v>
      </c>
      <c r="AB39" s="143" t="str">
        <f ca="1">OFFSET($R39,0,T$12+(COUNTIF($R39:T39,$C39)))</f>
        <v>ORG</v>
      </c>
      <c r="AC39" s="143" t="str">
        <f ca="1">OFFSET($R39,0,U$12+(COUNTIF($R39:U39,$C39)))</f>
        <v>BLU</v>
      </c>
      <c r="AD39" s="143" t="str">
        <f ca="1">OFFSET($R39,0,V$12+(COUNTIF($R39:V39,$C39)))</f>
        <v>GRN</v>
      </c>
      <c r="AE39" s="143" t="str">
        <f ca="1">OFFSET($R39,0,W$12+(COUNTIF($R39:W39,$C39)))</f>
        <v>YLW</v>
      </c>
      <c r="AF39" s="143" t="str">
        <f ca="1">OFFSET($R39,0,X$12+(COUNTIF($R39:X39,$C39)))</f>
        <v>PRP</v>
      </c>
      <c r="AG39" s="154" t="b">
        <f t="shared" si="10"/>
        <v>1</v>
      </c>
      <c r="AH39" s="154" t="b">
        <f t="shared" si="10"/>
        <v>1</v>
      </c>
      <c r="AJ39" s="916" t="s">
        <v>99</v>
      </c>
      <c r="AK39" s="916" t="s">
        <v>94</v>
      </c>
      <c r="AL39" s="916"/>
    </row>
    <row r="40" spans="1:38" ht="16.350000000000001" customHeight="1" x14ac:dyDescent="0.2">
      <c r="A40" s="983"/>
      <c r="B40" s="985"/>
      <c r="C40" s="595"/>
      <c r="D40" s="986"/>
      <c r="E40" s="1763"/>
      <c r="F40" s="1764"/>
      <c r="G40" s="1765"/>
      <c r="H40" s="1765"/>
      <c r="I40" s="1765"/>
      <c r="J40" s="1765"/>
      <c r="K40" s="1765"/>
      <c r="L40" s="1765"/>
      <c r="M40" s="1765"/>
      <c r="N40" s="1766"/>
      <c r="P40" s="399" t="str">
        <f t="shared" si="0"/>
        <v/>
      </c>
      <c r="R40" s="143" t="str">
        <f t="shared" ca="1" si="1"/>
        <v>WHT</v>
      </c>
      <c r="S40" s="143" t="str">
        <f t="shared" ca="1" si="2"/>
        <v>BRN</v>
      </c>
      <c r="T40" s="143" t="str">
        <f t="shared" ca="1" si="3"/>
        <v>ORG</v>
      </c>
      <c r="U40" s="143" t="str">
        <f t="shared" ca="1" si="4"/>
        <v>BLU</v>
      </c>
      <c r="V40" s="143" t="str">
        <f t="shared" ca="1" si="5"/>
        <v>GRN</v>
      </c>
      <c r="W40" s="143" t="str">
        <f t="shared" ca="1" si="6"/>
        <v>YLW</v>
      </c>
      <c r="X40" s="143" t="str">
        <f t="shared" ca="1" si="7"/>
        <v>PRP</v>
      </c>
      <c r="Y40" s="143" t="str">
        <f t="shared" ca="1" si="8"/>
        <v>RED</v>
      </c>
      <c r="Z40" s="143" t="str">
        <f ca="1">OFFSET($R40,0,R$12+(COUNTIF($R40:R40,$C40)))</f>
        <v>WHT</v>
      </c>
      <c r="AA40" s="143" t="str">
        <f ca="1">OFFSET($R40,0,S$12+(COUNTIF($R40:S40,$C40)))</f>
        <v>BRN</v>
      </c>
      <c r="AB40" s="143" t="str">
        <f ca="1">OFFSET($R40,0,T$12+(COUNTIF($R40:T40,$C40)))</f>
        <v>ORG</v>
      </c>
      <c r="AC40" s="143" t="str">
        <f ca="1">OFFSET($R40,0,U$12+(COUNTIF($R40:U40,$C40)))</f>
        <v>BLU</v>
      </c>
      <c r="AD40" s="143" t="str">
        <f ca="1">OFFSET($R40,0,V$12+(COUNTIF($R40:V40,$C40)))</f>
        <v>GRN</v>
      </c>
      <c r="AE40" s="143" t="str">
        <f ca="1">OFFSET($R40,0,W$12+(COUNTIF($R40:W40,$C40)))</f>
        <v>YLW</v>
      </c>
      <c r="AF40" s="143" t="str">
        <f ca="1">OFFSET($R40,0,X$12+(COUNTIF($R40:X40,$C40)))</f>
        <v>PRP</v>
      </c>
      <c r="AG40" s="154" t="b">
        <f t="shared" si="10"/>
        <v>1</v>
      </c>
      <c r="AH40" s="154" t="b">
        <f t="shared" si="10"/>
        <v>1</v>
      </c>
      <c r="AJ40" s="916" t="s">
        <v>96</v>
      </c>
      <c r="AK40" s="916" t="s">
        <v>101</v>
      </c>
      <c r="AL40" s="916"/>
    </row>
    <row r="41" spans="1:38" ht="16.350000000000001" customHeight="1" x14ac:dyDescent="0.2">
      <c r="A41" s="983"/>
      <c r="B41" s="985"/>
      <c r="C41" s="595"/>
      <c r="D41" s="986"/>
      <c r="E41" s="1763"/>
      <c r="F41" s="1764"/>
      <c r="G41" s="1765"/>
      <c r="H41" s="1765"/>
      <c r="I41" s="1765"/>
      <c r="J41" s="1765"/>
      <c r="K41" s="1765"/>
      <c r="L41" s="1765"/>
      <c r="M41" s="1765"/>
      <c r="N41" s="1766"/>
      <c r="P41" s="399" t="str">
        <f t="shared" si="0"/>
        <v/>
      </c>
      <c r="R41" s="143" t="str">
        <f t="shared" ca="1" si="1"/>
        <v>WHT</v>
      </c>
      <c r="S41" s="143" t="str">
        <f t="shared" ca="1" si="2"/>
        <v>BRN</v>
      </c>
      <c r="T41" s="143" t="str">
        <f t="shared" ca="1" si="3"/>
        <v>ORG</v>
      </c>
      <c r="U41" s="143" t="str">
        <f t="shared" ca="1" si="4"/>
        <v>BLU</v>
      </c>
      <c r="V41" s="143" t="str">
        <f t="shared" ca="1" si="5"/>
        <v>GRN</v>
      </c>
      <c r="W41" s="143" t="str">
        <f t="shared" ca="1" si="6"/>
        <v>YLW</v>
      </c>
      <c r="X41" s="143" t="str">
        <f t="shared" ca="1" si="7"/>
        <v>PRP</v>
      </c>
      <c r="Y41" s="143" t="str">
        <f t="shared" ca="1" si="8"/>
        <v>RED</v>
      </c>
      <c r="Z41" s="143" t="str">
        <f ca="1">OFFSET($R41,0,R$12+(COUNTIF($R41:R41,$C41)))</f>
        <v>WHT</v>
      </c>
      <c r="AA41" s="143" t="str">
        <f ca="1">OFFSET($R41,0,S$12+(COUNTIF($R41:S41,$C41)))</f>
        <v>BRN</v>
      </c>
      <c r="AB41" s="143" t="str">
        <f ca="1">OFFSET($R41,0,T$12+(COUNTIF($R41:T41,$C41)))</f>
        <v>ORG</v>
      </c>
      <c r="AC41" s="143" t="str">
        <f ca="1">OFFSET($R41,0,U$12+(COUNTIF($R41:U41,$C41)))</f>
        <v>BLU</v>
      </c>
      <c r="AD41" s="143" t="str">
        <f ca="1">OFFSET($R41,0,V$12+(COUNTIF($R41:V41,$C41)))</f>
        <v>GRN</v>
      </c>
      <c r="AE41" s="143" t="str">
        <f ca="1">OFFSET($R41,0,W$12+(COUNTIF($R41:W41,$C41)))</f>
        <v>YLW</v>
      </c>
      <c r="AF41" s="143" t="str">
        <f ca="1">OFFSET($R41,0,X$12+(COUNTIF($R41:X41,$C41)))</f>
        <v>PRP</v>
      </c>
      <c r="AG41" s="154" t="b">
        <f t="shared" si="10"/>
        <v>1</v>
      </c>
      <c r="AH41" s="154" t="b">
        <f t="shared" si="10"/>
        <v>1</v>
      </c>
      <c r="AJ41" s="916" t="s">
        <v>98</v>
      </c>
      <c r="AK41" s="916" t="s">
        <v>94</v>
      </c>
      <c r="AL41" s="916"/>
    </row>
    <row r="42" spans="1:38" ht="16.350000000000001" customHeight="1" x14ac:dyDescent="0.2">
      <c r="A42" s="983"/>
      <c r="B42" s="985"/>
      <c r="C42" s="595"/>
      <c r="D42" s="986"/>
      <c r="E42" s="1763"/>
      <c r="F42" s="1764"/>
      <c r="G42" s="1765"/>
      <c r="H42" s="1765"/>
      <c r="I42" s="1765"/>
      <c r="J42" s="1765"/>
      <c r="K42" s="1765"/>
      <c r="L42" s="1765"/>
      <c r="M42" s="1765"/>
      <c r="N42" s="1766"/>
      <c r="P42" s="399" t="str">
        <f t="shared" si="0"/>
        <v/>
      </c>
      <c r="R42" s="143" t="str">
        <f t="shared" ca="1" si="1"/>
        <v>WHT</v>
      </c>
      <c r="S42" s="143" t="str">
        <f t="shared" ca="1" si="2"/>
        <v>BRN</v>
      </c>
      <c r="T42" s="143" t="str">
        <f t="shared" ca="1" si="3"/>
        <v>ORG</v>
      </c>
      <c r="U42" s="143" t="str">
        <f t="shared" ca="1" si="4"/>
        <v>BLU</v>
      </c>
      <c r="V42" s="143" t="str">
        <f t="shared" ca="1" si="5"/>
        <v>GRN</v>
      </c>
      <c r="W42" s="143" t="str">
        <f t="shared" ca="1" si="6"/>
        <v>YLW</v>
      </c>
      <c r="X42" s="143" t="str">
        <f t="shared" ca="1" si="7"/>
        <v>PRP</v>
      </c>
      <c r="Y42" s="143" t="str">
        <f t="shared" ca="1" si="8"/>
        <v>RED</v>
      </c>
      <c r="Z42" s="143" t="str">
        <f ca="1">OFFSET($R42,0,R$12+(COUNTIF($R42:R42,$C42)))</f>
        <v>WHT</v>
      </c>
      <c r="AA42" s="143" t="str">
        <f ca="1">OFFSET($R42,0,S$12+(COUNTIF($R42:S42,$C42)))</f>
        <v>BRN</v>
      </c>
      <c r="AB42" s="143" t="str">
        <f ca="1">OFFSET($R42,0,T$12+(COUNTIF($R42:T42,$C42)))</f>
        <v>ORG</v>
      </c>
      <c r="AC42" s="143" t="str">
        <f ca="1">OFFSET($R42,0,U$12+(COUNTIF($R42:U42,$C42)))</f>
        <v>BLU</v>
      </c>
      <c r="AD42" s="143" t="str">
        <f ca="1">OFFSET($R42,0,V$12+(COUNTIF($R42:V42,$C42)))</f>
        <v>GRN</v>
      </c>
      <c r="AE42" s="143" t="str">
        <f ca="1">OFFSET($R42,0,W$12+(COUNTIF($R42:W42,$C42)))</f>
        <v>YLW</v>
      </c>
      <c r="AF42" s="143" t="str">
        <f ca="1">OFFSET($R42,0,X$12+(COUNTIF($R42:X42,$C42)))</f>
        <v>PRP</v>
      </c>
      <c r="AG42" s="154" t="b">
        <f t="shared" si="10"/>
        <v>1</v>
      </c>
      <c r="AH42" s="154" t="b">
        <f t="shared" si="10"/>
        <v>1</v>
      </c>
      <c r="AJ42" s="916" t="s">
        <v>95</v>
      </c>
      <c r="AK42" s="916" t="s">
        <v>93</v>
      </c>
      <c r="AL42" s="916"/>
    </row>
    <row r="43" spans="1:38" ht="16.350000000000001" customHeight="1" x14ac:dyDescent="0.2">
      <c r="A43" s="983"/>
      <c r="B43" s="985"/>
      <c r="C43" s="595"/>
      <c r="D43" s="986"/>
      <c r="E43" s="1763"/>
      <c r="F43" s="1764"/>
      <c r="G43" s="1765"/>
      <c r="H43" s="1765"/>
      <c r="I43" s="1765"/>
      <c r="J43" s="1765"/>
      <c r="K43" s="1765"/>
      <c r="L43" s="1765"/>
      <c r="M43" s="1765"/>
      <c r="N43" s="1766"/>
      <c r="P43" s="399" t="str">
        <f t="shared" si="0"/>
        <v/>
      </c>
      <c r="R43" s="143" t="str">
        <f t="shared" ca="1" si="1"/>
        <v>WHT</v>
      </c>
      <c r="S43" s="143" t="str">
        <f t="shared" ca="1" si="2"/>
        <v>BRN</v>
      </c>
      <c r="T43" s="143" t="str">
        <f t="shared" ca="1" si="3"/>
        <v>ORG</v>
      </c>
      <c r="U43" s="143" t="str">
        <f t="shared" ca="1" si="4"/>
        <v>BLU</v>
      </c>
      <c r="V43" s="143" t="str">
        <f t="shared" ca="1" si="5"/>
        <v>GRN</v>
      </c>
      <c r="W43" s="143" t="str">
        <f t="shared" ca="1" si="6"/>
        <v>YLW</v>
      </c>
      <c r="X43" s="143" t="str">
        <f t="shared" ca="1" si="7"/>
        <v>PRP</v>
      </c>
      <c r="Y43" s="143" t="str">
        <f t="shared" ca="1" si="8"/>
        <v>RED</v>
      </c>
      <c r="Z43" s="143" t="str">
        <f ca="1">OFFSET($R43,0,R$12+(COUNTIF($R43:R43,$C43)))</f>
        <v>WHT</v>
      </c>
      <c r="AA43" s="143" t="str">
        <f ca="1">OFFSET($R43,0,S$12+(COUNTIF($R43:S43,$C43)))</f>
        <v>BRN</v>
      </c>
      <c r="AB43" s="143" t="str">
        <f ca="1">OFFSET($R43,0,T$12+(COUNTIF($R43:T43,$C43)))</f>
        <v>ORG</v>
      </c>
      <c r="AC43" s="143" t="str">
        <f ca="1">OFFSET($R43,0,U$12+(COUNTIF($R43:U43,$C43)))</f>
        <v>BLU</v>
      </c>
      <c r="AD43" s="143" t="str">
        <f ca="1">OFFSET($R43,0,V$12+(COUNTIF($R43:V43,$C43)))</f>
        <v>GRN</v>
      </c>
      <c r="AE43" s="143" t="str">
        <f ca="1">OFFSET($R43,0,W$12+(COUNTIF($R43:W43,$C43)))</f>
        <v>YLW</v>
      </c>
      <c r="AF43" s="143" t="str">
        <f ca="1">OFFSET($R43,0,X$12+(COUNTIF($R43:X43,$C43)))</f>
        <v>PRP</v>
      </c>
      <c r="AG43" s="154" t="b">
        <f t="shared" si="10"/>
        <v>1</v>
      </c>
      <c r="AH43" s="154" t="b">
        <f t="shared" si="10"/>
        <v>1</v>
      </c>
      <c r="AJ43" s="916" t="s">
        <v>97</v>
      </c>
      <c r="AK43" s="916" t="s">
        <v>101</v>
      </c>
      <c r="AL43" s="916"/>
    </row>
    <row r="44" spans="1:38" ht="16.350000000000001" customHeight="1" x14ac:dyDescent="0.2">
      <c r="A44" s="983"/>
      <c r="B44" s="985"/>
      <c r="C44" s="595"/>
      <c r="D44" s="986"/>
      <c r="E44" s="1763"/>
      <c r="F44" s="1764"/>
      <c r="G44" s="1765"/>
      <c r="H44" s="1765"/>
      <c r="I44" s="1765"/>
      <c r="J44" s="1765"/>
      <c r="K44" s="1765"/>
      <c r="L44" s="1765"/>
      <c r="M44" s="1765"/>
      <c r="N44" s="1766"/>
      <c r="P44" s="399" t="str">
        <f t="shared" si="0"/>
        <v/>
      </c>
      <c r="R44" s="143" t="str">
        <f t="shared" ca="1" si="1"/>
        <v>WHT</v>
      </c>
      <c r="S44" s="143" t="str">
        <f t="shared" ca="1" si="2"/>
        <v>BRN</v>
      </c>
      <c r="T44" s="143" t="str">
        <f t="shared" ca="1" si="3"/>
        <v>ORG</v>
      </c>
      <c r="U44" s="143" t="str">
        <f t="shared" ca="1" si="4"/>
        <v>BLU</v>
      </c>
      <c r="V44" s="143" t="str">
        <f t="shared" ca="1" si="5"/>
        <v>GRN</v>
      </c>
      <c r="W44" s="143" t="str">
        <f t="shared" ca="1" si="6"/>
        <v>YLW</v>
      </c>
      <c r="X44" s="143" t="str">
        <f t="shared" ca="1" si="7"/>
        <v>PRP</v>
      </c>
      <c r="Y44" s="143" t="str">
        <f t="shared" ca="1" si="8"/>
        <v>RED</v>
      </c>
      <c r="Z44" s="143" t="str">
        <f ca="1">OFFSET($R44,0,R$12+(COUNTIF($R44:R44,$C44)))</f>
        <v>WHT</v>
      </c>
      <c r="AA44" s="143" t="str">
        <f ca="1">OFFSET($R44,0,S$12+(COUNTIF($R44:S44,$C44)))</f>
        <v>BRN</v>
      </c>
      <c r="AB44" s="143" t="str">
        <f ca="1">OFFSET($R44,0,T$12+(COUNTIF($R44:T44,$C44)))</f>
        <v>ORG</v>
      </c>
      <c r="AC44" s="143" t="str">
        <f ca="1">OFFSET($R44,0,U$12+(COUNTIF($R44:U44,$C44)))</f>
        <v>BLU</v>
      </c>
      <c r="AD44" s="143" t="str">
        <f ca="1">OFFSET($R44,0,V$12+(COUNTIF($R44:V44,$C44)))</f>
        <v>GRN</v>
      </c>
      <c r="AE44" s="143" t="str">
        <f ca="1">OFFSET($R44,0,W$12+(COUNTIF($R44:W44,$C44)))</f>
        <v>YLW</v>
      </c>
      <c r="AF44" s="143" t="str">
        <f ca="1">OFFSET($R44,0,X$12+(COUNTIF($R44:X44,$C44)))</f>
        <v>PRP</v>
      </c>
      <c r="AG44" s="154" t="b">
        <f t="shared" si="10"/>
        <v>1</v>
      </c>
      <c r="AH44" s="154" t="b">
        <f t="shared" si="10"/>
        <v>1</v>
      </c>
      <c r="AJ44" s="916" t="s">
        <v>93</v>
      </c>
      <c r="AK44" s="916" t="s">
        <v>100</v>
      </c>
      <c r="AL44" s="916"/>
    </row>
    <row r="45" spans="1:38" ht="16.350000000000001" customHeight="1" x14ac:dyDescent="0.2">
      <c r="A45" s="983"/>
      <c r="B45" s="985"/>
      <c r="C45" s="595"/>
      <c r="D45" s="986"/>
      <c r="E45" s="1763"/>
      <c r="F45" s="1764"/>
      <c r="G45" s="1765"/>
      <c r="H45" s="1765"/>
      <c r="I45" s="1765"/>
      <c r="J45" s="1765"/>
      <c r="K45" s="1765"/>
      <c r="L45" s="1765"/>
      <c r="M45" s="1765"/>
      <c r="N45" s="1766"/>
      <c r="P45" s="399" t="str">
        <f t="shared" si="0"/>
        <v/>
      </c>
      <c r="R45" s="143" t="str">
        <f t="shared" ca="1" si="1"/>
        <v>WHT</v>
      </c>
      <c r="S45" s="143" t="str">
        <f t="shared" ca="1" si="2"/>
        <v>BRN</v>
      </c>
      <c r="T45" s="143" t="str">
        <f t="shared" ca="1" si="3"/>
        <v>ORG</v>
      </c>
      <c r="U45" s="143" t="str">
        <f t="shared" ca="1" si="4"/>
        <v>BLU</v>
      </c>
      <c r="V45" s="143" t="str">
        <f t="shared" ca="1" si="5"/>
        <v>GRN</v>
      </c>
      <c r="W45" s="143" t="str">
        <f t="shared" ca="1" si="6"/>
        <v>YLW</v>
      </c>
      <c r="X45" s="143" t="str">
        <f t="shared" ca="1" si="7"/>
        <v>PRP</v>
      </c>
      <c r="Y45" s="143" t="str">
        <f t="shared" ca="1" si="8"/>
        <v>RED</v>
      </c>
      <c r="Z45" s="143" t="str">
        <f ca="1">OFFSET($R45,0,R$12+(COUNTIF($R45:R45,$C45)))</f>
        <v>WHT</v>
      </c>
      <c r="AA45" s="143" t="str">
        <f ca="1">OFFSET($R45,0,S$12+(COUNTIF($R45:S45,$C45)))</f>
        <v>BRN</v>
      </c>
      <c r="AB45" s="143" t="str">
        <f ca="1">OFFSET($R45,0,T$12+(COUNTIF($R45:T45,$C45)))</f>
        <v>ORG</v>
      </c>
      <c r="AC45" s="143" t="str">
        <f ca="1">OFFSET($R45,0,U$12+(COUNTIF($R45:U45,$C45)))</f>
        <v>BLU</v>
      </c>
      <c r="AD45" s="143" t="str">
        <f ca="1">OFFSET($R45,0,V$12+(COUNTIF($R45:V45,$C45)))</f>
        <v>GRN</v>
      </c>
      <c r="AE45" s="143" t="str">
        <f ca="1">OFFSET($R45,0,W$12+(COUNTIF($R45:W45,$C45)))</f>
        <v>YLW</v>
      </c>
      <c r="AF45" s="143" t="str">
        <f ca="1">OFFSET($R45,0,X$12+(COUNTIF($R45:X45,$C45)))</f>
        <v>PRP</v>
      </c>
      <c r="AG45" s="154" t="b">
        <f t="shared" si="10"/>
        <v>1</v>
      </c>
      <c r="AH45" s="154" t="b">
        <f t="shared" si="10"/>
        <v>1</v>
      </c>
      <c r="AJ45" s="916" t="s">
        <v>96</v>
      </c>
      <c r="AK45" s="916" t="s">
        <v>94</v>
      </c>
      <c r="AL45" s="916"/>
    </row>
    <row r="46" spans="1:38" ht="16.350000000000001" customHeight="1" x14ac:dyDescent="0.2">
      <c r="A46" s="983"/>
      <c r="B46" s="985"/>
      <c r="C46" s="595"/>
      <c r="D46" s="986"/>
      <c r="E46" s="1763"/>
      <c r="F46" s="1764"/>
      <c r="G46" s="1765"/>
      <c r="H46" s="1765"/>
      <c r="I46" s="1765"/>
      <c r="J46" s="1765"/>
      <c r="K46" s="1765"/>
      <c r="L46" s="1765"/>
      <c r="M46" s="1765"/>
      <c r="N46" s="1766"/>
      <c r="P46" s="399" t="str">
        <f t="shared" si="0"/>
        <v/>
      </c>
      <c r="R46" s="143" t="str">
        <f t="shared" ca="1" si="1"/>
        <v>WHT</v>
      </c>
      <c r="S46" s="143" t="str">
        <f t="shared" ca="1" si="2"/>
        <v>BRN</v>
      </c>
      <c r="T46" s="143" t="str">
        <f t="shared" ca="1" si="3"/>
        <v>ORG</v>
      </c>
      <c r="U46" s="143" t="str">
        <f t="shared" ca="1" si="4"/>
        <v>BLU</v>
      </c>
      <c r="V46" s="143" t="str">
        <f t="shared" ca="1" si="5"/>
        <v>GRN</v>
      </c>
      <c r="W46" s="143" t="str">
        <f t="shared" ca="1" si="6"/>
        <v>YLW</v>
      </c>
      <c r="X46" s="143" t="str">
        <f t="shared" ca="1" si="7"/>
        <v>PRP</v>
      </c>
      <c r="Y46" s="143" t="str">
        <f t="shared" ca="1" si="8"/>
        <v>RED</v>
      </c>
      <c r="Z46" s="143" t="str">
        <f ca="1">OFFSET($R46,0,R$12+(COUNTIF($R46:R46,$C46)))</f>
        <v>WHT</v>
      </c>
      <c r="AA46" s="143" t="str">
        <f ca="1">OFFSET($R46,0,S$12+(COUNTIF($R46:S46,$C46)))</f>
        <v>BRN</v>
      </c>
      <c r="AB46" s="143" t="str">
        <f ca="1">OFFSET($R46,0,T$12+(COUNTIF($R46:T46,$C46)))</f>
        <v>ORG</v>
      </c>
      <c r="AC46" s="143" t="str">
        <f ca="1">OFFSET($R46,0,U$12+(COUNTIF($R46:U46,$C46)))</f>
        <v>BLU</v>
      </c>
      <c r="AD46" s="143" t="str">
        <f ca="1">OFFSET($R46,0,V$12+(COUNTIF($R46:V46,$C46)))</f>
        <v>GRN</v>
      </c>
      <c r="AE46" s="143" t="str">
        <f ca="1">OFFSET($R46,0,W$12+(COUNTIF($R46:W46,$C46)))</f>
        <v>YLW</v>
      </c>
      <c r="AF46" s="143" t="str">
        <f ca="1">OFFSET($R46,0,X$12+(COUNTIF($R46:X46,$C46)))</f>
        <v>PRP</v>
      </c>
      <c r="AG46" s="154" t="b">
        <f t="shared" si="10"/>
        <v>1</v>
      </c>
      <c r="AH46" s="154" t="b">
        <f t="shared" si="10"/>
        <v>1</v>
      </c>
      <c r="AJ46" s="916" t="s">
        <v>98</v>
      </c>
      <c r="AK46" s="916" t="s">
        <v>101</v>
      </c>
      <c r="AL46" s="916"/>
    </row>
    <row r="47" spans="1:38" ht="16.350000000000001" customHeight="1" x14ac:dyDescent="0.2">
      <c r="A47" s="983"/>
      <c r="B47" s="985"/>
      <c r="C47" s="595"/>
      <c r="D47" s="986"/>
      <c r="E47" s="1763"/>
      <c r="F47" s="1764"/>
      <c r="G47" s="1765"/>
      <c r="H47" s="1765"/>
      <c r="I47" s="1765"/>
      <c r="J47" s="1765"/>
      <c r="K47" s="1765"/>
      <c r="L47" s="1765"/>
      <c r="M47" s="1765"/>
      <c r="N47" s="1766"/>
      <c r="P47" s="399" t="str">
        <f t="shared" si="0"/>
        <v/>
      </c>
      <c r="R47" s="143" t="str">
        <f t="shared" ca="1" si="1"/>
        <v>WHT</v>
      </c>
      <c r="S47" s="143" t="str">
        <f t="shared" ca="1" si="2"/>
        <v>BRN</v>
      </c>
      <c r="T47" s="143" t="str">
        <f t="shared" ca="1" si="3"/>
        <v>ORG</v>
      </c>
      <c r="U47" s="143" t="str">
        <f t="shared" ca="1" si="4"/>
        <v>BLU</v>
      </c>
      <c r="V47" s="143" t="str">
        <f t="shared" ca="1" si="5"/>
        <v>GRN</v>
      </c>
      <c r="W47" s="143" t="str">
        <f t="shared" ca="1" si="6"/>
        <v>YLW</v>
      </c>
      <c r="X47" s="143" t="str">
        <f t="shared" ca="1" si="7"/>
        <v>PRP</v>
      </c>
      <c r="Y47" s="143" t="str">
        <f t="shared" ca="1" si="8"/>
        <v>RED</v>
      </c>
      <c r="Z47" s="143" t="str">
        <f ca="1">OFFSET($R47,0,R$12+(COUNTIF($R47:R47,$C47)))</f>
        <v>WHT</v>
      </c>
      <c r="AA47" s="143" t="str">
        <f ca="1">OFFSET($R47,0,S$12+(COUNTIF($R47:S47,$C47)))</f>
        <v>BRN</v>
      </c>
      <c r="AB47" s="143" t="str">
        <f ca="1">OFFSET($R47,0,T$12+(COUNTIF($R47:T47,$C47)))</f>
        <v>ORG</v>
      </c>
      <c r="AC47" s="143" t="str">
        <f ca="1">OFFSET($R47,0,U$12+(COUNTIF($R47:U47,$C47)))</f>
        <v>BLU</v>
      </c>
      <c r="AD47" s="143" t="str">
        <f ca="1">OFFSET($R47,0,V$12+(COUNTIF($R47:V47,$C47)))</f>
        <v>GRN</v>
      </c>
      <c r="AE47" s="143" t="str">
        <f ca="1">OFFSET($R47,0,W$12+(COUNTIF($R47:W47,$C47)))</f>
        <v>YLW</v>
      </c>
      <c r="AF47" s="143" t="str">
        <f ca="1">OFFSET($R47,0,X$12+(COUNTIF($R47:X47,$C47)))</f>
        <v>PRP</v>
      </c>
      <c r="AG47" s="154" t="b">
        <f t="shared" si="10"/>
        <v>1</v>
      </c>
      <c r="AH47" s="154" t="b">
        <f t="shared" si="10"/>
        <v>1</v>
      </c>
      <c r="AJ47" s="916" t="s">
        <v>97</v>
      </c>
      <c r="AK47" s="916" t="s">
        <v>95</v>
      </c>
      <c r="AL47" s="916"/>
    </row>
    <row r="48" spans="1:38" ht="16.350000000000001" customHeight="1" x14ac:dyDescent="0.2">
      <c r="A48" s="983"/>
      <c r="B48" s="985"/>
      <c r="C48" s="595"/>
      <c r="D48" s="986"/>
      <c r="E48" s="1763"/>
      <c r="F48" s="1764"/>
      <c r="G48" s="1765"/>
      <c r="H48" s="1765"/>
      <c r="I48" s="1765"/>
      <c r="J48" s="1765"/>
      <c r="K48" s="1765"/>
      <c r="L48" s="1765"/>
      <c r="M48" s="1765"/>
      <c r="N48" s="1766"/>
      <c r="P48" s="399" t="str">
        <f t="shared" si="0"/>
        <v/>
      </c>
      <c r="R48" s="143" t="str">
        <f t="shared" ca="1" si="1"/>
        <v>WHT</v>
      </c>
      <c r="S48" s="143" t="str">
        <f t="shared" ca="1" si="2"/>
        <v>BRN</v>
      </c>
      <c r="T48" s="143" t="str">
        <f t="shared" ca="1" si="3"/>
        <v>ORG</v>
      </c>
      <c r="U48" s="143" t="str">
        <f t="shared" ca="1" si="4"/>
        <v>BLU</v>
      </c>
      <c r="V48" s="143" t="str">
        <f t="shared" ca="1" si="5"/>
        <v>GRN</v>
      </c>
      <c r="W48" s="143" t="str">
        <f t="shared" ca="1" si="6"/>
        <v>YLW</v>
      </c>
      <c r="X48" s="143" t="str">
        <f t="shared" ca="1" si="7"/>
        <v>PRP</v>
      </c>
      <c r="Y48" s="143" t="str">
        <f t="shared" ca="1" si="8"/>
        <v>RED</v>
      </c>
      <c r="Z48" s="143" t="str">
        <f ca="1">OFFSET($R48,0,R$12+(COUNTIF($R48:R48,$C48)))</f>
        <v>WHT</v>
      </c>
      <c r="AA48" s="143" t="str">
        <f ca="1">OFFSET($R48,0,S$12+(COUNTIF($R48:S48,$C48)))</f>
        <v>BRN</v>
      </c>
      <c r="AB48" s="143" t="str">
        <f ca="1">OFFSET($R48,0,T$12+(COUNTIF($R48:T48,$C48)))</f>
        <v>ORG</v>
      </c>
      <c r="AC48" s="143" t="str">
        <f ca="1">OFFSET($R48,0,U$12+(COUNTIF($R48:U48,$C48)))</f>
        <v>BLU</v>
      </c>
      <c r="AD48" s="143" t="str">
        <f ca="1">OFFSET($R48,0,V$12+(COUNTIF($R48:V48,$C48)))</f>
        <v>GRN</v>
      </c>
      <c r="AE48" s="143" t="str">
        <f ca="1">OFFSET($R48,0,W$12+(COUNTIF($R48:W48,$C48)))</f>
        <v>YLW</v>
      </c>
      <c r="AF48" s="143" t="str">
        <f ca="1">OFFSET($R48,0,X$12+(COUNTIF($R48:X48,$C48)))</f>
        <v>PRP</v>
      </c>
      <c r="AG48" s="154" t="b">
        <f t="shared" si="10"/>
        <v>1</v>
      </c>
      <c r="AH48" s="154" t="b">
        <f t="shared" si="10"/>
        <v>1</v>
      </c>
      <c r="AJ48" s="916" t="s">
        <v>100</v>
      </c>
      <c r="AK48" s="916" t="s">
        <v>98</v>
      </c>
      <c r="AL48" s="916"/>
    </row>
    <row r="49" spans="1:38" ht="16.350000000000001" customHeight="1" x14ac:dyDescent="0.2">
      <c r="A49" s="984"/>
      <c r="B49" s="987"/>
      <c r="C49" s="969"/>
      <c r="D49" s="988"/>
      <c r="E49" s="1777"/>
      <c r="F49" s="1778"/>
      <c r="G49" s="1779"/>
      <c r="H49" s="1779"/>
      <c r="I49" s="1779"/>
      <c r="J49" s="1779"/>
      <c r="K49" s="1779"/>
      <c r="L49" s="1779"/>
      <c r="M49" s="1779"/>
      <c r="N49" s="1780"/>
      <c r="P49" s="399" t="str">
        <f>CONCATENATE(IF(ISBLANK(B49),"",VLOOKUP(B49,$R$1:$S$9,2,FALSE)),IF(ISBLANK(C49),"",CONCATENATE("/",VLOOKUP(C49,$R$1:$S$9,2,FALSE))),IF(ISBLANK(D49),"",CONCATENATE("/",VLOOKUP(D49,$R$1:$S$9,2,FALSE))))</f>
        <v/>
      </c>
      <c r="R49" s="143" t="str">
        <f ca="1">OFFSET($R$1,R$12+(COUNTIF($R$1:$R$1,B49)),0)</f>
        <v>WHT</v>
      </c>
      <c r="S49" s="143" t="str">
        <f ca="1">OFFSET($R$1,S$12+(COUNTIF($R$1:$R$2,B49)),0)</f>
        <v>BRN</v>
      </c>
      <c r="T49" s="143" t="str">
        <f ca="1">OFFSET($R$1,T$12+(COUNTIF($R$1:$R$3,B49)),0)</f>
        <v>ORG</v>
      </c>
      <c r="U49" s="143" t="str">
        <f ca="1">OFFSET($R$1,U$12+(COUNTIF($R$1:$R$4,B49)),0)</f>
        <v>BLU</v>
      </c>
      <c r="V49" s="143" t="str">
        <f ca="1">OFFSET($R$1,V$12+(COUNTIF($R$1:$R$5,B49)),0)</f>
        <v>GRN</v>
      </c>
      <c r="W49" s="143" t="str">
        <f ca="1">OFFSET($R$1,W$12+(COUNTIF($R$1:$R$6,B49)),0)</f>
        <v>YLW</v>
      </c>
      <c r="X49" s="143" t="str">
        <f ca="1">OFFSET($R$1,X$12+(COUNTIF($R$1:$R$7,B49)),0)</f>
        <v>PRP</v>
      </c>
      <c r="Y49" s="143" t="str">
        <f ca="1">OFFSET($R$1,Y$12+(COUNTIF($R$1:$R$8,B49)),0)</f>
        <v>RED</v>
      </c>
      <c r="Z49" s="143" t="str">
        <f ca="1">OFFSET($R49,0,R$12+(COUNTIF($R49:R49,$C49)))</f>
        <v>WHT</v>
      </c>
      <c r="AA49" s="143" t="str">
        <f ca="1">OFFSET($R49,0,S$12+(COUNTIF($R49:S49,$C49)))</f>
        <v>BRN</v>
      </c>
      <c r="AB49" s="143" t="str">
        <f ca="1">OFFSET($R49,0,T$12+(COUNTIF($R49:T49,$C49)))</f>
        <v>ORG</v>
      </c>
      <c r="AC49" s="143" t="str">
        <f ca="1">OFFSET($R49,0,U$12+(COUNTIF($R49:U49,$C49)))</f>
        <v>BLU</v>
      </c>
      <c r="AD49" s="143" t="str">
        <f ca="1">OFFSET($R49,0,V$12+(COUNTIF($R49:V49,$C49)))</f>
        <v>GRN</v>
      </c>
      <c r="AE49" s="143" t="str">
        <f ca="1">OFFSET($R49,0,W$12+(COUNTIF($R49:W49,$C49)))</f>
        <v>YLW</v>
      </c>
      <c r="AF49" s="143" t="str">
        <f ca="1">OFFSET($R49,0,X$12+(COUNTIF($R49:X49,$C49)))</f>
        <v>PRP</v>
      </c>
      <c r="AG49" s="154" t="b">
        <f>ISBLANK(B49)</f>
        <v>1</v>
      </c>
      <c r="AH49" s="154" t="b">
        <f>ISBLANK(C49)</f>
        <v>1</v>
      </c>
      <c r="AJ49" s="916" t="s">
        <v>101</v>
      </c>
      <c r="AK49" s="916" t="s">
        <v>99</v>
      </c>
      <c r="AL49" s="916"/>
    </row>
    <row r="50" spans="1:38" ht="15.95" customHeight="1" x14ac:dyDescent="0.2"/>
    <row r="51" spans="1:38" ht="15.95" customHeight="1" x14ac:dyDescent="0.2"/>
    <row r="52" spans="1:38" ht="15.95" customHeight="1" x14ac:dyDescent="0.2"/>
    <row r="53" spans="1:38" ht="15.95" customHeight="1" x14ac:dyDescent="0.2"/>
    <row r="54" spans="1:38" ht="12.6" customHeight="1" x14ac:dyDescent="0.2"/>
    <row r="55" spans="1:38" ht="12.6" customHeight="1" x14ac:dyDescent="0.2"/>
    <row r="56" spans="1:38" ht="12.6" customHeight="1" x14ac:dyDescent="0.2"/>
    <row r="57" spans="1:38" ht="12.6" customHeight="1" x14ac:dyDescent="0.2"/>
    <row r="58" spans="1:38" ht="12.6" customHeight="1" x14ac:dyDescent="0.2"/>
    <row r="59" spans="1:38" ht="12.6" customHeight="1" x14ac:dyDescent="0.2">
      <c r="A59" s="707" t="s">
        <v>614</v>
      </c>
    </row>
    <row r="60" spans="1:38" ht="12.6" hidden="1" customHeight="1" x14ac:dyDescent="0.2">
      <c r="A60" s="831" t="s">
        <v>64</v>
      </c>
    </row>
    <row r="61" spans="1:38" ht="12.6" hidden="1" customHeight="1" x14ac:dyDescent="0.2">
      <c r="A61" s="833" t="s">
        <v>701</v>
      </c>
    </row>
    <row r="62" spans="1:38" ht="12.6" hidden="1" customHeight="1" x14ac:dyDescent="0.2"/>
    <row r="63" spans="1:38" ht="12.6" hidden="1" customHeight="1" x14ac:dyDescent="0.2"/>
    <row r="64" spans="1:38" ht="12.6" hidden="1" customHeight="1" x14ac:dyDescent="0.2"/>
    <row r="65" spans="1:1" ht="12.6" customHeight="1" x14ac:dyDescent="0.2">
      <c r="A65" s="707" t="s">
        <v>615</v>
      </c>
    </row>
    <row r="66" spans="1:1" ht="12.6" customHeight="1" x14ac:dyDescent="0.2"/>
    <row r="67" spans="1:1" ht="12.6" customHeight="1" x14ac:dyDescent="0.2"/>
  </sheetData>
  <sheetProtection selectLockedCells="1"/>
  <dataConsolidate link="1"/>
  <mergeCells count="55">
    <mergeCell ref="E45:N45"/>
    <mergeCell ref="E46:N46"/>
    <mergeCell ref="E47:N47"/>
    <mergeCell ref="E48:N48"/>
    <mergeCell ref="E49:N49"/>
    <mergeCell ref="E44:N44"/>
    <mergeCell ref="E33:N33"/>
    <mergeCell ref="E34:N34"/>
    <mergeCell ref="E35:N35"/>
    <mergeCell ref="E36:N36"/>
    <mergeCell ref="E37:N37"/>
    <mergeCell ref="E38:N38"/>
    <mergeCell ref="E39:N39"/>
    <mergeCell ref="E40:N40"/>
    <mergeCell ref="E41:N41"/>
    <mergeCell ref="E42:N42"/>
    <mergeCell ref="E43:N43"/>
    <mergeCell ref="E32:N32"/>
    <mergeCell ref="E21:N21"/>
    <mergeCell ref="E22:N22"/>
    <mergeCell ref="E23:N23"/>
    <mergeCell ref="E24:N24"/>
    <mergeCell ref="E25:N25"/>
    <mergeCell ref="E26:N26"/>
    <mergeCell ref="E27:N27"/>
    <mergeCell ref="E28:N28"/>
    <mergeCell ref="E29:N29"/>
    <mergeCell ref="E30:N30"/>
    <mergeCell ref="E31:N31"/>
    <mergeCell ref="E20:N20"/>
    <mergeCell ref="B10:J10"/>
    <mergeCell ref="AJ10:AL12"/>
    <mergeCell ref="B12:D12"/>
    <mergeCell ref="E12:N12"/>
    <mergeCell ref="E13:N13"/>
    <mergeCell ref="E14:N14"/>
    <mergeCell ref="E15:N15"/>
    <mergeCell ref="E16:N16"/>
    <mergeCell ref="E17:N17"/>
    <mergeCell ref="E18:N18"/>
    <mergeCell ref="E19:N19"/>
    <mergeCell ref="B9:J9"/>
    <mergeCell ref="H1:J1"/>
    <mergeCell ref="K1:L1"/>
    <mergeCell ref="M1:N1"/>
    <mergeCell ref="H2:J3"/>
    <mergeCell ref="K2:L2"/>
    <mergeCell ref="M2:N2"/>
    <mergeCell ref="K3:L3"/>
    <mergeCell ref="M3:N3"/>
    <mergeCell ref="H4:J4"/>
    <mergeCell ref="K4:L4"/>
    <mergeCell ref="M4:N4"/>
    <mergeCell ref="A5:J5"/>
    <mergeCell ref="L6:M6"/>
  </mergeCells>
  <conditionalFormatting sqref="H2:J4">
    <cfRule type="cellIs" dxfId="216" priority="1" stopIfTrue="1" operator="equal">
      <formula>""</formula>
    </cfRule>
  </conditionalFormatting>
  <conditionalFormatting sqref="E13:N49">
    <cfRule type="expression" dxfId="215" priority="2" stopIfTrue="1">
      <formula>LEN(E13)&gt;20</formula>
    </cfRule>
  </conditionalFormatting>
  <dataValidations count="3">
    <dataValidation type="list" allowBlank="1" showInputMessage="1" showErrorMessage="1" sqref="D13:D49" xr:uid="{AD4AE10D-35E6-4B49-A0EE-B89F6DBF0F67}">
      <formula1>IF(AH13,$T$1:$T$1,$Z13:$AF13)</formula1>
    </dataValidation>
    <dataValidation type="list" allowBlank="1" showInputMessage="1" showErrorMessage="1" sqref="C13:C49" xr:uid="{F710E3CF-6578-4C19-86E6-38D713CB7ADE}">
      <formula1>IF(AG13,$T$1,$R13:$Y13)</formula1>
    </dataValidation>
    <dataValidation type="list" allowBlank="1" showErrorMessage="1" sqref="B13:B49" xr:uid="{02C91A81-8646-45E4-96A7-0AAB12CCE0E9}">
      <formula1>$R$1:$R$9</formula1>
    </dataValidation>
  </dataValidations>
  <printOptions horizontalCentered="1"/>
  <pageMargins left="0.3" right="0.3" top="0.5" bottom="0.5" header="0" footer="0.25"/>
  <pageSetup orientation="portrait" r:id="rId1"/>
  <headerFooter alignWithMargins="0">
    <oddFooter>&amp;R&amp;7Printed: &amp;D &amp;T&amp;L&amp;7Version: 21.0428
File: &amp;F</oddFooter>
  </headerFooter>
  <drawing r:id="rId2"/>
  <legacyDrawing r:id="rId3"/>
  <controls>
    <mc:AlternateContent xmlns:mc="http://schemas.openxmlformats.org/markup-compatibility/2006">
      <mc:Choice Requires="x14">
        <control shapeId="2503681" r:id="rId4" name="btnColorTag">
          <controlPr defaultSize="0" autoLine="0" r:id="rId5">
            <anchor moveWithCells="1">
              <from>
                <xdr:col>14</xdr:col>
                <xdr:colOff>171450</xdr:colOff>
                <xdr:row>12</xdr:row>
                <xdr:rowOff>28575</xdr:rowOff>
              </from>
              <to>
                <xdr:col>39</xdr:col>
                <xdr:colOff>180975</xdr:colOff>
                <xdr:row>13</xdr:row>
                <xdr:rowOff>180975</xdr:rowOff>
              </to>
            </anchor>
          </controlPr>
        </control>
      </mc:Choice>
      <mc:Fallback>
        <control shapeId="2503681" r:id="rId4" name="btnColorTag"/>
      </mc:Fallback>
    </mc:AlternateContent>
  </controls>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462413-D4E1-4DA7-A378-BDE17919D464}">
  <sheetPr codeName="Sheet21">
    <tabColor indexed="31"/>
  </sheetPr>
  <dimension ref="A1:AL65"/>
  <sheetViews>
    <sheetView showGridLines="0" zoomScaleNormal="100" zoomScaleSheetLayoutView="100" workbookViewId="0">
      <selection activeCell="A14" sqref="A14"/>
    </sheetView>
  </sheetViews>
  <sheetFormatPr defaultColWidth="9.140625" defaultRowHeight="12.75" x14ac:dyDescent="0.2"/>
  <cols>
    <col min="1" max="1" width="8.7109375" style="1" customWidth="1"/>
    <col min="2" max="10" width="6.42578125" style="1" customWidth="1"/>
    <col min="11" max="15" width="6.28515625" style="1" customWidth="1"/>
    <col min="16" max="16" width="3.7109375" style="1" customWidth="1"/>
    <col min="17" max="17" width="6.7109375" style="1" customWidth="1"/>
    <col min="18" max="31" width="6.7109375" style="1" hidden="1" customWidth="1"/>
    <col min="32" max="32" width="6.7109375" style="18" hidden="1" customWidth="1"/>
    <col min="33" max="34" width="6.7109375" style="1" hidden="1" customWidth="1"/>
    <col min="35" max="36" width="9.140625" style="1" hidden="1" customWidth="1"/>
    <col min="37" max="37" width="9.140625" style="950" hidden="1" customWidth="1"/>
    <col min="38" max="16384" width="9.140625" style="1"/>
  </cols>
  <sheetData>
    <row r="1" spans="1:38" s="303" customFormat="1" ht="14.45" customHeight="1" thickBot="1" x14ac:dyDescent="0.25">
      <c r="A1" s="298"/>
      <c r="B1" s="298"/>
      <c r="C1" s="298"/>
      <c r="D1" s="298"/>
      <c r="E1" s="298"/>
      <c r="F1" s="298"/>
      <c r="G1" s="298"/>
      <c r="H1" s="1705"/>
      <c r="I1" s="1705"/>
      <c r="J1" s="1705"/>
      <c r="K1" s="1812" t="s">
        <v>77</v>
      </c>
      <c r="L1" s="1812"/>
      <c r="M1" s="1812"/>
      <c r="N1" s="1805"/>
      <c r="O1" s="1805"/>
      <c r="P1" s="410"/>
      <c r="Q1" s="423" t="s">
        <v>375</v>
      </c>
      <c r="R1" s="696" t="s">
        <v>91</v>
      </c>
      <c r="S1" s="302" t="e">
        <f>IF(ISBLANK(R1),"",VLOOKUP(R1,#REF!,2,FALSE))</f>
        <v>#REF!</v>
      </c>
      <c r="AF1" s="302"/>
      <c r="AJ1" s="716" t="s">
        <v>704</v>
      </c>
      <c r="AK1" s="947"/>
      <c r="AL1" s="425" t="s">
        <v>376</v>
      </c>
    </row>
    <row r="2" spans="1:38" s="303" customFormat="1" ht="12.95" customHeight="1" thickTop="1" x14ac:dyDescent="0.2">
      <c r="A2" s="298"/>
      <c r="B2" s="298"/>
      <c r="C2" s="298"/>
      <c r="D2" s="298"/>
      <c r="E2" s="298"/>
      <c r="F2" s="298"/>
      <c r="G2" s="298"/>
      <c r="H2" s="1806"/>
      <c r="I2" s="1807"/>
      <c r="J2" s="1808"/>
      <c r="K2" s="1812" t="s">
        <v>78</v>
      </c>
      <c r="L2" s="1812"/>
      <c r="M2" s="1812"/>
      <c r="N2" s="1805"/>
      <c r="O2" s="1805"/>
      <c r="P2" s="410"/>
      <c r="AF2" s="302"/>
      <c r="AK2" s="947"/>
    </row>
    <row r="3" spans="1:38" s="303" customFormat="1" ht="12.95" customHeight="1" x14ac:dyDescent="0.2">
      <c r="A3" s="298"/>
      <c r="B3" s="298"/>
      <c r="C3" s="298"/>
      <c r="D3" s="298"/>
      <c r="E3" s="298"/>
      <c r="F3" s="298"/>
      <c r="G3" s="298"/>
      <c r="H3" s="1752"/>
      <c r="I3" s="1753"/>
      <c r="J3" s="1754"/>
      <c r="K3" s="1812" t="s">
        <v>80</v>
      </c>
      <c r="L3" s="1812"/>
      <c r="M3" s="1812"/>
      <c r="N3" s="1805"/>
      <c r="O3" s="1805"/>
      <c r="P3" s="410"/>
      <c r="AF3" s="302"/>
      <c r="AK3" s="947"/>
    </row>
    <row r="4" spans="1:38" s="303" customFormat="1" ht="12.95" customHeight="1" thickBot="1" x14ac:dyDescent="0.25">
      <c r="A4" s="298"/>
      <c r="B4" s="298"/>
      <c r="C4" s="298"/>
      <c r="D4" s="298"/>
      <c r="E4" s="298"/>
      <c r="F4" s="298"/>
      <c r="G4" s="298"/>
      <c r="H4" s="1809"/>
      <c r="I4" s="1810"/>
      <c r="J4" s="1811"/>
      <c r="K4" s="1812" t="s">
        <v>79</v>
      </c>
      <c r="L4" s="1812"/>
      <c r="M4" s="1812"/>
      <c r="N4" s="1805"/>
      <c r="O4" s="1805"/>
      <c r="P4" s="410"/>
      <c r="AF4" s="302"/>
      <c r="AK4" s="947"/>
    </row>
    <row r="5" spans="1:38" s="303" customFormat="1" ht="12.95" customHeight="1" thickTop="1" x14ac:dyDescent="0.2">
      <c r="A5" s="1720"/>
      <c r="B5" s="1720"/>
      <c r="C5" s="1720"/>
      <c r="D5" s="1720"/>
      <c r="E5" s="1720"/>
      <c r="F5" s="1720"/>
      <c r="G5" s="1720"/>
      <c r="H5" s="1720"/>
      <c r="I5" s="1720"/>
      <c r="J5" s="1720"/>
      <c r="K5" s="17"/>
      <c r="L5" s="298"/>
      <c r="M5" s="298"/>
      <c r="N5" s="298"/>
      <c r="O5" s="298"/>
      <c r="P5" s="410"/>
      <c r="AF5" s="302"/>
      <c r="AK5" s="948"/>
    </row>
    <row r="6" spans="1:38" s="303" customFormat="1" ht="12.95" customHeight="1" x14ac:dyDescent="0.2">
      <c r="A6" s="298"/>
      <c r="B6" s="298"/>
      <c r="C6" s="298"/>
      <c r="D6" s="298"/>
      <c r="E6" s="298"/>
      <c r="F6" s="298"/>
      <c r="G6" s="298"/>
      <c r="H6" s="298"/>
      <c r="I6" s="298"/>
      <c r="J6" s="298"/>
      <c r="K6" s="1680" t="s">
        <v>20</v>
      </c>
      <c r="L6" s="1702"/>
      <c r="M6" s="1702"/>
      <c r="N6" s="298"/>
      <c r="O6" s="298"/>
      <c r="P6" s="410"/>
      <c r="R6" s="995" t="s">
        <v>705</v>
      </c>
      <c r="AF6" s="302"/>
      <c r="AK6" s="947"/>
    </row>
    <row r="7" spans="1:38" s="154" customFormat="1" ht="12.95" customHeight="1" x14ac:dyDescent="0.2">
      <c r="A7" s="321" t="s">
        <v>53</v>
      </c>
      <c r="B7" s="322"/>
      <c r="C7" s="322"/>
      <c r="D7" s="322"/>
      <c r="E7" s="322"/>
      <c r="F7" s="322"/>
      <c r="G7" s="298"/>
      <c r="H7" s="322"/>
      <c r="I7" s="322"/>
      <c r="J7" s="322"/>
      <c r="K7" s="1679" t="s">
        <v>21</v>
      </c>
      <c r="L7" s="1108"/>
      <c r="M7" s="601"/>
      <c r="N7" s="322"/>
      <c r="O7" s="322"/>
      <c r="P7" s="411"/>
      <c r="R7" s="996"/>
      <c r="AF7" s="324"/>
      <c r="AK7" s="949"/>
    </row>
    <row r="8" spans="1:38" ht="3.95" customHeight="1" x14ac:dyDescent="0.2">
      <c r="A8" s="5"/>
      <c r="B8" s="5"/>
      <c r="C8" s="5"/>
      <c r="D8" s="5"/>
      <c r="E8" s="5"/>
      <c r="F8" s="5"/>
      <c r="G8" s="5"/>
      <c r="H8" s="5"/>
      <c r="I8" s="5"/>
      <c r="J8" s="5"/>
      <c r="K8" s="5"/>
      <c r="L8" s="5"/>
      <c r="M8" s="5"/>
      <c r="N8" s="5"/>
      <c r="O8" s="5"/>
      <c r="P8" s="7"/>
    </row>
    <row r="9" spans="1:38" ht="12.2" customHeight="1" x14ac:dyDescent="0.2">
      <c r="A9" s="1674" t="s">
        <v>1</v>
      </c>
      <c r="B9" s="1699"/>
      <c r="C9" s="1699"/>
      <c r="D9" s="1699"/>
      <c r="E9" s="1699"/>
      <c r="F9" s="1699"/>
      <c r="G9" s="1700"/>
      <c r="H9" s="1758" t="s">
        <v>2</v>
      </c>
      <c r="I9" s="1758"/>
      <c r="J9" s="1699"/>
      <c r="K9" s="1699"/>
      <c r="L9" s="1699"/>
      <c r="M9" s="1699"/>
      <c r="N9" s="1699"/>
      <c r="O9" s="1700"/>
      <c r="P9" s="7"/>
    </row>
    <row r="10" spans="1:38" ht="12.2" customHeight="1" x14ac:dyDescent="0.2">
      <c r="A10" s="1674" t="s">
        <v>3</v>
      </c>
      <c r="B10" s="1699"/>
      <c r="C10" s="1699"/>
      <c r="D10" s="1699"/>
      <c r="E10" s="1699"/>
      <c r="F10" s="1699"/>
      <c r="G10" s="1700"/>
      <c r="H10" s="1758" t="s">
        <v>22</v>
      </c>
      <c r="I10" s="1758"/>
      <c r="J10" s="1699"/>
      <c r="K10" s="1700"/>
      <c r="L10" s="1792" t="s">
        <v>23</v>
      </c>
      <c r="M10" s="1758"/>
      <c r="N10" s="1699"/>
      <c r="O10" s="1700"/>
      <c r="P10" s="7"/>
    </row>
    <row r="11" spans="1:38" ht="3.95" customHeight="1" x14ac:dyDescent="0.2">
      <c r="A11" s="1000"/>
      <c r="B11" s="5"/>
      <c r="C11" s="5"/>
      <c r="D11" s="5"/>
      <c r="E11" s="5"/>
      <c r="F11" s="5"/>
      <c r="G11" s="5"/>
      <c r="H11" s="5"/>
      <c r="I11" s="5"/>
      <c r="J11" s="5"/>
      <c r="K11" s="5"/>
      <c r="L11" s="5"/>
      <c r="M11" s="5"/>
      <c r="N11" s="5"/>
      <c r="O11" s="5"/>
      <c r="P11" s="7"/>
      <c r="R11" s="1793" t="s">
        <v>153</v>
      </c>
      <c r="S11" s="1794"/>
      <c r="T11" s="1794"/>
      <c r="U11" s="1794"/>
      <c r="V11" s="1794"/>
      <c r="W11" s="1794"/>
      <c r="X11" s="1794"/>
      <c r="Y11" s="1794"/>
      <c r="Z11" s="1794"/>
      <c r="AA11" s="1794"/>
      <c r="AB11" s="1794"/>
      <c r="AC11" s="1794"/>
      <c r="AD11" s="1794"/>
      <c r="AE11" s="1795"/>
      <c r="AF11" s="1787" t="s">
        <v>157</v>
      </c>
      <c r="AG11" s="1787" t="s">
        <v>158</v>
      </c>
      <c r="AH11" s="1787" t="s">
        <v>689</v>
      </c>
    </row>
    <row r="12" spans="1:38" s="6" customFormat="1" ht="15.95" customHeight="1" x14ac:dyDescent="0.2">
      <c r="A12" s="1790" t="s">
        <v>40</v>
      </c>
      <c r="B12" s="1802" t="s">
        <v>56</v>
      </c>
      <c r="C12" s="1803"/>
      <c r="D12" s="1803"/>
      <c r="E12" s="1803"/>
      <c r="F12" s="1803"/>
      <c r="G12" s="1803"/>
      <c r="H12" s="1803"/>
      <c r="I12" s="1803"/>
      <c r="J12" s="1803"/>
      <c r="K12" s="1803"/>
      <c r="L12" s="1803"/>
      <c r="M12" s="1803"/>
      <c r="N12" s="1803"/>
      <c r="O12" s="1804"/>
      <c r="P12" s="7"/>
      <c r="R12" s="1796"/>
      <c r="S12" s="1797"/>
      <c r="T12" s="1797"/>
      <c r="U12" s="1797"/>
      <c r="V12" s="1797"/>
      <c r="W12" s="1797"/>
      <c r="X12" s="1797"/>
      <c r="Y12" s="1797"/>
      <c r="Z12" s="1797"/>
      <c r="AA12" s="1797"/>
      <c r="AB12" s="1797"/>
      <c r="AC12" s="1797"/>
      <c r="AD12" s="1797"/>
      <c r="AE12" s="1798"/>
      <c r="AF12" s="1788"/>
      <c r="AG12" s="1788"/>
      <c r="AH12" s="1788"/>
      <c r="AK12" s="951"/>
    </row>
    <row r="13" spans="1:38" ht="15.95" customHeight="1" x14ac:dyDescent="0.2">
      <c r="A13" s="1791"/>
      <c r="B13" s="1375"/>
      <c r="C13" s="1376"/>
      <c r="D13" s="1376"/>
      <c r="E13" s="1376"/>
      <c r="F13" s="1376"/>
      <c r="G13" s="1376"/>
      <c r="H13" s="1376"/>
      <c r="I13" s="1376"/>
      <c r="J13" s="1376"/>
      <c r="K13" s="1376"/>
      <c r="L13" s="1376"/>
      <c r="M13" s="1376"/>
      <c r="N13" s="1376"/>
      <c r="O13" s="1377"/>
      <c r="P13" s="599" t="s">
        <v>75</v>
      </c>
      <c r="R13" s="1799"/>
      <c r="S13" s="1800"/>
      <c r="T13" s="1800"/>
      <c r="U13" s="1800"/>
      <c r="V13" s="1800"/>
      <c r="W13" s="1800"/>
      <c r="X13" s="1800"/>
      <c r="Y13" s="1800"/>
      <c r="Z13" s="1800"/>
      <c r="AA13" s="1800"/>
      <c r="AB13" s="1800"/>
      <c r="AC13" s="1800"/>
      <c r="AD13" s="1800"/>
      <c r="AE13" s="1801"/>
      <c r="AF13" s="1789"/>
      <c r="AG13" s="1789"/>
      <c r="AH13" s="1789"/>
    </row>
    <row r="14" spans="1:38" ht="15.95" customHeight="1" x14ac:dyDescent="0.2">
      <c r="A14" s="1363"/>
      <c r="B14" s="1364"/>
      <c r="C14" s="1365"/>
      <c r="D14" s="1365"/>
      <c r="E14" s="1365"/>
      <c r="F14" s="1365"/>
      <c r="G14" s="1365"/>
      <c r="H14" s="1365"/>
      <c r="I14" s="1365"/>
      <c r="J14" s="1365"/>
      <c r="K14" s="1365"/>
      <c r="L14" s="1365"/>
      <c r="M14" s="1365"/>
      <c r="N14" s="1365"/>
      <c r="O14" s="1366"/>
      <c r="P14" s="600" t="str">
        <f t="shared" ref="P14:P49" si="0">IF(ISBLANK(A14),"",SUM(B14:O14))</f>
        <v/>
      </c>
      <c r="R14" s="19"/>
      <c r="S14" s="19"/>
      <c r="T14" s="19"/>
      <c r="U14" s="19"/>
      <c r="V14" s="19"/>
      <c r="W14" s="19"/>
      <c r="X14" s="19"/>
      <c r="Y14" s="19"/>
      <c r="Z14" s="19"/>
      <c r="AA14" s="19"/>
      <c r="AB14" s="19"/>
      <c r="AC14" s="19"/>
      <c r="AD14" s="19"/>
      <c r="AE14" s="19"/>
      <c r="AF14" s="22"/>
      <c r="AG14" s="21" t="b">
        <f>OR(IF(ISNUMBER(B14),B14&gt;R14),IF(ISNUMBER(C14),C14&gt;S14),IF(ISNUMBER(D14),D14&gt;T14),IF(ISNUMBER(E14),E14&gt;U14),IF(ISNUMBER(F14),F14&gt;V14),IF(ISNUMBER(G14),G14&gt;W14),IF(ISNUMBER(H14),H14&gt;X14),IF(ISNUMBER(I14),I14&gt;Y14),IF(ISNUMBER(J14),J14&gt;Z14),IF(ISNUMBER(K14),K14&gt;AA14),IF(ISNUMBER(L14),L14&gt;AB14),IF(ISNUMBER(M14),M14&gt;AC14),IF(ISNUMBER(N14),N14&gt;AD14),IF(ISNUMBER(O14),O14&gt;AE14))</f>
        <v>0</v>
      </c>
      <c r="AH14" s="952" t="b">
        <v>0</v>
      </c>
    </row>
    <row r="15" spans="1:38" ht="15.95" customHeight="1" x14ac:dyDescent="0.2">
      <c r="A15" s="1367"/>
      <c r="B15" s="1368"/>
      <c r="C15" s="1369"/>
      <c r="D15" s="1369"/>
      <c r="E15" s="1369"/>
      <c r="F15" s="1369"/>
      <c r="G15" s="1369"/>
      <c r="H15" s="1369"/>
      <c r="I15" s="1369"/>
      <c r="J15" s="1369"/>
      <c r="K15" s="1369"/>
      <c r="L15" s="1369"/>
      <c r="M15" s="1369"/>
      <c r="N15" s="1369"/>
      <c r="O15" s="1370"/>
      <c r="P15" s="600" t="str">
        <f t="shared" si="0"/>
        <v/>
      </c>
      <c r="R15" s="19"/>
      <c r="S15" s="19"/>
      <c r="T15" s="19"/>
      <c r="U15" s="19"/>
      <c r="V15" s="19"/>
      <c r="W15" s="19"/>
      <c r="X15" s="19"/>
      <c r="Y15" s="19"/>
      <c r="Z15" s="19"/>
      <c r="AA15" s="19"/>
      <c r="AB15" s="19"/>
      <c r="AC15" s="19"/>
      <c r="AD15" s="19"/>
      <c r="AE15" s="19"/>
      <c r="AF15" s="22"/>
      <c r="AG15" s="21" t="b">
        <f t="shared" ref="AG15:AG49" si="1">OR(IF(ISNUMBER(B15),B15&gt;R15),IF(ISNUMBER(C15),C15&gt;S15),IF(ISNUMBER(D15),D15&gt;T15),IF(ISNUMBER(E15),E15&gt;U15),IF(ISNUMBER(F15),F15&gt;V15),IF(ISNUMBER(G15),G15&gt;W15),IF(ISNUMBER(H15),H15&gt;X15),IF(ISNUMBER(I15),I15&gt;Y15),IF(ISNUMBER(J15),J15&gt;Z15),IF(ISNUMBER(K15),K15&gt;AA15),IF(ISNUMBER(L15),L15&gt;AB15),IF(ISNUMBER(M15),M15&gt;AC15),IF(ISNUMBER(N15),N15&gt;AD15),IF(ISNUMBER(O15),O15&gt;AE15))</f>
        <v>0</v>
      </c>
      <c r="AH15" s="952" t="b">
        <v>0</v>
      </c>
    </row>
    <row r="16" spans="1:38" ht="15.95" customHeight="1" x14ac:dyDescent="0.2">
      <c r="A16" s="1367"/>
      <c r="B16" s="1368"/>
      <c r="C16" s="1369"/>
      <c r="D16" s="1369"/>
      <c r="E16" s="1369"/>
      <c r="F16" s="1369"/>
      <c r="G16" s="1369"/>
      <c r="H16" s="1369"/>
      <c r="I16" s="1369"/>
      <c r="J16" s="1369"/>
      <c r="K16" s="1369"/>
      <c r="L16" s="1369"/>
      <c r="M16" s="1369"/>
      <c r="N16" s="1369"/>
      <c r="O16" s="1370"/>
      <c r="P16" s="600" t="str">
        <f t="shared" si="0"/>
        <v/>
      </c>
      <c r="R16" s="19"/>
      <c r="S16" s="19"/>
      <c r="T16" s="19"/>
      <c r="U16" s="19"/>
      <c r="V16" s="19"/>
      <c r="W16" s="19"/>
      <c r="X16" s="19"/>
      <c r="Y16" s="19"/>
      <c r="Z16" s="19"/>
      <c r="AA16" s="19"/>
      <c r="AB16" s="19"/>
      <c r="AC16" s="19"/>
      <c r="AD16" s="19"/>
      <c r="AE16" s="19"/>
      <c r="AF16" s="22"/>
      <c r="AG16" s="21" t="b">
        <f t="shared" si="1"/>
        <v>0</v>
      </c>
      <c r="AH16" s="952" t="b">
        <v>0</v>
      </c>
    </row>
    <row r="17" spans="1:34" ht="15.95" customHeight="1" x14ac:dyDescent="0.2">
      <c r="A17" s="1367"/>
      <c r="B17" s="1368"/>
      <c r="C17" s="1369"/>
      <c r="D17" s="1369"/>
      <c r="E17" s="1369"/>
      <c r="F17" s="1369"/>
      <c r="G17" s="1369"/>
      <c r="H17" s="1369"/>
      <c r="I17" s="1369"/>
      <c r="J17" s="1369"/>
      <c r="K17" s="1369"/>
      <c r="L17" s="1369"/>
      <c r="M17" s="1369"/>
      <c r="N17" s="1369"/>
      <c r="O17" s="1370"/>
      <c r="P17" s="600" t="str">
        <f t="shared" si="0"/>
        <v/>
      </c>
      <c r="R17" s="19"/>
      <c r="S17" s="19"/>
      <c r="T17" s="19"/>
      <c r="U17" s="19"/>
      <c r="V17" s="19"/>
      <c r="W17" s="19"/>
      <c r="X17" s="19"/>
      <c r="Y17" s="19"/>
      <c r="Z17" s="19"/>
      <c r="AA17" s="19"/>
      <c r="AB17" s="19"/>
      <c r="AC17" s="19"/>
      <c r="AD17" s="19"/>
      <c r="AE17" s="19"/>
      <c r="AF17" s="22"/>
      <c r="AG17" s="21" t="b">
        <f t="shared" si="1"/>
        <v>0</v>
      </c>
      <c r="AH17" s="952" t="b">
        <v>0</v>
      </c>
    </row>
    <row r="18" spans="1:34" ht="15.95" customHeight="1" x14ac:dyDescent="0.2">
      <c r="A18" s="1367"/>
      <c r="B18" s="1368"/>
      <c r="C18" s="1369"/>
      <c r="D18" s="1369"/>
      <c r="E18" s="1369"/>
      <c r="F18" s="1369"/>
      <c r="G18" s="1369"/>
      <c r="H18" s="1369"/>
      <c r="I18" s="1369"/>
      <c r="J18" s="1369"/>
      <c r="K18" s="1369"/>
      <c r="L18" s="1369"/>
      <c r="M18" s="1369"/>
      <c r="N18" s="1369"/>
      <c r="O18" s="1370"/>
      <c r="P18" s="600" t="str">
        <f t="shared" si="0"/>
        <v/>
      </c>
      <c r="R18" s="19"/>
      <c r="S18" s="19"/>
      <c r="T18" s="19"/>
      <c r="U18" s="19"/>
      <c r="V18" s="19"/>
      <c r="W18" s="19"/>
      <c r="X18" s="19"/>
      <c r="Y18" s="19"/>
      <c r="Z18" s="19"/>
      <c r="AA18" s="19"/>
      <c r="AB18" s="19"/>
      <c r="AC18" s="19"/>
      <c r="AD18" s="19"/>
      <c r="AE18" s="19"/>
      <c r="AF18" s="22"/>
      <c r="AG18" s="21" t="b">
        <f t="shared" si="1"/>
        <v>0</v>
      </c>
      <c r="AH18" s="952" t="b">
        <v>0</v>
      </c>
    </row>
    <row r="19" spans="1:34" ht="15.95" customHeight="1" x14ac:dyDescent="0.2">
      <c r="A19" s="1367"/>
      <c r="B19" s="1368"/>
      <c r="C19" s="1369"/>
      <c r="D19" s="1369"/>
      <c r="E19" s="1369"/>
      <c r="F19" s="1369"/>
      <c r="G19" s="1369"/>
      <c r="H19" s="1369"/>
      <c r="I19" s="1369"/>
      <c r="J19" s="1369"/>
      <c r="K19" s="1369"/>
      <c r="L19" s="1369"/>
      <c r="M19" s="1369"/>
      <c r="N19" s="1369"/>
      <c r="O19" s="1370"/>
      <c r="P19" s="600" t="str">
        <f t="shared" si="0"/>
        <v/>
      </c>
      <c r="R19" s="19"/>
      <c r="S19" s="19"/>
      <c r="T19" s="19"/>
      <c r="U19" s="19"/>
      <c r="V19" s="19"/>
      <c r="W19" s="19"/>
      <c r="X19" s="19"/>
      <c r="Y19" s="19"/>
      <c r="Z19" s="19"/>
      <c r="AA19" s="19"/>
      <c r="AB19" s="19"/>
      <c r="AC19" s="19"/>
      <c r="AD19" s="19"/>
      <c r="AE19" s="19"/>
      <c r="AF19" s="22"/>
      <c r="AG19" s="21" t="b">
        <f t="shared" si="1"/>
        <v>0</v>
      </c>
      <c r="AH19" s="952" t="b">
        <v>0</v>
      </c>
    </row>
    <row r="20" spans="1:34" ht="15.95" customHeight="1" x14ac:dyDescent="0.2">
      <c r="A20" s="1367"/>
      <c r="B20" s="1368"/>
      <c r="C20" s="1369"/>
      <c r="D20" s="1369"/>
      <c r="E20" s="1369"/>
      <c r="F20" s="1369"/>
      <c r="G20" s="1369"/>
      <c r="H20" s="1369"/>
      <c r="I20" s="1369"/>
      <c r="J20" s="1369"/>
      <c r="K20" s="1369"/>
      <c r="L20" s="1369"/>
      <c r="M20" s="1369"/>
      <c r="N20" s="1369"/>
      <c r="O20" s="1370"/>
      <c r="P20" s="600" t="str">
        <f t="shared" si="0"/>
        <v/>
      </c>
      <c r="R20" s="19"/>
      <c r="S20" s="19"/>
      <c r="T20" s="19"/>
      <c r="U20" s="19"/>
      <c r="V20" s="19"/>
      <c r="W20" s="19"/>
      <c r="X20" s="19"/>
      <c r="Y20" s="19"/>
      <c r="Z20" s="19"/>
      <c r="AA20" s="19"/>
      <c r="AB20" s="19"/>
      <c r="AC20" s="19"/>
      <c r="AD20" s="19"/>
      <c r="AE20" s="19"/>
      <c r="AF20" s="22"/>
      <c r="AG20" s="21" t="b">
        <f t="shared" si="1"/>
        <v>0</v>
      </c>
      <c r="AH20" s="952" t="b">
        <v>0</v>
      </c>
    </row>
    <row r="21" spans="1:34" ht="15.95" customHeight="1" x14ac:dyDescent="0.2">
      <c r="A21" s="1367"/>
      <c r="B21" s="1368"/>
      <c r="C21" s="1369"/>
      <c r="D21" s="1369"/>
      <c r="E21" s="1369"/>
      <c r="F21" s="1369"/>
      <c r="G21" s="1369"/>
      <c r="H21" s="1369"/>
      <c r="I21" s="1369"/>
      <c r="J21" s="1369"/>
      <c r="K21" s="1369"/>
      <c r="L21" s="1369"/>
      <c r="M21" s="1369"/>
      <c r="N21" s="1369"/>
      <c r="O21" s="1370"/>
      <c r="P21" s="600" t="str">
        <f t="shared" si="0"/>
        <v/>
      </c>
      <c r="R21" s="19"/>
      <c r="S21" s="19"/>
      <c r="T21" s="19"/>
      <c r="U21" s="19"/>
      <c r="V21" s="19"/>
      <c r="W21" s="19"/>
      <c r="X21" s="19"/>
      <c r="Y21" s="19"/>
      <c r="Z21" s="19"/>
      <c r="AA21" s="19"/>
      <c r="AB21" s="19"/>
      <c r="AC21" s="19"/>
      <c r="AD21" s="19"/>
      <c r="AE21" s="19"/>
      <c r="AF21" s="22"/>
      <c r="AG21" s="21" t="b">
        <f t="shared" si="1"/>
        <v>0</v>
      </c>
      <c r="AH21" s="952" t="b">
        <v>0</v>
      </c>
    </row>
    <row r="22" spans="1:34" ht="15.95" customHeight="1" x14ac:dyDescent="0.2">
      <c r="A22" s="1367"/>
      <c r="B22" s="1368"/>
      <c r="C22" s="1369"/>
      <c r="D22" s="1369"/>
      <c r="E22" s="1369"/>
      <c r="F22" s="1369"/>
      <c r="G22" s="1369"/>
      <c r="H22" s="1369"/>
      <c r="I22" s="1369"/>
      <c r="J22" s="1369"/>
      <c r="K22" s="1369"/>
      <c r="L22" s="1369"/>
      <c r="M22" s="1369"/>
      <c r="N22" s="1369"/>
      <c r="O22" s="1370"/>
      <c r="P22" s="600" t="str">
        <f t="shared" si="0"/>
        <v/>
      </c>
      <c r="R22" s="19"/>
      <c r="S22" s="19"/>
      <c r="T22" s="19"/>
      <c r="U22" s="19"/>
      <c r="V22" s="19"/>
      <c r="W22" s="19"/>
      <c r="X22" s="19"/>
      <c r="Y22" s="19"/>
      <c r="Z22" s="19"/>
      <c r="AA22" s="19"/>
      <c r="AB22" s="19"/>
      <c r="AC22" s="19"/>
      <c r="AD22" s="19"/>
      <c r="AE22" s="19"/>
      <c r="AF22" s="22"/>
      <c r="AG22" s="21" t="b">
        <f t="shared" si="1"/>
        <v>0</v>
      </c>
      <c r="AH22" s="952" t="b">
        <v>0</v>
      </c>
    </row>
    <row r="23" spans="1:34" ht="15.95" customHeight="1" x14ac:dyDescent="0.2">
      <c r="A23" s="1367"/>
      <c r="B23" s="1368"/>
      <c r="C23" s="1369"/>
      <c r="D23" s="1369"/>
      <c r="E23" s="1369"/>
      <c r="F23" s="1369"/>
      <c r="G23" s="1369"/>
      <c r="H23" s="1369"/>
      <c r="I23" s="1369"/>
      <c r="J23" s="1369"/>
      <c r="K23" s="1369"/>
      <c r="L23" s="1369"/>
      <c r="M23" s="1369"/>
      <c r="N23" s="1369"/>
      <c r="O23" s="1370"/>
      <c r="P23" s="600" t="str">
        <f t="shared" si="0"/>
        <v/>
      </c>
      <c r="R23" s="19"/>
      <c r="S23" s="19"/>
      <c r="T23" s="19"/>
      <c r="U23" s="19"/>
      <c r="V23" s="19"/>
      <c r="W23" s="19"/>
      <c r="X23" s="19"/>
      <c r="Y23" s="19"/>
      <c r="Z23" s="19"/>
      <c r="AA23" s="19"/>
      <c r="AB23" s="19"/>
      <c r="AC23" s="19"/>
      <c r="AD23" s="19"/>
      <c r="AE23" s="19"/>
      <c r="AF23" s="22"/>
      <c r="AG23" s="21" t="b">
        <f t="shared" si="1"/>
        <v>0</v>
      </c>
      <c r="AH23" s="952" t="b">
        <v>0</v>
      </c>
    </row>
    <row r="24" spans="1:34" ht="15.95" customHeight="1" x14ac:dyDescent="0.2">
      <c r="A24" s="1367"/>
      <c r="B24" s="1368"/>
      <c r="C24" s="1369"/>
      <c r="D24" s="1369"/>
      <c r="E24" s="1369"/>
      <c r="F24" s="1369"/>
      <c r="G24" s="1369"/>
      <c r="H24" s="1369"/>
      <c r="I24" s="1369"/>
      <c r="J24" s="1369"/>
      <c r="K24" s="1369"/>
      <c r="L24" s="1369"/>
      <c r="M24" s="1369"/>
      <c r="N24" s="1369"/>
      <c r="O24" s="1370"/>
      <c r="P24" s="600" t="str">
        <f t="shared" si="0"/>
        <v/>
      </c>
      <c r="R24" s="19"/>
      <c r="S24" s="19"/>
      <c r="T24" s="19"/>
      <c r="U24" s="19"/>
      <c r="V24" s="19"/>
      <c r="W24" s="19"/>
      <c r="X24" s="19"/>
      <c r="Y24" s="19"/>
      <c r="Z24" s="19"/>
      <c r="AA24" s="19"/>
      <c r="AB24" s="19"/>
      <c r="AC24" s="19"/>
      <c r="AD24" s="19"/>
      <c r="AE24" s="19"/>
      <c r="AF24" s="22"/>
      <c r="AG24" s="21" t="b">
        <f t="shared" si="1"/>
        <v>0</v>
      </c>
      <c r="AH24" s="952" t="b">
        <v>0</v>
      </c>
    </row>
    <row r="25" spans="1:34" ht="15.95" customHeight="1" x14ac:dyDescent="0.2">
      <c r="A25" s="1367"/>
      <c r="B25" s="1368"/>
      <c r="C25" s="1369"/>
      <c r="D25" s="1369"/>
      <c r="E25" s="1369"/>
      <c r="F25" s="1369"/>
      <c r="G25" s="1369"/>
      <c r="H25" s="1369"/>
      <c r="I25" s="1369"/>
      <c r="J25" s="1369"/>
      <c r="K25" s="1369"/>
      <c r="L25" s="1369"/>
      <c r="M25" s="1369"/>
      <c r="N25" s="1369"/>
      <c r="O25" s="1370"/>
      <c r="P25" s="600" t="str">
        <f t="shared" si="0"/>
        <v/>
      </c>
      <c r="R25" s="19"/>
      <c r="S25" s="19"/>
      <c r="T25" s="19"/>
      <c r="U25" s="19"/>
      <c r="V25" s="19"/>
      <c r="W25" s="19"/>
      <c r="X25" s="19"/>
      <c r="Y25" s="19"/>
      <c r="Z25" s="19"/>
      <c r="AA25" s="19"/>
      <c r="AB25" s="19"/>
      <c r="AC25" s="19"/>
      <c r="AD25" s="19"/>
      <c r="AE25" s="19"/>
      <c r="AF25" s="22"/>
      <c r="AG25" s="21" t="b">
        <f t="shared" si="1"/>
        <v>0</v>
      </c>
      <c r="AH25" s="952" t="b">
        <v>0</v>
      </c>
    </row>
    <row r="26" spans="1:34" ht="15.95" customHeight="1" x14ac:dyDescent="0.2">
      <c r="A26" s="1367"/>
      <c r="B26" s="1368"/>
      <c r="C26" s="1369"/>
      <c r="D26" s="1369"/>
      <c r="E26" s="1369"/>
      <c r="F26" s="1369"/>
      <c r="G26" s="1369"/>
      <c r="H26" s="1369"/>
      <c r="I26" s="1369"/>
      <c r="J26" s="1369"/>
      <c r="K26" s="1369"/>
      <c r="L26" s="1369"/>
      <c r="M26" s="1369"/>
      <c r="N26" s="1369"/>
      <c r="O26" s="1370"/>
      <c r="P26" s="600" t="str">
        <f t="shared" si="0"/>
        <v/>
      </c>
      <c r="R26" s="19"/>
      <c r="S26" s="19"/>
      <c r="T26" s="19"/>
      <c r="U26" s="19"/>
      <c r="V26" s="19"/>
      <c r="W26" s="19"/>
      <c r="X26" s="19"/>
      <c r="Y26" s="19"/>
      <c r="Z26" s="19"/>
      <c r="AA26" s="19"/>
      <c r="AB26" s="19"/>
      <c r="AC26" s="19"/>
      <c r="AD26" s="19"/>
      <c r="AE26" s="19"/>
      <c r="AF26" s="22"/>
      <c r="AG26" s="21" t="b">
        <f t="shared" si="1"/>
        <v>0</v>
      </c>
      <c r="AH26" s="952" t="b">
        <v>0</v>
      </c>
    </row>
    <row r="27" spans="1:34" ht="15.95" customHeight="1" x14ac:dyDescent="0.2">
      <c r="A27" s="1367"/>
      <c r="B27" s="1368"/>
      <c r="C27" s="1369"/>
      <c r="D27" s="1369"/>
      <c r="E27" s="1369"/>
      <c r="F27" s="1369"/>
      <c r="G27" s="1369"/>
      <c r="H27" s="1369"/>
      <c r="I27" s="1369"/>
      <c r="J27" s="1369"/>
      <c r="K27" s="1369"/>
      <c r="L27" s="1369"/>
      <c r="M27" s="1369"/>
      <c r="N27" s="1369"/>
      <c r="O27" s="1370"/>
      <c r="P27" s="600" t="str">
        <f t="shared" si="0"/>
        <v/>
      </c>
      <c r="R27" s="19"/>
      <c r="S27" s="19"/>
      <c r="T27" s="19"/>
      <c r="U27" s="19"/>
      <c r="V27" s="19"/>
      <c r="W27" s="19"/>
      <c r="X27" s="19"/>
      <c r="Y27" s="19"/>
      <c r="Z27" s="19"/>
      <c r="AA27" s="19"/>
      <c r="AB27" s="19"/>
      <c r="AC27" s="19"/>
      <c r="AD27" s="19"/>
      <c r="AE27" s="19"/>
      <c r="AF27" s="22"/>
      <c r="AG27" s="21" t="b">
        <f t="shared" si="1"/>
        <v>0</v>
      </c>
      <c r="AH27" s="952" t="b">
        <v>0</v>
      </c>
    </row>
    <row r="28" spans="1:34" ht="15.95" customHeight="1" x14ac:dyDescent="0.2">
      <c r="A28" s="1367"/>
      <c r="B28" s="1368"/>
      <c r="C28" s="1369"/>
      <c r="D28" s="1369"/>
      <c r="E28" s="1369"/>
      <c r="F28" s="1369"/>
      <c r="G28" s="1369"/>
      <c r="H28" s="1369"/>
      <c r="I28" s="1369"/>
      <c r="J28" s="1369"/>
      <c r="K28" s="1369"/>
      <c r="L28" s="1369"/>
      <c r="M28" s="1369"/>
      <c r="N28" s="1369"/>
      <c r="O28" s="1370"/>
      <c r="P28" s="600" t="str">
        <f t="shared" si="0"/>
        <v/>
      </c>
      <c r="R28" s="19"/>
      <c r="S28" s="19"/>
      <c r="T28" s="19"/>
      <c r="U28" s="19"/>
      <c r="V28" s="19"/>
      <c r="W28" s="19"/>
      <c r="X28" s="19"/>
      <c r="Y28" s="19"/>
      <c r="Z28" s="19"/>
      <c r="AA28" s="19"/>
      <c r="AB28" s="19"/>
      <c r="AC28" s="19"/>
      <c r="AD28" s="19"/>
      <c r="AE28" s="19"/>
      <c r="AF28" s="22"/>
      <c r="AG28" s="21" t="b">
        <f t="shared" si="1"/>
        <v>0</v>
      </c>
      <c r="AH28" s="952" t="b">
        <v>0</v>
      </c>
    </row>
    <row r="29" spans="1:34" ht="15.95" customHeight="1" x14ac:dyDescent="0.2">
      <c r="A29" s="1367"/>
      <c r="B29" s="1368"/>
      <c r="C29" s="1369"/>
      <c r="D29" s="1369"/>
      <c r="E29" s="1369"/>
      <c r="F29" s="1369"/>
      <c r="G29" s="1369"/>
      <c r="H29" s="1369"/>
      <c r="I29" s="1369"/>
      <c r="J29" s="1369"/>
      <c r="K29" s="1369"/>
      <c r="L29" s="1369"/>
      <c r="M29" s="1369"/>
      <c r="N29" s="1369"/>
      <c r="O29" s="1370"/>
      <c r="P29" s="600" t="str">
        <f t="shared" si="0"/>
        <v/>
      </c>
      <c r="R29" s="19"/>
      <c r="S29" s="19"/>
      <c r="T29" s="19"/>
      <c r="U29" s="19"/>
      <c r="V29" s="19"/>
      <c r="W29" s="19"/>
      <c r="X29" s="19"/>
      <c r="Y29" s="19"/>
      <c r="Z29" s="19"/>
      <c r="AA29" s="19"/>
      <c r="AB29" s="19"/>
      <c r="AC29" s="19"/>
      <c r="AD29" s="19"/>
      <c r="AE29" s="19"/>
      <c r="AF29" s="22"/>
      <c r="AG29" s="21" t="b">
        <f t="shared" si="1"/>
        <v>0</v>
      </c>
      <c r="AH29" s="952" t="b">
        <v>0</v>
      </c>
    </row>
    <row r="30" spans="1:34" ht="15.95" customHeight="1" x14ac:dyDescent="0.2">
      <c r="A30" s="1367"/>
      <c r="B30" s="1368"/>
      <c r="C30" s="1369"/>
      <c r="D30" s="1369"/>
      <c r="E30" s="1369"/>
      <c r="F30" s="1369"/>
      <c r="G30" s="1369"/>
      <c r="H30" s="1369"/>
      <c r="I30" s="1369"/>
      <c r="J30" s="1369"/>
      <c r="K30" s="1369"/>
      <c r="L30" s="1369"/>
      <c r="M30" s="1369"/>
      <c r="N30" s="1369"/>
      <c r="O30" s="1370"/>
      <c r="P30" s="600" t="str">
        <f t="shared" si="0"/>
        <v/>
      </c>
      <c r="R30" s="19"/>
      <c r="S30" s="19"/>
      <c r="T30" s="19"/>
      <c r="U30" s="19"/>
      <c r="V30" s="19"/>
      <c r="W30" s="19"/>
      <c r="X30" s="19"/>
      <c r="Y30" s="19"/>
      <c r="Z30" s="19"/>
      <c r="AA30" s="19"/>
      <c r="AB30" s="19"/>
      <c r="AC30" s="19"/>
      <c r="AD30" s="19"/>
      <c r="AE30" s="19"/>
      <c r="AF30" s="22"/>
      <c r="AG30" s="21" t="b">
        <f t="shared" si="1"/>
        <v>0</v>
      </c>
      <c r="AH30" s="952" t="b">
        <v>0</v>
      </c>
    </row>
    <row r="31" spans="1:34" ht="15.95" customHeight="1" x14ac:dyDescent="0.2">
      <c r="A31" s="1367"/>
      <c r="B31" s="1368"/>
      <c r="C31" s="1369"/>
      <c r="D31" s="1369"/>
      <c r="E31" s="1369"/>
      <c r="F31" s="1369"/>
      <c r="G31" s="1369"/>
      <c r="H31" s="1369"/>
      <c r="I31" s="1369"/>
      <c r="J31" s="1369"/>
      <c r="K31" s="1369"/>
      <c r="L31" s="1369"/>
      <c r="M31" s="1369"/>
      <c r="N31" s="1369"/>
      <c r="O31" s="1370"/>
      <c r="P31" s="600" t="str">
        <f t="shared" si="0"/>
        <v/>
      </c>
      <c r="R31" s="19"/>
      <c r="S31" s="19"/>
      <c r="T31" s="19"/>
      <c r="U31" s="19"/>
      <c r="V31" s="19"/>
      <c r="W31" s="19"/>
      <c r="X31" s="19"/>
      <c r="Y31" s="19"/>
      <c r="Z31" s="19"/>
      <c r="AA31" s="19"/>
      <c r="AB31" s="19"/>
      <c r="AC31" s="19"/>
      <c r="AD31" s="19"/>
      <c r="AE31" s="19"/>
      <c r="AF31" s="22"/>
      <c r="AG31" s="21" t="b">
        <f t="shared" si="1"/>
        <v>0</v>
      </c>
      <c r="AH31" s="952" t="b">
        <v>0</v>
      </c>
    </row>
    <row r="32" spans="1:34" ht="15.95" customHeight="1" x14ac:dyDescent="0.2">
      <c r="A32" s="1367"/>
      <c r="B32" s="1368"/>
      <c r="C32" s="1369"/>
      <c r="D32" s="1369"/>
      <c r="E32" s="1369"/>
      <c r="F32" s="1369"/>
      <c r="G32" s="1369"/>
      <c r="H32" s="1369"/>
      <c r="I32" s="1369"/>
      <c r="J32" s="1369"/>
      <c r="K32" s="1369"/>
      <c r="L32" s="1369"/>
      <c r="M32" s="1369"/>
      <c r="N32" s="1369"/>
      <c r="O32" s="1370"/>
      <c r="P32" s="600" t="str">
        <f t="shared" si="0"/>
        <v/>
      </c>
      <c r="R32" s="19"/>
      <c r="S32" s="19"/>
      <c r="T32" s="19"/>
      <c r="U32" s="19"/>
      <c r="V32" s="19"/>
      <c r="W32" s="19"/>
      <c r="X32" s="19"/>
      <c r="Y32" s="19"/>
      <c r="Z32" s="19"/>
      <c r="AA32" s="19"/>
      <c r="AB32" s="19"/>
      <c r="AC32" s="19"/>
      <c r="AD32" s="19"/>
      <c r="AE32" s="19"/>
      <c r="AF32" s="22"/>
      <c r="AG32" s="21" t="b">
        <f t="shared" si="1"/>
        <v>0</v>
      </c>
      <c r="AH32" s="952" t="b">
        <v>0</v>
      </c>
    </row>
    <row r="33" spans="1:34" ht="15.95" customHeight="1" x14ac:dyDescent="0.2">
      <c r="A33" s="1367"/>
      <c r="B33" s="1368"/>
      <c r="C33" s="1369"/>
      <c r="D33" s="1369"/>
      <c r="E33" s="1369"/>
      <c r="F33" s="1369"/>
      <c r="G33" s="1369"/>
      <c r="H33" s="1369"/>
      <c r="I33" s="1369"/>
      <c r="J33" s="1369"/>
      <c r="K33" s="1369"/>
      <c r="L33" s="1369"/>
      <c r="M33" s="1369"/>
      <c r="N33" s="1369"/>
      <c r="O33" s="1370"/>
      <c r="P33" s="600" t="str">
        <f t="shared" si="0"/>
        <v/>
      </c>
      <c r="R33" s="19"/>
      <c r="S33" s="19"/>
      <c r="T33" s="19"/>
      <c r="U33" s="19"/>
      <c r="V33" s="19"/>
      <c r="W33" s="19"/>
      <c r="X33" s="19"/>
      <c r="Y33" s="19"/>
      <c r="Z33" s="19"/>
      <c r="AA33" s="19"/>
      <c r="AB33" s="19"/>
      <c r="AC33" s="19"/>
      <c r="AD33" s="19"/>
      <c r="AE33" s="19"/>
      <c r="AF33" s="22"/>
      <c r="AG33" s="21" t="b">
        <f t="shared" si="1"/>
        <v>0</v>
      </c>
      <c r="AH33" s="952" t="b">
        <v>0</v>
      </c>
    </row>
    <row r="34" spans="1:34" ht="15.95" customHeight="1" x14ac:dyDescent="0.2">
      <c r="A34" s="1367"/>
      <c r="B34" s="1368"/>
      <c r="C34" s="1369"/>
      <c r="D34" s="1369"/>
      <c r="E34" s="1369"/>
      <c r="F34" s="1369"/>
      <c r="G34" s="1369"/>
      <c r="H34" s="1369"/>
      <c r="I34" s="1369"/>
      <c r="J34" s="1369"/>
      <c r="K34" s="1369"/>
      <c r="L34" s="1369"/>
      <c r="M34" s="1369"/>
      <c r="N34" s="1369"/>
      <c r="O34" s="1370"/>
      <c r="P34" s="600" t="str">
        <f t="shared" si="0"/>
        <v/>
      </c>
      <c r="R34" s="19"/>
      <c r="S34" s="19"/>
      <c r="T34" s="19"/>
      <c r="U34" s="19"/>
      <c r="V34" s="19"/>
      <c r="W34" s="19"/>
      <c r="X34" s="19"/>
      <c r="Y34" s="19"/>
      <c r="Z34" s="19"/>
      <c r="AA34" s="19"/>
      <c r="AB34" s="19"/>
      <c r="AC34" s="19"/>
      <c r="AD34" s="19"/>
      <c r="AE34" s="19"/>
      <c r="AF34" s="22"/>
      <c r="AG34" s="21" t="b">
        <f t="shared" si="1"/>
        <v>0</v>
      </c>
      <c r="AH34" s="952" t="b">
        <v>0</v>
      </c>
    </row>
    <row r="35" spans="1:34" ht="15.95" customHeight="1" x14ac:dyDescent="0.2">
      <c r="A35" s="1367"/>
      <c r="B35" s="1368"/>
      <c r="C35" s="1369"/>
      <c r="D35" s="1369"/>
      <c r="E35" s="1369"/>
      <c r="F35" s="1369"/>
      <c r="G35" s="1369"/>
      <c r="H35" s="1369"/>
      <c r="I35" s="1369"/>
      <c r="J35" s="1369"/>
      <c r="K35" s="1369"/>
      <c r="L35" s="1369"/>
      <c r="M35" s="1369"/>
      <c r="N35" s="1369"/>
      <c r="O35" s="1370"/>
      <c r="P35" s="600" t="str">
        <f t="shared" si="0"/>
        <v/>
      </c>
      <c r="R35" s="19"/>
      <c r="S35" s="19"/>
      <c r="T35" s="19"/>
      <c r="U35" s="19"/>
      <c r="V35" s="19"/>
      <c r="W35" s="19"/>
      <c r="X35" s="19"/>
      <c r="Y35" s="19"/>
      <c r="Z35" s="19"/>
      <c r="AA35" s="19"/>
      <c r="AB35" s="19"/>
      <c r="AC35" s="19"/>
      <c r="AD35" s="19"/>
      <c r="AE35" s="19"/>
      <c r="AF35" s="22"/>
      <c r="AG35" s="21" t="b">
        <f t="shared" si="1"/>
        <v>0</v>
      </c>
      <c r="AH35" s="952" t="b">
        <v>0</v>
      </c>
    </row>
    <row r="36" spans="1:34" ht="15.95" customHeight="1" x14ac:dyDescent="0.2">
      <c r="A36" s="1367"/>
      <c r="B36" s="1368"/>
      <c r="C36" s="1369"/>
      <c r="D36" s="1369"/>
      <c r="E36" s="1369"/>
      <c r="F36" s="1369"/>
      <c r="G36" s="1369"/>
      <c r="H36" s="1369"/>
      <c r="I36" s="1369"/>
      <c r="J36" s="1369"/>
      <c r="K36" s="1369"/>
      <c r="L36" s="1369"/>
      <c r="M36" s="1369"/>
      <c r="N36" s="1369"/>
      <c r="O36" s="1370"/>
      <c r="P36" s="600" t="str">
        <f t="shared" si="0"/>
        <v/>
      </c>
      <c r="R36" s="19"/>
      <c r="S36" s="19"/>
      <c r="T36" s="19"/>
      <c r="U36" s="19"/>
      <c r="V36" s="19"/>
      <c r="W36" s="19"/>
      <c r="X36" s="19"/>
      <c r="Y36" s="19"/>
      <c r="Z36" s="19"/>
      <c r="AA36" s="19"/>
      <c r="AB36" s="19"/>
      <c r="AC36" s="19"/>
      <c r="AD36" s="19"/>
      <c r="AE36" s="19"/>
      <c r="AF36" s="22"/>
      <c r="AG36" s="21" t="b">
        <f t="shared" si="1"/>
        <v>0</v>
      </c>
      <c r="AH36" s="952" t="b">
        <v>0</v>
      </c>
    </row>
    <row r="37" spans="1:34" ht="15.95" customHeight="1" x14ac:dyDescent="0.2">
      <c r="A37" s="1367"/>
      <c r="B37" s="1368"/>
      <c r="C37" s="1369"/>
      <c r="D37" s="1369"/>
      <c r="E37" s="1369"/>
      <c r="F37" s="1369"/>
      <c r="G37" s="1369"/>
      <c r="H37" s="1369"/>
      <c r="I37" s="1369"/>
      <c r="J37" s="1369"/>
      <c r="K37" s="1369"/>
      <c r="L37" s="1369"/>
      <c r="M37" s="1369"/>
      <c r="N37" s="1369"/>
      <c r="O37" s="1370"/>
      <c r="P37" s="600" t="str">
        <f t="shared" si="0"/>
        <v/>
      </c>
      <c r="R37" s="19"/>
      <c r="S37" s="19"/>
      <c r="T37" s="19"/>
      <c r="U37" s="19"/>
      <c r="V37" s="19"/>
      <c r="W37" s="19"/>
      <c r="X37" s="19"/>
      <c r="Y37" s="19"/>
      <c r="Z37" s="19"/>
      <c r="AA37" s="19"/>
      <c r="AB37" s="19"/>
      <c r="AC37" s="19"/>
      <c r="AD37" s="19"/>
      <c r="AE37" s="19"/>
      <c r="AF37" s="22"/>
      <c r="AG37" s="21" t="b">
        <f t="shared" si="1"/>
        <v>0</v>
      </c>
      <c r="AH37" s="952" t="b">
        <v>0</v>
      </c>
    </row>
    <row r="38" spans="1:34" ht="15.95" customHeight="1" x14ac:dyDescent="0.2">
      <c r="A38" s="1367"/>
      <c r="B38" s="1368"/>
      <c r="C38" s="1369"/>
      <c r="D38" s="1369"/>
      <c r="E38" s="1369"/>
      <c r="F38" s="1369"/>
      <c r="G38" s="1369"/>
      <c r="H38" s="1369"/>
      <c r="I38" s="1369"/>
      <c r="J38" s="1369"/>
      <c r="K38" s="1369"/>
      <c r="L38" s="1369"/>
      <c r="M38" s="1369"/>
      <c r="N38" s="1369"/>
      <c r="O38" s="1370"/>
      <c r="P38" s="600" t="str">
        <f t="shared" si="0"/>
        <v/>
      </c>
      <c r="R38" s="19"/>
      <c r="S38" s="19"/>
      <c r="T38" s="19"/>
      <c r="U38" s="19"/>
      <c r="V38" s="19"/>
      <c r="W38" s="19"/>
      <c r="X38" s="19"/>
      <c r="Y38" s="19"/>
      <c r="Z38" s="19"/>
      <c r="AA38" s="19"/>
      <c r="AB38" s="19"/>
      <c r="AC38" s="19"/>
      <c r="AD38" s="19"/>
      <c r="AE38" s="19"/>
      <c r="AF38" s="22"/>
      <c r="AG38" s="21" t="b">
        <f t="shared" si="1"/>
        <v>0</v>
      </c>
      <c r="AH38" s="952" t="b">
        <v>0</v>
      </c>
    </row>
    <row r="39" spans="1:34" ht="15.95" customHeight="1" x14ac:dyDescent="0.2">
      <c r="A39" s="1367"/>
      <c r="B39" s="1368"/>
      <c r="C39" s="1369"/>
      <c r="D39" s="1369"/>
      <c r="E39" s="1369"/>
      <c r="F39" s="1369"/>
      <c r="G39" s="1369"/>
      <c r="H39" s="1369"/>
      <c r="I39" s="1369"/>
      <c r="J39" s="1369"/>
      <c r="K39" s="1369"/>
      <c r="L39" s="1369"/>
      <c r="M39" s="1369"/>
      <c r="N39" s="1369"/>
      <c r="O39" s="1370"/>
      <c r="P39" s="600" t="str">
        <f t="shared" si="0"/>
        <v/>
      </c>
      <c r="R39" s="19"/>
      <c r="S39" s="19"/>
      <c r="T39" s="19"/>
      <c r="U39" s="19"/>
      <c r="V39" s="19"/>
      <c r="W39" s="19"/>
      <c r="X39" s="19"/>
      <c r="Y39" s="19"/>
      <c r="Z39" s="19"/>
      <c r="AA39" s="19"/>
      <c r="AB39" s="19"/>
      <c r="AC39" s="19"/>
      <c r="AD39" s="19"/>
      <c r="AE39" s="19"/>
      <c r="AF39" s="22"/>
      <c r="AG39" s="21" t="b">
        <f t="shared" si="1"/>
        <v>0</v>
      </c>
      <c r="AH39" s="952" t="b">
        <v>0</v>
      </c>
    </row>
    <row r="40" spans="1:34" ht="15.95" customHeight="1" x14ac:dyDescent="0.2">
      <c r="A40" s="1367"/>
      <c r="B40" s="1368"/>
      <c r="C40" s="1369"/>
      <c r="D40" s="1369"/>
      <c r="E40" s="1369"/>
      <c r="F40" s="1369"/>
      <c r="G40" s="1369"/>
      <c r="H40" s="1369"/>
      <c r="I40" s="1369"/>
      <c r="J40" s="1369"/>
      <c r="K40" s="1369"/>
      <c r="L40" s="1369"/>
      <c r="M40" s="1369"/>
      <c r="N40" s="1369"/>
      <c r="O40" s="1370"/>
      <c r="P40" s="600" t="str">
        <f t="shared" si="0"/>
        <v/>
      </c>
      <c r="R40" s="19"/>
      <c r="S40" s="19"/>
      <c r="T40" s="19"/>
      <c r="U40" s="19"/>
      <c r="V40" s="19"/>
      <c r="W40" s="19"/>
      <c r="X40" s="19"/>
      <c r="Y40" s="19"/>
      <c r="Z40" s="19"/>
      <c r="AA40" s="19"/>
      <c r="AB40" s="19"/>
      <c r="AC40" s="19"/>
      <c r="AD40" s="19"/>
      <c r="AE40" s="19"/>
      <c r="AF40" s="22"/>
      <c r="AG40" s="21" t="b">
        <f t="shared" si="1"/>
        <v>0</v>
      </c>
      <c r="AH40" s="952" t="b">
        <v>0</v>
      </c>
    </row>
    <row r="41" spans="1:34" ht="15.95" customHeight="1" x14ac:dyDescent="0.2">
      <c r="A41" s="1367"/>
      <c r="B41" s="1368"/>
      <c r="C41" s="1369"/>
      <c r="D41" s="1369"/>
      <c r="E41" s="1369"/>
      <c r="F41" s="1369"/>
      <c r="G41" s="1369"/>
      <c r="H41" s="1369"/>
      <c r="I41" s="1369"/>
      <c r="J41" s="1369"/>
      <c r="K41" s="1369"/>
      <c r="L41" s="1369"/>
      <c r="M41" s="1369"/>
      <c r="N41" s="1369"/>
      <c r="O41" s="1370"/>
      <c r="P41" s="600" t="str">
        <f t="shared" si="0"/>
        <v/>
      </c>
      <c r="R41" s="19"/>
      <c r="S41" s="19"/>
      <c r="T41" s="19"/>
      <c r="U41" s="19"/>
      <c r="V41" s="19"/>
      <c r="W41" s="19"/>
      <c r="X41" s="19"/>
      <c r="Y41" s="19"/>
      <c r="Z41" s="19"/>
      <c r="AA41" s="19"/>
      <c r="AB41" s="19"/>
      <c r="AC41" s="19"/>
      <c r="AD41" s="19"/>
      <c r="AE41" s="19"/>
      <c r="AF41" s="22"/>
      <c r="AG41" s="21" t="b">
        <f t="shared" si="1"/>
        <v>0</v>
      </c>
      <c r="AH41" s="952" t="b">
        <v>0</v>
      </c>
    </row>
    <row r="42" spans="1:34" ht="15.95" customHeight="1" x14ac:dyDescent="0.2">
      <c r="A42" s="1367"/>
      <c r="B42" s="1368"/>
      <c r="C42" s="1369"/>
      <c r="D42" s="1369"/>
      <c r="E42" s="1369"/>
      <c r="F42" s="1369"/>
      <c r="G42" s="1369"/>
      <c r="H42" s="1369"/>
      <c r="I42" s="1369"/>
      <c r="J42" s="1369"/>
      <c r="K42" s="1369"/>
      <c r="L42" s="1369"/>
      <c r="M42" s="1369"/>
      <c r="N42" s="1369"/>
      <c r="O42" s="1370"/>
      <c r="P42" s="600" t="str">
        <f t="shared" si="0"/>
        <v/>
      </c>
      <c r="R42" s="19"/>
      <c r="S42" s="19"/>
      <c r="T42" s="19"/>
      <c r="U42" s="19"/>
      <c r="V42" s="19"/>
      <c r="W42" s="19"/>
      <c r="X42" s="19"/>
      <c r="Y42" s="19"/>
      <c r="Z42" s="19"/>
      <c r="AA42" s="19"/>
      <c r="AB42" s="19"/>
      <c r="AC42" s="19"/>
      <c r="AD42" s="19"/>
      <c r="AE42" s="19"/>
      <c r="AF42" s="22"/>
      <c r="AG42" s="21" t="b">
        <f t="shared" si="1"/>
        <v>0</v>
      </c>
      <c r="AH42" s="952" t="b">
        <v>0</v>
      </c>
    </row>
    <row r="43" spans="1:34" ht="15.95" customHeight="1" x14ac:dyDescent="0.2">
      <c r="A43" s="1367"/>
      <c r="B43" s="1368"/>
      <c r="C43" s="1369"/>
      <c r="D43" s="1369"/>
      <c r="E43" s="1369"/>
      <c r="F43" s="1369"/>
      <c r="G43" s="1369"/>
      <c r="H43" s="1369"/>
      <c r="I43" s="1369"/>
      <c r="J43" s="1369"/>
      <c r="K43" s="1369"/>
      <c r="L43" s="1369"/>
      <c r="M43" s="1369"/>
      <c r="N43" s="1369"/>
      <c r="O43" s="1370"/>
      <c r="P43" s="600" t="str">
        <f t="shared" si="0"/>
        <v/>
      </c>
      <c r="R43" s="19"/>
      <c r="S43" s="19"/>
      <c r="T43" s="19"/>
      <c r="U43" s="19"/>
      <c r="V43" s="19"/>
      <c r="W43" s="19"/>
      <c r="X43" s="19"/>
      <c r="Y43" s="19"/>
      <c r="Z43" s="19"/>
      <c r="AA43" s="19"/>
      <c r="AB43" s="19"/>
      <c r="AC43" s="19"/>
      <c r="AD43" s="19"/>
      <c r="AE43" s="19"/>
      <c r="AF43" s="22"/>
      <c r="AG43" s="21" t="b">
        <f t="shared" si="1"/>
        <v>0</v>
      </c>
      <c r="AH43" s="952" t="b">
        <v>0</v>
      </c>
    </row>
    <row r="44" spans="1:34" ht="15.95" customHeight="1" x14ac:dyDescent="0.2">
      <c r="A44" s="1367"/>
      <c r="B44" s="1368"/>
      <c r="C44" s="1369"/>
      <c r="D44" s="1369"/>
      <c r="E44" s="1369"/>
      <c r="F44" s="1369"/>
      <c r="G44" s="1369"/>
      <c r="H44" s="1369"/>
      <c r="I44" s="1369"/>
      <c r="J44" s="1369"/>
      <c r="K44" s="1369"/>
      <c r="L44" s="1369"/>
      <c r="M44" s="1369"/>
      <c r="N44" s="1369"/>
      <c r="O44" s="1370"/>
      <c r="P44" s="600" t="str">
        <f t="shared" si="0"/>
        <v/>
      </c>
      <c r="R44" s="19"/>
      <c r="S44" s="19"/>
      <c r="T44" s="19"/>
      <c r="U44" s="19"/>
      <c r="V44" s="19"/>
      <c r="W44" s="19"/>
      <c r="X44" s="19"/>
      <c r="Y44" s="19"/>
      <c r="Z44" s="19"/>
      <c r="AA44" s="19"/>
      <c r="AB44" s="19"/>
      <c r="AC44" s="19"/>
      <c r="AD44" s="19"/>
      <c r="AE44" s="19"/>
      <c r="AF44" s="22"/>
      <c r="AG44" s="21" t="b">
        <f t="shared" si="1"/>
        <v>0</v>
      </c>
      <c r="AH44" s="952" t="b">
        <v>0</v>
      </c>
    </row>
    <row r="45" spans="1:34" ht="15.95" customHeight="1" x14ac:dyDescent="0.2">
      <c r="A45" s="1367"/>
      <c r="B45" s="1368"/>
      <c r="C45" s="1369"/>
      <c r="D45" s="1369"/>
      <c r="E45" s="1369"/>
      <c r="F45" s="1369"/>
      <c r="G45" s="1369"/>
      <c r="H45" s="1369"/>
      <c r="I45" s="1369"/>
      <c r="J45" s="1369"/>
      <c r="K45" s="1369"/>
      <c r="L45" s="1369"/>
      <c r="M45" s="1369"/>
      <c r="N45" s="1369"/>
      <c r="O45" s="1370"/>
      <c r="P45" s="600" t="str">
        <f t="shared" si="0"/>
        <v/>
      </c>
      <c r="R45" s="19"/>
      <c r="S45" s="19"/>
      <c r="T45" s="19"/>
      <c r="U45" s="19"/>
      <c r="V45" s="19"/>
      <c r="W45" s="19"/>
      <c r="X45" s="19"/>
      <c r="Y45" s="19"/>
      <c r="Z45" s="19"/>
      <c r="AA45" s="19"/>
      <c r="AB45" s="19"/>
      <c r="AC45" s="19"/>
      <c r="AD45" s="19"/>
      <c r="AE45" s="19"/>
      <c r="AF45" s="22"/>
      <c r="AG45" s="21" t="b">
        <f t="shared" si="1"/>
        <v>0</v>
      </c>
      <c r="AH45" s="952" t="b">
        <v>0</v>
      </c>
    </row>
    <row r="46" spans="1:34" ht="15.95" customHeight="1" x14ac:dyDescent="0.2">
      <c r="A46" s="1367"/>
      <c r="B46" s="1368"/>
      <c r="C46" s="1369"/>
      <c r="D46" s="1369"/>
      <c r="E46" s="1369"/>
      <c r="F46" s="1369"/>
      <c r="G46" s="1369"/>
      <c r="H46" s="1369"/>
      <c r="I46" s="1369"/>
      <c r="J46" s="1369"/>
      <c r="K46" s="1369"/>
      <c r="L46" s="1369"/>
      <c r="M46" s="1369"/>
      <c r="N46" s="1369"/>
      <c r="O46" s="1370"/>
      <c r="P46" s="600" t="str">
        <f t="shared" si="0"/>
        <v/>
      </c>
      <c r="R46" s="19"/>
      <c r="S46" s="19"/>
      <c r="T46" s="19"/>
      <c r="U46" s="19"/>
      <c r="V46" s="19"/>
      <c r="W46" s="19"/>
      <c r="X46" s="19"/>
      <c r="Y46" s="19"/>
      <c r="Z46" s="19"/>
      <c r="AA46" s="19"/>
      <c r="AB46" s="19"/>
      <c r="AC46" s="19"/>
      <c r="AD46" s="19"/>
      <c r="AE46" s="19"/>
      <c r="AF46" s="22"/>
      <c r="AG46" s="21" t="b">
        <f t="shared" si="1"/>
        <v>0</v>
      </c>
      <c r="AH46" s="952" t="b">
        <v>0</v>
      </c>
    </row>
    <row r="47" spans="1:34" ht="15.95" customHeight="1" x14ac:dyDescent="0.2">
      <c r="A47" s="1367"/>
      <c r="B47" s="1368"/>
      <c r="C47" s="1369"/>
      <c r="D47" s="1369"/>
      <c r="E47" s="1369"/>
      <c r="F47" s="1369"/>
      <c r="G47" s="1369"/>
      <c r="H47" s="1369"/>
      <c r="I47" s="1369"/>
      <c r="J47" s="1369"/>
      <c r="K47" s="1369"/>
      <c r="L47" s="1369"/>
      <c r="M47" s="1369"/>
      <c r="N47" s="1369"/>
      <c r="O47" s="1370"/>
      <c r="P47" s="600" t="str">
        <f t="shared" si="0"/>
        <v/>
      </c>
      <c r="R47" s="19"/>
      <c r="S47" s="19"/>
      <c r="T47" s="19"/>
      <c r="U47" s="19"/>
      <c r="V47" s="19"/>
      <c r="W47" s="19"/>
      <c r="X47" s="19"/>
      <c r="Y47" s="19"/>
      <c r="Z47" s="19"/>
      <c r="AA47" s="19"/>
      <c r="AB47" s="19"/>
      <c r="AC47" s="19"/>
      <c r="AD47" s="19"/>
      <c r="AE47" s="19"/>
      <c r="AF47" s="22"/>
      <c r="AG47" s="21" t="b">
        <f t="shared" si="1"/>
        <v>0</v>
      </c>
      <c r="AH47" s="952" t="b">
        <v>0</v>
      </c>
    </row>
    <row r="48" spans="1:34" ht="15.95" customHeight="1" x14ac:dyDescent="0.2">
      <c r="A48" s="1367"/>
      <c r="B48" s="1368"/>
      <c r="C48" s="1369"/>
      <c r="D48" s="1369"/>
      <c r="E48" s="1369"/>
      <c r="F48" s="1369"/>
      <c r="G48" s="1369"/>
      <c r="H48" s="1369"/>
      <c r="I48" s="1369"/>
      <c r="J48" s="1369"/>
      <c r="K48" s="1369"/>
      <c r="L48" s="1369"/>
      <c r="M48" s="1369"/>
      <c r="N48" s="1369"/>
      <c r="O48" s="1370"/>
      <c r="P48" s="600" t="str">
        <f t="shared" si="0"/>
        <v/>
      </c>
      <c r="R48" s="19"/>
      <c r="S48" s="19"/>
      <c r="T48" s="19"/>
      <c r="U48" s="19"/>
      <c r="V48" s="19"/>
      <c r="W48" s="19"/>
      <c r="X48" s="19"/>
      <c r="Y48" s="19"/>
      <c r="Z48" s="19"/>
      <c r="AA48" s="19"/>
      <c r="AB48" s="19"/>
      <c r="AC48" s="19"/>
      <c r="AD48" s="19"/>
      <c r="AE48" s="19"/>
      <c r="AF48" s="22"/>
      <c r="AG48" s="21" t="b">
        <f t="shared" si="1"/>
        <v>0</v>
      </c>
      <c r="AH48" s="952" t="b">
        <v>0</v>
      </c>
    </row>
    <row r="49" spans="1:34" ht="15.95" customHeight="1" x14ac:dyDescent="0.2">
      <c r="A49" s="1371"/>
      <c r="B49" s="1372"/>
      <c r="C49" s="1373"/>
      <c r="D49" s="1373"/>
      <c r="E49" s="1373"/>
      <c r="F49" s="1373"/>
      <c r="G49" s="1373"/>
      <c r="H49" s="1373"/>
      <c r="I49" s="1373"/>
      <c r="J49" s="1373"/>
      <c r="K49" s="1373"/>
      <c r="L49" s="1373"/>
      <c r="M49" s="1373"/>
      <c r="N49" s="1373"/>
      <c r="O49" s="1374"/>
      <c r="P49" s="600" t="str">
        <f t="shared" si="0"/>
        <v/>
      </c>
      <c r="R49" s="19"/>
      <c r="S49" s="19"/>
      <c r="T49" s="19"/>
      <c r="U49" s="19"/>
      <c r="V49" s="19"/>
      <c r="W49" s="19"/>
      <c r="X49" s="19"/>
      <c r="Y49" s="19"/>
      <c r="Z49" s="19"/>
      <c r="AA49" s="19"/>
      <c r="AB49" s="19"/>
      <c r="AC49" s="19"/>
      <c r="AD49" s="19"/>
      <c r="AE49" s="19"/>
      <c r="AF49" s="22"/>
      <c r="AG49" s="21" t="b">
        <f t="shared" si="1"/>
        <v>0</v>
      </c>
      <c r="AH49" s="952" t="b">
        <v>0</v>
      </c>
    </row>
    <row r="50" spans="1:34" ht="15" customHeight="1" x14ac:dyDescent="0.2">
      <c r="A50" s="596" t="s">
        <v>75</v>
      </c>
      <c r="B50" s="597" t="str">
        <f t="shared" ref="B50:O50" si="2">IF(ISBLANK(B13),"",SUM(B14:B49))</f>
        <v/>
      </c>
      <c r="C50" s="597" t="str">
        <f t="shared" si="2"/>
        <v/>
      </c>
      <c r="D50" s="597" t="str">
        <f t="shared" si="2"/>
        <v/>
      </c>
      <c r="E50" s="597" t="str">
        <f t="shared" si="2"/>
        <v/>
      </c>
      <c r="F50" s="597" t="str">
        <f t="shared" si="2"/>
        <v/>
      </c>
      <c r="G50" s="597" t="str">
        <f t="shared" si="2"/>
        <v/>
      </c>
      <c r="H50" s="597" t="str">
        <f t="shared" si="2"/>
        <v/>
      </c>
      <c r="I50" s="597" t="str">
        <f t="shared" si="2"/>
        <v/>
      </c>
      <c r="J50" s="597" t="str">
        <f t="shared" si="2"/>
        <v/>
      </c>
      <c r="K50" s="597" t="str">
        <f t="shared" si="2"/>
        <v/>
      </c>
      <c r="L50" s="597" t="str">
        <f t="shared" si="2"/>
        <v/>
      </c>
      <c r="M50" s="597" t="str">
        <f t="shared" si="2"/>
        <v/>
      </c>
      <c r="N50" s="597" t="str">
        <f t="shared" si="2"/>
        <v/>
      </c>
      <c r="O50" s="597" t="str">
        <f t="shared" si="2"/>
        <v/>
      </c>
      <c r="P50" s="598"/>
      <c r="AG50" s="1" t="b">
        <f>IF(R1&lt;&gt;"M",OR(AG14:AG49))</f>
        <v>0</v>
      </c>
    </row>
    <row r="59" spans="1:34" x14ac:dyDescent="0.2">
      <c r="A59" s="707" t="s">
        <v>614</v>
      </c>
    </row>
    <row r="60" spans="1:34" hidden="1" x14ac:dyDescent="0.2">
      <c r="A60" s="831" t="s">
        <v>126</v>
      </c>
    </row>
    <row r="61" spans="1:34" hidden="1" x14ac:dyDescent="0.2">
      <c r="A61" s="833"/>
    </row>
    <row r="62" spans="1:34" hidden="1" x14ac:dyDescent="0.2"/>
    <row r="63" spans="1:34" hidden="1" x14ac:dyDescent="0.2">
      <c r="A63" s="952" t="b">
        <v>1</v>
      </c>
      <c r="B63" s="952" t="b">
        <v>0</v>
      </c>
      <c r="C63" s="952" t="b">
        <v>0</v>
      </c>
      <c r="D63" s="952" t="b">
        <v>0</v>
      </c>
      <c r="E63" s="952" t="b">
        <v>0</v>
      </c>
      <c r="F63" s="952" t="b">
        <v>0</v>
      </c>
      <c r="G63" s="952" t="b">
        <v>0</v>
      </c>
      <c r="H63" s="952" t="b">
        <v>0</v>
      </c>
      <c r="I63" s="952" t="b">
        <v>0</v>
      </c>
      <c r="J63" s="952" t="b">
        <v>0</v>
      </c>
      <c r="K63" s="952" t="b">
        <v>0</v>
      </c>
      <c r="L63" s="952" t="b">
        <v>0</v>
      </c>
      <c r="M63" s="952" t="b">
        <v>0</v>
      </c>
      <c r="N63" s="952" t="b">
        <v>0</v>
      </c>
      <c r="O63" s="952" t="b">
        <v>0</v>
      </c>
    </row>
    <row r="64" spans="1:34" hidden="1" x14ac:dyDescent="0.2"/>
    <row r="65" spans="1:1" x14ac:dyDescent="0.2">
      <c r="A65" s="707" t="s">
        <v>615</v>
      </c>
    </row>
  </sheetData>
  <sheetProtection selectLockedCells="1"/>
  <mergeCells count="27">
    <mergeCell ref="AF11:AF13"/>
    <mergeCell ref="AG11:AG13"/>
    <mergeCell ref="AH11:AH13"/>
    <mergeCell ref="A12:A13"/>
    <mergeCell ref="B12:O12"/>
    <mergeCell ref="R11:AE13"/>
    <mergeCell ref="B10:G10"/>
    <mergeCell ref="H10:I10"/>
    <mergeCell ref="J10:K10"/>
    <mergeCell ref="L10:M10"/>
    <mergeCell ref="N10:O10"/>
    <mergeCell ref="B9:G9"/>
    <mergeCell ref="H9:I9"/>
    <mergeCell ref="J9:O9"/>
    <mergeCell ref="H1:J1"/>
    <mergeCell ref="K1:M1"/>
    <mergeCell ref="N1:O1"/>
    <mergeCell ref="H2:J3"/>
    <mergeCell ref="K2:M2"/>
    <mergeCell ref="N2:O2"/>
    <mergeCell ref="K3:M3"/>
    <mergeCell ref="N3:O3"/>
    <mergeCell ref="H4:J4"/>
    <mergeCell ref="K4:M4"/>
    <mergeCell ref="N4:O4"/>
    <mergeCell ref="A5:J5"/>
    <mergeCell ref="L6:M6"/>
  </mergeCells>
  <conditionalFormatting sqref="A14:A49">
    <cfRule type="expression" dxfId="214" priority="2">
      <formula>OR(A14="Girder",A14="Girders",A14="Joist",A14="Joists",A14="Bridging")</formula>
    </cfRule>
    <cfRule type="expression" dxfId="213" priority="3">
      <formula>AND(P14&gt;0,ISBLANK(AF14),OR($R$1="",$R$1="M"))</formula>
    </cfRule>
    <cfRule type="expression" dxfId="212" priority="9">
      <formula>$AH14</formula>
    </cfRule>
  </conditionalFormatting>
  <conditionalFormatting sqref="H2:J4">
    <cfRule type="cellIs" dxfId="211" priority="7" stopIfTrue="1" operator="equal">
      <formula>""</formula>
    </cfRule>
  </conditionalFormatting>
  <conditionalFormatting sqref="B14:O49">
    <cfRule type="expression" dxfId="210" priority="4">
      <formula>IF($R$1="M",AND(B14&gt;R14,R14&gt;0),B14&lt;R14)</formula>
    </cfRule>
    <cfRule type="expression" dxfId="209" priority="5">
      <formula>OR(AND($R$1="M",NOT($S$1),B14=R14),B14="-")</formula>
    </cfRule>
    <cfRule type="expression" dxfId="208" priority="6">
      <formula>IF(NOT(ISBLANK($R$1)),IF($R$1="M",IF(ISTEXT(B14),0,B14)&lt;R14,IF(ISTEXT(B14),0,B14)&gt;R14))</formula>
    </cfRule>
    <cfRule type="expression" dxfId="207" priority="8">
      <formula>OR($AH14,B$63)</formula>
    </cfRule>
  </conditionalFormatting>
  <conditionalFormatting sqref="B13:O13">
    <cfRule type="expression" dxfId="206" priority="1">
      <formula>AND(NOT(ISBLANK(B$13)),ISERROR(MATCH(B$13,$AK:$AK,0)))</formula>
    </cfRule>
    <cfRule type="expression" dxfId="205" priority="10">
      <formula>B$63</formula>
    </cfRule>
  </conditionalFormatting>
  <dataValidations count="2">
    <dataValidation type="custom" allowBlank="1" showInputMessage="1" showErrorMessage="1" errorTitle="Error" error="Values containing only spaces are not allowed._x000a_Values that start or end with spaces are also not allowed." sqref="B13:O13" xr:uid="{6CBCDA3A-1168-4A52-BF80-62EDDF20C518}">
      <formula1>B13=TRIM(B13)</formula1>
    </dataValidation>
    <dataValidation type="custom" allowBlank="1" showInputMessage="1" showErrorMessage="1" errorTitle="Input Error" error="Value can only be a positive integer OR a dash." sqref="B14:O49" xr:uid="{1B8840CB-B8DE-4896-83A4-689F9316F37C}">
      <formula1>IF(ISNUMBER(B14),B14=ABS(TRUNC(B14,0)),B14="-")</formula1>
    </dataValidation>
  </dataValidations>
  <printOptions horizontalCentered="1"/>
  <pageMargins left="0.3" right="0.3" top="0.5" bottom="0.5" header="0" footer="0.25"/>
  <pageSetup orientation="portrait" r:id="rId1"/>
  <headerFooter alignWithMargins="0">
    <oddFooter>&amp;R&amp;7Printed: &amp;D &amp;T&amp;L&amp;7Version: 21.0428
File: &amp;F</oddFooter>
  </headerFooter>
  <drawing r:id="rId2"/>
  <legacyDrawing r:id="rId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B372EC-950D-4C76-A6F0-E81276473505}">
  <sheetPr codeName="Sheet22">
    <tabColor indexed="42"/>
  </sheetPr>
  <dimension ref="A1:AAD111"/>
  <sheetViews>
    <sheetView showGridLines="0" tabSelected="1" zoomScaleNormal="100" zoomScaleSheetLayoutView="75" workbookViewId="0">
      <selection activeCell="Z25" sqref="Z25"/>
    </sheetView>
  </sheetViews>
  <sheetFormatPr defaultColWidth="0" defaultRowHeight="12.75" x14ac:dyDescent="0.2"/>
  <cols>
    <col min="1" max="1" width="5.7109375" style="46" customWidth="1"/>
    <col min="2" max="2" width="4.28515625" style="46" customWidth="1"/>
    <col min="3" max="3" width="15.28515625" style="46" customWidth="1"/>
    <col min="4" max="4" width="3.7109375" style="46" customWidth="1"/>
    <col min="5" max="5" width="4.42578125" style="46" customWidth="1"/>
    <col min="6" max="6" width="4.7109375" style="46" customWidth="1"/>
    <col min="7" max="7" width="3" style="46" customWidth="1"/>
    <col min="8" max="8" width="4.42578125" style="46" customWidth="1"/>
    <col min="9" max="10" width="3" style="46" customWidth="1"/>
    <col min="11" max="11" width="4.42578125" style="46" customWidth="1"/>
    <col min="12" max="12" width="3" style="46" customWidth="1"/>
    <col min="13" max="14" width="4.28515625" style="46" customWidth="1"/>
    <col min="15" max="15" width="3.28515625" style="46" customWidth="1"/>
    <col min="16" max="16" width="5" style="46" customWidth="1"/>
    <col min="17" max="17" width="3.28515625" style="46" customWidth="1"/>
    <col min="18" max="18" width="5" style="46" customWidth="1"/>
    <col min="19" max="19" width="2.85546875" style="46" customWidth="1"/>
    <col min="20" max="20" width="4.42578125" style="46" customWidth="1"/>
    <col min="21" max="21" width="2.85546875" style="46" customWidth="1"/>
    <col min="22" max="22" width="4.42578125" style="46" customWidth="1"/>
    <col min="23" max="23" width="4.28515625" style="46" customWidth="1"/>
    <col min="24" max="25" width="4.7109375" style="46" customWidth="1"/>
    <col min="26" max="26" width="18.5703125" style="46" customWidth="1"/>
    <col min="27" max="27" width="4" style="46" customWidth="1"/>
    <col min="28" max="28" width="5.7109375" style="46" customWidth="1"/>
    <col min="29" max="29" width="3.28515625" style="46" customWidth="1"/>
    <col min="30" max="30" width="3" style="46" customWidth="1"/>
    <col min="31" max="31" width="4.42578125" style="46" customWidth="1"/>
    <col min="32" max="32" width="3.42578125" style="46" customWidth="1"/>
    <col min="33" max="33" width="3" style="46" customWidth="1"/>
    <col min="34" max="34" width="4.42578125" style="46" customWidth="1"/>
    <col min="35" max="35" width="3" style="46" customWidth="1"/>
    <col min="36" max="37" width="4.42578125" style="46" customWidth="1"/>
    <col min="38" max="38" width="5" style="46" customWidth="1"/>
    <col min="39" max="39" width="4.42578125" style="46" customWidth="1"/>
    <col min="40" max="40" width="5.28515625" style="46" customWidth="1"/>
    <col min="41" max="43" width="4.42578125" style="46" customWidth="1"/>
    <col min="44" max="44" width="3.7109375" style="46" customWidth="1"/>
    <col min="45" max="47" width="4.42578125" style="46" customWidth="1"/>
    <col min="48" max="48" width="3.7109375" style="46" customWidth="1"/>
    <col min="49" max="51" width="4.42578125" style="46" customWidth="1"/>
    <col min="52" max="52" width="3.7109375" style="46" customWidth="1"/>
    <col min="53" max="55" width="4.42578125" style="46" customWidth="1"/>
    <col min="56" max="56" width="3.7109375" style="46" customWidth="1"/>
    <col min="57" max="59" width="4.42578125" style="46" customWidth="1"/>
    <col min="60" max="60" width="4.7109375" style="176" customWidth="1"/>
    <col min="61" max="61" width="5.7109375" style="1" hidden="1" customWidth="1"/>
    <col min="62" max="62" width="6.7109375" style="46" hidden="1" customWidth="1"/>
    <col min="63" max="66" width="4.7109375" style="46" hidden="1" customWidth="1"/>
    <col min="67" max="67" width="8" style="46" hidden="1" customWidth="1"/>
    <col min="68" max="68" width="7.85546875" style="46" hidden="1" customWidth="1"/>
    <col min="69" max="71" width="4.7109375" style="46" hidden="1" customWidth="1"/>
    <col min="72" max="72" width="6.7109375" style="46" hidden="1" customWidth="1"/>
    <col min="73" max="73" width="4.7109375" style="46" hidden="1" customWidth="1"/>
    <col min="74" max="78" width="6.7109375" style="46" hidden="1" customWidth="1"/>
    <col min="79" max="79" width="5.7109375" style="46" customWidth="1"/>
    <col min="80" max="80" width="6.7109375" style="46" customWidth="1"/>
    <col min="81" max="81" width="4.7109375" style="46" customWidth="1"/>
    <col min="82" max="82" width="15.7109375" style="46" customWidth="1"/>
    <col min="83" max="83" width="4.7109375" style="46" customWidth="1"/>
    <col min="84" max="84" width="5.7109375" style="46" customWidth="1"/>
    <col min="85" max="85" width="3.7109375" style="46" customWidth="1"/>
    <col min="86" max="89" width="5.28515625" style="46" customWidth="1"/>
    <col min="90" max="90" width="4.7109375" style="46" customWidth="1"/>
    <col min="91" max="91" width="5.7109375" style="46" customWidth="1"/>
    <col min="92" max="93" width="6" style="46" customWidth="1"/>
    <col min="94" max="94" width="4.7109375" style="46" customWidth="1"/>
    <col min="95" max="95" width="3.7109375" style="46" customWidth="1"/>
    <col min="96" max="99" width="5.28515625" style="46" customWidth="1"/>
    <col min="100" max="100" width="4.7109375" style="46" customWidth="1"/>
    <col min="101" max="101" width="5.7109375" style="46" customWidth="1"/>
    <col min="102" max="103" width="6" style="46" customWidth="1"/>
    <col min="104" max="104" width="4.7109375" style="46" customWidth="1"/>
    <col min="105" max="105" width="5.7109375" style="46" customWidth="1"/>
    <col min="106" max="106" width="15.7109375" style="46" customWidth="1"/>
    <col min="107" max="107" width="22.28515625" style="46" customWidth="1"/>
    <col min="108" max="109" width="4.7109375" style="46" customWidth="1"/>
    <col min="110" max="111" width="1.7109375" style="46" customWidth="1"/>
    <col min="112" max="112" width="5.7109375" style="46" customWidth="1"/>
    <col min="113" max="113" width="4.7109375" style="46" customWidth="1"/>
    <col min="114" max="114" width="3.7109375" style="46" customWidth="1"/>
    <col min="115" max="115" width="5.7109375" style="46" customWidth="1"/>
    <col min="116" max="116" width="2.7109375" style="46" customWidth="1"/>
    <col min="117" max="117" width="3.7109375" style="46" customWidth="1"/>
    <col min="118" max="118" width="5.7109375" style="46" customWidth="1"/>
    <col min="119" max="119" width="3.7109375" style="46" customWidth="1"/>
    <col min="120" max="120" width="4.7109375" style="46" customWidth="1"/>
    <col min="121" max="121" width="5.28515625" style="46" customWidth="1"/>
    <col min="122" max="125" width="4.28515625" style="46" customWidth="1"/>
    <col min="126" max="126" width="4.7109375" style="46" customWidth="1"/>
    <col min="127" max="127" width="5.7109375" style="46" customWidth="1"/>
    <col min="128" max="128" width="3.7109375" style="46" customWidth="1"/>
    <col min="129" max="129" width="3" style="46" customWidth="1"/>
    <col min="130" max="130" width="4.7109375" style="46" customWidth="1"/>
    <col min="131" max="131" width="5.7109375" style="46" customWidth="1"/>
    <col min="132" max="132" width="3.7109375" style="46" customWidth="1"/>
    <col min="133" max="133" width="3" style="46" customWidth="1"/>
    <col min="134" max="134" width="4.7109375" style="46" customWidth="1"/>
    <col min="135" max="135" width="5.7109375" style="46" customWidth="1"/>
    <col min="136" max="136" width="3.7109375" style="46" customWidth="1"/>
    <col min="137" max="137" width="3" style="46" customWidth="1"/>
    <col min="138" max="138" width="4.7109375" style="46" customWidth="1"/>
    <col min="139" max="139" width="5.7109375" style="46" customWidth="1"/>
    <col min="140" max="140" width="3.7109375" style="46" customWidth="1"/>
    <col min="141" max="141" width="3" style="46" customWidth="1"/>
    <col min="142" max="142" width="2.28515625" style="46" customWidth="1"/>
    <col min="143" max="143" width="6.7109375" style="46" customWidth="1"/>
    <col min="144" max="144" width="8.7109375" style="57" customWidth="1"/>
    <col min="145" max="145" width="8.7109375" style="46" customWidth="1"/>
    <col min="146" max="146" width="10.7109375" style="46" customWidth="1"/>
    <col min="147" max="147" width="6.7109375" style="46" customWidth="1"/>
    <col min="148" max="149" width="5.42578125" style="46" customWidth="1"/>
    <col min="150" max="151" width="4.28515625" style="46" customWidth="1"/>
    <col min="152" max="152" width="6.7109375" style="46" customWidth="1"/>
    <col min="153" max="177" width="8.7109375" style="46" hidden="1" customWidth="1"/>
    <col min="178" max="178" width="6.7109375" style="46" hidden="1" customWidth="1"/>
    <col min="179" max="181" width="8.7109375" style="46" hidden="1" customWidth="1"/>
    <col min="182" max="182" width="4.7109375" style="46" customWidth="1"/>
    <col min="183" max="183" width="5.28515625" style="46" customWidth="1"/>
    <col min="184" max="184" width="6.28515625" style="46" customWidth="1"/>
    <col min="185" max="187" width="8.7109375" style="46" customWidth="1"/>
    <col min="188" max="188" width="5.7109375" style="46" customWidth="1"/>
    <col min="189" max="189" width="5.28515625" style="46" customWidth="1"/>
    <col min="190" max="190" width="6.28515625" style="46" customWidth="1"/>
    <col min="191" max="191" width="5.28515625" style="46" hidden="1" customWidth="1"/>
    <col min="192" max="192" width="6.28515625" style="46" hidden="1" customWidth="1"/>
    <col min="193" max="195" width="8.7109375" style="46" hidden="1" customWidth="1"/>
    <col min="196" max="196" width="4.7109375" style="46" customWidth="1"/>
    <col min="197" max="198" width="8.7109375" style="46" hidden="1" customWidth="1"/>
    <col min="199" max="199" width="6.7109375" style="46" hidden="1" customWidth="1"/>
    <col min="200" max="206" width="8.7109375" style="46" hidden="1" customWidth="1"/>
    <col min="207" max="207" width="8.7109375" style="46" customWidth="1"/>
    <col min="208" max="208" width="8.7109375" style="46" hidden="1" customWidth="1"/>
    <col min="209" max="211" width="8.7109375" style="57" hidden="1" customWidth="1"/>
    <col min="212" max="212" width="8.7109375" style="47" hidden="1" customWidth="1"/>
    <col min="213" max="213" width="8.7109375" style="48" hidden="1" customWidth="1"/>
    <col min="214" max="232" width="8.7109375" style="57" hidden="1" customWidth="1"/>
    <col min="233" max="255" width="8.7109375" style="46" hidden="1" customWidth="1"/>
    <col min="256" max="260" width="6.7109375" style="46" hidden="1" customWidth="1"/>
    <col min="261" max="275" width="4.7109375" style="46" hidden="1" customWidth="1"/>
    <col min="276" max="701" width="4.7109375" style="46" customWidth="1"/>
    <col min="702" max="706" width="6.7109375" style="46" customWidth="1"/>
    <col min="707" max="16384" width="6.7109375" style="46" hidden="1"/>
  </cols>
  <sheetData>
    <row r="1" spans="1:276" s="148" customFormat="1" ht="14.45" customHeight="1" thickBot="1" x14ac:dyDescent="0.25">
      <c r="A1" s="308"/>
      <c r="B1" s="308"/>
      <c r="C1" s="308"/>
      <c r="D1" s="308"/>
      <c r="E1" s="308"/>
      <c r="F1" s="308"/>
      <c r="G1" s="308"/>
      <c r="H1" s="308"/>
      <c r="I1" s="308"/>
      <c r="J1" s="308"/>
      <c r="K1" s="308"/>
      <c r="L1" s="308"/>
      <c r="M1" s="308"/>
      <c r="N1" s="308"/>
      <c r="O1" s="308"/>
      <c r="P1" s="308"/>
      <c r="Q1" s="1705"/>
      <c r="R1" s="1705"/>
      <c r="S1" s="1705"/>
      <c r="T1" s="1705"/>
      <c r="U1" s="308"/>
      <c r="V1" s="299"/>
      <c r="W1" s="2032" t="s">
        <v>77</v>
      </c>
      <c r="X1" s="2032"/>
      <c r="Y1" s="2032"/>
      <c r="Z1" s="1673"/>
      <c r="AA1" s="298"/>
      <c r="AB1" s="308"/>
      <c r="AC1" s="308"/>
      <c r="AD1" s="308"/>
      <c r="AE1" s="308"/>
      <c r="AF1" s="308"/>
      <c r="AG1" s="308"/>
      <c r="AH1" s="308"/>
      <c r="AI1" s="308"/>
      <c r="AJ1" s="308"/>
      <c r="AK1" s="308"/>
      <c r="AL1" s="308"/>
      <c r="AM1" s="308"/>
      <c r="AN1" s="308"/>
      <c r="AO1" s="308"/>
      <c r="AP1" s="308"/>
      <c r="AQ1" s="298"/>
      <c r="AR1" s="308"/>
      <c r="AS1" s="308"/>
      <c r="AT1" s="308"/>
      <c r="AU1" s="1705"/>
      <c r="AV1" s="1705"/>
      <c r="AW1" s="1705"/>
      <c r="AX1" s="1705"/>
      <c r="AY1" s="308"/>
      <c r="AZ1" s="308"/>
      <c r="BA1" s="2032" t="s">
        <v>77</v>
      </c>
      <c r="BB1" s="2032"/>
      <c r="BC1" s="2032"/>
      <c r="BD1" s="1709"/>
      <c r="BE1" s="1709"/>
      <c r="BF1" s="1709"/>
      <c r="BG1" s="401"/>
      <c r="BH1" s="426" t="s">
        <v>375</v>
      </c>
      <c r="BI1" s="303"/>
      <c r="BJ1" s="150" t="e">
        <f>#REF!</f>
        <v>#REF!</v>
      </c>
      <c r="BK1" s="150" t="e">
        <f>#REF!</f>
        <v>#REF!</v>
      </c>
      <c r="BL1" s="709" t="s">
        <v>559</v>
      </c>
      <c r="CA1" s="427" t="s">
        <v>377</v>
      </c>
      <c r="CB1" s="151"/>
      <c r="CC1" s="151"/>
      <c r="CD1" s="151"/>
      <c r="CE1" s="151"/>
      <c r="CF1" s="151"/>
      <c r="CG1" s="151"/>
      <c r="CH1" s="151"/>
      <c r="CI1" s="151"/>
      <c r="CJ1" s="151"/>
      <c r="CK1" s="151"/>
      <c r="CL1" s="151"/>
      <c r="CM1" s="151"/>
      <c r="CN1" s="151"/>
      <c r="CO1" s="152"/>
      <c r="CP1" s="152"/>
      <c r="CQ1" s="152"/>
      <c r="CR1" s="152"/>
      <c r="CS1" s="152"/>
      <c r="CT1" s="152"/>
      <c r="CU1" s="152"/>
      <c r="CV1" s="152"/>
      <c r="CW1" s="152"/>
      <c r="CX1" s="146"/>
      <c r="CY1" s="152"/>
      <c r="CZ1" s="152"/>
      <c r="DA1" s="151"/>
      <c r="DB1" s="151"/>
      <c r="DC1" s="151"/>
      <c r="DD1" s="151"/>
      <c r="DE1" s="151"/>
      <c r="DF1" s="151"/>
      <c r="DG1" s="151"/>
      <c r="DH1" s="151"/>
      <c r="DI1" s="151"/>
      <c r="DJ1" s="153"/>
      <c r="DK1" s="153"/>
      <c r="DL1" s="153"/>
      <c r="DM1" s="153"/>
      <c r="DN1" s="153"/>
      <c r="DO1" s="153"/>
      <c r="DP1" s="153"/>
      <c r="DQ1" s="146"/>
      <c r="DR1" s="146"/>
      <c r="DS1" s="146"/>
      <c r="DT1" s="146"/>
      <c r="DU1" s="146"/>
      <c r="DV1" s="146"/>
      <c r="DW1" s="146"/>
      <c r="DX1" s="146"/>
      <c r="DY1" s="146"/>
      <c r="DZ1" s="146"/>
      <c r="EA1" s="146"/>
      <c r="EB1" s="146"/>
      <c r="EC1" s="151"/>
      <c r="ED1" s="151"/>
      <c r="EE1" s="151"/>
      <c r="EF1" s="151"/>
      <c r="EG1" s="151"/>
      <c r="EH1" s="151"/>
      <c r="EI1" s="151"/>
      <c r="EJ1" s="151"/>
      <c r="EK1" s="151"/>
      <c r="EL1" s="146"/>
      <c r="EM1" s="146"/>
      <c r="EN1" s="855"/>
      <c r="EO1" s="853"/>
      <c r="EP1" s="146"/>
      <c r="EQ1" s="853"/>
      <c r="ER1" s="146"/>
      <c r="ES1" s="146"/>
      <c r="ET1" s="146"/>
      <c r="EU1" s="1679"/>
      <c r="EV1" s="426" t="s">
        <v>375</v>
      </c>
      <c r="EW1" s="214"/>
      <c r="EY1" s="213"/>
      <c r="EZ1" s="215" t="s">
        <v>164</v>
      </c>
      <c r="FA1" s="216" t="e">
        <f>#REF!</f>
        <v>#REF!</v>
      </c>
      <c r="FB1" s="217" t="e">
        <f>IF(FA1=1,"Girder BL @ CL of Steel Support (if possible), minimize BL",IF(FA1=2,"Minimize Joist Base Length",IF(FA1=3,"Minimize TCX (Maximize Joist BL)",IF(FA1=4,"Girder BL @ CL of Steel Support (if possible), minimize TCX"))))</f>
        <v>#REF!</v>
      </c>
      <c r="FC1" s="217"/>
      <c r="FD1" s="214"/>
      <c r="FE1" s="214"/>
      <c r="FF1" s="155" t="s">
        <v>549</v>
      </c>
      <c r="FG1" s="303" t="e">
        <f>#REF!</f>
        <v>#REF!</v>
      </c>
      <c r="FH1" s="155"/>
      <c r="FI1" s="155"/>
      <c r="FJ1" s="155"/>
      <c r="FL1" s="155"/>
      <c r="FO1" s="155"/>
      <c r="FP1" s="155"/>
      <c r="FQ1" s="155"/>
      <c r="FR1" s="155"/>
      <c r="FS1" s="155"/>
      <c r="FT1" s="155"/>
      <c r="FV1" s="428"/>
      <c r="FW1" s="154"/>
      <c r="FX1" s="154"/>
      <c r="FY1" s="154"/>
      <c r="FZ1" s="836" t="s">
        <v>376</v>
      </c>
      <c r="GA1" s="147"/>
      <c r="GB1" s="147"/>
      <c r="GC1" s="147"/>
      <c r="GD1" s="147"/>
      <c r="GE1" s="147"/>
      <c r="GF1" s="147"/>
      <c r="GG1" s="147"/>
      <c r="GH1" s="147"/>
      <c r="GI1" s="147"/>
      <c r="GJ1" s="147"/>
      <c r="GL1" s="157"/>
      <c r="GM1" s="157"/>
      <c r="GN1" s="157"/>
      <c r="GO1" s="157"/>
      <c r="GY1" s="429" t="s">
        <v>371</v>
      </c>
      <c r="GZ1" s="726" t="s">
        <v>731</v>
      </c>
      <c r="HA1" s="148" t="e">
        <f>#REF!</f>
        <v>#REF!</v>
      </c>
      <c r="HB1" s="1110"/>
      <c r="HC1" s="1110"/>
      <c r="HD1" s="1110"/>
      <c r="HE1" s="1110"/>
      <c r="HF1" s="1110"/>
      <c r="HG1" s="1110"/>
      <c r="HH1" s="1110"/>
      <c r="HI1" s="1110"/>
      <c r="HJ1" s="1111"/>
      <c r="HK1" s="1111"/>
      <c r="HL1" s="1111"/>
      <c r="HM1" s="1112"/>
      <c r="HN1" s="1113"/>
      <c r="HO1" s="1111"/>
      <c r="HP1" s="1111"/>
      <c r="HQ1" s="1111"/>
      <c r="HR1" s="1111"/>
      <c r="HS1" s="1111"/>
      <c r="HT1" s="1111"/>
      <c r="HU1" s="1111"/>
      <c r="HV1" s="1111"/>
      <c r="HW1" s="1111"/>
      <c r="HX1" s="1111"/>
      <c r="HY1" s="1111"/>
      <c r="HZ1" s="1111"/>
      <c r="IA1" s="1111"/>
      <c r="IB1" s="1111"/>
      <c r="IC1" s="1111"/>
      <c r="ID1" s="1111"/>
      <c r="IE1" s="1111"/>
      <c r="IF1" s="1111"/>
      <c r="IG1" s="1111"/>
      <c r="IH1" s="1110"/>
      <c r="II1" s="1110"/>
      <c r="IJ1" s="1110"/>
      <c r="IK1" s="1110"/>
      <c r="IL1" s="1114"/>
      <c r="IM1" s="1114"/>
      <c r="IN1" s="1114"/>
      <c r="IO1" s="1114"/>
      <c r="IP1" s="1114"/>
      <c r="IQ1" s="1114"/>
      <c r="IR1" s="1114"/>
      <c r="IS1" s="1114"/>
      <c r="IT1" s="1114"/>
      <c r="IU1" s="1114"/>
      <c r="IV1" s="1114"/>
      <c r="IW1" s="1114"/>
      <c r="IX1" s="1114"/>
      <c r="IY1" s="1114"/>
      <c r="IZ1" s="1114"/>
      <c r="JA1" s="1114"/>
      <c r="JB1" s="1114"/>
      <c r="JC1" s="1114"/>
      <c r="JD1" s="1114"/>
      <c r="JE1" s="1114"/>
      <c r="JF1" s="1114"/>
      <c r="JG1" s="1114"/>
      <c r="JH1" s="1114"/>
      <c r="JI1" s="1114"/>
      <c r="JJ1" s="1114"/>
      <c r="JK1" s="1114"/>
      <c r="JL1" s="1114"/>
      <c r="JM1" s="1114"/>
      <c r="JN1" s="1114"/>
      <c r="JO1" s="1114"/>
      <c r="JP1" s="424" t="s">
        <v>716</v>
      </c>
    </row>
    <row r="2" spans="1:276" s="148" customFormat="1" ht="12.95" customHeight="1" thickTop="1" thickBot="1" x14ac:dyDescent="0.3">
      <c r="A2" s="308"/>
      <c r="B2" s="308"/>
      <c r="C2" s="308"/>
      <c r="D2" s="308"/>
      <c r="E2" s="308"/>
      <c r="F2" s="308"/>
      <c r="G2" s="308"/>
      <c r="H2" s="308"/>
      <c r="I2" s="308"/>
      <c r="J2" s="308"/>
      <c r="K2" s="308"/>
      <c r="L2" s="308"/>
      <c r="M2" s="308"/>
      <c r="N2" s="308"/>
      <c r="O2" s="308"/>
      <c r="P2" s="308"/>
      <c r="Q2" s="1711"/>
      <c r="R2" s="1750"/>
      <c r="S2" s="1750"/>
      <c r="T2" s="1751"/>
      <c r="U2" s="308"/>
      <c r="V2" s="299"/>
      <c r="W2" s="2032" t="s">
        <v>78</v>
      </c>
      <c r="X2" s="2032"/>
      <c r="Y2" s="2032"/>
      <c r="Z2" s="1673"/>
      <c r="AA2" s="298"/>
      <c r="AB2" s="308"/>
      <c r="AC2" s="308"/>
      <c r="AD2" s="308"/>
      <c r="AE2" s="308"/>
      <c r="AF2" s="308"/>
      <c r="AG2" s="308"/>
      <c r="AH2" s="308"/>
      <c r="AI2" s="308"/>
      <c r="AJ2" s="308"/>
      <c r="AK2" s="308"/>
      <c r="AL2" s="308"/>
      <c r="AM2" s="308"/>
      <c r="AN2" s="308"/>
      <c r="AO2" s="308"/>
      <c r="AP2" s="308"/>
      <c r="AQ2" s="298"/>
      <c r="AR2" s="308"/>
      <c r="AS2" s="308"/>
      <c r="AT2" s="308"/>
      <c r="AU2" s="1711"/>
      <c r="AV2" s="1750"/>
      <c r="AW2" s="1750"/>
      <c r="AX2" s="1751"/>
      <c r="AY2" s="308"/>
      <c r="AZ2" s="308"/>
      <c r="BA2" s="2032" t="s">
        <v>78</v>
      </c>
      <c r="BB2" s="2032"/>
      <c r="BC2" s="2032"/>
      <c r="BD2" s="1709"/>
      <c r="BE2" s="1709"/>
      <c r="BF2" s="1709"/>
      <c r="BG2" s="401"/>
      <c r="BH2" s="179"/>
      <c r="BI2" s="303"/>
      <c r="BK2" s="150"/>
      <c r="CA2" s="426" t="s">
        <v>383</v>
      </c>
      <c r="CB2" s="151"/>
      <c r="CC2" s="151"/>
      <c r="CD2" s="151"/>
      <c r="CE2" s="151"/>
      <c r="CF2" s="151"/>
      <c r="CG2" s="151"/>
      <c r="CH2" s="151"/>
      <c r="CI2" s="151"/>
      <c r="CJ2" s="151"/>
      <c r="CK2" s="151"/>
      <c r="CL2" s="151"/>
      <c r="CM2" s="151"/>
      <c r="CN2" s="151"/>
      <c r="CO2" s="152"/>
      <c r="CP2" s="152"/>
      <c r="CQ2" s="106"/>
      <c r="CR2" s="106"/>
      <c r="CS2" s="107"/>
      <c r="CT2" s="106"/>
      <c r="CU2" s="106"/>
      <c r="CV2" s="106"/>
      <c r="CW2" s="110"/>
      <c r="CX2" s="146"/>
      <c r="CY2" s="159"/>
      <c r="CZ2" s="110"/>
      <c r="DA2" s="151"/>
      <c r="DB2" s="151"/>
      <c r="DC2" s="151"/>
      <c r="DD2" s="151"/>
      <c r="DE2" s="151"/>
      <c r="DF2" s="151"/>
      <c r="DG2" s="151"/>
      <c r="DH2" s="151"/>
      <c r="DI2" s="151"/>
      <c r="DJ2" s="153"/>
      <c r="DK2" s="153"/>
      <c r="DL2" s="153"/>
      <c r="DM2" s="153"/>
      <c r="DN2" s="153"/>
      <c r="DO2" s="153"/>
      <c r="DP2" s="153"/>
      <c r="DQ2" s="146"/>
      <c r="DR2" s="146"/>
      <c r="DS2" s="146"/>
      <c r="DT2" s="146"/>
      <c r="DU2" s="146"/>
      <c r="DV2" s="146"/>
      <c r="DW2" s="146"/>
      <c r="DX2" s="146"/>
      <c r="DY2" s="146"/>
      <c r="DZ2" s="146"/>
      <c r="EA2" s="146"/>
      <c r="EB2" s="146"/>
      <c r="EC2" s="152"/>
      <c r="ED2" s="152"/>
      <c r="EE2" s="152"/>
      <c r="EF2" s="152"/>
      <c r="EG2" s="152"/>
      <c r="EH2" s="151"/>
      <c r="EI2" s="151"/>
      <c r="EJ2" s="151"/>
      <c r="EK2" s="151"/>
      <c r="EL2" s="146"/>
      <c r="EM2" s="146"/>
      <c r="EN2" s="855"/>
      <c r="EO2" s="853"/>
      <c r="EP2" s="146"/>
      <c r="EQ2" s="853"/>
      <c r="ER2" s="146"/>
      <c r="ES2" s="146"/>
      <c r="ET2" s="146"/>
      <c r="EU2" s="1679"/>
      <c r="EV2" s="431" t="s">
        <v>384</v>
      </c>
      <c r="EW2" s="214"/>
      <c r="EY2" s="213"/>
      <c r="EZ2" s="215" t="s">
        <v>165</v>
      </c>
      <c r="FA2" s="216" t="e">
        <f>#REF!</f>
        <v>#REF!</v>
      </c>
      <c r="FB2" s="215" t="s">
        <v>322</v>
      </c>
      <c r="FC2" s="218" t="e">
        <f>#REF!</f>
        <v>#REF!</v>
      </c>
      <c r="FD2" s="215" t="s">
        <v>323</v>
      </c>
      <c r="FE2" s="218" t="e">
        <f>#REF!</f>
        <v>#REF!</v>
      </c>
      <c r="FF2" s="214" t="s">
        <v>220</v>
      </c>
      <c r="FG2" s="219" t="e">
        <f>#REF!</f>
        <v>#REF!</v>
      </c>
      <c r="FH2" s="155"/>
      <c r="FI2" s="155"/>
      <c r="FJ2" s="155"/>
      <c r="FK2" s="155"/>
      <c r="FL2" s="155"/>
      <c r="FM2" s="155"/>
      <c r="FN2" s="155"/>
      <c r="FO2" s="155"/>
      <c r="FP2" s="155"/>
      <c r="FQ2" s="155"/>
      <c r="FR2" s="155"/>
      <c r="FS2" s="155"/>
      <c r="FT2" s="155"/>
      <c r="FU2" s="154"/>
      <c r="FV2" s="836"/>
      <c r="FW2" s="836"/>
      <c r="FX2" s="836"/>
      <c r="FY2" s="836"/>
      <c r="FZ2" s="429" t="s">
        <v>369</v>
      </c>
      <c r="GA2" s="147"/>
      <c r="GB2" s="147"/>
      <c r="GC2" s="147"/>
      <c r="GD2" s="147"/>
      <c r="GE2" s="147"/>
      <c r="GF2" s="147"/>
      <c r="GG2" s="147"/>
      <c r="GH2" s="147"/>
      <c r="GI2" s="147"/>
      <c r="GJ2" s="147"/>
      <c r="GL2" s="157"/>
      <c r="GM2" s="157"/>
      <c r="GN2" s="430" t="s">
        <v>370</v>
      </c>
      <c r="GO2" s="157"/>
      <c r="GP2" s="157"/>
      <c r="GZ2" s="157"/>
      <c r="HA2" s="1110"/>
      <c r="HB2" s="1110"/>
      <c r="HC2" s="1110"/>
      <c r="HD2" s="1110"/>
      <c r="HE2" s="1110"/>
      <c r="HF2" s="1110"/>
      <c r="HG2" s="1110"/>
      <c r="HH2" s="1110"/>
      <c r="HI2" s="1110"/>
      <c r="HJ2" s="1111"/>
      <c r="HK2" s="1111"/>
      <c r="HL2" s="1111"/>
      <c r="HM2" s="1112"/>
      <c r="HN2" s="1113"/>
      <c r="HO2" s="1111"/>
      <c r="HP2" s="1111"/>
      <c r="HQ2" s="1111"/>
      <c r="HR2" s="1111"/>
      <c r="HS2" s="1111"/>
      <c r="HT2" s="1111"/>
      <c r="HU2" s="1111"/>
      <c r="HV2" s="1111"/>
      <c r="HW2" s="1111"/>
      <c r="HX2" s="1111"/>
      <c r="HY2" s="1111"/>
      <c r="HZ2" s="1111"/>
      <c r="IA2" s="1111"/>
      <c r="IB2" s="1111"/>
      <c r="IC2" s="1111"/>
      <c r="ID2" s="1111"/>
      <c r="IE2" s="1111"/>
      <c r="IF2" s="1111"/>
      <c r="IG2" s="1111"/>
      <c r="IH2" s="1110"/>
      <c r="II2" s="1110"/>
      <c r="IJ2" s="1110"/>
      <c r="IK2" s="1110"/>
      <c r="IL2" s="1114"/>
      <c r="IM2" s="1114"/>
      <c r="IN2" s="1114"/>
      <c r="IO2" s="1114"/>
      <c r="IP2" s="1114"/>
      <c r="IQ2" s="1114"/>
      <c r="IR2" s="1114"/>
      <c r="IS2" s="1114"/>
      <c r="IT2" s="1114"/>
      <c r="IU2" s="1114"/>
      <c r="IV2" s="1114"/>
      <c r="IW2" s="1114"/>
      <c r="IX2" s="1114"/>
      <c r="IY2" s="1114"/>
      <c r="IZ2" s="1114"/>
      <c r="JA2" s="1114"/>
      <c r="JB2" s="1114"/>
      <c r="JC2" s="1114"/>
      <c r="JD2" s="1114"/>
      <c r="JE2" s="1114"/>
      <c r="JF2" s="1114"/>
      <c r="JG2" s="1114"/>
      <c r="JH2" s="1114"/>
      <c r="JI2" s="1114"/>
      <c r="JJ2" s="1114"/>
      <c r="JK2" s="1114"/>
      <c r="JL2" s="1114"/>
      <c r="JM2" s="1114"/>
      <c r="JN2" s="1114"/>
      <c r="JO2" s="1114"/>
    </row>
    <row r="3" spans="1:276" s="148" customFormat="1" ht="12.95" customHeight="1" thickBot="1" x14ac:dyDescent="0.3">
      <c r="A3" s="308"/>
      <c r="B3" s="308"/>
      <c r="C3" s="308"/>
      <c r="D3" s="308"/>
      <c r="E3" s="308"/>
      <c r="F3" s="308"/>
      <c r="G3" s="308"/>
      <c r="H3" s="308"/>
      <c r="I3" s="308"/>
      <c r="J3" s="308"/>
      <c r="K3" s="308"/>
      <c r="L3" s="308"/>
      <c r="M3" s="308"/>
      <c r="N3" s="308"/>
      <c r="O3" s="308"/>
      <c r="P3" s="308"/>
      <c r="Q3" s="1752"/>
      <c r="R3" s="1753"/>
      <c r="S3" s="1753"/>
      <c r="T3" s="1754"/>
      <c r="U3" s="308"/>
      <c r="V3" s="299"/>
      <c r="W3" s="2032" t="s">
        <v>80</v>
      </c>
      <c r="X3" s="2032"/>
      <c r="Y3" s="2032"/>
      <c r="Z3" s="1673"/>
      <c r="AA3" s="298"/>
      <c r="AB3" s="308"/>
      <c r="AC3" s="308"/>
      <c r="AD3" s="308"/>
      <c r="AE3" s="308"/>
      <c r="AF3" s="308"/>
      <c r="AG3" s="308"/>
      <c r="AH3" s="308"/>
      <c r="AI3" s="308"/>
      <c r="AJ3" s="308"/>
      <c r="AK3" s="308"/>
      <c r="AL3" s="308"/>
      <c r="AM3" s="308"/>
      <c r="AN3" s="308"/>
      <c r="AO3" s="308"/>
      <c r="AP3" s="308"/>
      <c r="AQ3" s="298"/>
      <c r="AR3" s="308"/>
      <c r="AS3" s="308"/>
      <c r="AT3" s="308"/>
      <c r="AU3" s="1752"/>
      <c r="AV3" s="1753"/>
      <c r="AW3" s="1753"/>
      <c r="AX3" s="1754"/>
      <c r="AY3" s="308"/>
      <c r="AZ3" s="308"/>
      <c r="BA3" s="2032" t="s">
        <v>80</v>
      </c>
      <c r="BB3" s="2032"/>
      <c r="BC3" s="2032"/>
      <c r="BD3" s="1709"/>
      <c r="BE3" s="1709"/>
      <c r="BF3" s="1709"/>
      <c r="BG3" s="298"/>
      <c r="BH3" s="179"/>
      <c r="BI3" s="303"/>
      <c r="CA3" s="161"/>
      <c r="CB3" s="151"/>
      <c r="CC3" s="151"/>
      <c r="CD3" s="151"/>
      <c r="CE3" s="151"/>
      <c r="CF3" s="151"/>
      <c r="CG3" s="151"/>
      <c r="CH3" s="151"/>
      <c r="CI3" s="151"/>
      <c r="CJ3" s="151"/>
      <c r="CK3" s="151"/>
      <c r="CL3" s="151"/>
      <c r="CM3" s="151"/>
      <c r="CN3" s="151"/>
      <c r="CO3" s="152"/>
      <c r="CP3" s="106"/>
      <c r="CQ3" s="108"/>
      <c r="CR3" s="109"/>
      <c r="CS3" s="110"/>
      <c r="CT3" s="110"/>
      <c r="CU3" s="111"/>
      <c r="CV3" s="108"/>
      <c r="CW3" s="108"/>
      <c r="CX3" s="146"/>
      <c r="CY3" s="159"/>
      <c r="CZ3" s="110"/>
      <c r="DA3" s="151"/>
      <c r="DB3" s="151"/>
      <c r="DC3" s="151"/>
      <c r="DD3" s="151"/>
      <c r="DE3" s="151"/>
      <c r="DF3" s="151"/>
      <c r="DG3" s="151"/>
      <c r="DH3" s="151"/>
      <c r="DI3" s="151"/>
      <c r="DJ3" s="153"/>
      <c r="DK3" s="153"/>
      <c r="DL3" s="153"/>
      <c r="DM3" s="153"/>
      <c r="DN3" s="153"/>
      <c r="DO3" s="153"/>
      <c r="DP3" s="153"/>
      <c r="DQ3" s="146"/>
      <c r="DR3" s="146"/>
      <c r="DS3" s="146"/>
      <c r="DT3" s="146"/>
      <c r="DU3" s="146"/>
      <c r="DV3" s="146"/>
      <c r="DW3" s="146"/>
      <c r="DX3" s="146"/>
      <c r="DY3" s="146"/>
      <c r="DZ3" s="146"/>
      <c r="EA3" s="146"/>
      <c r="EB3" s="146"/>
      <c r="EC3" s="152"/>
      <c r="ED3" s="152"/>
      <c r="EE3" s="152"/>
      <c r="EF3" s="152"/>
      <c r="EG3" s="152"/>
      <c r="EH3" s="151"/>
      <c r="EI3" s="151"/>
      <c r="EJ3" s="151"/>
      <c r="EK3" s="151"/>
      <c r="EL3" s="153"/>
      <c r="EM3" s="146"/>
      <c r="EN3" s="855"/>
      <c r="EO3" s="853"/>
      <c r="EP3" s="146"/>
      <c r="EQ3" s="146"/>
      <c r="ER3" s="146"/>
      <c r="ES3" s="146"/>
      <c r="ET3" s="146"/>
      <c r="EU3" s="1679"/>
      <c r="EW3" s="214"/>
      <c r="EX3" s="220" t="s">
        <v>659</v>
      </c>
      <c r="EY3" s="222" t="s">
        <v>690</v>
      </c>
      <c r="EZ3" s="221" t="s">
        <v>139</v>
      </c>
      <c r="FA3" s="222" t="s">
        <v>159</v>
      </c>
      <c r="FB3" s="223" t="s">
        <v>160</v>
      </c>
      <c r="FC3" s="222" t="s">
        <v>161</v>
      </c>
      <c r="FD3" s="222" t="s">
        <v>162</v>
      </c>
      <c r="FE3" s="222" t="s">
        <v>163</v>
      </c>
      <c r="FF3" s="224" t="s">
        <v>350</v>
      </c>
      <c r="FG3" s="2083" t="s">
        <v>695</v>
      </c>
      <c r="FH3" s="2084"/>
      <c r="FI3" s="2085"/>
      <c r="FJ3" s="155"/>
      <c r="FK3" s="155"/>
      <c r="FL3" s="155"/>
      <c r="FM3" s="155"/>
      <c r="FN3" s="155"/>
      <c r="FO3" s="155"/>
      <c r="FP3" s="155"/>
      <c r="FQ3" s="155"/>
      <c r="FR3" s="155"/>
      <c r="FS3" s="155"/>
      <c r="FT3" s="155"/>
      <c r="FU3" s="154"/>
      <c r="FV3" s="154"/>
      <c r="FW3" s="154"/>
      <c r="FX3" s="154"/>
      <c r="FY3" s="154"/>
      <c r="GA3" s="147"/>
      <c r="GB3" s="147"/>
      <c r="GC3" s="147"/>
      <c r="GD3" s="147"/>
      <c r="GE3" s="147"/>
      <c r="GF3" s="147"/>
      <c r="GG3" s="147"/>
      <c r="GH3" s="147"/>
      <c r="GI3" s="147"/>
      <c r="GJ3" s="147"/>
      <c r="GK3" s="154"/>
      <c r="GL3" s="157"/>
      <c r="GM3" s="157"/>
      <c r="GN3" s="157"/>
      <c r="GO3" s="157"/>
      <c r="GP3" s="157"/>
      <c r="GZ3" s="157"/>
      <c r="HA3" s="1110"/>
      <c r="HB3" s="1110"/>
      <c r="HC3" s="1115"/>
      <c r="HD3" s="1110"/>
      <c r="HE3" s="1110"/>
      <c r="HF3" s="1110"/>
      <c r="HG3" s="1110"/>
      <c r="HH3" s="1110"/>
      <c r="HI3" s="1110"/>
      <c r="HJ3" s="1111"/>
      <c r="HK3" s="1111"/>
      <c r="HL3" s="1111"/>
      <c r="HM3" s="1112"/>
      <c r="HN3" s="1113"/>
      <c r="HO3" s="1111"/>
      <c r="HP3" s="1111"/>
      <c r="HQ3" s="1111"/>
      <c r="HR3" s="1111"/>
      <c r="HS3" s="1111"/>
      <c r="HT3" s="1111"/>
      <c r="HU3" s="1111"/>
      <c r="HV3" s="1111"/>
      <c r="HW3" s="1111"/>
      <c r="HX3" s="1111"/>
      <c r="HY3" s="1111"/>
      <c r="HZ3" s="1111"/>
      <c r="IA3" s="1111"/>
      <c r="IB3" s="1111"/>
      <c r="IC3" s="1111"/>
      <c r="ID3" s="1111"/>
      <c r="IE3" s="1111"/>
      <c r="IF3" s="1111"/>
      <c r="IG3" s="1111"/>
      <c r="IH3" s="1110"/>
      <c r="II3" s="1110"/>
      <c r="IJ3" s="1110"/>
      <c r="IK3" s="1110"/>
      <c r="IL3" s="1114"/>
      <c r="IM3" s="1114"/>
      <c r="IN3" s="1114"/>
      <c r="IO3" s="1114"/>
      <c r="IP3" s="1114"/>
      <c r="IQ3" s="1114"/>
      <c r="IR3" s="1114"/>
      <c r="IS3" s="1114"/>
      <c r="IT3" s="1114"/>
      <c r="IU3" s="1114"/>
      <c r="IV3" s="1114"/>
      <c r="IW3" s="1114"/>
      <c r="IX3" s="1114"/>
      <c r="IY3" s="1114"/>
      <c r="IZ3" s="1114"/>
      <c r="JA3" s="1114"/>
      <c r="JB3" s="1114"/>
      <c r="JC3" s="1114"/>
      <c r="JD3" s="1114"/>
      <c r="JE3" s="1114"/>
      <c r="JF3" s="1114"/>
      <c r="JG3" s="1114"/>
      <c r="JH3" s="1114"/>
      <c r="JI3" s="1114"/>
      <c r="JJ3" s="1114"/>
      <c r="JK3" s="1114"/>
      <c r="JL3" s="1114"/>
      <c r="JM3" s="1114"/>
      <c r="JN3" s="1114"/>
      <c r="JO3" s="1114"/>
    </row>
    <row r="4" spans="1:276" s="148" customFormat="1" ht="12.95" customHeight="1" thickTop="1" thickBot="1" x14ac:dyDescent="0.25">
      <c r="A4" s="308"/>
      <c r="B4" s="308"/>
      <c r="C4" s="308"/>
      <c r="D4" s="308"/>
      <c r="E4" s="308"/>
      <c r="F4" s="308"/>
      <c r="G4" s="308"/>
      <c r="H4" s="308"/>
      <c r="I4" s="308"/>
      <c r="J4" s="308"/>
      <c r="K4" s="308"/>
      <c r="L4" s="308"/>
      <c r="M4" s="1001"/>
      <c r="N4" s="298"/>
      <c r="O4" s="298"/>
      <c r="P4" s="298"/>
      <c r="Q4" s="1717"/>
      <c r="R4" s="1755"/>
      <c r="S4" s="1755"/>
      <c r="T4" s="1756"/>
      <c r="U4" s="298"/>
      <c r="V4" s="299"/>
      <c r="W4" s="2032" t="s">
        <v>79</v>
      </c>
      <c r="X4" s="2032"/>
      <c r="Y4" s="2032"/>
      <c r="Z4" s="1673"/>
      <c r="AA4" s="298"/>
      <c r="AB4" s="298"/>
      <c r="AC4" s="298"/>
      <c r="AD4" s="298"/>
      <c r="AE4" s="298"/>
      <c r="AF4" s="298"/>
      <c r="AG4" s="298"/>
      <c r="AH4" s="298"/>
      <c r="AI4" s="298"/>
      <c r="AJ4" s="298"/>
      <c r="AK4" s="298"/>
      <c r="AL4" s="298"/>
      <c r="AM4" s="298"/>
      <c r="AN4" s="298"/>
      <c r="AO4" s="298"/>
      <c r="AP4" s="298"/>
      <c r="AQ4" s="298"/>
      <c r="AR4" s="1001"/>
      <c r="AS4" s="1001"/>
      <c r="AT4" s="298"/>
      <c r="AU4" s="1717"/>
      <c r="AV4" s="2180"/>
      <c r="AW4" s="2180"/>
      <c r="AX4" s="2181"/>
      <c r="AY4" s="308"/>
      <c r="AZ4" s="308"/>
      <c r="BA4" s="2032" t="s">
        <v>79</v>
      </c>
      <c r="BB4" s="2032"/>
      <c r="BC4" s="2032"/>
      <c r="BD4" s="1709"/>
      <c r="BE4" s="1709"/>
      <c r="BF4" s="1709"/>
      <c r="BG4" s="298"/>
      <c r="BH4" s="179"/>
      <c r="BI4" s="303"/>
      <c r="CA4" s="161"/>
      <c r="CB4" s="151"/>
      <c r="CC4" s="151"/>
      <c r="CD4" s="151"/>
      <c r="CE4" s="151"/>
      <c r="CF4" s="151"/>
      <c r="CG4" s="151"/>
      <c r="CH4" s="151"/>
      <c r="CI4" s="151"/>
      <c r="CJ4" s="151"/>
      <c r="CK4" s="151"/>
      <c r="CL4" s="164"/>
      <c r="CM4" s="151"/>
      <c r="CN4" s="151"/>
      <c r="CO4" s="152"/>
      <c r="CP4" s="152"/>
      <c r="CQ4" s="152"/>
      <c r="CR4" s="152"/>
      <c r="CS4" s="152"/>
      <c r="CT4" s="152"/>
      <c r="CU4" s="152"/>
      <c r="CV4" s="152"/>
      <c r="CW4" s="152"/>
      <c r="CX4" s="146"/>
      <c r="CY4" s="152"/>
      <c r="CZ4" s="477" t="s">
        <v>348</v>
      </c>
      <c r="DA4" s="2131"/>
      <c r="DB4" s="2132"/>
      <c r="DC4" s="151"/>
      <c r="DD4" s="151"/>
      <c r="DE4" s="151"/>
      <c r="DF4" s="151"/>
      <c r="DG4" s="151"/>
      <c r="DH4" s="151"/>
      <c r="DI4" s="151"/>
      <c r="DJ4" s="153"/>
      <c r="DK4" s="153"/>
      <c r="DL4" s="153"/>
      <c r="DM4" s="153"/>
      <c r="DN4" s="153"/>
      <c r="DO4" s="153"/>
      <c r="DP4" s="153"/>
      <c r="DQ4" s="146"/>
      <c r="DR4" s="146"/>
      <c r="DS4" s="146"/>
      <c r="DT4" s="146"/>
      <c r="DU4" s="146"/>
      <c r="DV4" s="146"/>
      <c r="DW4" s="146"/>
      <c r="DX4" s="146"/>
      <c r="DY4" s="146"/>
      <c r="DZ4" s="146"/>
      <c r="EA4" s="146"/>
      <c r="EB4" s="146"/>
      <c r="EC4" s="152"/>
      <c r="ED4" s="152"/>
      <c r="EE4" s="152"/>
      <c r="EF4" s="152"/>
      <c r="EG4" s="152"/>
      <c r="EH4" s="151"/>
      <c r="EI4" s="151"/>
      <c r="EJ4" s="151"/>
      <c r="EK4" s="151"/>
      <c r="EL4" s="153"/>
      <c r="EM4" s="146"/>
      <c r="EN4" s="855"/>
      <c r="EO4" s="853"/>
      <c r="EP4" s="853"/>
      <c r="EQ4" s="146"/>
      <c r="ER4" s="146"/>
      <c r="ES4" s="146"/>
      <c r="ET4" s="146"/>
      <c r="EU4" s="1679"/>
      <c r="EW4" s="225" t="s">
        <v>154</v>
      </c>
      <c r="EX4" s="226">
        <v>1.125</v>
      </c>
      <c r="EY4" s="228" t="e">
        <f>#REF!/2</f>
        <v>#REF!</v>
      </c>
      <c r="EZ4" s="227" t="e">
        <f>#REF!</f>
        <v>#REF!</v>
      </c>
      <c r="FA4" s="228" t="e">
        <f>#REF!</f>
        <v>#REF!</v>
      </c>
      <c r="FB4" s="228" t="e">
        <f>#REF!</f>
        <v>#REF!</v>
      </c>
      <c r="FC4" s="228" t="e">
        <f>#REF!</f>
        <v>#REF!</v>
      </c>
      <c r="FD4" s="229" t="e">
        <f>#REF!</f>
        <v>#REF!</v>
      </c>
      <c r="FE4" s="228" t="e">
        <f>#REF!</f>
        <v>#REF!</v>
      </c>
      <c r="FF4" s="230" t="e">
        <f>#REF!</f>
        <v>#REF!</v>
      </c>
      <c r="FG4" s="717">
        <v>0</v>
      </c>
      <c r="FH4" s="717">
        <v>7.125</v>
      </c>
      <c r="FI4" s="718">
        <v>17.125</v>
      </c>
      <c r="GA4" s="146"/>
      <c r="GB4" s="146"/>
      <c r="GC4" s="146"/>
      <c r="GD4" s="146"/>
      <c r="GE4" s="146"/>
      <c r="GF4" s="147"/>
      <c r="GG4" s="147"/>
      <c r="GH4" s="147"/>
      <c r="GI4" s="147"/>
      <c r="GJ4" s="147"/>
      <c r="GK4" s="154"/>
      <c r="GL4" s="157"/>
      <c r="GM4" s="157"/>
      <c r="GN4" s="157"/>
      <c r="GO4" s="157"/>
      <c r="GP4" s="157"/>
      <c r="GZ4" s="157"/>
      <c r="HA4" s="1110"/>
      <c r="HB4" s="1110"/>
      <c r="HC4" s="1115"/>
      <c r="HD4" s="1110"/>
      <c r="HE4" s="1110"/>
      <c r="HF4" s="1110"/>
      <c r="HG4" s="1110"/>
      <c r="HH4" s="1110"/>
      <c r="HI4" s="1110"/>
      <c r="HJ4" s="1111"/>
      <c r="HK4" s="1111"/>
      <c r="HL4" s="1111"/>
      <c r="HM4" s="1112"/>
      <c r="HN4" s="1113"/>
      <c r="HO4" s="1111"/>
      <c r="HP4" s="1111"/>
      <c r="HQ4" s="1111"/>
      <c r="HR4" s="1111"/>
      <c r="HS4" s="1111"/>
      <c r="HT4" s="1111"/>
      <c r="HU4" s="1111"/>
      <c r="HV4" s="1111"/>
      <c r="HW4" s="1111"/>
      <c r="HX4" s="1111"/>
      <c r="HY4" s="1111"/>
      <c r="HZ4" s="1111"/>
      <c r="IA4" s="1111"/>
      <c r="IB4" s="1111"/>
      <c r="IC4" s="1111"/>
      <c r="ID4" s="1111"/>
      <c r="IE4" s="1111"/>
      <c r="IF4" s="1111"/>
      <c r="IG4" s="1111"/>
      <c r="IH4" s="1110"/>
      <c r="II4" s="1110"/>
      <c r="IJ4" s="1110"/>
      <c r="IK4" s="1110"/>
      <c r="IL4" s="1114"/>
      <c r="IM4" s="1114"/>
      <c r="IN4" s="1114"/>
      <c r="IO4" s="1114"/>
      <c r="IP4" s="1114"/>
      <c r="IQ4" s="1114"/>
      <c r="IR4" s="1114"/>
      <c r="IS4" s="1114"/>
      <c r="IT4" s="1114"/>
      <c r="IU4" s="1114"/>
      <c r="IV4" s="1114"/>
      <c r="IW4" s="1114"/>
      <c r="IX4" s="1114"/>
      <c r="IY4" s="1114"/>
      <c r="IZ4" s="1114"/>
      <c r="JA4" s="1114"/>
      <c r="JB4" s="1114"/>
      <c r="JC4" s="1114"/>
      <c r="JD4" s="1114"/>
      <c r="JE4" s="1114"/>
      <c r="JF4" s="1114"/>
      <c r="JG4" s="1114"/>
      <c r="JH4" s="1114"/>
      <c r="JI4" s="1114"/>
      <c r="JJ4" s="1114"/>
      <c r="JK4" s="1114"/>
      <c r="JL4" s="1114"/>
      <c r="JM4" s="1114"/>
      <c r="JN4" s="1114"/>
      <c r="JO4" s="1114"/>
    </row>
    <row r="5" spans="1:276" s="148" customFormat="1" ht="12.95" customHeight="1" thickTop="1" thickBot="1" x14ac:dyDescent="0.25">
      <c r="A5" s="2041"/>
      <c r="B5" s="2042"/>
      <c r="C5" s="2042"/>
      <c r="D5" s="2042"/>
      <c r="E5" s="2042"/>
      <c r="F5" s="2042"/>
      <c r="G5" s="2042"/>
      <c r="H5" s="2042"/>
      <c r="I5" s="2042"/>
      <c r="J5" s="2042"/>
      <c r="K5" s="2042"/>
      <c r="L5" s="2042"/>
      <c r="M5" s="298"/>
      <c r="N5" s="298"/>
      <c r="O5" s="298"/>
      <c r="P5" s="298"/>
      <c r="Q5" s="298"/>
      <c r="R5" s="298"/>
      <c r="S5" s="298"/>
      <c r="T5" s="298"/>
      <c r="U5" s="298"/>
      <c r="V5" s="298"/>
      <c r="W5" s="298"/>
      <c r="X5" s="298"/>
      <c r="Y5" s="1002"/>
      <c r="Z5" s="1002"/>
      <c r="AA5" s="298"/>
      <c r="AB5" s="2033"/>
      <c r="AC5" s="2179"/>
      <c r="AD5" s="2179"/>
      <c r="AE5" s="2179"/>
      <c r="AF5" s="2179"/>
      <c r="AG5" s="2179"/>
      <c r="AH5" s="2179"/>
      <c r="AI5" s="2179"/>
      <c r="AJ5" s="2179"/>
      <c r="AK5" s="2179"/>
      <c r="AL5" s="2179"/>
      <c r="AM5" s="2179"/>
      <c r="AN5" s="2179"/>
      <c r="AO5" s="2179"/>
      <c r="AP5" s="2179"/>
      <c r="AQ5" s="2179"/>
      <c r="AR5" s="298"/>
      <c r="AS5" s="298"/>
      <c r="AT5" s="298"/>
      <c r="AU5" s="298"/>
      <c r="AV5" s="298"/>
      <c r="AW5" s="298"/>
      <c r="AX5" s="298"/>
      <c r="AY5" s="298"/>
      <c r="AZ5" s="298"/>
      <c r="BA5" s="298"/>
      <c r="BB5" s="298"/>
      <c r="BC5" s="298"/>
      <c r="BD5" s="298"/>
      <c r="BE5" s="298"/>
      <c r="BF5" s="298"/>
      <c r="BG5" s="298"/>
      <c r="BH5" s="179"/>
      <c r="BI5" s="303"/>
      <c r="CA5" s="161"/>
      <c r="CB5" s="1502">
        <f>G_A!CB21</f>
        <v>6</v>
      </c>
      <c r="CC5" s="1502">
        <f>G_A!CC21</f>
        <v>4</v>
      </c>
      <c r="CD5" s="1502">
        <f>G_A!CD21</f>
        <v>15</v>
      </c>
      <c r="CE5" s="1502">
        <f>G_A!CE21</f>
        <v>4</v>
      </c>
      <c r="CF5" s="1502">
        <f>G_A!CF21</f>
        <v>5</v>
      </c>
      <c r="CG5" s="1502">
        <f>G_A!CG21</f>
        <v>3</v>
      </c>
      <c r="CH5" s="1502">
        <f>G_A!CH21</f>
        <v>4.57</v>
      </c>
      <c r="CI5" s="1502">
        <f>G_A!CI21</f>
        <v>4.57</v>
      </c>
      <c r="CJ5" s="1502">
        <f>G_A!CJ21</f>
        <v>4.57</v>
      </c>
      <c r="CK5" s="1502">
        <f>G_A!CK21</f>
        <v>4.57</v>
      </c>
      <c r="CL5" s="1502">
        <f>G_A!CL21</f>
        <v>4</v>
      </c>
      <c r="CM5" s="1502">
        <f>G_A!CM21</f>
        <v>5</v>
      </c>
      <c r="CN5" s="1502">
        <f>G_A!CN21</f>
        <v>5.29</v>
      </c>
      <c r="CO5" s="1502">
        <f>G_A!CO21</f>
        <v>5.29</v>
      </c>
      <c r="CP5" s="1502">
        <f>G_A!CP21</f>
        <v>4</v>
      </c>
      <c r="CQ5" s="1502">
        <f>G_A!CQ21</f>
        <v>3</v>
      </c>
      <c r="CR5" s="1502">
        <f>G_A!CR21</f>
        <v>4.57</v>
      </c>
      <c r="CS5" s="1502">
        <f>G_A!CS21</f>
        <v>4.57</v>
      </c>
      <c r="CT5" s="1502">
        <f>G_A!CT21</f>
        <v>4.57</v>
      </c>
      <c r="CU5" s="1502">
        <f>G_A!CU21</f>
        <v>4.57</v>
      </c>
      <c r="CV5" s="1502">
        <f>G_A!CV21</f>
        <v>4</v>
      </c>
      <c r="CW5" s="1502">
        <f>G_A!CW21</f>
        <v>5</v>
      </c>
      <c r="CX5" s="1502">
        <f>G_A!CX21</f>
        <v>5.29</v>
      </c>
      <c r="CY5" s="1502">
        <f>G_A!CY21</f>
        <v>5.29</v>
      </c>
      <c r="CZ5" s="1502">
        <f>G_A!CZ21</f>
        <v>4</v>
      </c>
      <c r="DA5" s="1502">
        <f>G_A!DA21</f>
        <v>5</v>
      </c>
      <c r="DB5" s="1502">
        <f>G_A!DB21</f>
        <v>15</v>
      </c>
      <c r="DC5" s="1502">
        <f>G_A!DC21</f>
        <v>21.57</v>
      </c>
      <c r="DD5" s="1502">
        <f>G_A!DD21</f>
        <v>4</v>
      </c>
      <c r="DE5" s="1502">
        <f>G_A!DE21</f>
        <v>4</v>
      </c>
      <c r="DF5" s="1505"/>
      <c r="DG5" s="1505"/>
      <c r="DH5" s="1502">
        <f>G_A!DH5</f>
        <v>5</v>
      </c>
      <c r="DI5" s="1502">
        <f>G_A!DI5</f>
        <v>4</v>
      </c>
      <c r="DJ5" s="1502">
        <f>G_A!DJ5</f>
        <v>3</v>
      </c>
      <c r="DK5" s="1502">
        <f>G_A!DK5</f>
        <v>5</v>
      </c>
      <c r="DL5" s="1502">
        <f>G_A!DL5</f>
        <v>2</v>
      </c>
      <c r="DM5" s="1502">
        <f>G_A!DM5</f>
        <v>3</v>
      </c>
      <c r="DN5" s="1502">
        <f>G_A!DN5</f>
        <v>5</v>
      </c>
      <c r="DO5" s="1502">
        <f>G_A!DO5</f>
        <v>3</v>
      </c>
      <c r="DP5" s="1502">
        <f>G_A!DP5</f>
        <v>4</v>
      </c>
      <c r="DQ5" s="1502">
        <f>G_A!DQ5</f>
        <v>4.57</v>
      </c>
      <c r="DR5" s="1502">
        <f>G_A!DR5</f>
        <v>3.57</v>
      </c>
      <c r="DS5" s="1502">
        <f>G_A!DS5</f>
        <v>3.57</v>
      </c>
      <c r="DT5" s="1502">
        <f>G_A!DT5</f>
        <v>3.57</v>
      </c>
      <c r="DU5" s="1502">
        <f>G_A!DU5</f>
        <v>3.57</v>
      </c>
      <c r="DV5" s="1502">
        <f>G_A!DV5</f>
        <v>4</v>
      </c>
      <c r="DW5" s="1502">
        <f>G_A!DW5</f>
        <v>5</v>
      </c>
      <c r="DX5" s="1502">
        <f>G_A!DX5</f>
        <v>3</v>
      </c>
      <c r="DY5" s="1502">
        <f>G_A!DY5</f>
        <v>2.29</v>
      </c>
      <c r="DZ5" s="1502">
        <f>G_A!DZ5</f>
        <v>4</v>
      </c>
      <c r="EA5" s="1502">
        <f>G_A!EA5</f>
        <v>5</v>
      </c>
      <c r="EB5" s="1502">
        <f>G_A!EB5</f>
        <v>3</v>
      </c>
      <c r="EC5" s="1502">
        <f>G_A!EC5</f>
        <v>2.29</v>
      </c>
      <c r="ED5" s="1502">
        <f>G_A!ED5</f>
        <v>4</v>
      </c>
      <c r="EE5" s="1502">
        <f>G_A!EE5</f>
        <v>5</v>
      </c>
      <c r="EF5" s="1502">
        <f>G_A!EF5</f>
        <v>3</v>
      </c>
      <c r="EG5" s="1502">
        <f>G_A!EG5</f>
        <v>2.29</v>
      </c>
      <c r="EH5" s="1502">
        <f>G_A!EH5</f>
        <v>4</v>
      </c>
      <c r="EI5" s="1502">
        <f>G_A!EI5</f>
        <v>5</v>
      </c>
      <c r="EJ5" s="1502">
        <f>G_A!EJ5</f>
        <v>3</v>
      </c>
      <c r="EK5" s="1502">
        <f>G_A!EK5</f>
        <v>2.29</v>
      </c>
      <c r="EL5" s="1502">
        <f>G_A!EL5</f>
        <v>8</v>
      </c>
      <c r="EM5" s="1502">
        <f>G_A!EM5</f>
        <v>8</v>
      </c>
      <c r="EN5" s="1502">
        <f>G_A!EN5</f>
        <v>10</v>
      </c>
      <c r="EO5" s="1502">
        <f>G_A!EO5</f>
        <v>6</v>
      </c>
      <c r="EP5" s="1502">
        <f>G_A!EP5</f>
        <v>4.71</v>
      </c>
      <c r="EQ5" s="1502">
        <f>G_A!EQ5</f>
        <v>4.71</v>
      </c>
      <c r="ER5" s="1502">
        <f>G_A!ER5</f>
        <v>3.57</v>
      </c>
      <c r="ES5" s="1502">
        <f>G_A!ES5</f>
        <v>3.57</v>
      </c>
      <c r="ET5" s="146"/>
      <c r="EU5" s="1679"/>
      <c r="EV5" s="231"/>
      <c r="EW5" s="933" t="s">
        <v>702</v>
      </c>
      <c r="EX5" s="934" t="e">
        <f ca="1">OFFSET(#REF!,#REF!,1)</f>
        <v>#REF!</v>
      </c>
      <c r="EY5" s="214"/>
      <c r="EZ5" s="213"/>
      <c r="FA5" s="213"/>
      <c r="FB5" s="214"/>
      <c r="FC5" s="214"/>
      <c r="FD5" s="214"/>
      <c r="FE5" s="155"/>
      <c r="FG5" s="719">
        <v>4.5</v>
      </c>
      <c r="FH5" s="719">
        <v>5</v>
      </c>
      <c r="FI5" s="720">
        <v>6</v>
      </c>
      <c r="GA5" s="146"/>
      <c r="GB5" s="146"/>
      <c r="GC5" s="146"/>
      <c r="GD5" s="146"/>
      <c r="GE5" s="146"/>
      <c r="GF5" s="147"/>
      <c r="GG5" s="147"/>
      <c r="GH5" s="147"/>
      <c r="GI5" s="147"/>
      <c r="GJ5" s="147"/>
      <c r="GK5" s="154"/>
      <c r="GL5" s="157"/>
      <c r="GM5" s="157"/>
      <c r="GN5" s="157"/>
      <c r="GO5" s="157"/>
      <c r="GP5" s="157"/>
      <c r="GZ5" s="157"/>
      <c r="HA5" s="1116"/>
      <c r="HB5" s="1117"/>
      <c r="HC5" s="1117"/>
      <c r="HD5" s="1117"/>
      <c r="HE5" s="1117"/>
      <c r="HF5" s="1117"/>
      <c r="HG5" s="1117"/>
      <c r="HH5" s="1117"/>
      <c r="HI5" s="1117"/>
      <c r="HJ5" s="1117"/>
      <c r="HK5" s="1117"/>
      <c r="HL5" s="1117"/>
      <c r="HM5" s="1117"/>
      <c r="HN5" s="1117"/>
      <c r="HO5" s="1117"/>
      <c r="HP5" s="1117"/>
      <c r="HQ5" s="1117"/>
      <c r="HR5" s="1117"/>
      <c r="HS5" s="1117"/>
      <c r="HT5" s="1117"/>
      <c r="HU5" s="1117"/>
      <c r="HV5" s="1117"/>
      <c r="HW5" s="1117"/>
      <c r="HX5" s="1117"/>
      <c r="HY5" s="1111"/>
      <c r="HZ5" s="1111"/>
      <c r="IA5" s="1111"/>
      <c r="IB5" s="1111"/>
      <c r="IC5" s="1111"/>
      <c r="ID5" s="1111"/>
      <c r="IE5" s="1111"/>
      <c r="IF5" s="1111"/>
      <c r="IG5" s="1111"/>
      <c r="IH5" s="1114"/>
      <c r="II5" s="1114"/>
      <c r="IJ5" s="1114"/>
      <c r="IK5" s="1114"/>
      <c r="IL5" s="1114"/>
      <c r="IM5" s="1114"/>
      <c r="IN5" s="1114"/>
      <c r="IO5" s="1114"/>
      <c r="IP5" s="1114"/>
      <c r="IQ5" s="1114"/>
      <c r="IR5" s="1114"/>
      <c r="IS5" s="1114"/>
      <c r="IT5" s="1114"/>
      <c r="IU5" s="1114"/>
      <c r="IV5" s="1114"/>
      <c r="IW5" s="1114"/>
      <c r="IX5" s="1114"/>
      <c r="IY5" s="1114"/>
      <c r="IZ5" s="1114"/>
      <c r="JA5" s="1114"/>
      <c r="JB5" s="1114"/>
      <c r="JC5" s="1114"/>
      <c r="JD5" s="1114"/>
      <c r="JE5" s="1114"/>
      <c r="JF5" s="1114"/>
      <c r="JG5" s="1114"/>
      <c r="JH5" s="1114"/>
      <c r="JI5" s="1114"/>
      <c r="JJ5" s="1114"/>
      <c r="JK5" s="1114"/>
      <c r="JL5" s="1114"/>
      <c r="JM5" s="1114"/>
      <c r="JN5" s="1114"/>
      <c r="JO5" s="1114"/>
    </row>
    <row r="6" spans="1:276" s="148" customFormat="1" ht="12.95" customHeight="1" thickTop="1" thickBot="1" x14ac:dyDescent="0.25">
      <c r="A6" s="298"/>
      <c r="B6" s="298"/>
      <c r="C6" s="298"/>
      <c r="D6" s="298"/>
      <c r="E6" s="298"/>
      <c r="F6" s="298"/>
      <c r="G6" s="298"/>
      <c r="H6" s="298"/>
      <c r="I6" s="298"/>
      <c r="J6" s="298"/>
      <c r="K6" s="298"/>
      <c r="L6" s="298"/>
      <c r="M6" s="2044" t="str">
        <f>IF(NOT(ISERROR(FIND("galv",LOWER($M$7)))),"**USE STEEL TAGS**  **NO A490 BOLTS**","")</f>
        <v/>
      </c>
      <c r="N6" s="1885"/>
      <c r="O6" s="1885"/>
      <c r="P6" s="1885"/>
      <c r="Q6" s="1885"/>
      <c r="R6" s="1885"/>
      <c r="S6" s="1885"/>
      <c r="T6" s="1885"/>
      <c r="U6" s="1005"/>
      <c r="V6" s="2040" t="s">
        <v>20</v>
      </c>
      <c r="W6" s="2040"/>
      <c r="X6" s="1702"/>
      <c r="Y6" s="1702"/>
      <c r="Z6" s="1002"/>
      <c r="AA6" s="298"/>
      <c r="AB6" s="298"/>
      <c r="AC6" s="298"/>
      <c r="AD6" s="298"/>
      <c r="AE6" s="298"/>
      <c r="AF6" s="298"/>
      <c r="AG6" s="298"/>
      <c r="AH6" s="298"/>
      <c r="AI6" s="298"/>
      <c r="AJ6" s="298"/>
      <c r="AK6" s="298"/>
      <c r="AL6" s="298"/>
      <c r="AM6" s="298"/>
      <c r="AN6" s="298"/>
      <c r="AO6" s="298"/>
      <c r="AP6" s="298"/>
      <c r="AQ6" s="298"/>
      <c r="AR6" s="298"/>
      <c r="AS6" s="298"/>
      <c r="AT6" s="298"/>
      <c r="AU6" s="298"/>
      <c r="AV6" s="298"/>
      <c r="AW6" s="298"/>
      <c r="AX6" s="298"/>
      <c r="AY6" s="298"/>
      <c r="AZ6" s="2045" t="s">
        <v>20</v>
      </c>
      <c r="BA6" s="2045"/>
      <c r="BB6" s="1702"/>
      <c r="BC6" s="1702"/>
      <c r="BD6" s="1702"/>
      <c r="BE6" s="1003"/>
      <c r="BF6" s="298"/>
      <c r="BG6" s="298"/>
      <c r="BH6" s="179"/>
      <c r="BI6" s="995" t="s">
        <v>705</v>
      </c>
      <c r="CA6" s="161"/>
      <c r="CB6" s="146"/>
      <c r="CC6" s="146"/>
      <c r="CD6" s="146"/>
      <c r="CE6" s="146"/>
      <c r="CF6" s="146"/>
      <c r="CG6" s="146"/>
      <c r="CH6" s="146"/>
      <c r="CI6" s="146"/>
      <c r="CJ6" s="146"/>
      <c r="CK6" s="146"/>
      <c r="CL6" s="146"/>
      <c r="CM6" s="146"/>
      <c r="CN6" s="146"/>
      <c r="CO6" s="146"/>
      <c r="CP6" s="146"/>
      <c r="CQ6" s="146"/>
      <c r="CR6" s="146"/>
      <c r="CS6" s="146"/>
      <c r="CT6" s="146"/>
      <c r="CU6" s="146"/>
      <c r="CV6" s="146"/>
      <c r="CW6" s="146"/>
      <c r="CX6" s="146"/>
      <c r="CY6" s="146"/>
      <c r="CZ6" s="146"/>
      <c r="DA6" s="146"/>
      <c r="DB6" s="146"/>
      <c r="DC6" s="146"/>
      <c r="DD6" s="146"/>
      <c r="DE6" s="146"/>
      <c r="DF6" s="151"/>
      <c r="DG6" s="478"/>
      <c r="DH6" s="2182" t="s">
        <v>313</v>
      </c>
      <c r="DI6" s="2073"/>
      <c r="DJ6" s="2073"/>
      <c r="DK6" s="2073"/>
      <c r="DL6" s="2073"/>
      <c r="DM6" s="2073"/>
      <c r="DN6" s="2073"/>
      <c r="DO6" s="2073"/>
      <c r="DP6" s="2073"/>
      <c r="DQ6" s="2073"/>
      <c r="DR6" s="2073"/>
      <c r="DS6" s="2073"/>
      <c r="DT6" s="2073"/>
      <c r="DU6" s="2073"/>
      <c r="DV6" s="2073"/>
      <c r="DW6" s="2073"/>
      <c r="DX6" s="2073"/>
      <c r="DY6" s="2073"/>
      <c r="DZ6" s="2073"/>
      <c r="EA6" s="2073"/>
      <c r="EB6" s="2073"/>
      <c r="EC6" s="2073"/>
      <c r="ED6" s="2073"/>
      <c r="EE6" s="2073"/>
      <c r="EF6" s="2073"/>
      <c r="EG6" s="2073"/>
      <c r="EH6" s="2073"/>
      <c r="EI6" s="2073"/>
      <c r="EJ6" s="2073"/>
      <c r="EK6" s="2074"/>
      <c r="EL6" s="153"/>
      <c r="EM6" s="153"/>
      <c r="EN6" s="153"/>
      <c r="EO6" s="856"/>
      <c r="EP6" s="856"/>
      <c r="EQ6" s="856"/>
      <c r="ER6" s="856"/>
      <c r="ES6" s="856"/>
      <c r="ET6" s="857"/>
      <c r="EU6" s="853"/>
      <c r="EV6" s="213"/>
      <c r="FQ6" s="427"/>
      <c r="GA6" s="146"/>
      <c r="GB6" s="146"/>
      <c r="GC6" s="146"/>
      <c r="GD6" s="146"/>
      <c r="GE6" s="146"/>
      <c r="GF6" s="147"/>
      <c r="GG6" s="147"/>
      <c r="GH6" s="147"/>
      <c r="GI6" s="147"/>
      <c r="GJ6" s="147"/>
      <c r="GK6" s="154"/>
      <c r="GL6" s="157"/>
      <c r="GM6" s="157"/>
      <c r="GN6" s="157"/>
      <c r="GO6" s="157"/>
      <c r="GP6" s="157"/>
      <c r="GZ6" s="157"/>
      <c r="HA6" s="1117"/>
      <c r="HB6" s="1117"/>
      <c r="HC6" s="1117"/>
      <c r="HD6" s="1117"/>
      <c r="HE6" s="1117"/>
      <c r="HF6" s="1117"/>
      <c r="HG6" s="1117"/>
      <c r="HH6" s="1117"/>
      <c r="HI6" s="1117"/>
      <c r="HJ6" s="1117"/>
      <c r="HK6" s="1117"/>
      <c r="HL6" s="1117"/>
      <c r="HM6" s="1117"/>
      <c r="HN6" s="1117"/>
      <c r="HO6" s="1117"/>
      <c r="HP6" s="1117"/>
      <c r="HQ6" s="1117"/>
      <c r="HR6" s="1117"/>
      <c r="HS6" s="1117"/>
      <c r="HT6" s="1117"/>
      <c r="HU6" s="1117"/>
      <c r="HV6" s="1117"/>
      <c r="HW6" s="1117"/>
      <c r="HX6" s="1117"/>
      <c r="HY6" s="1118"/>
      <c r="HZ6" s="1111"/>
      <c r="IA6" s="1111"/>
      <c r="IB6" s="1111"/>
      <c r="IC6" s="1111"/>
      <c r="ID6" s="1111"/>
      <c r="IE6" s="1111"/>
      <c r="IF6" s="1111"/>
      <c r="IG6" s="1111"/>
      <c r="IH6" s="1114"/>
      <c r="II6" s="1114"/>
      <c r="IJ6" s="1114"/>
      <c r="IK6" s="1114"/>
      <c r="IL6" s="1114"/>
      <c r="IM6" s="1114"/>
      <c r="IN6" s="1114"/>
      <c r="IO6" s="1114"/>
      <c r="IP6" s="1114"/>
      <c r="IQ6" s="1114"/>
      <c r="IR6" s="1114"/>
      <c r="IS6" s="1114"/>
      <c r="IT6" s="1114"/>
      <c r="IU6" s="1114"/>
      <c r="IV6" s="1114"/>
      <c r="IW6" s="1114"/>
      <c r="IX6" s="1114"/>
      <c r="IY6" s="1114"/>
      <c r="IZ6" s="1114"/>
      <c r="JA6" s="1114"/>
      <c r="JB6" s="1114"/>
      <c r="JC6" s="1114"/>
      <c r="JD6" s="1114"/>
      <c r="JE6" s="1114"/>
      <c r="JF6" s="1114"/>
      <c r="JG6" s="1114"/>
      <c r="JH6" s="1114"/>
      <c r="JI6" s="1114"/>
      <c r="JJ6" s="1114"/>
      <c r="JK6" s="1114"/>
      <c r="JL6" s="1114"/>
      <c r="JM6" s="1114"/>
      <c r="JN6" s="1114"/>
      <c r="JO6" s="1114"/>
    </row>
    <row r="7" spans="1:276" s="41" customFormat="1" ht="12.95" customHeight="1" thickTop="1" x14ac:dyDescent="0.2">
      <c r="A7" s="1004" t="s">
        <v>37</v>
      </c>
      <c r="B7" s="322"/>
      <c r="C7" s="322"/>
      <c r="D7" s="298"/>
      <c r="E7" s="298"/>
      <c r="F7" s="322"/>
      <c r="G7" s="322"/>
      <c r="H7" s="322"/>
      <c r="I7" s="322"/>
      <c r="J7" s="322"/>
      <c r="K7" s="2045" t="s">
        <v>26</v>
      </c>
      <c r="L7" s="2050"/>
      <c r="M7" s="2043" t="str">
        <f>IF(ISBLANK(DA4),"",DA4)</f>
        <v/>
      </c>
      <c r="N7" s="1885"/>
      <c r="O7" s="1885"/>
      <c r="P7" s="1885"/>
      <c r="Q7" s="1885"/>
      <c r="R7" s="1885"/>
      <c r="S7" s="1885"/>
      <c r="T7" s="1682"/>
      <c r="U7" s="1005"/>
      <c r="V7" s="2040" t="s">
        <v>21</v>
      </c>
      <c r="W7" s="2040"/>
      <c r="X7" s="1107"/>
      <c r="Y7" s="601"/>
      <c r="Z7" s="1002"/>
      <c r="AA7" s="298"/>
      <c r="AB7" s="1004" t="s">
        <v>38</v>
      </c>
      <c r="AC7" s="298"/>
      <c r="AD7" s="298"/>
      <c r="AE7" s="322"/>
      <c r="AF7" s="322"/>
      <c r="AG7" s="322"/>
      <c r="AH7" s="322"/>
      <c r="AI7" s="322"/>
      <c r="AJ7" s="322"/>
      <c r="AK7" s="322"/>
      <c r="AL7" s="322"/>
      <c r="AM7" s="298"/>
      <c r="AN7" s="298"/>
      <c r="AO7" s="298"/>
      <c r="AP7" s="322"/>
      <c r="AQ7" s="322"/>
      <c r="AR7" s="298"/>
      <c r="AS7" s="298"/>
      <c r="AT7" s="298"/>
      <c r="AU7" s="298"/>
      <c r="AV7" s="298"/>
      <c r="AW7" s="298"/>
      <c r="AX7" s="298"/>
      <c r="AY7" s="298"/>
      <c r="AZ7" s="2040" t="s">
        <v>21</v>
      </c>
      <c r="BA7" s="2040"/>
      <c r="BB7" s="1681"/>
      <c r="BC7" s="601"/>
      <c r="BD7" s="601"/>
      <c r="BE7" s="298"/>
      <c r="BF7" s="298"/>
      <c r="BG7" s="298"/>
      <c r="BH7" s="180"/>
      <c r="BI7" s="996"/>
      <c r="CA7" s="161"/>
      <c r="CB7" s="2071" t="s">
        <v>312</v>
      </c>
      <c r="CC7" s="2108"/>
      <c r="CD7" s="2108"/>
      <c r="CE7" s="2108"/>
      <c r="CF7" s="2108"/>
      <c r="CG7" s="2108"/>
      <c r="CH7" s="2108"/>
      <c r="CI7" s="2108"/>
      <c r="CJ7" s="2108"/>
      <c r="CK7" s="2108"/>
      <c r="CL7" s="2108"/>
      <c r="CM7" s="2108"/>
      <c r="CN7" s="2108"/>
      <c r="CO7" s="2108"/>
      <c r="CP7" s="2108"/>
      <c r="CQ7" s="2108"/>
      <c r="CR7" s="2108"/>
      <c r="CS7" s="2108"/>
      <c r="CT7" s="2108"/>
      <c r="CU7" s="2108"/>
      <c r="CV7" s="2108"/>
      <c r="CW7" s="2108"/>
      <c r="CX7" s="2108"/>
      <c r="CY7" s="2108"/>
      <c r="CZ7" s="2073"/>
      <c r="DA7" s="2073"/>
      <c r="DB7" s="2073"/>
      <c r="DC7" s="2073"/>
      <c r="DD7" s="2073"/>
      <c r="DE7" s="2074"/>
      <c r="DF7" s="151"/>
      <c r="DG7" s="151"/>
      <c r="DH7" s="2153"/>
      <c r="DI7" s="2077"/>
      <c r="DJ7" s="2077"/>
      <c r="DK7" s="2077"/>
      <c r="DL7" s="2077"/>
      <c r="DM7" s="2077"/>
      <c r="DN7" s="2077"/>
      <c r="DO7" s="2077"/>
      <c r="DP7" s="2077"/>
      <c r="DQ7" s="2077"/>
      <c r="DR7" s="2077"/>
      <c r="DS7" s="2077"/>
      <c r="DT7" s="2077"/>
      <c r="DU7" s="2077"/>
      <c r="DV7" s="2077"/>
      <c r="DW7" s="2077"/>
      <c r="DX7" s="2077"/>
      <c r="DY7" s="2077"/>
      <c r="DZ7" s="2077"/>
      <c r="EA7" s="2077"/>
      <c r="EB7" s="2077"/>
      <c r="EC7" s="2077"/>
      <c r="ED7" s="2077"/>
      <c r="EE7" s="2077"/>
      <c r="EF7" s="2077"/>
      <c r="EG7" s="2077"/>
      <c r="EH7" s="2077"/>
      <c r="EI7" s="2077"/>
      <c r="EJ7" s="2077"/>
      <c r="EK7" s="2078"/>
      <c r="EL7" s="151"/>
      <c r="EM7" s="151"/>
      <c r="EN7" s="153"/>
      <c r="EO7" s="857"/>
      <c r="EP7" s="856"/>
      <c r="EQ7" s="856"/>
      <c r="ER7" s="856"/>
      <c r="ES7" s="857"/>
      <c r="ET7" s="857"/>
      <c r="EU7" s="857"/>
      <c r="EV7" s="214"/>
      <c r="GA7" s="147"/>
      <c r="GB7" s="147"/>
      <c r="GC7" s="147"/>
      <c r="GD7" s="147"/>
      <c r="GE7" s="147"/>
      <c r="GF7" s="147"/>
      <c r="GG7" s="147"/>
      <c r="GH7" s="147"/>
      <c r="GI7" s="147"/>
      <c r="GJ7" s="147"/>
      <c r="GK7" s="154"/>
      <c r="GL7" s="157"/>
      <c r="GM7" s="157"/>
      <c r="GN7" s="157"/>
      <c r="GO7" s="157"/>
      <c r="GP7" s="157"/>
      <c r="GZ7" s="157"/>
      <c r="HA7" s="1119"/>
      <c r="HB7" s="1119"/>
      <c r="HC7" s="1119"/>
      <c r="HD7" s="1119"/>
      <c r="HE7" s="1119"/>
      <c r="HF7" s="1119"/>
      <c r="HG7" s="1119"/>
      <c r="HH7" s="1119"/>
      <c r="HI7" s="1119"/>
      <c r="HJ7" s="1119"/>
      <c r="HK7" s="1119"/>
      <c r="HL7" s="1119"/>
      <c r="HM7" s="1119"/>
      <c r="HN7" s="1119"/>
      <c r="HO7" s="1119"/>
      <c r="HP7" s="1119"/>
      <c r="HQ7" s="1119"/>
      <c r="HR7" s="1119"/>
      <c r="HS7" s="1119"/>
      <c r="HT7" s="1119"/>
      <c r="HU7" s="1119"/>
      <c r="HV7" s="1119"/>
      <c r="HW7" s="1119"/>
      <c r="HX7" s="1119"/>
      <c r="HY7" s="1120"/>
      <c r="HZ7" s="1111"/>
      <c r="IA7" s="1111"/>
      <c r="IB7" s="1111"/>
      <c r="IC7" s="1111"/>
      <c r="ID7" s="1111"/>
      <c r="IE7" s="1111"/>
      <c r="IF7" s="1111"/>
      <c r="IG7" s="1111"/>
      <c r="IH7" s="1114"/>
      <c r="II7" s="1110"/>
      <c r="IJ7" s="1110"/>
      <c r="IK7" s="1110"/>
      <c r="IL7" s="1114"/>
      <c r="IM7" s="1114"/>
      <c r="IN7" s="1114"/>
      <c r="IO7" s="1114"/>
      <c r="IP7" s="1114"/>
      <c r="IQ7" s="1114"/>
      <c r="IR7" s="1114"/>
      <c r="IS7" s="1114"/>
      <c r="IT7" s="1114"/>
      <c r="IU7" s="1114"/>
      <c r="IV7" s="1114"/>
      <c r="IW7" s="1114"/>
      <c r="IX7" s="1114"/>
      <c r="IY7" s="1114"/>
      <c r="IZ7" s="1114"/>
      <c r="JA7" s="1114"/>
      <c r="JB7" s="1114"/>
      <c r="JC7" s="1114"/>
      <c r="JD7" s="1114"/>
      <c r="JE7" s="1114"/>
      <c r="JF7" s="1114"/>
      <c r="JG7" s="1114"/>
      <c r="JH7" s="1114"/>
      <c r="JI7" s="1114"/>
      <c r="JJ7" s="1114"/>
      <c r="JK7" s="1114"/>
      <c r="JL7" s="1114"/>
      <c r="JM7" s="1114"/>
      <c r="JN7" s="1114"/>
      <c r="JO7" s="1114"/>
    </row>
    <row r="8" spans="1:276" s="41" customFormat="1" ht="2.85" customHeight="1" thickBot="1" x14ac:dyDescent="0.25">
      <c r="A8" s="2176"/>
      <c r="B8" s="2176"/>
      <c r="C8" s="2176"/>
      <c r="D8" s="2176"/>
      <c r="E8" s="2176"/>
      <c r="F8" s="2176"/>
      <c r="G8" s="2176"/>
      <c r="H8" s="2176"/>
      <c r="I8" s="2176"/>
      <c r="J8" s="2176"/>
      <c r="K8" s="2176"/>
      <c r="L8" s="2176"/>
      <c r="M8" s="2176"/>
      <c r="N8" s="2176"/>
      <c r="O8" s="2176"/>
      <c r="P8" s="2176"/>
      <c r="Q8" s="2176"/>
      <c r="R8" s="2176"/>
      <c r="S8" s="2176"/>
      <c r="T8" s="2176"/>
      <c r="U8" s="2176"/>
      <c r="V8" s="2176"/>
      <c r="W8" s="2176"/>
      <c r="X8" s="2176"/>
      <c r="Y8" s="2176"/>
      <c r="Z8" s="2176"/>
      <c r="AA8" s="2176"/>
      <c r="AB8" s="2039"/>
      <c r="AC8" s="2039"/>
      <c r="AD8" s="2039"/>
      <c r="AE8" s="2039"/>
      <c r="AF8" s="2039"/>
      <c r="AG8" s="2039"/>
      <c r="AH8" s="2039"/>
      <c r="AI8" s="2039"/>
      <c r="AJ8" s="2039"/>
      <c r="AK8" s="2039"/>
      <c r="AL8" s="2039"/>
      <c r="AM8" s="2039"/>
      <c r="AN8" s="2039"/>
      <c r="AO8" s="2039"/>
      <c r="AP8" s="2039"/>
      <c r="AQ8" s="2039"/>
      <c r="AR8" s="2039"/>
      <c r="AS8" s="2039"/>
      <c r="AT8" s="2039"/>
      <c r="AU8" s="2039"/>
      <c r="AV8" s="2039"/>
      <c r="AW8" s="2039"/>
      <c r="AX8" s="2039"/>
      <c r="AY8" s="2039"/>
      <c r="AZ8" s="2039"/>
      <c r="BA8" s="2039"/>
      <c r="BB8" s="2039"/>
      <c r="BC8" s="2039"/>
      <c r="BD8" s="2039"/>
      <c r="BE8" s="2039"/>
      <c r="BF8" s="2039"/>
      <c r="BG8" s="2039"/>
      <c r="BH8" s="180"/>
      <c r="BI8" s="154"/>
      <c r="CA8" s="161"/>
      <c r="CB8" s="2110"/>
      <c r="CC8" s="2111"/>
      <c r="CD8" s="2111"/>
      <c r="CE8" s="2111"/>
      <c r="CF8" s="2111"/>
      <c r="CG8" s="2111"/>
      <c r="CH8" s="2111"/>
      <c r="CI8" s="2111"/>
      <c r="CJ8" s="2111"/>
      <c r="CK8" s="2111"/>
      <c r="CL8" s="2111"/>
      <c r="CM8" s="2111"/>
      <c r="CN8" s="2111"/>
      <c r="CO8" s="2111"/>
      <c r="CP8" s="2111"/>
      <c r="CQ8" s="2111"/>
      <c r="CR8" s="2111"/>
      <c r="CS8" s="2111"/>
      <c r="CT8" s="2111"/>
      <c r="CU8" s="2111"/>
      <c r="CV8" s="2111"/>
      <c r="CW8" s="2111"/>
      <c r="CX8" s="2111"/>
      <c r="CY8" s="2111"/>
      <c r="CZ8" s="2077"/>
      <c r="DA8" s="2077"/>
      <c r="DB8" s="2077"/>
      <c r="DC8" s="2077"/>
      <c r="DD8" s="2077"/>
      <c r="DE8" s="2078"/>
      <c r="DF8" s="58"/>
      <c r="DG8" s="58"/>
      <c r="DH8" s="2183"/>
      <c r="DI8" s="2150"/>
      <c r="DJ8" s="2150"/>
      <c r="DK8" s="2150"/>
      <c r="DL8" s="2150"/>
      <c r="DM8" s="2150"/>
      <c r="DN8" s="2150"/>
      <c r="DO8" s="2150"/>
      <c r="DP8" s="2150"/>
      <c r="DQ8" s="2150"/>
      <c r="DR8" s="2150"/>
      <c r="DS8" s="2150"/>
      <c r="DT8" s="2150"/>
      <c r="DU8" s="2150"/>
      <c r="DV8" s="2150"/>
      <c r="DW8" s="2150"/>
      <c r="DX8" s="2150"/>
      <c r="DY8" s="2150"/>
      <c r="DZ8" s="2150"/>
      <c r="EA8" s="2150"/>
      <c r="EB8" s="2150"/>
      <c r="EC8" s="2150"/>
      <c r="ED8" s="2150"/>
      <c r="EE8" s="2150"/>
      <c r="EF8" s="2150"/>
      <c r="EG8" s="2150"/>
      <c r="EH8" s="2150"/>
      <c r="EI8" s="2150"/>
      <c r="EJ8" s="2150"/>
      <c r="EK8" s="2151"/>
      <c r="EL8" s="152"/>
      <c r="EM8" s="151"/>
      <c r="EN8" s="153"/>
      <c r="EO8" s="151"/>
      <c r="EP8" s="153"/>
      <c r="EQ8" s="153"/>
      <c r="ER8" s="153"/>
      <c r="ES8" s="151"/>
      <c r="ET8" s="151"/>
      <c r="EU8" s="151"/>
      <c r="EV8" s="155"/>
      <c r="GA8" s="147"/>
      <c r="GB8" s="147"/>
      <c r="GC8" s="147"/>
      <c r="GD8" s="147"/>
      <c r="GE8" s="147"/>
      <c r="GF8" s="147"/>
      <c r="GG8" s="147"/>
      <c r="GH8" s="147"/>
      <c r="GI8" s="147"/>
      <c r="GJ8" s="147"/>
      <c r="GK8" s="154"/>
      <c r="GL8" s="157"/>
      <c r="GM8" s="157"/>
      <c r="GN8" s="157"/>
      <c r="GO8" s="157"/>
      <c r="GP8" s="157"/>
      <c r="GZ8" s="157"/>
      <c r="HA8" s="1121"/>
      <c r="HB8" s="1121"/>
      <c r="HC8" s="1121"/>
      <c r="HD8" s="1122"/>
      <c r="HE8" s="1123"/>
      <c r="HF8" s="1121"/>
      <c r="HG8" s="1121"/>
      <c r="HH8" s="1121"/>
      <c r="HI8" s="1121"/>
      <c r="HJ8" s="1121"/>
      <c r="HK8" s="1121"/>
      <c r="HL8" s="1121"/>
      <c r="HM8" s="1121"/>
      <c r="HN8" s="1121"/>
      <c r="HO8" s="1121"/>
      <c r="HP8" s="1121"/>
      <c r="HQ8" s="1121"/>
      <c r="HR8" s="1121"/>
      <c r="HS8" s="1121"/>
      <c r="HT8" s="1121"/>
      <c r="HU8" s="1121"/>
      <c r="HV8" s="1121"/>
      <c r="HW8" s="1121"/>
      <c r="HX8" s="1121"/>
      <c r="HY8" s="1120"/>
      <c r="HZ8" s="1111"/>
      <c r="IA8" s="1111"/>
      <c r="IB8" s="1111"/>
      <c r="IC8" s="1111"/>
      <c r="ID8" s="1111"/>
      <c r="IE8" s="1111"/>
      <c r="IF8" s="1111"/>
      <c r="IG8" s="1111"/>
      <c r="IH8" s="1114"/>
      <c r="II8" s="1114"/>
      <c r="IJ8" s="1114"/>
      <c r="IK8" s="1114"/>
      <c r="IL8" s="1114"/>
      <c r="IM8" s="1114"/>
      <c r="IN8" s="1114"/>
      <c r="IO8" s="1114"/>
      <c r="IP8" s="1114"/>
      <c r="IQ8" s="1114"/>
      <c r="IR8" s="1114"/>
      <c r="IS8" s="1114"/>
      <c r="IT8" s="1114"/>
      <c r="IU8" s="1114"/>
      <c r="IV8" s="1114"/>
      <c r="IW8" s="1114"/>
      <c r="IX8" s="1114"/>
      <c r="IY8" s="1114"/>
      <c r="IZ8" s="1114"/>
      <c r="JA8" s="1114"/>
      <c r="JB8" s="1114"/>
      <c r="JC8" s="1114"/>
      <c r="JD8" s="1114"/>
      <c r="JE8" s="1114"/>
      <c r="JF8" s="1114"/>
      <c r="JG8" s="1114"/>
      <c r="JH8" s="1114"/>
      <c r="JI8" s="1114"/>
      <c r="JJ8" s="1114"/>
      <c r="JK8" s="1114"/>
      <c r="JL8" s="1114"/>
      <c r="JM8" s="1114"/>
      <c r="JN8" s="1114"/>
      <c r="JO8" s="1114"/>
    </row>
    <row r="9" spans="1:276" s="41" customFormat="1" ht="12.2" customHeight="1" thickTop="1" thickBot="1" x14ac:dyDescent="0.25">
      <c r="A9" s="1792" t="s">
        <v>1</v>
      </c>
      <c r="B9" s="1758"/>
      <c r="C9" s="1699"/>
      <c r="D9" s="1699"/>
      <c r="E9" s="1699"/>
      <c r="F9" s="1699"/>
      <c r="G9" s="1699"/>
      <c r="H9" s="1699"/>
      <c r="I9" s="1699"/>
      <c r="J9" s="1699"/>
      <c r="K9" s="1699"/>
      <c r="L9" s="1699"/>
      <c r="M9" s="1699"/>
      <c r="N9" s="1699"/>
      <c r="O9" s="1699"/>
      <c r="P9" s="1700"/>
      <c r="Q9" s="1792" t="s">
        <v>2</v>
      </c>
      <c r="R9" s="1758"/>
      <c r="S9" s="1758"/>
      <c r="T9" s="1700"/>
      <c r="U9" s="2034"/>
      <c r="V9" s="2034"/>
      <c r="W9" s="2034"/>
      <c r="X9" s="2034"/>
      <c r="Y9" s="2034"/>
      <c r="Z9" s="2034"/>
      <c r="AA9" s="2034"/>
      <c r="AB9" s="2049" t="s">
        <v>1</v>
      </c>
      <c r="AC9" s="2177"/>
      <c r="AD9" s="2178"/>
      <c r="AE9" s="1699"/>
      <c r="AF9" s="1699"/>
      <c r="AG9" s="1699"/>
      <c r="AH9" s="1699"/>
      <c r="AI9" s="1699"/>
      <c r="AJ9" s="1699"/>
      <c r="AK9" s="1699"/>
      <c r="AL9" s="1699"/>
      <c r="AM9" s="1699"/>
      <c r="AN9" s="1699"/>
      <c r="AO9" s="1699"/>
      <c r="AP9" s="1699"/>
      <c r="AQ9" s="1699"/>
      <c r="AR9" s="1699"/>
      <c r="AS9" s="1699"/>
      <c r="AT9" s="1700"/>
      <c r="AU9" s="1792" t="s">
        <v>2</v>
      </c>
      <c r="AV9" s="1758"/>
      <c r="AW9" s="1758"/>
      <c r="AX9" s="1700"/>
      <c r="AY9" s="2034"/>
      <c r="AZ9" s="2034"/>
      <c r="BA9" s="2034"/>
      <c r="BB9" s="2034"/>
      <c r="BC9" s="2034"/>
      <c r="BD9" s="2034"/>
      <c r="BE9" s="2034"/>
      <c r="BF9" s="2034"/>
      <c r="BG9" s="2034"/>
      <c r="BH9" s="1291"/>
      <c r="BI9" s="154"/>
      <c r="CA9" s="161"/>
      <c r="CB9" s="2110"/>
      <c r="CC9" s="2111"/>
      <c r="CD9" s="2111"/>
      <c r="CE9" s="2111"/>
      <c r="CF9" s="2111"/>
      <c r="CG9" s="2111"/>
      <c r="CH9" s="2111"/>
      <c r="CI9" s="2111"/>
      <c r="CJ9" s="2111"/>
      <c r="CK9" s="2111"/>
      <c r="CL9" s="2111"/>
      <c r="CM9" s="2111"/>
      <c r="CN9" s="2111"/>
      <c r="CO9" s="2111"/>
      <c r="CP9" s="2111"/>
      <c r="CQ9" s="2111"/>
      <c r="CR9" s="2111"/>
      <c r="CS9" s="2111"/>
      <c r="CT9" s="2111"/>
      <c r="CU9" s="2111"/>
      <c r="CV9" s="2111"/>
      <c r="CW9" s="2111"/>
      <c r="CX9" s="2111"/>
      <c r="CY9" s="2111"/>
      <c r="CZ9" s="2077"/>
      <c r="DA9" s="2077"/>
      <c r="DB9" s="2077"/>
      <c r="DC9" s="2077"/>
      <c r="DD9" s="2077"/>
      <c r="DE9" s="2078"/>
      <c r="DF9" s="58"/>
      <c r="DG9" s="58"/>
      <c r="DH9" s="2089" t="s">
        <v>289</v>
      </c>
      <c r="DI9" s="2124" t="s">
        <v>314</v>
      </c>
      <c r="DJ9" s="2073"/>
      <c r="DK9" s="2073"/>
      <c r="DL9" s="2073"/>
      <c r="DM9" s="2073"/>
      <c r="DN9" s="2159"/>
      <c r="DO9" s="2086" t="s">
        <v>813</v>
      </c>
      <c r="DP9" s="2124" t="s">
        <v>315</v>
      </c>
      <c r="DQ9" s="1931"/>
      <c r="DR9" s="1931"/>
      <c r="DS9" s="1931"/>
      <c r="DT9" s="1931"/>
      <c r="DU9" s="1932"/>
      <c r="DV9" s="1930" t="s">
        <v>286</v>
      </c>
      <c r="DW9" s="1931"/>
      <c r="DX9" s="1931"/>
      <c r="DY9" s="1931"/>
      <c r="DZ9" s="1931"/>
      <c r="EA9" s="1931"/>
      <c r="EB9" s="1931"/>
      <c r="EC9" s="1931"/>
      <c r="ED9" s="1931"/>
      <c r="EE9" s="1931"/>
      <c r="EF9" s="1931"/>
      <c r="EG9" s="1931"/>
      <c r="EH9" s="1931"/>
      <c r="EI9" s="1931"/>
      <c r="EJ9" s="1931"/>
      <c r="EK9" s="1932"/>
      <c r="EL9" s="152"/>
      <c r="EM9" s="151"/>
      <c r="EN9" s="153"/>
      <c r="EO9" s="857"/>
      <c r="EP9" s="856"/>
      <c r="EQ9" s="147"/>
      <c r="ER9" s="147"/>
      <c r="ES9" s="147"/>
      <c r="ET9" s="2013" t="s">
        <v>291</v>
      </c>
      <c r="EU9" s="2162"/>
      <c r="EV9" s="155"/>
      <c r="FJ9" s="155"/>
      <c r="FK9" s="155"/>
      <c r="FL9" s="170"/>
      <c r="FM9" s="163"/>
      <c r="FN9" s="163"/>
      <c r="FO9" s="163"/>
      <c r="FP9" s="172"/>
      <c r="FQ9" s="173"/>
      <c r="FR9" s="163"/>
      <c r="FS9" s="163"/>
      <c r="FT9" s="163"/>
      <c r="FU9" s="154"/>
      <c r="FV9" s="154"/>
      <c r="FW9" s="154"/>
      <c r="FX9" s="154"/>
      <c r="FY9" s="154"/>
      <c r="FZ9" s="154"/>
      <c r="GA9" s="147"/>
      <c r="GB9" s="147"/>
      <c r="GC9" s="147"/>
      <c r="GD9" s="147"/>
      <c r="GE9" s="147"/>
      <c r="GF9" s="147"/>
      <c r="GG9" s="147"/>
      <c r="GH9" s="147"/>
      <c r="GI9" s="147"/>
      <c r="GJ9" s="147"/>
      <c r="GK9" s="154"/>
      <c r="GL9" s="157"/>
      <c r="GM9" s="157"/>
      <c r="GN9" s="157"/>
      <c r="GO9" s="157"/>
      <c r="GP9" s="157"/>
      <c r="GZ9" s="157"/>
      <c r="HA9" s="1121"/>
      <c r="HB9" s="1121"/>
      <c r="HC9" s="1121"/>
      <c r="HD9" s="1122"/>
      <c r="HE9" s="1123"/>
      <c r="HF9" s="1121"/>
      <c r="HG9" s="1121"/>
      <c r="HH9" s="1121"/>
      <c r="HI9" s="1121"/>
      <c r="HJ9" s="1121"/>
      <c r="HK9" s="1121"/>
      <c r="HL9" s="1121"/>
      <c r="HM9" s="1121"/>
      <c r="HN9" s="1121"/>
      <c r="HO9" s="1121"/>
      <c r="HP9" s="1121"/>
      <c r="HQ9" s="1121"/>
      <c r="HR9" s="1121"/>
      <c r="HS9" s="1121"/>
      <c r="HT9" s="1121"/>
      <c r="HU9" s="1121"/>
      <c r="HV9" s="1121"/>
      <c r="HW9" s="1121"/>
      <c r="HX9" s="1121"/>
      <c r="HY9" s="1120"/>
      <c r="HZ9" s="1124"/>
      <c r="IA9" s="1124"/>
      <c r="IB9" s="1124"/>
      <c r="IC9" s="1124"/>
      <c r="ID9" s="1124"/>
      <c r="IE9" s="1124"/>
      <c r="IF9" s="1124"/>
      <c r="IG9" s="1124"/>
      <c r="IH9" s="1124"/>
      <c r="II9" s="1124"/>
      <c r="IJ9" s="1124"/>
      <c r="IK9" s="1124"/>
      <c r="IL9" s="1124"/>
      <c r="IM9" s="1124"/>
      <c r="IN9" s="1124"/>
      <c r="IO9" s="1124"/>
      <c r="IP9" s="1124"/>
      <c r="IQ9" s="1124"/>
      <c r="IR9" s="1124"/>
      <c r="IS9" s="1124"/>
      <c r="IT9" s="1124"/>
      <c r="IU9" s="1124"/>
      <c r="IV9" s="1124"/>
      <c r="IW9" s="1124"/>
      <c r="IX9" s="1124"/>
      <c r="IY9" s="1124"/>
      <c r="IZ9" s="1124"/>
      <c r="JA9" s="1124"/>
      <c r="JB9" s="1124"/>
      <c r="JC9" s="1124"/>
      <c r="JD9" s="1124"/>
      <c r="JE9" s="1114"/>
      <c r="JF9" s="1114"/>
      <c r="JG9" s="1114"/>
      <c r="JH9" s="1114"/>
      <c r="JI9" s="1114"/>
      <c r="JJ9" s="1114"/>
      <c r="JK9" s="1114"/>
      <c r="JL9" s="1114"/>
      <c r="JM9" s="1114"/>
      <c r="JN9" s="1114"/>
      <c r="JO9" s="1114"/>
    </row>
    <row r="10" spans="1:276" s="41" customFormat="1" ht="12.2" customHeight="1" thickTop="1" thickBot="1" x14ac:dyDescent="0.25">
      <c r="A10" s="1792" t="s">
        <v>3</v>
      </c>
      <c r="B10" s="1758"/>
      <c r="C10" s="1699"/>
      <c r="D10" s="1699"/>
      <c r="E10" s="1699"/>
      <c r="F10" s="1699"/>
      <c r="G10" s="1699"/>
      <c r="H10" s="1699"/>
      <c r="I10" s="1699"/>
      <c r="J10" s="1699"/>
      <c r="K10" s="1699"/>
      <c r="L10" s="1699"/>
      <c r="M10" s="1699"/>
      <c r="N10" s="1699"/>
      <c r="O10" s="1699"/>
      <c r="P10" s="1700"/>
      <c r="Q10" s="1792" t="s">
        <v>22</v>
      </c>
      <c r="R10" s="1758"/>
      <c r="S10" s="1758"/>
      <c r="T10" s="1699"/>
      <c r="U10" s="1699"/>
      <c r="V10" s="1699"/>
      <c r="W10" s="1700"/>
      <c r="X10" s="1792" t="s">
        <v>23</v>
      </c>
      <c r="Y10" s="1758"/>
      <c r="Z10" s="1700"/>
      <c r="AA10" s="2034"/>
      <c r="AB10" s="2049" t="s">
        <v>3</v>
      </c>
      <c r="AC10" s="2177"/>
      <c r="AD10" s="2178"/>
      <c r="AE10" s="1699"/>
      <c r="AF10" s="1699"/>
      <c r="AG10" s="1699"/>
      <c r="AH10" s="1699"/>
      <c r="AI10" s="1699"/>
      <c r="AJ10" s="1699"/>
      <c r="AK10" s="1699"/>
      <c r="AL10" s="1699"/>
      <c r="AM10" s="1699"/>
      <c r="AN10" s="1699"/>
      <c r="AO10" s="1699"/>
      <c r="AP10" s="1699"/>
      <c r="AQ10" s="1699"/>
      <c r="AR10" s="1699"/>
      <c r="AS10" s="1699"/>
      <c r="AT10" s="1700"/>
      <c r="AU10" s="1792" t="s">
        <v>22</v>
      </c>
      <c r="AV10" s="1758"/>
      <c r="AW10" s="1758"/>
      <c r="AX10" s="1699"/>
      <c r="AY10" s="1699"/>
      <c r="AZ10" s="1699"/>
      <c r="BA10" s="1700"/>
      <c r="BB10" s="1792" t="s">
        <v>23</v>
      </c>
      <c r="BC10" s="1758"/>
      <c r="BD10" s="1758"/>
      <c r="BE10" s="1700"/>
      <c r="BF10" s="2034"/>
      <c r="BG10" s="2034"/>
      <c r="BH10" s="1291"/>
      <c r="BI10" s="154"/>
      <c r="CA10" s="161"/>
      <c r="CB10" s="2137"/>
      <c r="CC10" s="2138"/>
      <c r="CD10" s="2138"/>
      <c r="CE10" s="2138"/>
      <c r="CF10" s="2078"/>
      <c r="CG10" s="2133" t="s">
        <v>166</v>
      </c>
      <c r="CH10" s="2134"/>
      <c r="CI10" s="2134"/>
      <c r="CJ10" s="2134"/>
      <c r="CK10" s="2134"/>
      <c r="CL10" s="2134"/>
      <c r="CM10" s="2134"/>
      <c r="CN10" s="2073"/>
      <c r="CO10" s="2073"/>
      <c r="CP10" s="2074"/>
      <c r="CQ10" s="2133" t="s">
        <v>167</v>
      </c>
      <c r="CR10" s="2134"/>
      <c r="CS10" s="2134"/>
      <c r="CT10" s="2134"/>
      <c r="CU10" s="2134"/>
      <c r="CV10" s="2134"/>
      <c r="CW10" s="2134"/>
      <c r="CX10" s="2073"/>
      <c r="CY10" s="2073"/>
      <c r="CZ10" s="2074"/>
      <c r="DA10" s="2203"/>
      <c r="DB10" s="2204"/>
      <c r="DC10" s="2204"/>
      <c r="DD10" s="2204"/>
      <c r="DE10" s="2158"/>
      <c r="DF10" s="58"/>
      <c r="DG10" s="58"/>
      <c r="DH10" s="2090"/>
      <c r="DI10" s="2160"/>
      <c r="DJ10" s="2077"/>
      <c r="DK10" s="2077"/>
      <c r="DL10" s="2077"/>
      <c r="DM10" s="2077"/>
      <c r="DN10" s="2161"/>
      <c r="DO10" s="2087"/>
      <c r="DP10" s="2125"/>
      <c r="DQ10" s="1782"/>
      <c r="DR10" s="1782"/>
      <c r="DS10" s="1782"/>
      <c r="DT10" s="1782"/>
      <c r="DU10" s="1935"/>
      <c r="DV10" s="1933"/>
      <c r="DW10" s="1934"/>
      <c r="DX10" s="1934"/>
      <c r="DY10" s="1934"/>
      <c r="DZ10" s="1934"/>
      <c r="EA10" s="1934"/>
      <c r="EB10" s="1934"/>
      <c r="EC10" s="1934"/>
      <c r="ED10" s="1934"/>
      <c r="EE10" s="1934"/>
      <c r="EF10" s="1934"/>
      <c r="EG10" s="1934"/>
      <c r="EH10" s="1934"/>
      <c r="EI10" s="1934"/>
      <c r="EJ10" s="1934"/>
      <c r="EK10" s="1935"/>
      <c r="EL10" s="147"/>
      <c r="EM10" s="147"/>
      <c r="EN10" s="147"/>
      <c r="EO10" s="147"/>
      <c r="EP10" s="147"/>
      <c r="EQ10" s="147"/>
      <c r="ER10" s="147"/>
      <c r="ES10" s="147"/>
      <c r="ET10" s="2163"/>
      <c r="EU10" s="2164"/>
      <c r="FW10" s="154"/>
      <c r="FX10" s="154"/>
      <c r="FY10" s="154"/>
      <c r="FZ10" s="154"/>
      <c r="GA10" s="1884" t="s">
        <v>713</v>
      </c>
      <c r="GB10" s="2199"/>
      <c r="GC10" s="2199"/>
      <c r="GD10" s="2199"/>
      <c r="GE10" s="2199"/>
      <c r="GF10" s="2199"/>
      <c r="GG10" s="1885"/>
      <c r="GH10" s="1885"/>
      <c r="GI10" s="1885"/>
      <c r="GJ10" s="1885"/>
      <c r="GK10" s="154"/>
      <c r="GL10" s="157"/>
      <c r="GM10" s="157"/>
      <c r="GN10" s="157"/>
      <c r="GO10" s="157"/>
      <c r="GP10" s="157"/>
      <c r="GZ10" s="157"/>
      <c r="HA10" s="1121"/>
      <c r="HB10" s="1121"/>
      <c r="HC10" s="1121"/>
      <c r="HD10" s="1122"/>
      <c r="HE10" s="1123"/>
      <c r="HF10" s="1125"/>
      <c r="HG10" s="1126"/>
      <c r="HH10" s="1126"/>
      <c r="HI10" s="1126"/>
      <c r="HJ10" s="1126"/>
      <c r="HK10" s="1126"/>
      <c r="HL10" s="1126"/>
      <c r="HM10" s="1125"/>
      <c r="HN10" s="1126"/>
      <c r="HO10" s="1126"/>
      <c r="HP10" s="1126"/>
      <c r="HQ10" s="1126"/>
      <c r="HR10" s="1126"/>
      <c r="HS10" s="1126"/>
      <c r="HT10" s="1121"/>
      <c r="HU10" s="1121"/>
      <c r="HV10" s="1121"/>
      <c r="HW10" s="1121"/>
      <c r="HX10" s="1121"/>
      <c r="HY10" s="1120"/>
      <c r="HZ10" s="1111"/>
      <c r="IA10" s="1111"/>
      <c r="IB10" s="1111"/>
      <c r="IC10" s="1111"/>
      <c r="ID10" s="1111"/>
      <c r="IE10" s="1111"/>
      <c r="IF10" s="1111"/>
      <c r="IG10" s="1111"/>
      <c r="IH10" s="1114"/>
      <c r="II10" s="1114"/>
      <c r="IJ10" s="1114"/>
      <c r="IK10" s="1114"/>
      <c r="IL10" s="1114"/>
      <c r="IM10" s="1114"/>
      <c r="IN10" s="1114"/>
      <c r="IO10" s="1114"/>
      <c r="IP10" s="1114"/>
      <c r="IQ10" s="1114"/>
      <c r="IR10" s="1114"/>
      <c r="IS10" s="1114"/>
      <c r="IT10" s="1114"/>
      <c r="IU10" s="1114"/>
      <c r="IV10" s="1114"/>
      <c r="IW10" s="1114"/>
      <c r="IX10" s="1114"/>
      <c r="IY10" s="1114"/>
      <c r="IZ10" s="1114"/>
      <c r="JA10" s="1114"/>
      <c r="JB10" s="1114"/>
      <c r="JC10" s="1114"/>
      <c r="JD10" s="1114"/>
      <c r="JE10" s="1114"/>
      <c r="JF10" s="1114"/>
      <c r="JG10" s="1114"/>
      <c r="JH10" s="1114"/>
      <c r="JI10" s="1114"/>
      <c r="JJ10" s="1114"/>
      <c r="JK10" s="1114"/>
      <c r="JL10" s="1114"/>
      <c r="JM10" s="1114"/>
      <c r="JN10" s="1114"/>
      <c r="JO10" s="1114"/>
    </row>
    <row r="11" spans="1:276" ht="3.95" customHeight="1" thickTop="1" thickBot="1" x14ac:dyDescent="0.25">
      <c r="A11" s="2022"/>
      <c r="B11" s="2022"/>
      <c r="C11" s="2022"/>
      <c r="D11" s="2022"/>
      <c r="E11" s="2022"/>
      <c r="F11" s="2022"/>
      <c r="G11" s="2022"/>
      <c r="H11" s="2022"/>
      <c r="I11" s="2022"/>
      <c r="J11" s="2022"/>
      <c r="K11" s="2022"/>
      <c r="L11" s="2022"/>
      <c r="M11" s="2022"/>
      <c r="N11" s="2022"/>
      <c r="O11" s="2022"/>
      <c r="P11" s="2022"/>
      <c r="Q11" s="2022"/>
      <c r="R11" s="2022"/>
      <c r="S11" s="2022"/>
      <c r="T11" s="2022"/>
      <c r="U11" s="2022"/>
      <c r="V11" s="2022"/>
      <c r="W11" s="2022"/>
      <c r="X11" s="2022"/>
      <c r="Y11" s="2022"/>
      <c r="Z11" s="2022"/>
      <c r="AA11" s="2022"/>
      <c r="AB11" s="1035"/>
      <c r="AC11" s="1035"/>
      <c r="AD11" s="1035"/>
      <c r="AE11" s="1035"/>
      <c r="AF11" s="1035"/>
      <c r="AG11" s="1035"/>
      <c r="AH11" s="1035"/>
      <c r="AI11" s="1035"/>
      <c r="AJ11" s="1035"/>
      <c r="AK11" s="1035"/>
      <c r="AL11" s="1035"/>
      <c r="AM11" s="1035"/>
      <c r="AN11" s="1035"/>
      <c r="AO11" s="1035"/>
      <c r="AP11" s="1035"/>
      <c r="AQ11" s="1035"/>
      <c r="AR11" s="1035"/>
      <c r="AS11" s="1035"/>
      <c r="AT11" s="1035"/>
      <c r="AU11" s="1035"/>
      <c r="AV11" s="1035"/>
      <c r="AW11" s="1035"/>
      <c r="AX11" s="1035"/>
      <c r="AY11" s="1035"/>
      <c r="AZ11" s="1035"/>
      <c r="BA11" s="1035"/>
      <c r="BB11" s="1035"/>
      <c r="BC11" s="1035"/>
      <c r="BD11" s="1035"/>
      <c r="BE11" s="1035"/>
      <c r="BF11" s="1035"/>
      <c r="BG11" s="1035"/>
      <c r="BH11" s="180"/>
      <c r="BJ11" s="41"/>
      <c r="BK11" s="41"/>
      <c r="BL11" s="41"/>
      <c r="BM11" s="41"/>
      <c r="BN11" s="41"/>
      <c r="BO11" s="41"/>
      <c r="CA11" s="40"/>
      <c r="CB11" s="2139"/>
      <c r="CC11" s="2140"/>
      <c r="CD11" s="2140"/>
      <c r="CE11" s="2140"/>
      <c r="CF11" s="2141"/>
      <c r="CG11" s="2135"/>
      <c r="CH11" s="2136"/>
      <c r="CI11" s="2136"/>
      <c r="CJ11" s="2136"/>
      <c r="CK11" s="2136"/>
      <c r="CL11" s="2136"/>
      <c r="CM11" s="2136"/>
      <c r="CN11" s="2077"/>
      <c r="CO11" s="2077"/>
      <c r="CP11" s="2078"/>
      <c r="CQ11" s="2148"/>
      <c r="CR11" s="2149"/>
      <c r="CS11" s="2149"/>
      <c r="CT11" s="2149"/>
      <c r="CU11" s="2149"/>
      <c r="CV11" s="2149"/>
      <c r="CW11" s="2149"/>
      <c r="CX11" s="2150"/>
      <c r="CY11" s="2150"/>
      <c r="CZ11" s="2151"/>
      <c r="DA11" s="1455"/>
      <c r="DB11" s="2152"/>
      <c r="DC11" s="2074"/>
      <c r="DD11" s="2154"/>
      <c r="DE11" s="2155"/>
      <c r="DF11" s="58"/>
      <c r="DG11" s="58"/>
      <c r="DH11" s="2090"/>
      <c r="DI11" s="2160"/>
      <c r="DJ11" s="2077"/>
      <c r="DK11" s="2077"/>
      <c r="DL11" s="2077"/>
      <c r="DM11" s="2077"/>
      <c r="DN11" s="2161"/>
      <c r="DO11" s="2087"/>
      <c r="DP11" s="2205" t="s">
        <v>277</v>
      </c>
      <c r="DQ11" s="1687"/>
      <c r="DR11" s="2128" t="s">
        <v>279</v>
      </c>
      <c r="DS11" s="1687"/>
      <c r="DT11" s="1687"/>
      <c r="DU11" s="1687"/>
      <c r="DV11" s="1933"/>
      <c r="DW11" s="1934"/>
      <c r="DX11" s="1934"/>
      <c r="DY11" s="1934"/>
      <c r="DZ11" s="1934"/>
      <c r="EA11" s="1934"/>
      <c r="EB11" s="1934"/>
      <c r="EC11" s="1934"/>
      <c r="ED11" s="1934"/>
      <c r="EE11" s="1934"/>
      <c r="EF11" s="1934"/>
      <c r="EG11" s="1934"/>
      <c r="EH11" s="1934"/>
      <c r="EI11" s="1934"/>
      <c r="EJ11" s="1934"/>
      <c r="EK11" s="1935"/>
      <c r="EL11" s="58"/>
      <c r="EM11" s="58"/>
      <c r="EN11" s="862"/>
      <c r="EO11" s="58"/>
      <c r="EP11" s="58"/>
      <c r="EQ11" s="58"/>
      <c r="ER11" s="147"/>
      <c r="ES11" s="147"/>
      <c r="ET11" s="2163"/>
      <c r="EU11" s="2164"/>
      <c r="FW11" s="1"/>
      <c r="FX11" s="1"/>
      <c r="FY11" s="1"/>
      <c r="FZ11" s="1"/>
      <c r="GA11" s="2200"/>
      <c r="GB11" s="2200"/>
      <c r="GC11" s="2200"/>
      <c r="GD11" s="2200"/>
      <c r="GE11" s="2200"/>
      <c r="GF11" s="2200"/>
      <c r="GG11" s="2201"/>
      <c r="GH11" s="2201"/>
      <c r="GI11" s="2201"/>
      <c r="GJ11" s="2201"/>
      <c r="GK11" s="1"/>
      <c r="GL11" s="56"/>
      <c r="GM11" s="56"/>
      <c r="GN11" s="56"/>
      <c r="GO11" s="56"/>
      <c r="GP11" s="56"/>
      <c r="GZ11" s="56"/>
      <c r="HA11" s="1121"/>
      <c r="HB11" s="1121"/>
      <c r="HC11" s="1121"/>
      <c r="HD11" s="1122"/>
      <c r="HE11" s="1123"/>
      <c r="HF11" s="1126"/>
      <c r="HG11" s="1126"/>
      <c r="HH11" s="1126"/>
      <c r="HI11" s="1126"/>
      <c r="HJ11" s="1126"/>
      <c r="HK11" s="1126"/>
      <c r="HL11" s="1126"/>
      <c r="HM11" s="1126"/>
      <c r="HN11" s="1126"/>
      <c r="HO11" s="1126"/>
      <c r="HP11" s="1126"/>
      <c r="HQ11" s="1126"/>
      <c r="HR11" s="1126"/>
      <c r="HS11" s="1126"/>
      <c r="HT11" s="1121"/>
      <c r="HU11" s="1121"/>
      <c r="HV11" s="1121"/>
      <c r="HW11" s="1121"/>
      <c r="HX11" s="1121"/>
      <c r="HY11" s="1120"/>
      <c r="HZ11" s="1121"/>
      <c r="IA11" s="1121"/>
      <c r="IB11" s="1121"/>
      <c r="IC11" s="1121"/>
      <c r="ID11" s="1121"/>
      <c r="IE11" s="1121"/>
      <c r="IF11" s="1121"/>
      <c r="IG11" s="1121"/>
      <c r="IH11" s="1127"/>
      <c r="II11" s="1127"/>
      <c r="IJ11" s="1127"/>
      <c r="IK11" s="1127"/>
      <c r="IL11" s="1127"/>
      <c r="IM11" s="1127"/>
      <c r="IN11" s="1127"/>
      <c r="IO11" s="1127"/>
      <c r="IP11" s="1127"/>
      <c r="IQ11" s="1127"/>
      <c r="IR11" s="1127"/>
      <c r="IS11" s="1127"/>
      <c r="IT11" s="1127"/>
      <c r="IU11" s="1127"/>
      <c r="IV11" s="1127"/>
      <c r="IW11" s="1127"/>
      <c r="IX11" s="1127"/>
      <c r="IY11" s="1127"/>
      <c r="IZ11" s="1127"/>
      <c r="JA11" s="1127"/>
      <c r="JB11" s="1127"/>
      <c r="JC11" s="1127"/>
      <c r="JD11" s="1127"/>
      <c r="JE11" s="1127"/>
      <c r="JF11" s="1127"/>
      <c r="JG11" s="1127"/>
      <c r="JH11" s="1127"/>
      <c r="JI11" s="1127"/>
      <c r="JJ11" s="1127"/>
      <c r="JK11" s="1127"/>
      <c r="JL11" s="1127"/>
      <c r="JM11" s="1127"/>
      <c r="JN11" s="1127"/>
      <c r="JO11" s="1127"/>
    </row>
    <row r="12" spans="1:276" ht="12" customHeight="1" thickTop="1" thickBot="1" x14ac:dyDescent="0.3">
      <c r="A12" s="1848" t="s">
        <v>40</v>
      </c>
      <c r="B12" s="1849" t="s">
        <v>102</v>
      </c>
      <c r="C12" s="1849" t="s">
        <v>31</v>
      </c>
      <c r="D12" s="1849" t="s">
        <v>25</v>
      </c>
      <c r="E12" s="1850"/>
      <c r="F12" s="1851" t="s">
        <v>74</v>
      </c>
      <c r="G12" s="1824" t="s">
        <v>9</v>
      </c>
      <c r="H12" s="1822"/>
      <c r="I12" s="1822"/>
      <c r="J12" s="1822" t="s">
        <v>10</v>
      </c>
      <c r="K12" s="1822"/>
      <c r="L12" s="1825"/>
      <c r="M12" s="1852" t="s">
        <v>11</v>
      </c>
      <c r="N12" s="1853"/>
      <c r="O12" s="1854" t="s">
        <v>12</v>
      </c>
      <c r="P12" s="1819"/>
      <c r="Q12" s="1819" t="s">
        <v>13</v>
      </c>
      <c r="R12" s="1820"/>
      <c r="S12" s="1821" t="s">
        <v>14</v>
      </c>
      <c r="T12" s="1822"/>
      <c r="U12" s="1822"/>
      <c r="V12" s="1822"/>
      <c r="W12" s="1823"/>
      <c r="X12" s="1824" t="s">
        <v>85</v>
      </c>
      <c r="Y12" s="1825"/>
      <c r="Z12" s="1036" t="s">
        <v>15</v>
      </c>
      <c r="AA12" s="2174" t="s">
        <v>548</v>
      </c>
      <c r="AB12" s="1848" t="s">
        <v>40</v>
      </c>
      <c r="AC12" s="2005" t="s">
        <v>62</v>
      </c>
      <c r="AD12" s="2035" t="s">
        <v>32</v>
      </c>
      <c r="AE12" s="2036"/>
      <c r="AF12" s="1825" t="s">
        <v>34</v>
      </c>
      <c r="AG12" s="2023"/>
      <c r="AH12" s="1824"/>
      <c r="AI12" s="2035" t="s">
        <v>35</v>
      </c>
      <c r="AJ12" s="2036"/>
      <c r="AK12" s="2051" t="s">
        <v>63</v>
      </c>
      <c r="AL12" s="2019" t="s">
        <v>388</v>
      </c>
      <c r="AM12" s="2020"/>
      <c r="AN12" s="2020"/>
      <c r="AO12" s="2020"/>
      <c r="AP12" s="2020"/>
      <c r="AQ12" s="2021"/>
      <c r="AR12" s="2186" t="s">
        <v>73</v>
      </c>
      <c r="AS12" s="2187"/>
      <c r="AT12" s="2187"/>
      <c r="AU12" s="2187"/>
      <c r="AV12" s="2187"/>
      <c r="AW12" s="2187"/>
      <c r="AX12" s="2187"/>
      <c r="AY12" s="2187"/>
      <c r="AZ12" s="2187"/>
      <c r="BA12" s="2187"/>
      <c r="BB12" s="2187"/>
      <c r="BC12" s="2187"/>
      <c r="BD12" s="2187"/>
      <c r="BE12" s="2187"/>
      <c r="BF12" s="2187"/>
      <c r="BG12" s="2187"/>
      <c r="BH12" s="1291"/>
      <c r="BJ12" s="41"/>
      <c r="BK12" s="41"/>
      <c r="BL12" s="41"/>
      <c r="BM12" s="41"/>
      <c r="BN12" s="41"/>
      <c r="BO12" s="41"/>
      <c r="BW12" s="2171" t="s">
        <v>306</v>
      </c>
      <c r="BX12" s="2172"/>
      <c r="BY12" s="2172"/>
      <c r="BZ12" s="2173"/>
      <c r="CA12" s="40"/>
      <c r="CB12" s="1994" t="s">
        <v>289</v>
      </c>
      <c r="CC12" s="2069" t="s">
        <v>102</v>
      </c>
      <c r="CD12" s="1996" t="s">
        <v>175</v>
      </c>
      <c r="CE12" s="2063" t="s">
        <v>817</v>
      </c>
      <c r="CF12" s="2064"/>
      <c r="CG12" s="1857" t="s">
        <v>818</v>
      </c>
      <c r="CH12" s="1859" t="s">
        <v>271</v>
      </c>
      <c r="CI12" s="1860"/>
      <c r="CJ12" s="1859" t="s">
        <v>272</v>
      </c>
      <c r="CK12" s="1860"/>
      <c r="CL12" s="1876" t="s">
        <v>185</v>
      </c>
      <c r="CM12" s="1878" t="s">
        <v>404</v>
      </c>
      <c r="CN12" s="2142" t="s">
        <v>802</v>
      </c>
      <c r="CO12" s="2143"/>
      <c r="CP12" s="2144"/>
      <c r="CQ12" s="1863" t="s">
        <v>818</v>
      </c>
      <c r="CR12" s="1865" t="s">
        <v>271</v>
      </c>
      <c r="CS12" s="1866"/>
      <c r="CT12" s="1865" t="s">
        <v>272</v>
      </c>
      <c r="CU12" s="1866"/>
      <c r="CV12" s="2067" t="s">
        <v>185</v>
      </c>
      <c r="CW12" s="1874" t="s">
        <v>404</v>
      </c>
      <c r="CX12" s="2145" t="s">
        <v>802</v>
      </c>
      <c r="CY12" s="2146"/>
      <c r="CZ12" s="2147"/>
      <c r="DA12" s="1855" t="s">
        <v>416</v>
      </c>
      <c r="DB12" s="2153"/>
      <c r="DC12" s="2078"/>
      <c r="DD12" s="1871" t="s">
        <v>810</v>
      </c>
      <c r="DE12" s="1873" t="s">
        <v>811</v>
      </c>
      <c r="DF12" s="58"/>
      <c r="DG12" s="58"/>
      <c r="DH12" s="2090"/>
      <c r="DI12" s="2097" t="s">
        <v>815</v>
      </c>
      <c r="DJ12" s="2099" t="s">
        <v>32</v>
      </c>
      <c r="DK12" s="2100"/>
      <c r="DL12" s="2081" t="s">
        <v>34</v>
      </c>
      <c r="DM12" s="2080" t="s">
        <v>186</v>
      </c>
      <c r="DN12" s="2092"/>
      <c r="DO12" s="2087"/>
      <c r="DP12" s="2205"/>
      <c r="DQ12" s="2103" t="s">
        <v>278</v>
      </c>
      <c r="DR12" s="2129"/>
      <c r="DS12" s="2103" t="s">
        <v>280</v>
      </c>
      <c r="DT12" s="2105" t="s">
        <v>281</v>
      </c>
      <c r="DU12" s="2106"/>
      <c r="DV12" s="2184" t="s">
        <v>274</v>
      </c>
      <c r="DW12" s="2185"/>
      <c r="DX12" s="1936" t="s">
        <v>813</v>
      </c>
      <c r="DY12" s="2095" t="s">
        <v>814</v>
      </c>
      <c r="DZ12" s="2184" t="s">
        <v>274</v>
      </c>
      <c r="EA12" s="2185"/>
      <c r="EB12" s="1936" t="s">
        <v>813</v>
      </c>
      <c r="EC12" s="2095" t="s">
        <v>814</v>
      </c>
      <c r="ED12" s="2184" t="s">
        <v>274</v>
      </c>
      <c r="EE12" s="2185"/>
      <c r="EF12" s="1936" t="s">
        <v>813</v>
      </c>
      <c r="EG12" s="2095" t="s">
        <v>814</v>
      </c>
      <c r="EH12" s="2184" t="s">
        <v>274</v>
      </c>
      <c r="EI12" s="2185"/>
      <c r="EJ12" s="1936" t="s">
        <v>813</v>
      </c>
      <c r="EK12" s="1938" t="s">
        <v>814</v>
      </c>
      <c r="EL12" s="147"/>
      <c r="EM12" s="1880" t="s">
        <v>403</v>
      </c>
      <c r="EN12" s="1882" t="s">
        <v>266</v>
      </c>
      <c r="EO12" s="1883"/>
      <c r="EP12" s="1883"/>
      <c r="EQ12" s="1880" t="s">
        <v>267</v>
      </c>
      <c r="ER12" s="1869" t="s">
        <v>400</v>
      </c>
      <c r="ES12" s="1870"/>
      <c r="ET12" s="2165"/>
      <c r="EU12" s="2166"/>
      <c r="FW12" s="1"/>
      <c r="FX12" s="1"/>
      <c r="FY12" s="1"/>
      <c r="FZ12" s="1"/>
      <c r="GA12" s="1943" t="s">
        <v>361</v>
      </c>
      <c r="GB12" s="1944"/>
      <c r="GC12" s="1943" t="s">
        <v>253</v>
      </c>
      <c r="GD12" s="1944"/>
      <c r="GE12" s="1987" t="s">
        <v>364</v>
      </c>
      <c r="GF12" s="1989" t="s">
        <v>308</v>
      </c>
      <c r="GG12" s="1943" t="s">
        <v>715</v>
      </c>
      <c r="GH12" s="1944"/>
      <c r="GI12" s="1943" t="s">
        <v>714</v>
      </c>
      <c r="GJ12" s="1944"/>
      <c r="GK12" s="1947" t="s">
        <v>365</v>
      </c>
      <c r="GL12" s="1947" t="s">
        <v>366</v>
      </c>
      <c r="GM12" s="1947" t="s">
        <v>367</v>
      </c>
      <c r="GN12" s="56"/>
      <c r="GO12" s="56"/>
      <c r="GP12" s="56"/>
      <c r="GZ12" s="56"/>
      <c r="HA12" s="1953" t="s">
        <v>308</v>
      </c>
      <c r="HB12" s="1928" t="s">
        <v>707</v>
      </c>
      <c r="HC12" s="1928" t="s">
        <v>732</v>
      </c>
      <c r="HD12" s="1928" t="e">
        <f>IF($HA$1,"Bay Length","Overall Length")</f>
        <v>#REF!</v>
      </c>
      <c r="HE12" s="1929"/>
      <c r="HF12" s="1928" t="e">
        <f>IF($HA$1,"L Sect #","TC Width")</f>
        <v>#REF!</v>
      </c>
      <c r="HG12" s="1886" t="e">
        <f>IF($HA$1,"L Min Sup Wid","TCXL Feet")</f>
        <v>#REF!</v>
      </c>
      <c r="HH12" s="1886" t="e">
        <f>IF($HA$1,"L Max Sup Wid","TCXL Inch")</f>
        <v>#REF!</v>
      </c>
      <c r="HI12" s="1886" t="e">
        <f>IF($HA$1,"L Min Flg Ga","TCXL Type")</f>
        <v>#REF!</v>
      </c>
      <c r="HJ12" s="1886" t="e">
        <f>IF($HA$1,"L Max Flg Ga","TCXR Feet")</f>
        <v>#REF!</v>
      </c>
      <c r="HK12" s="1886" t="e">
        <f>IF($HA$1,"L Skew","TCXR Inch")</f>
        <v>#REF!</v>
      </c>
      <c r="HL12" s="1886" t="e">
        <f>IF($HA$1,"L Brg Slp","TCXR Type")</f>
        <v>#REF!</v>
      </c>
      <c r="HM12" s="1928" t="e">
        <f>IF($HA$1,"R Sect #","BDL")</f>
        <v>#REF!</v>
      </c>
      <c r="HN12" s="1886" t="e">
        <f>IF($HA$1,"R Min Sup Wid","BDR")</f>
        <v>#REF!</v>
      </c>
      <c r="HO12" s="1886" t="e">
        <f>IF($HA$1,"R Max Sup Wid","BCXL Feet")</f>
        <v>#REF!</v>
      </c>
      <c r="HP12" s="1886" t="e">
        <f>IF($HA$1,"R Min Flg Ga","BCXL Inch")</f>
        <v>#REF!</v>
      </c>
      <c r="HQ12" s="1886" t="e">
        <f>IF($HA$1,"R Max Flg Ga","BCXR Feet")</f>
        <v>#REF!</v>
      </c>
      <c r="HR12" s="1886" t="e">
        <f>IF($HA$1,"R Skew","BCXR Inch")</f>
        <v>#REF!</v>
      </c>
      <c r="HS12" s="1886" t="e">
        <f>IF($HA$1,"R Brg Slp","HL Feet")</f>
        <v>#REF!</v>
      </c>
      <c r="HT12" s="1886" t="e">
        <f>IF($HA$1,"TC Slope","HL Inch")</f>
        <v>#REF!</v>
      </c>
      <c r="HU12" s="1886" t="e">
        <f>IF($HA$1,"Load Notes","HR Feet")</f>
        <v>#REF!</v>
      </c>
      <c r="HV12" s="1886" t="e">
        <f>IF($HA$1,"Spcl Notes","HR Inch")</f>
        <v>#REF!</v>
      </c>
      <c r="HW12" s="1886" t="e">
        <f>IF($HA$1,"# KB","Slot Ga")</f>
        <v>#REF!</v>
      </c>
      <c r="HX12" s="1886" t="e">
        <f>IF($HA$1,"TC Width","L Seat Slp")</f>
        <v>#REF!</v>
      </c>
      <c r="HY12" s="1886" t="e">
        <f>IF($HA$1,"TCL Override","R Seat Slp")</f>
        <v>#REF!</v>
      </c>
      <c r="HZ12" s="1886" t="e">
        <f>IF($HA$1,"TCR Override","Load Notes")</f>
        <v>#REF!</v>
      </c>
      <c r="IA12" s="1886" t="e">
        <f>IF($HA$1,"L-BL Override","Spcl Notes")</f>
        <v>#REF!</v>
      </c>
      <c r="IB12" s="1888" t="e">
        <f>IF($HA$1,"R-BL Override","# KB")</f>
        <v>#REF!</v>
      </c>
      <c r="IC12" s="1886" t="e">
        <f>IF($HA$1,"BDL Override","-")</f>
        <v>#REF!</v>
      </c>
      <c r="ID12" s="2169" t="e">
        <f>IF($HA$1,"BDR Override","-")</f>
        <v>#REF!</v>
      </c>
      <c r="IE12" s="1945" t="s">
        <v>308</v>
      </c>
      <c r="IF12" s="1813" t="s">
        <v>734</v>
      </c>
      <c r="IG12" s="1813" t="s">
        <v>735</v>
      </c>
      <c r="IH12" s="1813" t="s">
        <v>736</v>
      </c>
      <c r="II12" s="1813" t="s">
        <v>737</v>
      </c>
      <c r="IJ12" s="1813" t="s">
        <v>739</v>
      </c>
      <c r="IK12" s="1813" t="s">
        <v>738</v>
      </c>
      <c r="IL12" s="1813" t="e">
        <f>IF($HA$1,"Load (Kip)","Panel ""B"" Feet")</f>
        <v>#REF!</v>
      </c>
      <c r="IM12" s="1813" t="e">
        <f>IF($HA$1,"OSHA N/F/B","Panel ""B"" Inch")</f>
        <v>#REF!</v>
      </c>
      <c r="IN12" s="1813" t="e">
        <f>IF($HA$1,"Girder TC Ga","Load (Kip)")</f>
        <v>#REF!</v>
      </c>
      <c r="IO12" s="1813" t="e">
        <f>IF($HA$1,"Jst Hole (x/16)","OSHA N/F/B")</f>
        <v>#REF!</v>
      </c>
      <c r="IP12" s="1813" t="e">
        <f>IF($HA$1,"Joist Gage","Girder TC Gage")</f>
        <v>#REF!</v>
      </c>
      <c r="IQ12" s="1813" t="e">
        <f>IF($HA$1,"TC Hole L","Girder TC Hole (x/16)")</f>
        <v>#REF!</v>
      </c>
      <c r="IR12" s="1813" t="e">
        <f>IF($HA$1,"TC Hole R","Joist Gage")</f>
        <v>#REF!</v>
      </c>
      <c r="IS12" s="1813" t="e">
        <f>IF($HA$1,"Add Jst#1 Feet","TCHoleL")</f>
        <v>#REF!</v>
      </c>
      <c r="IT12" s="1813" t="e">
        <f>IF($HA$1,"Add Jst#1 Inch","TC Hole R")</f>
        <v>#REF!</v>
      </c>
      <c r="IU12" s="1813" t="e">
        <f>IF($HA$1,"Add Jst#1 Load","Add Jst#1 Feet")</f>
        <v>#REF!</v>
      </c>
      <c r="IV12" s="1813" t="e">
        <f>IF($HA$1,"Add Jst#1 Bolt N/F/B","Add Jst#1 inch")</f>
        <v>#REF!</v>
      </c>
      <c r="IW12" s="1813" t="e">
        <f>IF($HA$1,"Add Jst#2 Feet","Add Jst#1 Load")</f>
        <v>#REF!</v>
      </c>
      <c r="IX12" s="1813" t="e">
        <f>IF($HA$1,"Add Jst#2 Inch","Add Jst#1 Bolt N/F/B")</f>
        <v>#REF!</v>
      </c>
      <c r="IY12" s="1813" t="e">
        <f>IF($HA$1,"Add Jst#2 Load","Add Jst#2 Feet")</f>
        <v>#REF!</v>
      </c>
      <c r="IZ12" s="1813" t="e">
        <f>IF($HA$1,"Add Jst#2 Bolt N/F/B","Add Jst#2 inch")</f>
        <v>#REF!</v>
      </c>
      <c r="JA12" s="1813" t="e">
        <f>IF($HA$1,"Add Jst#3 Feet","Add Jst#2 Load")</f>
        <v>#REF!</v>
      </c>
      <c r="JB12" s="1813" t="e">
        <f>IF($HA$1,"Add Jst#3 Inch","Add Jst#2 Bolt N/F/B")</f>
        <v>#REF!</v>
      </c>
      <c r="JC12" s="1813" t="e">
        <f>IF($HA$1,"Add Jst#3 Load","Add Jst#3 Feet")</f>
        <v>#REF!</v>
      </c>
      <c r="JD12" s="1813" t="e">
        <f>IF($HA$1,"Add Jst#3 Bolt N/F/B","Add Jst#3 inch")</f>
        <v>#REF!</v>
      </c>
      <c r="JE12" s="1813" t="e">
        <f>IF($HA$1,"Add Jst#4 Feet","Add Jst#3 Load")</f>
        <v>#REF!</v>
      </c>
      <c r="JF12" s="1813" t="e">
        <f>IF($HA$1,"Add Jst#4 Inch","Add Jst#3 Bolt N/F/B")</f>
        <v>#REF!</v>
      </c>
      <c r="JG12" s="1813" t="e">
        <f>IF($HA$1,"Add Jst#4 Load","Add Jst#4 Feet")</f>
        <v>#REF!</v>
      </c>
      <c r="JH12" s="1813" t="e">
        <f>IF($HA$1,"Add Jst#4 Bolt N/F/B","Add Jst#4 inch")</f>
        <v>#REF!</v>
      </c>
      <c r="JI12" s="1813" t="e">
        <f>IF($HA$1,"-","Add Jst#4 Load")</f>
        <v>#REF!</v>
      </c>
      <c r="JJ12" s="1813" t="e">
        <f>IF($HA$1,"-","Add Jst#4 Bolt N/F/B")</f>
        <v>#REF!</v>
      </c>
      <c r="JK12" s="1815" t="e">
        <f>IF($HA$1,"# Rows Req'd","# Rows Req'd")</f>
        <v>#REF!</v>
      </c>
      <c r="JL12" s="1817" t="s">
        <v>741</v>
      </c>
      <c r="JM12" s="1127"/>
      <c r="JN12" s="1127"/>
      <c r="JO12" s="1127"/>
    </row>
    <row r="13" spans="1:276" ht="21" customHeight="1" thickTop="1" thickBot="1" x14ac:dyDescent="0.3">
      <c r="A13" s="1848"/>
      <c r="B13" s="1849"/>
      <c r="C13" s="1849"/>
      <c r="D13" s="1849"/>
      <c r="E13" s="1850"/>
      <c r="F13" s="1851"/>
      <c r="G13" s="1828" t="s">
        <v>16</v>
      </c>
      <c r="H13" s="1829"/>
      <c r="I13" s="1685" t="s">
        <v>385</v>
      </c>
      <c r="J13" s="1829" t="s">
        <v>16</v>
      </c>
      <c r="K13" s="1829"/>
      <c r="L13" s="1676" t="s">
        <v>385</v>
      </c>
      <c r="M13" s="1678" t="s">
        <v>18</v>
      </c>
      <c r="N13" s="395" t="s">
        <v>19</v>
      </c>
      <c r="O13" s="1854"/>
      <c r="P13" s="1819"/>
      <c r="Q13" s="1819"/>
      <c r="R13" s="1820"/>
      <c r="S13" s="1830" t="s">
        <v>71</v>
      </c>
      <c r="T13" s="1829"/>
      <c r="U13" s="1829" t="s">
        <v>72</v>
      </c>
      <c r="V13" s="1829"/>
      <c r="W13" s="395" t="s">
        <v>27</v>
      </c>
      <c r="X13" s="1677" t="s">
        <v>86</v>
      </c>
      <c r="Y13" s="1676" t="s">
        <v>87</v>
      </c>
      <c r="Z13" s="1037" t="s">
        <v>57</v>
      </c>
      <c r="AA13" s="2175"/>
      <c r="AB13" s="1848"/>
      <c r="AC13" s="2006"/>
      <c r="AD13" s="2037"/>
      <c r="AE13" s="2038"/>
      <c r="AF13" s="1685" t="s">
        <v>33</v>
      </c>
      <c r="AG13" s="1829" t="s">
        <v>16</v>
      </c>
      <c r="AH13" s="1829"/>
      <c r="AI13" s="2037"/>
      <c r="AJ13" s="2038"/>
      <c r="AK13" s="2052"/>
      <c r="AL13" s="1038" t="s">
        <v>389</v>
      </c>
      <c r="AM13" s="1688" t="s">
        <v>386</v>
      </c>
      <c r="AN13" s="1688" t="s">
        <v>387</v>
      </c>
      <c r="AO13" s="1689" t="s">
        <v>60</v>
      </c>
      <c r="AP13" s="1690" t="s">
        <v>390</v>
      </c>
      <c r="AQ13" s="1039" t="s">
        <v>391</v>
      </c>
      <c r="AR13" s="2047" t="s">
        <v>58</v>
      </c>
      <c r="AS13" s="1828"/>
      <c r="AT13" s="1040" t="s">
        <v>63</v>
      </c>
      <c r="AU13" s="1041" t="s">
        <v>59</v>
      </c>
      <c r="AV13" s="2046" t="s">
        <v>58</v>
      </c>
      <c r="AW13" s="1830"/>
      <c r="AX13" s="1040" t="s">
        <v>63</v>
      </c>
      <c r="AY13" s="1041" t="s">
        <v>59</v>
      </c>
      <c r="AZ13" s="2046" t="s">
        <v>58</v>
      </c>
      <c r="BA13" s="1830"/>
      <c r="BB13" s="1040" t="s">
        <v>63</v>
      </c>
      <c r="BC13" s="1041" t="s">
        <v>59</v>
      </c>
      <c r="BD13" s="2046" t="s">
        <v>58</v>
      </c>
      <c r="BE13" s="1830"/>
      <c r="BF13" s="1040" t="s">
        <v>63</v>
      </c>
      <c r="BG13" s="1041" t="s">
        <v>59</v>
      </c>
      <c r="BH13" s="1291"/>
      <c r="BJ13" s="460" t="s">
        <v>308</v>
      </c>
      <c r="BK13" s="461" t="s">
        <v>402</v>
      </c>
      <c r="BL13" s="294" t="s">
        <v>138</v>
      </c>
      <c r="BM13" s="294" t="s">
        <v>139</v>
      </c>
      <c r="BN13" s="294" t="s">
        <v>140</v>
      </c>
      <c r="BO13" s="294" t="s">
        <v>150</v>
      </c>
      <c r="BP13" s="294" t="s">
        <v>151</v>
      </c>
      <c r="BQ13" s="294" t="s">
        <v>152</v>
      </c>
      <c r="BR13" s="294" t="s">
        <v>146</v>
      </c>
      <c r="BS13" s="294" t="s">
        <v>143</v>
      </c>
      <c r="BT13" s="294" t="s">
        <v>142</v>
      </c>
      <c r="BU13" s="294" t="s">
        <v>144</v>
      </c>
      <c r="BV13" s="294" t="s">
        <v>145</v>
      </c>
      <c r="BW13" s="295" t="s">
        <v>307</v>
      </c>
      <c r="BX13" s="296" t="s">
        <v>308</v>
      </c>
      <c r="BY13" s="296" t="s">
        <v>138</v>
      </c>
      <c r="BZ13" s="461" t="s">
        <v>402</v>
      </c>
      <c r="CB13" s="1995"/>
      <c r="CC13" s="2068"/>
      <c r="CD13" s="1867"/>
      <c r="CE13" s="2065"/>
      <c r="CF13" s="2066"/>
      <c r="CG13" s="1858"/>
      <c r="CH13" s="1861"/>
      <c r="CI13" s="1862"/>
      <c r="CJ13" s="1861"/>
      <c r="CK13" s="1862"/>
      <c r="CL13" s="1877"/>
      <c r="CM13" s="1879"/>
      <c r="CN13" s="1425" t="s">
        <v>809</v>
      </c>
      <c r="CO13" s="1426" t="s">
        <v>804</v>
      </c>
      <c r="CP13" s="1427" t="s">
        <v>198</v>
      </c>
      <c r="CQ13" s="1864"/>
      <c r="CR13" s="1867"/>
      <c r="CS13" s="1868"/>
      <c r="CT13" s="1867"/>
      <c r="CU13" s="1868"/>
      <c r="CV13" s="2068"/>
      <c r="CW13" s="1875"/>
      <c r="CX13" s="1425" t="s">
        <v>809</v>
      </c>
      <c r="CY13" s="1426" t="s">
        <v>804</v>
      </c>
      <c r="CZ13" s="1427" t="s">
        <v>198</v>
      </c>
      <c r="DA13" s="1856"/>
      <c r="DB13" s="364" t="s">
        <v>151</v>
      </c>
      <c r="DC13" s="365" t="s">
        <v>250</v>
      </c>
      <c r="DD13" s="1872"/>
      <c r="DE13" s="1872"/>
      <c r="DF13" s="58"/>
      <c r="DG13" s="58"/>
      <c r="DH13" s="2091"/>
      <c r="DI13" s="2098"/>
      <c r="DJ13" s="2101"/>
      <c r="DK13" s="2102"/>
      <c r="DL13" s="2082"/>
      <c r="DM13" s="2093"/>
      <c r="DN13" s="2094"/>
      <c r="DO13" s="2088"/>
      <c r="DP13" s="2206"/>
      <c r="DQ13" s="2104"/>
      <c r="DR13" s="2130"/>
      <c r="DS13" s="2104"/>
      <c r="DT13" s="1482" t="s">
        <v>282</v>
      </c>
      <c r="DU13" s="1483" t="s">
        <v>283</v>
      </c>
      <c r="DV13" s="1459" t="s">
        <v>309</v>
      </c>
      <c r="DW13" s="1460" t="s">
        <v>284</v>
      </c>
      <c r="DX13" s="1937"/>
      <c r="DY13" s="2096"/>
      <c r="DZ13" s="1459" t="s">
        <v>309</v>
      </c>
      <c r="EA13" s="1460" t="s">
        <v>284</v>
      </c>
      <c r="EB13" s="1937"/>
      <c r="EC13" s="2096"/>
      <c r="ED13" s="1459" t="s">
        <v>309</v>
      </c>
      <c r="EE13" s="1460" t="s">
        <v>284</v>
      </c>
      <c r="EF13" s="1937"/>
      <c r="EG13" s="2096"/>
      <c r="EH13" s="1459" t="s">
        <v>309</v>
      </c>
      <c r="EI13" s="1460" t="s">
        <v>284</v>
      </c>
      <c r="EJ13" s="1937"/>
      <c r="EK13" s="1939"/>
      <c r="EL13" s="147"/>
      <c r="EM13" s="1881"/>
      <c r="EN13" s="465" t="s">
        <v>263</v>
      </c>
      <c r="EO13" s="366" t="s">
        <v>264</v>
      </c>
      <c r="EP13" s="367" t="s">
        <v>265</v>
      </c>
      <c r="EQ13" s="1881"/>
      <c r="ER13" s="480" t="s">
        <v>282</v>
      </c>
      <c r="ES13" s="481" t="s">
        <v>283</v>
      </c>
      <c r="ET13" s="369" t="s">
        <v>217</v>
      </c>
      <c r="EU13" s="370" t="s">
        <v>137</v>
      </c>
      <c r="EX13" s="296" t="s">
        <v>308</v>
      </c>
      <c r="EY13" s="871" t="s">
        <v>656</v>
      </c>
      <c r="EZ13" s="873" t="s">
        <v>658</v>
      </c>
      <c r="FA13" s="50" t="s">
        <v>687</v>
      </c>
      <c r="FB13" s="889" t="s">
        <v>143</v>
      </c>
      <c r="FC13" s="889" t="s">
        <v>32</v>
      </c>
      <c r="FD13" s="889" t="s">
        <v>34</v>
      </c>
      <c r="FE13" s="889" t="s">
        <v>35</v>
      </c>
      <c r="FF13" s="890" t="s">
        <v>688</v>
      </c>
      <c r="FN13" s="1200" t="s">
        <v>689</v>
      </c>
      <c r="FO13" s="1201" t="s">
        <v>749</v>
      </c>
      <c r="FP13" s="871" t="s">
        <v>689</v>
      </c>
      <c r="FQ13" s="1201" t="s">
        <v>750</v>
      </c>
      <c r="FW13" s="1"/>
      <c r="FX13" s="1"/>
      <c r="FZ13" s="1"/>
      <c r="GA13" s="486" t="s">
        <v>362</v>
      </c>
      <c r="GB13" s="487" t="s">
        <v>363</v>
      </c>
      <c r="GC13" s="486" t="s">
        <v>282</v>
      </c>
      <c r="GD13" s="487" t="s">
        <v>283</v>
      </c>
      <c r="GE13" s="1988"/>
      <c r="GF13" s="1988"/>
      <c r="GG13" s="486" t="s">
        <v>362</v>
      </c>
      <c r="GH13" s="487" t="s">
        <v>363</v>
      </c>
      <c r="GI13" s="486" t="s">
        <v>362</v>
      </c>
      <c r="GJ13" s="487" t="s">
        <v>363</v>
      </c>
      <c r="GK13" s="1948"/>
      <c r="GL13" s="1948"/>
      <c r="GM13" s="1948"/>
      <c r="GO13" s="56"/>
      <c r="GP13" s="56"/>
      <c r="GZ13" s="56"/>
      <c r="HA13" s="2193"/>
      <c r="HB13" s="2167"/>
      <c r="HC13" s="2167"/>
      <c r="HD13" s="2167"/>
      <c r="HE13" s="2167"/>
      <c r="HF13" s="2167"/>
      <c r="HG13" s="2167"/>
      <c r="HH13" s="2167"/>
      <c r="HI13" s="2167"/>
      <c r="HJ13" s="2167"/>
      <c r="HK13" s="2167"/>
      <c r="HL13" s="2167"/>
      <c r="HM13" s="2167"/>
      <c r="HN13" s="2167"/>
      <c r="HO13" s="2167"/>
      <c r="HP13" s="2167"/>
      <c r="HQ13" s="2167"/>
      <c r="HR13" s="2167"/>
      <c r="HS13" s="2167"/>
      <c r="HT13" s="2167"/>
      <c r="HU13" s="2167"/>
      <c r="HV13" s="2167"/>
      <c r="HW13" s="2167"/>
      <c r="HX13" s="2167"/>
      <c r="HY13" s="2167"/>
      <c r="HZ13" s="2167"/>
      <c r="IA13" s="2167"/>
      <c r="IB13" s="2168"/>
      <c r="IC13" s="2167"/>
      <c r="ID13" s="2170"/>
      <c r="IE13" s="1946"/>
      <c r="IF13" s="1814"/>
      <c r="IG13" s="1814"/>
      <c r="IH13" s="1814"/>
      <c r="II13" s="1814"/>
      <c r="IJ13" s="1814"/>
      <c r="IK13" s="1814"/>
      <c r="IL13" s="1814"/>
      <c r="IM13" s="1814"/>
      <c r="IN13" s="1814"/>
      <c r="IO13" s="1814"/>
      <c r="IP13" s="1814"/>
      <c r="IQ13" s="1814"/>
      <c r="IR13" s="1814"/>
      <c r="IS13" s="1814"/>
      <c r="IT13" s="1814"/>
      <c r="IU13" s="1814"/>
      <c r="IV13" s="1814"/>
      <c r="IW13" s="1814"/>
      <c r="IX13" s="1814"/>
      <c r="IY13" s="1814"/>
      <c r="IZ13" s="1814"/>
      <c r="JA13" s="1814"/>
      <c r="JB13" s="1814"/>
      <c r="JC13" s="1814"/>
      <c r="JD13" s="1814"/>
      <c r="JE13" s="1814"/>
      <c r="JF13" s="1814"/>
      <c r="JG13" s="1814"/>
      <c r="JH13" s="1814"/>
      <c r="JI13" s="1814"/>
      <c r="JJ13" s="1814"/>
      <c r="JK13" s="1816"/>
      <c r="JL13" s="1818"/>
      <c r="JM13" s="1127"/>
      <c r="JN13" s="1127"/>
      <c r="JO13" s="1127"/>
    </row>
    <row r="14" spans="1:276" ht="12.6" customHeight="1" thickTop="1" x14ac:dyDescent="0.25">
      <c r="A14" s="1605"/>
      <c r="B14" s="1633"/>
      <c r="C14" s="1634"/>
      <c r="D14" s="1607"/>
      <c r="E14" s="1635"/>
      <c r="F14" s="1636"/>
      <c r="G14" s="1615"/>
      <c r="H14" s="1608"/>
      <c r="I14" s="1606"/>
      <c r="J14" s="1607"/>
      <c r="K14" s="1608"/>
      <c r="L14" s="1637"/>
      <c r="M14" s="1613"/>
      <c r="N14" s="1638"/>
      <c r="O14" s="1615"/>
      <c r="P14" s="1608"/>
      <c r="Q14" s="1607"/>
      <c r="R14" s="1635"/>
      <c r="S14" s="1639"/>
      <c r="T14" s="1608"/>
      <c r="U14" s="1607"/>
      <c r="V14" s="1608"/>
      <c r="W14" s="1638"/>
      <c r="X14" s="1640"/>
      <c r="Y14" s="1641"/>
      <c r="Z14" s="1587"/>
      <c r="AA14" s="1642"/>
      <c r="AB14" s="1605"/>
      <c r="AC14" s="1606"/>
      <c r="AD14" s="1607"/>
      <c r="AE14" s="1608"/>
      <c r="AF14" s="1606"/>
      <c r="AG14" s="1607"/>
      <c r="AH14" s="1608"/>
      <c r="AI14" s="1607"/>
      <c r="AJ14" s="1608"/>
      <c r="AK14" s="1609"/>
      <c r="AL14" s="1610"/>
      <c r="AM14" s="1611"/>
      <c r="AN14" s="1606"/>
      <c r="AO14" s="1638"/>
      <c r="AP14" s="1613"/>
      <c r="AQ14" s="1614"/>
      <c r="AR14" s="1615"/>
      <c r="AS14" s="1608"/>
      <c r="AT14" s="1616"/>
      <c r="AU14" s="1618"/>
      <c r="AV14" s="1639"/>
      <c r="AW14" s="1608"/>
      <c r="AX14" s="1616"/>
      <c r="AY14" s="1618"/>
      <c r="AZ14" s="1639"/>
      <c r="BA14" s="1608"/>
      <c r="BB14" s="1616"/>
      <c r="BC14" s="1618"/>
      <c r="BD14" s="1639"/>
      <c r="BE14" s="1608"/>
      <c r="BF14" s="1616"/>
      <c r="BG14" s="1618"/>
      <c r="BH14" s="1291"/>
      <c r="BJ14" s="915" t="str">
        <f>IF(OR(ISBLANK(A14),A14=""),"",A14)</f>
        <v/>
      </c>
      <c r="BK14" s="913" t="e">
        <f t="shared" ref="BK14:BK45" si="0">IF($BK$1,IF(BJ14=BJ13,BK13,IF(AND(BJ14&lt;&gt;"",OR(B14=0,B14="")),TRUE,FALSE)),FALSE)</f>
        <v>#REF!</v>
      </c>
      <c r="BL14" s="908" t="b">
        <v>0</v>
      </c>
      <c r="BM14" s="908">
        <f t="shared" ref="BM14:BM45" si="1">IF(C14="",0,VALUE(IF(BN14="","",LEFT(C14,SEARCH(BN14,C14)-1))))</f>
        <v>0</v>
      </c>
      <c r="BN14" s="908">
        <f t="shared" ref="BN14:BN45" si="2">IF(C14="",0,IF(NOT(ISERROR(SEARCH("VG",C14))),"VG",IF(NOT(ISERROR(SEARCH("BG",C14))),"BG",IF(NOT(ISERROR(SEARCH("G",C14))),"G"))))</f>
        <v>0</v>
      </c>
      <c r="BO14" s="908">
        <f t="shared" ref="BO14:BO45" si="3">IF(C14="",0,VALUE(MID(C14,SEARCH(BN14,C14)+LEN(BN14),SEARCH("N",C14)-SEARCH(BN14,C14)-LEN(BN14))))</f>
        <v>0</v>
      </c>
      <c r="BP14" s="908">
        <f t="shared" ref="BP14:BP45" si="4">IF(ISERROR(SEARCH("F", C14)),IF(C14="",0,IF(NOT(ISERROR(SEARCH("/", C14))),VALUE(MID(C14,SEARCH("N",C14)+1,SEARCH("/", C14)-SEARCH("N",C14)-1))&amp;"/"&amp;VALUE(MID(C14,SEARCH("/",C14)+1,SEARCH("K", C14)-SEARCH("/",C14)-1)),VALUE(MID(C14,SEARCH("N",C14)+1,SEARCH("K", C14)-SEARCH("N",C14)-1)))),IF(C14="",0,IF(NOT(ISERROR(SEARCH("/", C14))),VALUE(MID(C14,SEARCH("N",C14)+1,SEARCH("/", C14)-SEARCH("N",C14)-1))&amp;"/"&amp;VALUE(MID(C14,SEARCH("/",C14)+1,SEARCH("F", C14)-SEARCH("/",C14)-1)),VALUE(MID(C14,SEARCH("N",C14)+1,SEARCH("F", C14)-SEARCH("N",C14)-1)))))</f>
        <v>0</v>
      </c>
      <c r="BQ14" s="908">
        <f t="shared" ref="BQ14:BQ45" si="5">IF(ISERROR(SEARCH("F",C14)),IF(C14="",0,IF(SEARCH("K",C14)=LEN(C14),0,VALUE(MID(C14,SEARCH("K",C14)+1,LEN(C14))))),IF(C14="",0,IF(SEARCH("F",C14)=LEN(C14),0,VALUE(MID(C14,SEARCH("F",C14)+1,LEN(C14))))))</f>
        <v>0</v>
      </c>
      <c r="BR14" s="908" t="b">
        <f t="shared" ref="BR14:BR45" si="6">IF(OR(ISERROR(BM14),ISERROR(BN14),ISERROR(BO14),ISERROR(BP14),ISERROR(BQ14)),FALSE,TRUE)</f>
        <v>1</v>
      </c>
      <c r="BS14" s="1216">
        <f t="shared" ref="BS14:BS45" si="7">6+IF(LEFT(I14,1)="R",IF(ISNUMBER(G14),G14*12,0)+IF(ISNUMBER(H14),H14,0),0)</f>
        <v>6</v>
      </c>
      <c r="BT14" s="909" t="str">
        <f t="shared" ref="BT14:BT45" si="8">IF(IF(ISNUMBER(S14),S14*12,0)+IF(ISNUMBER(T14),T14,0)&gt;0,IF(AND(IF(ISNUMBER(S14),S14*12,0)+IF(ISNUMBER(T14),T14,0)&gt;=$FE$4/2+$EX$6,IF(ISNUMBER(S14),S14*12,0)+IF(ISNUMBER(T14),T14,0)&lt;=(BS14-($FE$4/2+$EX$6))+IF(I14="X",2,0)),"Yes","No"),"No")</f>
        <v>No</v>
      </c>
      <c r="BU14" s="1216">
        <f t="shared" ref="BU14:BU45" si="9">6+IF(LEFT(L14,1)="R",IF(ISNUMBER(J14),J14*12,0)+IF(ISNUMBER(K14),K14,0),0)</f>
        <v>6</v>
      </c>
      <c r="BV14" s="909" t="str">
        <f t="shared" ref="BV14:BV45" si="10">IF(IF(ISNUMBER(U14),U14*12,0)+IF(ISNUMBER(V14),V14,0)&gt;0,IF(AND(IF(ISNUMBER(U14),U14*12,0)+IF(ISNUMBER(V14),V14,0)&gt;=$FE$4/2+$EX$6,IF(ISNUMBER(U14),U14*12,0)+IF(ISNUMBER(V14),V14,0)&lt;=(BU14-($FE$4/2+$EX$6))+IF(L14="X",2,0)),"Yes","No"),"No")</f>
        <v>No</v>
      </c>
      <c r="BW14" s="910">
        <f t="shared" ref="BW14:BW45" si="11">IF(AB14="",0,1)+IF(AC14="",0,1)+IF(AD14="",0,1)+IF(AE14="",0,1)+IF(AF14="",0,1)+IF(AG14="",0,1)+IF(AH14="",0,1)+IF(AI14="",0,1)+IF(AJ14="",0,1)+IF(AK14="",0,1)+IF(AL14="",0,1)+IF(AM14="",0,1)+IF(AN14="",0,1)+IF(AO14="",0,1)+IF(AP14="",0,1)+IF(AQ14="",0,1)+IF(AR14="",0,1)+IF(AS14="",0,1)+IF(AT14="",0,1)+IF(AU14="",0,1)+IF(AV14="",0,1)+IF(AW14="",0,1)+IF(AX14="",0,1)+IF(AY14="",0,1)+IF(AZ14="",0,1)+IF(BA14="",0,1)+IF(BB14="",0,1)+IF(BC14="",0,1)+IF(BD14="",0,1)+IF(BE14="",0,1)+IF(BF14="",0,1)+IF(BG14="",0,1)</f>
        <v>0</v>
      </c>
      <c r="BX14" s="911" t="str">
        <f t="shared" ref="BX14:BX45" si="12">IF(AND(AB14="",BW14&gt;0),BX13,IF(ISBLANK(AB14),"",AB14))</f>
        <v/>
      </c>
      <c r="BY14" s="911" t="b">
        <f t="shared" ref="BY14:BY45" si="13">IF(ISERROR(VLOOKUP(BX14,$BJ$14:$BL$45,3,FALSE)),FALSE,VLOOKUP(BX14,$BJ$14:$BL$45,3,FALSE))</f>
        <v>0</v>
      </c>
      <c r="BZ14" s="910" t="e">
        <f>IF($BK$1,IF(BX14="",FALSE,IF(ISERROR(VLOOKUP(BX14,$A$14:$B$45,2,FALSE)),FALSE,IF(VLOOKUP(BX14,$A$14:$B$45,2,FALSE)=0,TRUE,FALSE))))</f>
        <v>#REF!</v>
      </c>
      <c r="CB14" s="616"/>
      <c r="CC14" s="1566"/>
      <c r="CD14" s="642"/>
      <c r="CE14" s="643"/>
      <c r="CF14" s="644"/>
      <c r="CG14" s="655"/>
      <c r="CH14" s="656"/>
      <c r="CI14" s="657"/>
      <c r="CJ14" s="656"/>
      <c r="CK14" s="657"/>
      <c r="CL14" s="658"/>
      <c r="CM14" s="691"/>
      <c r="CN14" s="1493"/>
      <c r="CO14" s="1494"/>
      <c r="CP14" s="1495"/>
      <c r="CQ14" s="655"/>
      <c r="CR14" s="656"/>
      <c r="CS14" s="657"/>
      <c r="CT14" s="656"/>
      <c r="CU14" s="657"/>
      <c r="CV14" s="658"/>
      <c r="CW14" s="691"/>
      <c r="CX14" s="1493"/>
      <c r="CY14" s="1494"/>
      <c r="CZ14" s="1495"/>
      <c r="DA14" s="659"/>
      <c r="DB14" s="648"/>
      <c r="DC14" s="649"/>
      <c r="DD14" s="672"/>
      <c r="DE14" s="673"/>
      <c r="DF14" s="58"/>
      <c r="DG14" s="58"/>
      <c r="DH14" s="616"/>
      <c r="DI14" s="608"/>
      <c r="DJ14" s="636"/>
      <c r="DK14" s="1244"/>
      <c r="DL14" s="609"/>
      <c r="DM14" s="637"/>
      <c r="DN14" s="1247"/>
      <c r="DO14" s="610"/>
      <c r="DP14" s="611"/>
      <c r="DQ14" s="1293"/>
      <c r="DR14" s="612"/>
      <c r="DS14" s="1293"/>
      <c r="DT14" s="1296"/>
      <c r="DU14" s="1297"/>
      <c r="DV14" s="622"/>
      <c r="DW14" s="1250"/>
      <c r="DX14" s="623"/>
      <c r="DY14" s="624"/>
      <c r="DZ14" s="622"/>
      <c r="EA14" s="1250"/>
      <c r="EB14" s="623"/>
      <c r="EC14" s="624"/>
      <c r="ED14" s="622"/>
      <c r="EE14" s="1250"/>
      <c r="EF14" s="623"/>
      <c r="EG14" s="624"/>
      <c r="EH14" s="622"/>
      <c r="EI14" s="1250"/>
      <c r="EJ14" s="623"/>
      <c r="EK14" s="625"/>
      <c r="EL14" s="147"/>
      <c r="EM14" s="1511" t="str">
        <f t="shared" ref="EM14:EM45" si="14">IF(ISBLANK(CB14),"",CB14)</f>
        <v/>
      </c>
      <c r="EN14" s="1300" t="str">
        <f t="shared" ref="EN14:EN45" si="15">IF(DQ54=DR54,"",CONCATENATE(IF(CL14&lt;0,"NS ","FS "),IF(DR54="ERR","Slot Only",CONCATENATE("Slot @ ",DQ54))))</f>
        <v/>
      </c>
      <c r="EO14" s="1301" t="str">
        <f t="shared" ref="EO14:EO45" si="16">IF(DX54=DY54,"",CONCATENATE(IF(CV14&lt;0,"FS ","NS "),IF(DY54="ERR","Slot Only",CONCATENATE("Slot @ ",DX54))))</f>
        <v/>
      </c>
      <c r="EP14" s="1302" t="str">
        <f t="shared" ref="EP14:EP45" si="17">IF(EC54="","",IF(CI54&lt;&gt;EC54,CONCATENATE("LE slots @ ",CI54," Ga."),IF(CR54&lt;&gt;EC54,CONCATENATE("RE slots @ ",CR54," Ga."),"")))</f>
        <v/>
      </c>
      <c r="EQ14" s="1308" t="str">
        <f t="shared" ref="EQ14:EQ45" si="18">IF(AND(ET14&lt;&gt;"",CL14&lt;&gt;"",EU14&lt;&gt;"",CV14&lt;&gt;""),"BE",IF(AND(ET14&lt;&gt;"",CL14&lt;&gt;""),"LE",IF(AND(EU14&lt;&gt;"",CV14&lt;&gt;""),"RE","")))</f>
        <v/>
      </c>
      <c r="ER14" s="1311" t="str">
        <f t="shared" ref="ER14:ER45" si="19">IF(ISBLANK(CO14),"",IF(CEILING(DB54,0.125)&lt;=DC54+$FA$4,"",CEILING(DB54,0.125)))</f>
        <v/>
      </c>
      <c r="ES14" s="1312" t="str">
        <f t="shared" ref="ES14:ES45" si="20">IF(ISBLANK(CY14),"",IF(CEILING(DH54,0.125)&lt;=DI54+$FA$4,"",CEILING(DH54,0.125)))</f>
        <v/>
      </c>
      <c r="ET14" s="1313" t="str">
        <f t="shared" ref="ET14:ET45" si="21">IF(CG14="","",IF($FB$4&gt;EV54,EV54,""))</f>
        <v/>
      </c>
      <c r="EU14" s="1314"/>
      <c r="EX14" s="870" t="str">
        <f>CONCATENATE(BX14,AC14)</f>
        <v/>
      </c>
      <c r="EY14" s="872" t="str">
        <f t="shared" ref="EY14:EY45" si="22">IF(OR(ISBLANK(AB14),AB14=""),"",VLOOKUP(LEFT(EX14,LEN(EX14)-1),$BJ$14:$BO$45,6,FALSE)=SUMIF($EX$14:$EX$45,EX14,$AF$14:$AF$45)+2)</f>
        <v/>
      </c>
      <c r="EZ14" s="872" t="str">
        <f>IF(AB14="","",IF(VLOOKUP(BX14,$A$14:$F$45,6,FALSE)="",0,HLOOKUP(VLOOKUP(BX14,$A$14:$F$45,6,FALSE),$FG$4:$FI$5,2,TRUE)))</f>
        <v/>
      </c>
      <c r="FA14" s="891" t="b">
        <f>IF(FB15="","",FB14=FF14)</f>
        <v>0</v>
      </c>
      <c r="FB14" s="892" t="str">
        <f>IF(BX14="","",VLOOKUP(BX14,$A$14:$K$45,4,FALSE)*12+VLOOKUP(BX14,$A$14:$K$45,5,FALSE)-(IF(ISNUMBER(VLOOKUP(BX14,$A$14:$K$45,7,FALSE)),VLOOKUP(BX14,$A$14:$K$45,7,FALSE),0)*12+IF(ISNUMBER(VLOOKUP(BX14,$A$14:$K$45,8,FALSE)),VLOOKUP(BX14,$A$14:$K$45,8,FALSE),0))-(IF(ISNUMBER(VLOOKUP(BX14,$A$14:$K$45,10,FALSE)),VLOOKUP(BX14,$A$14:$K$45,10,FALSE),0)*12+IF(ISNUMBER(VLOOKUP(BX14,$A$14:$K$45,11,FALSE)),VLOOKUP(BX14,$A$14:$K$45,11,FALSE),0)))</f>
        <v/>
      </c>
      <c r="FC14" s="892">
        <f t="shared" ref="FC14:FC45" si="23">IF(ISNUMBER(AD14),AD14,0)*12+IF(ISNUMBER(AE14),AE14,0)</f>
        <v>0</v>
      </c>
      <c r="FD14" s="892">
        <f t="shared" ref="FD14:FD45" si="24">IF(ISNUMBER(AF14),AF14,0)*(IF(ISNUMBER(AG14),AG14,0)*12+IF(ISNUMBER(AH14),AH14,0))</f>
        <v>0</v>
      </c>
      <c r="FE14" s="892">
        <f t="shared" ref="FE14:FE45" si="25">IF(ISNUMBER(AI14),AI14,0)*12+IF(ISNUMBER(AJ14),AJ14,0)</f>
        <v>0</v>
      </c>
      <c r="FF14" s="892">
        <f>SUM(FC14:FE14)+IF(FE14=0,FF15,0)</f>
        <v>590</v>
      </c>
      <c r="FN14" s="703" t="b">
        <v>0</v>
      </c>
      <c r="FO14" s="703" t="b">
        <f t="shared" ref="FO14:FO45" si="26">NOT(ISERROR(VLOOKUP(A14,$AB$14:$AB$45,1,FALSE)))</f>
        <v>0</v>
      </c>
      <c r="FP14" s="703" t="b">
        <v>0</v>
      </c>
      <c r="FQ14" s="703" t="b">
        <f>NOT(ISERROR(VLOOKUP(AB14,$A$14:$A$45,1,FALSE)))</f>
        <v>0</v>
      </c>
      <c r="FW14" s="1"/>
      <c r="FX14" s="1"/>
      <c r="FZ14" s="1"/>
      <c r="GA14" s="524" t="str">
        <f t="shared" ref="GA14:GA45" si="27">IF(GF14="","",CE14)</f>
        <v/>
      </c>
      <c r="GB14" s="566" t="str">
        <f t="shared" ref="GB14:GB45" si="28">IF(GF14="","",CF14)</f>
        <v/>
      </c>
      <c r="GC14" s="568" t="str">
        <f t="shared" ref="GC14:GC45" si="29">IF(GF14="","",IF(CD54="",0,CD54))</f>
        <v/>
      </c>
      <c r="GD14" s="569" t="str">
        <f t="shared" ref="GD14:GD45" si="30">IF(GF14="","",IF(CM54="",0,CM54))</f>
        <v/>
      </c>
      <c r="GE14" s="567" t="str">
        <f t="shared" ref="GE14:GE45" si="31">IF(GF14="","",IF(ISBLANK(DA14),IF(X14=Y14,0,MAX(ABS(X14),ABS(Y14))*IF(X14&lt;0,-1,1)),DA14))</f>
        <v/>
      </c>
      <c r="GF14" s="525" t="str">
        <f t="shared" ref="GF14:GF45" si="32">IF(A14=0,"",A14)</f>
        <v/>
      </c>
      <c r="GG14" s="1056"/>
      <c r="GH14" s="1057"/>
      <c r="GI14" s="1056"/>
      <c r="GJ14" s="1057"/>
      <c r="GK14" s="1523">
        <f t="shared" ref="GK14:GK45" si="33">IF(D14="",0,D14*12+E14)</f>
        <v>0</v>
      </c>
      <c r="GL14" s="1523" t="e">
        <f t="shared" ref="GL14:GL45" si="34">(GA14*12+GB14+GC14+GD14)/COS(ATAN(ABS(GE14/12)))</f>
        <v>#VALUE!</v>
      </c>
      <c r="GM14" s="1524" t="e">
        <f>IF(ABS(GK14-GL14)&gt;=#REF!,ABS(GK14-GL14),0)</f>
        <v>#VALUE!</v>
      </c>
      <c r="GO14" s="56"/>
      <c r="GP14" s="56"/>
      <c r="GZ14" s="56"/>
      <c r="HA14" s="1159"/>
      <c r="HB14" s="1160"/>
      <c r="HC14" s="1160"/>
      <c r="HD14" s="1161"/>
      <c r="HE14" s="1162"/>
      <c r="HF14" s="1160"/>
      <c r="HG14" s="1160"/>
      <c r="HH14" s="1160"/>
      <c r="HI14" s="1160"/>
      <c r="HJ14" s="1160"/>
      <c r="HK14" s="1160"/>
      <c r="HL14" s="1160"/>
      <c r="HM14" s="1160"/>
      <c r="HN14" s="1160"/>
      <c r="HO14" s="1160"/>
      <c r="HP14" s="1160"/>
      <c r="HQ14" s="1160"/>
      <c r="HR14" s="1160"/>
      <c r="HS14" s="1160"/>
      <c r="HT14" s="1160"/>
      <c r="HU14" s="1160"/>
      <c r="HV14" s="1160"/>
      <c r="HW14" s="1160"/>
      <c r="HX14" s="1160"/>
      <c r="HY14" s="1164"/>
      <c r="HZ14" s="1164"/>
      <c r="IA14" s="1164"/>
      <c r="IB14" s="1164"/>
      <c r="IC14" s="1164"/>
      <c r="ID14" s="1179"/>
      <c r="IE14" s="1174"/>
      <c r="IF14" s="1175"/>
      <c r="IG14" s="1176"/>
      <c r="IH14" s="1177"/>
      <c r="II14" s="1175"/>
      <c r="IJ14" s="1176"/>
      <c r="IK14" s="1177"/>
      <c r="IL14" s="1175"/>
      <c r="IM14" s="1175"/>
      <c r="IN14" s="1175"/>
      <c r="IO14" s="1175"/>
      <c r="IP14" s="1175"/>
      <c r="IQ14" s="1175"/>
      <c r="IR14" s="1175"/>
      <c r="IS14" s="1176"/>
      <c r="IT14" s="1177"/>
      <c r="IU14" s="1175"/>
      <c r="IV14" s="1175"/>
      <c r="IW14" s="1176"/>
      <c r="IX14" s="1177"/>
      <c r="IY14" s="1175"/>
      <c r="IZ14" s="1175"/>
      <c r="JA14" s="1176"/>
      <c r="JB14" s="1177"/>
      <c r="JC14" s="1175"/>
      <c r="JD14" s="1175"/>
      <c r="JE14" s="1176"/>
      <c r="JF14" s="1177"/>
      <c r="JG14" s="1175"/>
      <c r="JH14" s="1175"/>
      <c r="JI14" s="1175"/>
      <c r="JJ14" s="1178"/>
      <c r="JK14" s="1175"/>
      <c r="JL14" s="1102">
        <f>IF(JK14="",0,1)</f>
        <v>0</v>
      </c>
      <c r="JM14" s="1127"/>
      <c r="JN14" s="1127"/>
      <c r="JO14" s="1127"/>
    </row>
    <row r="15" spans="1:276" ht="12.6" customHeight="1" x14ac:dyDescent="0.25">
      <c r="A15" s="1132" t="s">
        <v>820</v>
      </c>
      <c r="B15" s="1586">
        <v>1</v>
      </c>
      <c r="C15" s="1133" t="s">
        <v>821</v>
      </c>
      <c r="D15" s="1134">
        <v>49</v>
      </c>
      <c r="E15" s="1135">
        <v>8.75</v>
      </c>
      <c r="F15" s="1136"/>
      <c r="G15" s="1137">
        <v>0</v>
      </c>
      <c r="H15" s="1138">
        <v>1.75</v>
      </c>
      <c r="I15" s="1139" t="s">
        <v>87</v>
      </c>
      <c r="J15" s="1134">
        <v>0</v>
      </c>
      <c r="K15" s="1138">
        <v>5</v>
      </c>
      <c r="L15" s="1140" t="s">
        <v>87</v>
      </c>
      <c r="M15" s="1141">
        <v>7.5</v>
      </c>
      <c r="N15" s="1142">
        <v>14</v>
      </c>
      <c r="O15" s="1137">
        <v>0</v>
      </c>
      <c r="P15" s="1138">
        <v>6.25</v>
      </c>
      <c r="Q15" s="1134">
        <v>0</v>
      </c>
      <c r="R15" s="1135">
        <v>6.5</v>
      </c>
      <c r="S15" s="1143">
        <v>0</v>
      </c>
      <c r="T15" s="1138">
        <v>6.25</v>
      </c>
      <c r="U15" s="1134">
        <v>0</v>
      </c>
      <c r="V15" s="1138">
        <v>5.5</v>
      </c>
      <c r="W15" s="1142">
        <v>5</v>
      </c>
      <c r="X15" s="1144"/>
      <c r="Y15" s="1145"/>
      <c r="Z15" s="1587" t="s">
        <v>830</v>
      </c>
      <c r="AA15" s="1152"/>
      <c r="AB15" s="1132" t="s">
        <v>820</v>
      </c>
      <c r="AC15" s="1139" t="s">
        <v>35</v>
      </c>
      <c r="AD15" s="1134">
        <v>5</v>
      </c>
      <c r="AE15" s="1138">
        <v>4.75</v>
      </c>
      <c r="AF15" s="1139">
        <v>7</v>
      </c>
      <c r="AG15" s="1134">
        <v>5</v>
      </c>
      <c r="AH15" s="1138">
        <v>6.625</v>
      </c>
      <c r="AI15" s="1134">
        <v>4</v>
      </c>
      <c r="AJ15" s="1138">
        <v>10.875</v>
      </c>
      <c r="AK15" s="1619"/>
      <c r="AL15" s="1620" t="s">
        <v>35</v>
      </c>
      <c r="AM15" s="1621">
        <v>5</v>
      </c>
      <c r="AN15" s="1139">
        <v>13</v>
      </c>
      <c r="AO15" s="1142">
        <v>4</v>
      </c>
      <c r="AP15" s="1141">
        <v>1.75</v>
      </c>
      <c r="AQ15" s="1623"/>
      <c r="AR15" s="1137">
        <v>49</v>
      </c>
      <c r="AS15" s="1138">
        <v>0</v>
      </c>
      <c r="AT15" s="1624">
        <v>7.9</v>
      </c>
      <c r="AU15" s="1625" t="s">
        <v>35</v>
      </c>
      <c r="AV15" s="1143"/>
      <c r="AW15" s="1138"/>
      <c r="AX15" s="1624"/>
      <c r="AY15" s="1625"/>
      <c r="AZ15" s="1143"/>
      <c r="BA15" s="1138"/>
      <c r="BB15" s="1624"/>
      <c r="BC15" s="1625"/>
      <c r="BD15" s="1143"/>
      <c r="BE15" s="1138"/>
      <c r="BF15" s="1624"/>
      <c r="BG15" s="1625"/>
      <c r="BH15" s="1291"/>
      <c r="BJ15" s="915" t="str">
        <f>IF(AND(OR(ISBLANK(A15),A15=""),Z15&lt;&gt;""),BJ14,IF(OR(ISBLANK(A15),A15=""),"",A15))</f>
        <v>G2</v>
      </c>
      <c r="BK15" s="913" t="e">
        <f t="shared" si="0"/>
        <v>#REF!</v>
      </c>
      <c r="BL15" s="908" t="b">
        <v>0</v>
      </c>
      <c r="BM15" s="908">
        <f t="shared" si="1"/>
        <v>60</v>
      </c>
      <c r="BN15" s="908" t="str">
        <f t="shared" si="2"/>
        <v>G</v>
      </c>
      <c r="BO15" s="908">
        <f t="shared" si="3"/>
        <v>9</v>
      </c>
      <c r="BP15" s="908">
        <f t="shared" si="4"/>
        <v>7.9</v>
      </c>
      <c r="BQ15" s="908">
        <f t="shared" si="5"/>
        <v>2.1</v>
      </c>
      <c r="BR15" s="908" t="b">
        <f t="shared" si="6"/>
        <v>1</v>
      </c>
      <c r="BS15" s="1216">
        <f t="shared" si="7"/>
        <v>7.75</v>
      </c>
      <c r="BT15" s="909" t="e">
        <f t="shared" si="8"/>
        <v>#REF!</v>
      </c>
      <c r="BU15" s="1216">
        <f t="shared" si="9"/>
        <v>11</v>
      </c>
      <c r="BV15" s="909" t="e">
        <f t="shared" si="10"/>
        <v>#REF!</v>
      </c>
      <c r="BW15" s="910">
        <f t="shared" si="11"/>
        <v>18</v>
      </c>
      <c r="BX15" s="911" t="str">
        <f t="shared" si="12"/>
        <v>G2</v>
      </c>
      <c r="BY15" s="911" t="b">
        <f t="shared" si="13"/>
        <v>0</v>
      </c>
      <c r="BZ15" s="910" t="e">
        <f t="shared" ref="BZ15:BZ45" si="35">IF($BK$1,IF(BX15="",FALSE,IF(ISERROR(VLOOKUP(BX15,$A$14:$B$45,2,FALSE)),FALSE,IF(VLOOKUP(BX15,$A$14:$B$45,2,FALSE)=0,TRUE,FALSE))))</f>
        <v>#REF!</v>
      </c>
      <c r="CB15" s="616"/>
      <c r="CC15" s="1567"/>
      <c r="CD15" s="645"/>
      <c r="CE15" s="646"/>
      <c r="CF15" s="647"/>
      <c r="CG15" s="660"/>
      <c r="CH15" s="661"/>
      <c r="CI15" s="662"/>
      <c r="CJ15" s="661"/>
      <c r="CK15" s="662"/>
      <c r="CL15" s="663"/>
      <c r="CM15" s="692"/>
      <c r="CN15" s="687"/>
      <c r="CO15" s="1430"/>
      <c r="CP15" s="839"/>
      <c r="CQ15" s="660"/>
      <c r="CR15" s="661"/>
      <c r="CS15" s="662"/>
      <c r="CT15" s="661"/>
      <c r="CU15" s="662"/>
      <c r="CV15" s="663"/>
      <c r="CW15" s="692"/>
      <c r="CX15" s="687"/>
      <c r="CY15" s="1430"/>
      <c r="CZ15" s="839"/>
      <c r="DA15" s="665"/>
      <c r="DB15" s="648"/>
      <c r="DC15" s="649"/>
      <c r="DD15" s="674"/>
      <c r="DE15" s="675"/>
      <c r="DF15" s="58"/>
      <c r="DG15" s="58"/>
      <c r="DH15" s="616"/>
      <c r="DI15" s="617"/>
      <c r="DJ15" s="638"/>
      <c r="DK15" s="1245"/>
      <c r="DL15" s="618"/>
      <c r="DM15" s="639"/>
      <c r="DN15" s="1248"/>
      <c r="DO15" s="619"/>
      <c r="DP15" s="620"/>
      <c r="DQ15" s="1294"/>
      <c r="DR15" s="621"/>
      <c r="DS15" s="1294"/>
      <c r="DT15" s="1296"/>
      <c r="DU15" s="1297"/>
      <c r="DV15" s="622"/>
      <c r="DW15" s="1250"/>
      <c r="DX15" s="623"/>
      <c r="DY15" s="624"/>
      <c r="DZ15" s="622"/>
      <c r="EA15" s="1250"/>
      <c r="EB15" s="623"/>
      <c r="EC15" s="624"/>
      <c r="ED15" s="622"/>
      <c r="EE15" s="1250"/>
      <c r="EF15" s="623"/>
      <c r="EG15" s="624"/>
      <c r="EH15" s="622"/>
      <c r="EI15" s="1250"/>
      <c r="EJ15" s="623"/>
      <c r="EK15" s="625"/>
      <c r="EL15" s="147"/>
      <c r="EM15" s="1513" t="str">
        <f t="shared" si="14"/>
        <v/>
      </c>
      <c r="EN15" s="1303" t="str">
        <f t="shared" si="15"/>
        <v/>
      </c>
      <c r="EO15" s="1304" t="str">
        <f t="shared" si="16"/>
        <v/>
      </c>
      <c r="EP15" s="1305" t="str">
        <f t="shared" si="17"/>
        <v/>
      </c>
      <c r="EQ15" s="1309" t="str">
        <f t="shared" si="18"/>
        <v/>
      </c>
      <c r="ER15" s="1315" t="str">
        <f t="shared" si="19"/>
        <v/>
      </c>
      <c r="ES15" s="1316" t="str">
        <f t="shared" si="20"/>
        <v/>
      </c>
      <c r="ET15" s="1317" t="str">
        <f t="shared" si="21"/>
        <v/>
      </c>
      <c r="EU15" s="1318" t="str">
        <f t="shared" ref="EU15:EU45" si="36">IF(CQ15="","",IF($FB$4&gt;EW55,EW55,""))</f>
        <v/>
      </c>
      <c r="EX15" s="870" t="str">
        <f t="shared" ref="EX15:EX45" si="37">IF(AND(AC15="",BX15=BX14),EX14,CONCATENATE(BX15,AC15))</f>
        <v>G2B</v>
      </c>
      <c r="EY15" s="872" t="b">
        <f t="shared" si="22"/>
        <v>1</v>
      </c>
      <c r="EZ15" s="872">
        <f t="shared" ref="EZ15:EZ45" si="38">IF(AB15="","",IF(VLOOKUP(BX15,$A$14:$F$45,6,FALSE)="",0,HLOOKUP(VLOOKUP(BX15,$A$14:$F$45,6,FALSE),$FG$4:$FI$5,2,TRUE)))</f>
        <v>0</v>
      </c>
      <c r="FA15" s="891" t="b">
        <f>IF(FB15="","",IF(FC15=0,FA14,FB15=FF15))</f>
        <v>1</v>
      </c>
      <c r="FB15" s="892">
        <f t="shared" ref="FB15:FB45" si="39">IF(BX15="","",VLOOKUP(BX15,$A$14:$K$45,4,FALSE)*12+VLOOKUP(BX15,$A$14:$K$45,5,FALSE)-(IF(ISNUMBER(VLOOKUP(BX15,$A$14:$K$45,7,FALSE)),VLOOKUP(BX15,$A$14:$K$45,7,FALSE),0)*12+IF(ISNUMBER(VLOOKUP(BX15,$A$14:$K$45,8,FALSE)),VLOOKUP(BX15,$A$14:$K$45,8,FALSE),0))-(IF(ISNUMBER(VLOOKUP(BX15,$A$14:$K$45,10,FALSE)),VLOOKUP(BX15,$A$14:$K$45,10,FALSE),0)*12+IF(ISNUMBER(VLOOKUP(BX15,$A$14:$K$45,11,FALSE)),VLOOKUP(BX15,$A$14:$K$45,11,FALSE),0)))</f>
        <v>590</v>
      </c>
      <c r="FC15" s="892">
        <f t="shared" si="23"/>
        <v>64.75</v>
      </c>
      <c r="FD15" s="892">
        <f t="shared" si="24"/>
        <v>466.375</v>
      </c>
      <c r="FE15" s="892">
        <f t="shared" si="25"/>
        <v>58.875</v>
      </c>
      <c r="FF15" s="892">
        <f t="shared" ref="FF15:FF45" si="40">SUM(FC15:FE15)+IF(FE15=0,FF16,0)</f>
        <v>590</v>
      </c>
      <c r="FN15" s="703" t="b">
        <v>0</v>
      </c>
      <c r="FO15" s="703" t="b">
        <f t="shared" si="26"/>
        <v>1</v>
      </c>
      <c r="FP15" s="1254" t="b">
        <v>0</v>
      </c>
      <c r="FQ15" s="703" t="b">
        <f t="shared" ref="FQ15:FQ45" si="41">NOT(ISERROR(VLOOKUP(AB15,$A$14:$A$45,1,FALSE)))</f>
        <v>1</v>
      </c>
      <c r="FW15" s="1"/>
      <c r="FX15" s="1"/>
      <c r="FZ15" s="1"/>
      <c r="GA15" s="524">
        <f t="shared" si="27"/>
        <v>0</v>
      </c>
      <c r="GB15" s="566">
        <f t="shared" si="28"/>
        <v>0</v>
      </c>
      <c r="GC15" s="568">
        <f t="shared" si="29"/>
        <v>0</v>
      </c>
      <c r="GD15" s="569">
        <f t="shared" si="30"/>
        <v>0</v>
      </c>
      <c r="GE15" s="567">
        <f t="shared" si="31"/>
        <v>0</v>
      </c>
      <c r="GF15" s="525" t="str">
        <f t="shared" si="32"/>
        <v>G2</v>
      </c>
      <c r="GG15" s="1056"/>
      <c r="GH15" s="1058"/>
      <c r="GI15" s="1056"/>
      <c r="GJ15" s="1058"/>
      <c r="GK15" s="1523">
        <f t="shared" si="33"/>
        <v>596.75</v>
      </c>
      <c r="GL15" s="1523">
        <f t="shared" si="34"/>
        <v>0</v>
      </c>
      <c r="GM15" s="1524" t="e">
        <f>IF(ABS(GK15-GL15)&gt;=#REF!,ABS(GK15-GL15),0)</f>
        <v>#REF!</v>
      </c>
      <c r="GO15" s="56"/>
      <c r="GP15" s="56"/>
      <c r="GZ15" s="56"/>
      <c r="HA15" s="1159"/>
      <c r="HB15" s="1160"/>
      <c r="HC15" s="1160"/>
      <c r="HD15" s="1161"/>
      <c r="HE15" s="1162"/>
      <c r="HF15" s="1160"/>
      <c r="HG15" s="1160"/>
      <c r="HH15" s="1160"/>
      <c r="HI15" s="1160"/>
      <c r="HJ15" s="1160"/>
      <c r="HK15" s="1160"/>
      <c r="HL15" s="1160"/>
      <c r="HM15" s="1160"/>
      <c r="HN15" s="1160"/>
      <c r="HO15" s="1160"/>
      <c r="HP15" s="1160"/>
      <c r="HQ15" s="1160"/>
      <c r="HR15" s="1160"/>
      <c r="HS15" s="1160"/>
      <c r="HT15" s="1160"/>
      <c r="HU15" s="1160"/>
      <c r="HV15" s="1160"/>
      <c r="HW15" s="1160"/>
      <c r="HX15" s="1160"/>
      <c r="HY15" s="1164"/>
      <c r="HZ15" s="1164"/>
      <c r="IA15" s="1164"/>
      <c r="IB15" s="1164"/>
      <c r="IC15" s="1164"/>
      <c r="ID15" s="1179"/>
      <c r="IE15" s="1159"/>
      <c r="IF15" s="1160"/>
      <c r="IG15" s="1161"/>
      <c r="IH15" s="1162"/>
      <c r="II15" s="1160"/>
      <c r="IJ15" s="1161"/>
      <c r="IK15" s="1162"/>
      <c r="IL15" s="1160"/>
      <c r="IM15" s="1160"/>
      <c r="IN15" s="1160"/>
      <c r="IO15" s="1160"/>
      <c r="IP15" s="1160"/>
      <c r="IQ15" s="1160"/>
      <c r="IR15" s="1160"/>
      <c r="IS15" s="1161"/>
      <c r="IT15" s="1162"/>
      <c r="IU15" s="1160"/>
      <c r="IV15" s="1160"/>
      <c r="IW15" s="1161"/>
      <c r="IX15" s="1162"/>
      <c r="IY15" s="1160"/>
      <c r="IZ15" s="1160"/>
      <c r="JA15" s="1161"/>
      <c r="JB15" s="1162"/>
      <c r="JC15" s="1160"/>
      <c r="JD15" s="1160"/>
      <c r="JE15" s="1161"/>
      <c r="JF15" s="1162"/>
      <c r="JG15" s="1160"/>
      <c r="JH15" s="1160"/>
      <c r="JI15" s="1160"/>
      <c r="JJ15" s="1163"/>
      <c r="JK15" s="1160"/>
      <c r="JL15" s="1103">
        <f ca="1">IF(ISBLANK(JK15),IF(JL14=0,0,IF(VALUE(OFFSET(JK15,JL14*-1,0))&lt;JL14+1,0,JL14+1)),1)</f>
        <v>0</v>
      </c>
    </row>
    <row r="16" spans="1:276" ht="12.6" customHeight="1" x14ac:dyDescent="0.25">
      <c r="A16" s="1132"/>
      <c r="B16" s="1586"/>
      <c r="C16" s="1133"/>
      <c r="D16" s="1134"/>
      <c r="E16" s="1135"/>
      <c r="F16" s="1136"/>
      <c r="G16" s="1137"/>
      <c r="H16" s="1138"/>
      <c r="I16" s="1139"/>
      <c r="J16" s="1134"/>
      <c r="K16" s="1138"/>
      <c r="L16" s="1140"/>
      <c r="M16" s="1141"/>
      <c r="N16" s="1142"/>
      <c r="O16" s="1137"/>
      <c r="P16" s="1138"/>
      <c r="Q16" s="1134"/>
      <c r="R16" s="1135"/>
      <c r="S16" s="1143"/>
      <c r="T16" s="1138"/>
      <c r="U16" s="1134"/>
      <c r="V16" s="1138"/>
      <c r="W16" s="1142"/>
      <c r="X16" s="1144"/>
      <c r="Y16" s="1145"/>
      <c r="Z16" s="1587"/>
      <c r="AA16" s="1152"/>
      <c r="AB16" s="1132"/>
      <c r="AC16" s="1139"/>
      <c r="AD16" s="1134"/>
      <c r="AE16" s="1138"/>
      <c r="AF16" s="1139"/>
      <c r="AG16" s="1134"/>
      <c r="AH16" s="1138"/>
      <c r="AI16" s="1134"/>
      <c r="AJ16" s="1138"/>
      <c r="AK16" s="1619"/>
      <c r="AL16" s="1620"/>
      <c r="AM16" s="1621"/>
      <c r="AN16" s="1139"/>
      <c r="AO16" s="1142"/>
      <c r="AP16" s="1141"/>
      <c r="AQ16" s="1623"/>
      <c r="AR16" s="1137"/>
      <c r="AS16" s="1138"/>
      <c r="AT16" s="1624"/>
      <c r="AU16" s="1625"/>
      <c r="AV16" s="1143"/>
      <c r="AW16" s="1138"/>
      <c r="AX16" s="1624"/>
      <c r="AY16" s="1625"/>
      <c r="AZ16" s="1143"/>
      <c r="BA16" s="1138"/>
      <c r="BB16" s="1624"/>
      <c r="BC16" s="1625"/>
      <c r="BD16" s="1143"/>
      <c r="BE16" s="1138"/>
      <c r="BF16" s="1624"/>
      <c r="BG16" s="1625"/>
      <c r="BH16" s="1291"/>
      <c r="BJ16" s="915" t="str">
        <f t="shared" ref="BJ16:BJ45" si="42">IF(AND(OR(ISBLANK(A16),A16=""),Z16&lt;&gt;""),BJ15,IF(OR(ISBLANK(A16),A16=""),"",A16))</f>
        <v/>
      </c>
      <c r="BK16" s="913" t="e">
        <f t="shared" si="0"/>
        <v>#REF!</v>
      </c>
      <c r="BL16" s="908" t="b">
        <v>0</v>
      </c>
      <c r="BM16" s="908">
        <f t="shared" si="1"/>
        <v>0</v>
      </c>
      <c r="BN16" s="908">
        <f t="shared" si="2"/>
        <v>0</v>
      </c>
      <c r="BO16" s="908">
        <f t="shared" si="3"/>
        <v>0</v>
      </c>
      <c r="BP16" s="908">
        <f t="shared" si="4"/>
        <v>0</v>
      </c>
      <c r="BQ16" s="908">
        <f t="shared" si="5"/>
        <v>0</v>
      </c>
      <c r="BR16" s="908" t="b">
        <f t="shared" si="6"/>
        <v>1</v>
      </c>
      <c r="BS16" s="1216">
        <f t="shared" si="7"/>
        <v>6</v>
      </c>
      <c r="BT16" s="909" t="str">
        <f t="shared" si="8"/>
        <v>No</v>
      </c>
      <c r="BU16" s="1216">
        <f t="shared" si="9"/>
        <v>6</v>
      </c>
      <c r="BV16" s="909" t="str">
        <f t="shared" si="10"/>
        <v>No</v>
      </c>
      <c r="BW16" s="910">
        <f t="shared" si="11"/>
        <v>0</v>
      </c>
      <c r="BX16" s="911" t="str">
        <f t="shared" si="12"/>
        <v/>
      </c>
      <c r="BY16" s="911" t="b">
        <f t="shared" si="13"/>
        <v>0</v>
      </c>
      <c r="BZ16" s="910" t="e">
        <f t="shared" si="35"/>
        <v>#REF!</v>
      </c>
      <c r="CB16" s="616"/>
      <c r="CC16" s="1567"/>
      <c r="CD16" s="645"/>
      <c r="CE16" s="646"/>
      <c r="CF16" s="647"/>
      <c r="CG16" s="660"/>
      <c r="CH16" s="661"/>
      <c r="CI16" s="662"/>
      <c r="CJ16" s="661"/>
      <c r="CK16" s="662"/>
      <c r="CL16" s="663"/>
      <c r="CM16" s="692"/>
      <c r="CN16" s="687"/>
      <c r="CO16" s="1430"/>
      <c r="CP16" s="839"/>
      <c r="CQ16" s="660"/>
      <c r="CR16" s="661"/>
      <c r="CS16" s="662"/>
      <c r="CT16" s="661"/>
      <c r="CU16" s="662"/>
      <c r="CV16" s="663"/>
      <c r="CW16" s="692"/>
      <c r="CX16" s="687"/>
      <c r="CY16" s="1430"/>
      <c r="CZ16" s="839"/>
      <c r="DA16" s="665"/>
      <c r="DB16" s="648"/>
      <c r="DC16" s="649"/>
      <c r="DD16" s="674"/>
      <c r="DE16" s="675"/>
      <c r="DF16" s="58"/>
      <c r="DG16" s="58"/>
      <c r="DH16" s="616"/>
      <c r="DI16" s="617"/>
      <c r="DJ16" s="638"/>
      <c r="DK16" s="1245"/>
      <c r="DL16" s="618"/>
      <c r="DM16" s="639"/>
      <c r="DN16" s="1248"/>
      <c r="DO16" s="619"/>
      <c r="DP16" s="620"/>
      <c r="DQ16" s="1294"/>
      <c r="DR16" s="621"/>
      <c r="DS16" s="1294"/>
      <c r="DT16" s="1296"/>
      <c r="DU16" s="1297"/>
      <c r="DV16" s="622"/>
      <c r="DW16" s="1250"/>
      <c r="DX16" s="623"/>
      <c r="DY16" s="624"/>
      <c r="DZ16" s="622"/>
      <c r="EA16" s="1250"/>
      <c r="EB16" s="623"/>
      <c r="EC16" s="624"/>
      <c r="ED16" s="622"/>
      <c r="EE16" s="1250"/>
      <c r="EF16" s="623"/>
      <c r="EG16" s="624"/>
      <c r="EH16" s="622"/>
      <c r="EI16" s="1250"/>
      <c r="EJ16" s="623"/>
      <c r="EK16" s="625"/>
      <c r="EL16" s="147"/>
      <c r="EM16" s="1513" t="str">
        <f t="shared" si="14"/>
        <v/>
      </c>
      <c r="EN16" s="1303" t="str">
        <f t="shared" si="15"/>
        <v/>
      </c>
      <c r="EO16" s="1304" t="str">
        <f t="shared" si="16"/>
        <v/>
      </c>
      <c r="EP16" s="1305" t="str">
        <f t="shared" si="17"/>
        <v/>
      </c>
      <c r="EQ16" s="1309" t="str">
        <f t="shared" si="18"/>
        <v/>
      </c>
      <c r="ER16" s="1315" t="str">
        <f t="shared" si="19"/>
        <v/>
      </c>
      <c r="ES16" s="1316" t="str">
        <f t="shared" si="20"/>
        <v/>
      </c>
      <c r="ET16" s="1317" t="str">
        <f t="shared" si="21"/>
        <v/>
      </c>
      <c r="EU16" s="1318" t="str">
        <f t="shared" si="36"/>
        <v/>
      </c>
      <c r="EX16" s="870" t="str">
        <f t="shared" si="37"/>
        <v/>
      </c>
      <c r="EY16" s="872" t="str">
        <f t="shared" si="22"/>
        <v/>
      </c>
      <c r="EZ16" s="872" t="str">
        <f t="shared" si="38"/>
        <v/>
      </c>
      <c r="FA16" s="891" t="str">
        <f t="shared" ref="FA16:FA45" si="43">IF(FB16="","",IF(FC16=0,FA15,FB16=FF16))</f>
        <v/>
      </c>
      <c r="FB16" s="892" t="str">
        <f t="shared" si="39"/>
        <v/>
      </c>
      <c r="FC16" s="892">
        <f t="shared" si="23"/>
        <v>0</v>
      </c>
      <c r="FD16" s="892">
        <f t="shared" si="24"/>
        <v>0</v>
      </c>
      <c r="FE16" s="892">
        <f t="shared" si="25"/>
        <v>0</v>
      </c>
      <c r="FF16" s="892">
        <f t="shared" si="40"/>
        <v>590</v>
      </c>
      <c r="FN16" s="703" t="b">
        <v>0</v>
      </c>
      <c r="FO16" s="703" t="b">
        <f t="shared" si="26"/>
        <v>0</v>
      </c>
      <c r="FP16" s="1254" t="b">
        <v>0</v>
      </c>
      <c r="FQ16" s="703" t="b">
        <f t="shared" si="41"/>
        <v>0</v>
      </c>
      <c r="FW16" s="1"/>
      <c r="FX16" s="1"/>
      <c r="FZ16" s="1"/>
      <c r="GA16" s="524" t="str">
        <f t="shared" si="27"/>
        <v/>
      </c>
      <c r="GB16" s="566" t="str">
        <f t="shared" si="28"/>
        <v/>
      </c>
      <c r="GC16" s="568" t="str">
        <f t="shared" si="29"/>
        <v/>
      </c>
      <c r="GD16" s="569" t="str">
        <f t="shared" si="30"/>
        <v/>
      </c>
      <c r="GE16" s="567" t="str">
        <f t="shared" si="31"/>
        <v/>
      </c>
      <c r="GF16" s="525" t="str">
        <f t="shared" si="32"/>
        <v/>
      </c>
      <c r="GG16" s="1056"/>
      <c r="GH16" s="1058"/>
      <c r="GI16" s="1056"/>
      <c r="GJ16" s="1058"/>
      <c r="GK16" s="1523">
        <f t="shared" si="33"/>
        <v>0</v>
      </c>
      <c r="GL16" s="1523" t="e">
        <f t="shared" si="34"/>
        <v>#VALUE!</v>
      </c>
      <c r="GM16" s="1524" t="e">
        <f>IF(ABS(GK16-GL16)&gt;=#REF!,ABS(GK16-GL16),0)</f>
        <v>#VALUE!</v>
      </c>
      <c r="GN16" s="56"/>
      <c r="GO16" s="57"/>
      <c r="GP16" s="57"/>
      <c r="GZ16" s="57"/>
      <c r="HA16" s="1159"/>
      <c r="HB16" s="1160"/>
      <c r="HC16" s="1160"/>
      <c r="HD16" s="1161"/>
      <c r="HE16" s="1162"/>
      <c r="HF16" s="1160"/>
      <c r="HG16" s="1160"/>
      <c r="HH16" s="1160"/>
      <c r="HI16" s="1160"/>
      <c r="HJ16" s="1160"/>
      <c r="HK16" s="1160"/>
      <c r="HL16" s="1160"/>
      <c r="HM16" s="1160"/>
      <c r="HN16" s="1160"/>
      <c r="HO16" s="1160"/>
      <c r="HP16" s="1160"/>
      <c r="HQ16" s="1160"/>
      <c r="HR16" s="1160"/>
      <c r="HS16" s="1160"/>
      <c r="HT16" s="1160"/>
      <c r="HU16" s="1160"/>
      <c r="HV16" s="1160"/>
      <c r="HW16" s="1160"/>
      <c r="HX16" s="1160"/>
      <c r="HY16" s="1164"/>
      <c r="HZ16" s="1164"/>
      <c r="IA16" s="1164"/>
      <c r="IB16" s="1164"/>
      <c r="IC16" s="1164"/>
      <c r="ID16" s="1179"/>
      <c r="IE16" s="1159"/>
      <c r="IF16" s="1160"/>
      <c r="IG16" s="1161"/>
      <c r="IH16" s="1162"/>
      <c r="II16" s="1160"/>
      <c r="IJ16" s="1161"/>
      <c r="IK16" s="1162"/>
      <c r="IL16" s="1160"/>
      <c r="IM16" s="1160"/>
      <c r="IN16" s="1160"/>
      <c r="IO16" s="1160"/>
      <c r="IP16" s="1160"/>
      <c r="IQ16" s="1160"/>
      <c r="IR16" s="1160"/>
      <c r="IS16" s="1161"/>
      <c r="IT16" s="1162"/>
      <c r="IU16" s="1160"/>
      <c r="IV16" s="1160"/>
      <c r="IW16" s="1161"/>
      <c r="IX16" s="1162"/>
      <c r="IY16" s="1160"/>
      <c r="IZ16" s="1160"/>
      <c r="JA16" s="1161"/>
      <c r="JB16" s="1162"/>
      <c r="JC16" s="1160"/>
      <c r="JD16" s="1160"/>
      <c r="JE16" s="1161"/>
      <c r="JF16" s="1162"/>
      <c r="JG16" s="1160"/>
      <c r="JH16" s="1160"/>
      <c r="JI16" s="1160"/>
      <c r="JJ16" s="1163"/>
      <c r="JK16" s="1160"/>
      <c r="JL16" s="1103">
        <f t="shared" ref="JL16:JL45" ca="1" si="44">IF(ISBLANK(JK16),IF(JL15=0,0,IF(VALUE(OFFSET(JK16,JL15*-1,0))&lt;JL15+1,0,JL15+1)),1)</f>
        <v>0</v>
      </c>
    </row>
    <row r="17" spans="1:272" ht="12.6" customHeight="1" x14ac:dyDescent="0.25">
      <c r="A17" s="1132" t="s">
        <v>823</v>
      </c>
      <c r="B17" s="1586">
        <v>1</v>
      </c>
      <c r="C17" s="1133" t="s">
        <v>826</v>
      </c>
      <c r="D17" s="1134">
        <v>49</v>
      </c>
      <c r="E17" s="1135">
        <v>8.75</v>
      </c>
      <c r="F17" s="1136"/>
      <c r="G17" s="1137">
        <v>0</v>
      </c>
      <c r="H17" s="1138">
        <v>1.75</v>
      </c>
      <c r="I17" s="1139" t="s">
        <v>87</v>
      </c>
      <c r="J17" s="1134">
        <v>0</v>
      </c>
      <c r="K17" s="1138">
        <v>5</v>
      </c>
      <c r="L17" s="1140" t="s">
        <v>87</v>
      </c>
      <c r="M17" s="1141">
        <v>7.5</v>
      </c>
      <c r="N17" s="1142">
        <v>14</v>
      </c>
      <c r="O17" s="1137">
        <v>0</v>
      </c>
      <c r="P17" s="1138">
        <v>6.25</v>
      </c>
      <c r="Q17" s="1134">
        <v>0</v>
      </c>
      <c r="R17" s="1135">
        <v>6.5</v>
      </c>
      <c r="S17" s="1143">
        <v>0</v>
      </c>
      <c r="T17" s="1138">
        <v>6.25</v>
      </c>
      <c r="U17" s="1134">
        <v>0</v>
      </c>
      <c r="V17" s="1138">
        <v>5.5</v>
      </c>
      <c r="W17" s="1142">
        <v>5</v>
      </c>
      <c r="X17" s="1144"/>
      <c r="Y17" s="1145"/>
      <c r="Z17" s="1587" t="s">
        <v>831</v>
      </c>
      <c r="AA17" s="1152"/>
      <c r="AB17" s="1132" t="s">
        <v>823</v>
      </c>
      <c r="AC17" s="1139" t="s">
        <v>35</v>
      </c>
      <c r="AD17" s="1134">
        <v>5</v>
      </c>
      <c r="AE17" s="1138">
        <v>4.75</v>
      </c>
      <c r="AF17" s="1139">
        <v>7</v>
      </c>
      <c r="AG17" s="1134">
        <v>5</v>
      </c>
      <c r="AH17" s="1138">
        <v>6.625</v>
      </c>
      <c r="AI17" s="1134">
        <v>4</v>
      </c>
      <c r="AJ17" s="1138">
        <v>10.875</v>
      </c>
      <c r="AK17" s="1619"/>
      <c r="AL17" s="1620" t="s">
        <v>35</v>
      </c>
      <c r="AM17" s="1621">
        <v>5</v>
      </c>
      <c r="AN17" s="1139">
        <v>13</v>
      </c>
      <c r="AO17" s="1142">
        <v>4</v>
      </c>
      <c r="AP17" s="1141">
        <v>1.75</v>
      </c>
      <c r="AQ17" s="1623"/>
      <c r="AR17" s="1137">
        <v>49</v>
      </c>
      <c r="AS17" s="1138">
        <v>0</v>
      </c>
      <c r="AT17" s="1624">
        <v>7.9</v>
      </c>
      <c r="AU17" s="1625" t="s">
        <v>35</v>
      </c>
      <c r="AV17" s="1143"/>
      <c r="AW17" s="1138"/>
      <c r="AX17" s="1624"/>
      <c r="AY17" s="1625"/>
      <c r="AZ17" s="1143"/>
      <c r="BA17" s="1138"/>
      <c r="BB17" s="1624"/>
      <c r="BC17" s="1625"/>
      <c r="BD17" s="1143"/>
      <c r="BE17" s="1138"/>
      <c r="BF17" s="1624"/>
      <c r="BG17" s="1625"/>
      <c r="BH17" s="1291"/>
      <c r="BJ17" s="915" t="str">
        <f t="shared" si="42"/>
        <v>G30</v>
      </c>
      <c r="BK17" s="913" t="e">
        <f t="shared" si="0"/>
        <v>#REF!</v>
      </c>
      <c r="BL17" s="908" t="b">
        <v>0</v>
      </c>
      <c r="BM17" s="908">
        <f t="shared" si="1"/>
        <v>60</v>
      </c>
      <c r="BN17" s="908" t="str">
        <f t="shared" si="2"/>
        <v>G</v>
      </c>
      <c r="BO17" s="908">
        <f t="shared" si="3"/>
        <v>9</v>
      </c>
      <c r="BP17" s="908">
        <f t="shared" si="4"/>
        <v>7.9</v>
      </c>
      <c r="BQ17" s="908">
        <f t="shared" si="5"/>
        <v>2</v>
      </c>
      <c r="BR17" s="908" t="b">
        <f t="shared" si="6"/>
        <v>1</v>
      </c>
      <c r="BS17" s="1216">
        <f t="shared" si="7"/>
        <v>7.75</v>
      </c>
      <c r="BT17" s="909" t="e">
        <f t="shared" si="8"/>
        <v>#REF!</v>
      </c>
      <c r="BU17" s="1216">
        <f t="shared" si="9"/>
        <v>11</v>
      </c>
      <c r="BV17" s="909" t="e">
        <f t="shared" si="10"/>
        <v>#REF!</v>
      </c>
      <c r="BW17" s="910">
        <f t="shared" si="11"/>
        <v>18</v>
      </c>
      <c r="BX17" s="911" t="str">
        <f t="shared" si="12"/>
        <v>G30</v>
      </c>
      <c r="BY17" s="911" t="b">
        <f t="shared" si="13"/>
        <v>0</v>
      </c>
      <c r="BZ17" s="910" t="e">
        <f t="shared" si="35"/>
        <v>#REF!</v>
      </c>
      <c r="CB17" s="616"/>
      <c r="CC17" s="1567"/>
      <c r="CD17" s="645"/>
      <c r="CE17" s="646"/>
      <c r="CF17" s="647"/>
      <c r="CG17" s="660"/>
      <c r="CH17" s="661"/>
      <c r="CI17" s="662"/>
      <c r="CJ17" s="661"/>
      <c r="CK17" s="662"/>
      <c r="CL17" s="663"/>
      <c r="CM17" s="692"/>
      <c r="CN17" s="687"/>
      <c r="CO17" s="1430"/>
      <c r="CP17" s="839"/>
      <c r="CQ17" s="660"/>
      <c r="CR17" s="661"/>
      <c r="CS17" s="662"/>
      <c r="CT17" s="661"/>
      <c r="CU17" s="662"/>
      <c r="CV17" s="663"/>
      <c r="CW17" s="692"/>
      <c r="CX17" s="687"/>
      <c r="CY17" s="1430"/>
      <c r="CZ17" s="839"/>
      <c r="DA17" s="665"/>
      <c r="DB17" s="648"/>
      <c r="DC17" s="649"/>
      <c r="DD17" s="674"/>
      <c r="DE17" s="675"/>
      <c r="DF17" s="58"/>
      <c r="DG17" s="58"/>
      <c r="DH17" s="616"/>
      <c r="DI17" s="617"/>
      <c r="DJ17" s="638"/>
      <c r="DK17" s="1245"/>
      <c r="DL17" s="618"/>
      <c r="DM17" s="639"/>
      <c r="DN17" s="1248"/>
      <c r="DO17" s="619"/>
      <c r="DP17" s="620"/>
      <c r="DQ17" s="1294"/>
      <c r="DR17" s="621"/>
      <c r="DS17" s="1294"/>
      <c r="DT17" s="1296"/>
      <c r="DU17" s="1297"/>
      <c r="DV17" s="622"/>
      <c r="DW17" s="1250"/>
      <c r="DX17" s="623"/>
      <c r="DY17" s="624"/>
      <c r="DZ17" s="622"/>
      <c r="EA17" s="1250"/>
      <c r="EB17" s="623"/>
      <c r="EC17" s="624"/>
      <c r="ED17" s="622"/>
      <c r="EE17" s="1250"/>
      <c r="EF17" s="623"/>
      <c r="EG17" s="624"/>
      <c r="EH17" s="622"/>
      <c r="EI17" s="1250"/>
      <c r="EJ17" s="623"/>
      <c r="EK17" s="625"/>
      <c r="EL17" s="147"/>
      <c r="EM17" s="1513" t="str">
        <f t="shared" si="14"/>
        <v/>
      </c>
      <c r="EN17" s="1303" t="str">
        <f t="shared" si="15"/>
        <v/>
      </c>
      <c r="EO17" s="1304" t="str">
        <f t="shared" si="16"/>
        <v/>
      </c>
      <c r="EP17" s="1305" t="str">
        <f t="shared" si="17"/>
        <v/>
      </c>
      <c r="EQ17" s="1309" t="str">
        <f t="shared" si="18"/>
        <v/>
      </c>
      <c r="ER17" s="1315" t="str">
        <f t="shared" si="19"/>
        <v/>
      </c>
      <c r="ES17" s="1316" t="str">
        <f t="shared" si="20"/>
        <v/>
      </c>
      <c r="ET17" s="1317" t="str">
        <f t="shared" si="21"/>
        <v/>
      </c>
      <c r="EU17" s="1318" t="str">
        <f t="shared" si="36"/>
        <v/>
      </c>
      <c r="EX17" s="870" t="str">
        <f t="shared" si="37"/>
        <v>G30B</v>
      </c>
      <c r="EY17" s="872" t="b">
        <f t="shared" si="22"/>
        <v>1</v>
      </c>
      <c r="EZ17" s="872">
        <f t="shared" si="38"/>
        <v>0</v>
      </c>
      <c r="FA17" s="891" t="b">
        <f t="shared" si="43"/>
        <v>1</v>
      </c>
      <c r="FB17" s="892">
        <f t="shared" si="39"/>
        <v>590</v>
      </c>
      <c r="FC17" s="892">
        <f t="shared" si="23"/>
        <v>64.75</v>
      </c>
      <c r="FD17" s="892">
        <f t="shared" si="24"/>
        <v>466.375</v>
      </c>
      <c r="FE17" s="892">
        <f t="shared" si="25"/>
        <v>58.875</v>
      </c>
      <c r="FF17" s="892">
        <f t="shared" si="40"/>
        <v>590</v>
      </c>
      <c r="FN17" s="703" t="b">
        <v>0</v>
      </c>
      <c r="FO17" s="703" t="b">
        <f t="shared" si="26"/>
        <v>1</v>
      </c>
      <c r="FP17" s="1254" t="b">
        <v>0</v>
      </c>
      <c r="FQ17" s="703" t="b">
        <f t="shared" si="41"/>
        <v>1</v>
      </c>
      <c r="FW17" s="1"/>
      <c r="FX17" s="1"/>
      <c r="FZ17" s="1"/>
      <c r="GA17" s="524">
        <f t="shared" si="27"/>
        <v>0</v>
      </c>
      <c r="GB17" s="566">
        <f t="shared" si="28"/>
        <v>0</v>
      </c>
      <c r="GC17" s="568">
        <f t="shared" si="29"/>
        <v>0</v>
      </c>
      <c r="GD17" s="569">
        <f t="shared" si="30"/>
        <v>0</v>
      </c>
      <c r="GE17" s="567">
        <f t="shared" si="31"/>
        <v>0</v>
      </c>
      <c r="GF17" s="525" t="str">
        <f t="shared" si="32"/>
        <v>G30</v>
      </c>
      <c r="GG17" s="1056"/>
      <c r="GH17" s="1058"/>
      <c r="GI17" s="1056"/>
      <c r="GJ17" s="1058"/>
      <c r="GK17" s="1523">
        <f t="shared" si="33"/>
        <v>596.75</v>
      </c>
      <c r="GL17" s="1523">
        <f t="shared" si="34"/>
        <v>0</v>
      </c>
      <c r="GM17" s="1524" t="e">
        <f>IF(ABS(GK17-GL17)&gt;=#REF!,ABS(GK17-GL17),0)</f>
        <v>#REF!</v>
      </c>
      <c r="HA17" s="1159"/>
      <c r="HB17" s="1160"/>
      <c r="HC17" s="1160"/>
      <c r="HD17" s="1161"/>
      <c r="HE17" s="1162"/>
      <c r="HF17" s="1160"/>
      <c r="HG17" s="1160"/>
      <c r="HH17" s="1160"/>
      <c r="HI17" s="1160"/>
      <c r="HJ17" s="1160"/>
      <c r="HK17" s="1160"/>
      <c r="HL17" s="1160"/>
      <c r="HM17" s="1160"/>
      <c r="HN17" s="1160"/>
      <c r="HO17" s="1160"/>
      <c r="HP17" s="1160"/>
      <c r="HQ17" s="1160"/>
      <c r="HR17" s="1160"/>
      <c r="HS17" s="1160"/>
      <c r="HT17" s="1160"/>
      <c r="HU17" s="1160"/>
      <c r="HV17" s="1160"/>
      <c r="HW17" s="1160"/>
      <c r="HX17" s="1160"/>
      <c r="HY17" s="1164"/>
      <c r="HZ17" s="1164"/>
      <c r="IA17" s="1164"/>
      <c r="IB17" s="1164"/>
      <c r="IC17" s="1164"/>
      <c r="ID17" s="1179"/>
      <c r="IE17" s="1159"/>
      <c r="IF17" s="1160"/>
      <c r="IG17" s="1161"/>
      <c r="IH17" s="1162"/>
      <c r="II17" s="1160"/>
      <c r="IJ17" s="1161"/>
      <c r="IK17" s="1162"/>
      <c r="IL17" s="1160"/>
      <c r="IM17" s="1160"/>
      <c r="IN17" s="1160"/>
      <c r="IO17" s="1160"/>
      <c r="IP17" s="1160"/>
      <c r="IQ17" s="1160"/>
      <c r="IR17" s="1160"/>
      <c r="IS17" s="1161"/>
      <c r="IT17" s="1162"/>
      <c r="IU17" s="1160"/>
      <c r="IV17" s="1160"/>
      <c r="IW17" s="1161"/>
      <c r="IX17" s="1162"/>
      <c r="IY17" s="1160"/>
      <c r="IZ17" s="1160"/>
      <c r="JA17" s="1161"/>
      <c r="JB17" s="1162"/>
      <c r="JC17" s="1160"/>
      <c r="JD17" s="1160"/>
      <c r="JE17" s="1161"/>
      <c r="JF17" s="1162"/>
      <c r="JG17" s="1160"/>
      <c r="JH17" s="1160"/>
      <c r="JI17" s="1160"/>
      <c r="JJ17" s="1163"/>
      <c r="JK17" s="1160"/>
      <c r="JL17" s="1103">
        <f t="shared" ca="1" si="44"/>
        <v>0</v>
      </c>
    </row>
    <row r="18" spans="1:272" ht="12.6" customHeight="1" x14ac:dyDescent="0.25">
      <c r="A18" s="1132"/>
      <c r="B18" s="1586"/>
      <c r="C18" s="1133"/>
      <c r="D18" s="1134"/>
      <c r="E18" s="1135"/>
      <c r="F18" s="1136"/>
      <c r="G18" s="1137"/>
      <c r="H18" s="1138"/>
      <c r="I18" s="1139"/>
      <c r="J18" s="1134"/>
      <c r="K18" s="1138"/>
      <c r="L18" s="1140"/>
      <c r="M18" s="1141"/>
      <c r="N18" s="1142"/>
      <c r="O18" s="1137"/>
      <c r="P18" s="1138"/>
      <c r="Q18" s="1134"/>
      <c r="R18" s="1135"/>
      <c r="S18" s="1143"/>
      <c r="T18" s="1138"/>
      <c r="U18" s="1134"/>
      <c r="V18" s="1138"/>
      <c r="W18" s="1142"/>
      <c r="X18" s="1144"/>
      <c r="Y18" s="1145"/>
      <c r="Z18" s="1587"/>
      <c r="AA18" s="1152"/>
      <c r="AB18" s="1132"/>
      <c r="AC18" s="1139"/>
      <c r="AD18" s="1134"/>
      <c r="AE18" s="1138"/>
      <c r="AF18" s="1139"/>
      <c r="AG18" s="1134"/>
      <c r="AH18" s="1138"/>
      <c r="AI18" s="1134"/>
      <c r="AJ18" s="1138"/>
      <c r="AK18" s="1619"/>
      <c r="AL18" s="1620"/>
      <c r="AM18" s="1621"/>
      <c r="AN18" s="1139"/>
      <c r="AO18" s="1142"/>
      <c r="AP18" s="1141"/>
      <c r="AQ18" s="1623"/>
      <c r="AR18" s="1137"/>
      <c r="AS18" s="1138"/>
      <c r="AT18" s="1624"/>
      <c r="AU18" s="1625"/>
      <c r="AV18" s="1143"/>
      <c r="AW18" s="1138"/>
      <c r="AX18" s="1624"/>
      <c r="AY18" s="1625"/>
      <c r="AZ18" s="1143"/>
      <c r="BA18" s="1138"/>
      <c r="BB18" s="1624"/>
      <c r="BC18" s="1625"/>
      <c r="BD18" s="1143"/>
      <c r="BE18" s="1138"/>
      <c r="BF18" s="1624"/>
      <c r="BG18" s="1625"/>
      <c r="BH18" s="1291"/>
      <c r="BJ18" s="915" t="str">
        <f t="shared" si="42"/>
        <v/>
      </c>
      <c r="BK18" s="913" t="e">
        <f t="shared" si="0"/>
        <v>#REF!</v>
      </c>
      <c r="BL18" s="908" t="b">
        <v>0</v>
      </c>
      <c r="BM18" s="908">
        <f t="shared" si="1"/>
        <v>0</v>
      </c>
      <c r="BN18" s="908">
        <f t="shared" si="2"/>
        <v>0</v>
      </c>
      <c r="BO18" s="908">
        <f t="shared" si="3"/>
        <v>0</v>
      </c>
      <c r="BP18" s="908">
        <f t="shared" si="4"/>
        <v>0</v>
      </c>
      <c r="BQ18" s="908">
        <f t="shared" si="5"/>
        <v>0</v>
      </c>
      <c r="BR18" s="908" t="b">
        <f t="shared" si="6"/>
        <v>1</v>
      </c>
      <c r="BS18" s="1216">
        <f t="shared" si="7"/>
        <v>6</v>
      </c>
      <c r="BT18" s="909" t="str">
        <f t="shared" si="8"/>
        <v>No</v>
      </c>
      <c r="BU18" s="1216">
        <f t="shared" si="9"/>
        <v>6</v>
      </c>
      <c r="BV18" s="909" t="str">
        <f t="shared" si="10"/>
        <v>No</v>
      </c>
      <c r="BW18" s="910">
        <f t="shared" si="11"/>
        <v>0</v>
      </c>
      <c r="BX18" s="911" t="str">
        <f t="shared" si="12"/>
        <v/>
      </c>
      <c r="BY18" s="911" t="b">
        <f t="shared" si="13"/>
        <v>0</v>
      </c>
      <c r="BZ18" s="910" t="e">
        <f t="shared" si="35"/>
        <v>#REF!</v>
      </c>
      <c r="CB18" s="616"/>
      <c r="CC18" s="1567"/>
      <c r="CD18" s="645"/>
      <c r="CE18" s="646"/>
      <c r="CF18" s="647"/>
      <c r="CG18" s="660"/>
      <c r="CH18" s="661"/>
      <c r="CI18" s="662"/>
      <c r="CJ18" s="661"/>
      <c r="CK18" s="662"/>
      <c r="CL18" s="663"/>
      <c r="CM18" s="692"/>
      <c r="CN18" s="687"/>
      <c r="CO18" s="1430"/>
      <c r="CP18" s="839"/>
      <c r="CQ18" s="660"/>
      <c r="CR18" s="661"/>
      <c r="CS18" s="662"/>
      <c r="CT18" s="661"/>
      <c r="CU18" s="662"/>
      <c r="CV18" s="663"/>
      <c r="CW18" s="692"/>
      <c r="CX18" s="687"/>
      <c r="CY18" s="1430"/>
      <c r="CZ18" s="839"/>
      <c r="DA18" s="665"/>
      <c r="DB18" s="648"/>
      <c r="DC18" s="649"/>
      <c r="DD18" s="674"/>
      <c r="DE18" s="675"/>
      <c r="DF18" s="58"/>
      <c r="DG18" s="58"/>
      <c r="DH18" s="616"/>
      <c r="DI18" s="617"/>
      <c r="DJ18" s="638"/>
      <c r="DK18" s="1245"/>
      <c r="DL18" s="618"/>
      <c r="DM18" s="639"/>
      <c r="DN18" s="1248"/>
      <c r="DO18" s="619"/>
      <c r="DP18" s="620"/>
      <c r="DQ18" s="1294"/>
      <c r="DR18" s="621"/>
      <c r="DS18" s="1294"/>
      <c r="DT18" s="1296"/>
      <c r="DU18" s="1297"/>
      <c r="DV18" s="622"/>
      <c r="DW18" s="1250"/>
      <c r="DX18" s="623"/>
      <c r="DY18" s="624"/>
      <c r="DZ18" s="622"/>
      <c r="EA18" s="1250"/>
      <c r="EB18" s="623"/>
      <c r="EC18" s="624"/>
      <c r="ED18" s="622"/>
      <c r="EE18" s="1250"/>
      <c r="EF18" s="623"/>
      <c r="EG18" s="624"/>
      <c r="EH18" s="622"/>
      <c r="EI18" s="1250"/>
      <c r="EJ18" s="623"/>
      <c r="EK18" s="625"/>
      <c r="EL18" s="147"/>
      <c r="EM18" s="1513" t="str">
        <f t="shared" si="14"/>
        <v/>
      </c>
      <c r="EN18" s="1303" t="str">
        <f t="shared" si="15"/>
        <v/>
      </c>
      <c r="EO18" s="1304" t="str">
        <f t="shared" si="16"/>
        <v/>
      </c>
      <c r="EP18" s="1305" t="str">
        <f t="shared" si="17"/>
        <v/>
      </c>
      <c r="EQ18" s="1309" t="str">
        <f t="shared" si="18"/>
        <v/>
      </c>
      <c r="ER18" s="1315" t="str">
        <f t="shared" si="19"/>
        <v/>
      </c>
      <c r="ES18" s="1316" t="str">
        <f t="shared" si="20"/>
        <v/>
      </c>
      <c r="ET18" s="1317" t="str">
        <f t="shared" si="21"/>
        <v/>
      </c>
      <c r="EU18" s="1318" t="str">
        <f t="shared" si="36"/>
        <v/>
      </c>
      <c r="EX18" s="870" t="str">
        <f t="shared" si="37"/>
        <v/>
      </c>
      <c r="EY18" s="872" t="str">
        <f t="shared" si="22"/>
        <v/>
      </c>
      <c r="EZ18" s="872" t="str">
        <f t="shared" si="38"/>
        <v/>
      </c>
      <c r="FA18" s="891" t="str">
        <f t="shared" si="43"/>
        <v/>
      </c>
      <c r="FB18" s="892" t="str">
        <f t="shared" si="39"/>
        <v/>
      </c>
      <c r="FC18" s="892">
        <f t="shared" si="23"/>
        <v>0</v>
      </c>
      <c r="FD18" s="892">
        <f t="shared" si="24"/>
        <v>0</v>
      </c>
      <c r="FE18" s="892">
        <f t="shared" si="25"/>
        <v>0</v>
      </c>
      <c r="FF18" s="892">
        <f t="shared" si="40"/>
        <v>590</v>
      </c>
      <c r="FN18" s="703" t="b">
        <v>0</v>
      </c>
      <c r="FO18" s="703" t="b">
        <f t="shared" si="26"/>
        <v>0</v>
      </c>
      <c r="FP18" s="1254" t="b">
        <v>0</v>
      </c>
      <c r="FQ18" s="703" t="b">
        <f t="shared" si="41"/>
        <v>0</v>
      </c>
      <c r="FW18" s="1"/>
      <c r="FX18" s="1"/>
      <c r="FZ18" s="1"/>
      <c r="GA18" s="524" t="str">
        <f t="shared" si="27"/>
        <v/>
      </c>
      <c r="GB18" s="566" t="str">
        <f t="shared" si="28"/>
        <v/>
      </c>
      <c r="GC18" s="568" t="str">
        <f t="shared" si="29"/>
        <v/>
      </c>
      <c r="GD18" s="569" t="str">
        <f t="shared" si="30"/>
        <v/>
      </c>
      <c r="GE18" s="567" t="str">
        <f t="shared" si="31"/>
        <v/>
      </c>
      <c r="GF18" s="525" t="str">
        <f t="shared" si="32"/>
        <v/>
      </c>
      <c r="GG18" s="1056"/>
      <c r="GH18" s="1058"/>
      <c r="GI18" s="1056"/>
      <c r="GJ18" s="1058"/>
      <c r="GK18" s="1523">
        <f t="shared" si="33"/>
        <v>0</v>
      </c>
      <c r="GL18" s="1523" t="e">
        <f t="shared" si="34"/>
        <v>#VALUE!</v>
      </c>
      <c r="GM18" s="1524" t="e">
        <f>IF(ABS(GK18-GL18)&gt;=#REF!,ABS(GK18-GL18),0)</f>
        <v>#VALUE!</v>
      </c>
      <c r="HA18" s="1159"/>
      <c r="HB18" s="1160"/>
      <c r="HC18" s="1160"/>
      <c r="HD18" s="1161"/>
      <c r="HE18" s="1162"/>
      <c r="HF18" s="1160"/>
      <c r="HG18" s="1160"/>
      <c r="HH18" s="1160"/>
      <c r="HI18" s="1160"/>
      <c r="HJ18" s="1160"/>
      <c r="HK18" s="1160"/>
      <c r="HL18" s="1160"/>
      <c r="HM18" s="1160"/>
      <c r="HN18" s="1160"/>
      <c r="HO18" s="1160"/>
      <c r="HP18" s="1160"/>
      <c r="HQ18" s="1160"/>
      <c r="HR18" s="1160"/>
      <c r="HS18" s="1160"/>
      <c r="HT18" s="1160"/>
      <c r="HU18" s="1160"/>
      <c r="HV18" s="1160"/>
      <c r="HW18" s="1160"/>
      <c r="HX18" s="1160"/>
      <c r="HY18" s="1164"/>
      <c r="HZ18" s="1164"/>
      <c r="IA18" s="1164"/>
      <c r="IB18" s="1164"/>
      <c r="IC18" s="1164"/>
      <c r="ID18" s="1179"/>
      <c r="IE18" s="1159"/>
      <c r="IF18" s="1160"/>
      <c r="IG18" s="1161"/>
      <c r="IH18" s="1162"/>
      <c r="II18" s="1160"/>
      <c r="IJ18" s="1161"/>
      <c r="IK18" s="1162"/>
      <c r="IL18" s="1160"/>
      <c r="IM18" s="1160"/>
      <c r="IN18" s="1160"/>
      <c r="IO18" s="1160"/>
      <c r="IP18" s="1160"/>
      <c r="IQ18" s="1160"/>
      <c r="IR18" s="1160"/>
      <c r="IS18" s="1161"/>
      <c r="IT18" s="1162"/>
      <c r="IU18" s="1160"/>
      <c r="IV18" s="1160"/>
      <c r="IW18" s="1161"/>
      <c r="IX18" s="1162"/>
      <c r="IY18" s="1160"/>
      <c r="IZ18" s="1160"/>
      <c r="JA18" s="1161"/>
      <c r="JB18" s="1162"/>
      <c r="JC18" s="1160"/>
      <c r="JD18" s="1160"/>
      <c r="JE18" s="1161"/>
      <c r="JF18" s="1162"/>
      <c r="JG18" s="1160"/>
      <c r="JH18" s="1160"/>
      <c r="JI18" s="1160"/>
      <c r="JJ18" s="1163"/>
      <c r="JK18" s="1160"/>
      <c r="JL18" s="1103">
        <f t="shared" ca="1" si="44"/>
        <v>0</v>
      </c>
    </row>
    <row r="19" spans="1:272" ht="12.6" customHeight="1" x14ac:dyDescent="0.25">
      <c r="A19" s="1132"/>
      <c r="B19" s="1586"/>
      <c r="C19" s="1133"/>
      <c r="D19" s="1134"/>
      <c r="E19" s="1135"/>
      <c r="F19" s="1136"/>
      <c r="G19" s="1137"/>
      <c r="H19" s="1138"/>
      <c r="I19" s="1139"/>
      <c r="J19" s="1134"/>
      <c r="K19" s="1138"/>
      <c r="L19" s="1140"/>
      <c r="M19" s="1141"/>
      <c r="N19" s="1142"/>
      <c r="O19" s="1137"/>
      <c r="P19" s="1138"/>
      <c r="Q19" s="1134"/>
      <c r="R19" s="1135"/>
      <c r="S19" s="1143"/>
      <c r="T19" s="1138"/>
      <c r="U19" s="1134"/>
      <c r="V19" s="1138"/>
      <c r="W19" s="1142"/>
      <c r="X19" s="1144"/>
      <c r="Y19" s="1145"/>
      <c r="Z19" s="1587"/>
      <c r="AA19" s="1152"/>
      <c r="AB19" s="1132"/>
      <c r="AC19" s="1139"/>
      <c r="AD19" s="1134"/>
      <c r="AE19" s="1138"/>
      <c r="AF19" s="1139"/>
      <c r="AG19" s="1134"/>
      <c r="AH19" s="1138"/>
      <c r="AI19" s="1134"/>
      <c r="AJ19" s="1138"/>
      <c r="AK19" s="1619"/>
      <c r="AL19" s="1620"/>
      <c r="AM19" s="1621"/>
      <c r="AN19" s="1139"/>
      <c r="AO19" s="1142"/>
      <c r="AP19" s="1141"/>
      <c r="AQ19" s="1623"/>
      <c r="AR19" s="1137"/>
      <c r="AS19" s="1138"/>
      <c r="AT19" s="1624"/>
      <c r="AU19" s="1625"/>
      <c r="AV19" s="1143"/>
      <c r="AW19" s="1138"/>
      <c r="AX19" s="1624"/>
      <c r="AY19" s="1625"/>
      <c r="AZ19" s="1143"/>
      <c r="BA19" s="1138"/>
      <c r="BB19" s="1624"/>
      <c r="BC19" s="1625"/>
      <c r="BD19" s="1143"/>
      <c r="BE19" s="1138"/>
      <c r="BF19" s="1624"/>
      <c r="BG19" s="1625"/>
      <c r="BH19" s="1291"/>
      <c r="BJ19" s="915" t="str">
        <f t="shared" si="42"/>
        <v/>
      </c>
      <c r="BK19" s="913" t="e">
        <f t="shared" si="0"/>
        <v>#REF!</v>
      </c>
      <c r="BL19" s="908" t="b">
        <v>0</v>
      </c>
      <c r="BM19" s="908">
        <f t="shared" si="1"/>
        <v>0</v>
      </c>
      <c r="BN19" s="908">
        <f t="shared" si="2"/>
        <v>0</v>
      </c>
      <c r="BO19" s="908">
        <f t="shared" si="3"/>
        <v>0</v>
      </c>
      <c r="BP19" s="908">
        <f t="shared" si="4"/>
        <v>0</v>
      </c>
      <c r="BQ19" s="908">
        <f t="shared" si="5"/>
        <v>0</v>
      </c>
      <c r="BR19" s="908" t="b">
        <f t="shared" si="6"/>
        <v>1</v>
      </c>
      <c r="BS19" s="1216">
        <f t="shared" si="7"/>
        <v>6</v>
      </c>
      <c r="BT19" s="909" t="str">
        <f t="shared" si="8"/>
        <v>No</v>
      </c>
      <c r="BU19" s="1216">
        <f t="shared" si="9"/>
        <v>6</v>
      </c>
      <c r="BV19" s="909" t="str">
        <f t="shared" si="10"/>
        <v>No</v>
      </c>
      <c r="BW19" s="910">
        <f t="shared" si="11"/>
        <v>0</v>
      </c>
      <c r="BX19" s="911" t="str">
        <f t="shared" si="12"/>
        <v/>
      </c>
      <c r="BY19" s="911" t="b">
        <f t="shared" si="13"/>
        <v>0</v>
      </c>
      <c r="BZ19" s="910" t="e">
        <f t="shared" si="35"/>
        <v>#REF!</v>
      </c>
      <c r="CB19" s="616"/>
      <c r="CC19" s="1567"/>
      <c r="CD19" s="645"/>
      <c r="CE19" s="646"/>
      <c r="CF19" s="647"/>
      <c r="CG19" s="660"/>
      <c r="CH19" s="661"/>
      <c r="CI19" s="662"/>
      <c r="CJ19" s="661"/>
      <c r="CK19" s="662"/>
      <c r="CL19" s="663"/>
      <c r="CM19" s="692"/>
      <c r="CN19" s="687"/>
      <c r="CO19" s="1430"/>
      <c r="CP19" s="839"/>
      <c r="CQ19" s="660"/>
      <c r="CR19" s="661"/>
      <c r="CS19" s="662"/>
      <c r="CT19" s="661"/>
      <c r="CU19" s="662"/>
      <c r="CV19" s="663"/>
      <c r="CW19" s="692"/>
      <c r="CX19" s="687"/>
      <c r="CY19" s="1430"/>
      <c r="CZ19" s="839"/>
      <c r="DA19" s="665"/>
      <c r="DB19" s="648"/>
      <c r="DC19" s="649"/>
      <c r="DD19" s="674"/>
      <c r="DE19" s="675"/>
      <c r="DF19" s="58"/>
      <c r="DG19" s="58"/>
      <c r="DH19" s="616"/>
      <c r="DI19" s="617"/>
      <c r="DJ19" s="638"/>
      <c r="DK19" s="1245"/>
      <c r="DL19" s="618"/>
      <c r="DM19" s="639"/>
      <c r="DN19" s="1248"/>
      <c r="DO19" s="619"/>
      <c r="DP19" s="620"/>
      <c r="DQ19" s="1294"/>
      <c r="DR19" s="621"/>
      <c r="DS19" s="1294"/>
      <c r="DT19" s="1296"/>
      <c r="DU19" s="1297"/>
      <c r="DV19" s="622"/>
      <c r="DW19" s="1250"/>
      <c r="DX19" s="623"/>
      <c r="DY19" s="624"/>
      <c r="DZ19" s="622"/>
      <c r="EA19" s="1250"/>
      <c r="EB19" s="623"/>
      <c r="EC19" s="624"/>
      <c r="ED19" s="622"/>
      <c r="EE19" s="1250"/>
      <c r="EF19" s="623"/>
      <c r="EG19" s="624"/>
      <c r="EH19" s="622"/>
      <c r="EI19" s="1250"/>
      <c r="EJ19" s="623"/>
      <c r="EK19" s="625"/>
      <c r="EL19" s="147"/>
      <c r="EM19" s="1513" t="str">
        <f t="shared" si="14"/>
        <v/>
      </c>
      <c r="EN19" s="1303" t="str">
        <f t="shared" si="15"/>
        <v/>
      </c>
      <c r="EO19" s="1304" t="str">
        <f t="shared" si="16"/>
        <v/>
      </c>
      <c r="EP19" s="1305" t="str">
        <f t="shared" si="17"/>
        <v/>
      </c>
      <c r="EQ19" s="1309" t="str">
        <f t="shared" si="18"/>
        <v/>
      </c>
      <c r="ER19" s="1315" t="str">
        <f t="shared" si="19"/>
        <v/>
      </c>
      <c r="ES19" s="1316" t="str">
        <f t="shared" si="20"/>
        <v/>
      </c>
      <c r="ET19" s="1317" t="str">
        <f t="shared" si="21"/>
        <v/>
      </c>
      <c r="EU19" s="1318" t="str">
        <f t="shared" si="36"/>
        <v/>
      </c>
      <c r="EX19" s="870" t="str">
        <f t="shared" si="37"/>
        <v/>
      </c>
      <c r="EY19" s="872" t="str">
        <f t="shared" si="22"/>
        <v/>
      </c>
      <c r="EZ19" s="872" t="str">
        <f t="shared" si="38"/>
        <v/>
      </c>
      <c r="FA19" s="891" t="str">
        <f t="shared" si="43"/>
        <v/>
      </c>
      <c r="FB19" s="892" t="str">
        <f t="shared" si="39"/>
        <v/>
      </c>
      <c r="FC19" s="892">
        <f t="shared" si="23"/>
        <v>0</v>
      </c>
      <c r="FD19" s="892">
        <f t="shared" si="24"/>
        <v>0</v>
      </c>
      <c r="FE19" s="892">
        <f t="shared" si="25"/>
        <v>0</v>
      </c>
      <c r="FF19" s="892">
        <f t="shared" si="40"/>
        <v>590</v>
      </c>
      <c r="FN19" s="703" t="b">
        <v>0</v>
      </c>
      <c r="FO19" s="703" t="b">
        <f t="shared" si="26"/>
        <v>0</v>
      </c>
      <c r="FP19" s="1254" t="b">
        <v>0</v>
      </c>
      <c r="FQ19" s="703" t="b">
        <f t="shared" si="41"/>
        <v>0</v>
      </c>
      <c r="FW19" s="1"/>
      <c r="FX19" s="1"/>
      <c r="FZ19" s="1"/>
      <c r="GA19" s="524" t="str">
        <f t="shared" si="27"/>
        <v/>
      </c>
      <c r="GB19" s="566" t="str">
        <f t="shared" si="28"/>
        <v/>
      </c>
      <c r="GC19" s="568" t="str">
        <f t="shared" si="29"/>
        <v/>
      </c>
      <c r="GD19" s="569" t="str">
        <f t="shared" si="30"/>
        <v/>
      </c>
      <c r="GE19" s="567" t="str">
        <f t="shared" si="31"/>
        <v/>
      </c>
      <c r="GF19" s="525" t="str">
        <f t="shared" si="32"/>
        <v/>
      </c>
      <c r="GG19" s="1056"/>
      <c r="GH19" s="1058"/>
      <c r="GI19" s="1056"/>
      <c r="GJ19" s="1058"/>
      <c r="GK19" s="1523">
        <f t="shared" si="33"/>
        <v>0</v>
      </c>
      <c r="GL19" s="1523" t="e">
        <f t="shared" si="34"/>
        <v>#VALUE!</v>
      </c>
      <c r="GM19" s="1524" t="e">
        <f>IF(ABS(GK19-GL19)&gt;=#REF!,ABS(GK19-GL19),0)</f>
        <v>#VALUE!</v>
      </c>
      <c r="GZ19" s="56"/>
      <c r="HA19" s="1159"/>
      <c r="HB19" s="1160"/>
      <c r="HC19" s="1160"/>
      <c r="HD19" s="1161"/>
      <c r="HE19" s="1162"/>
      <c r="HF19" s="1160"/>
      <c r="HG19" s="1160"/>
      <c r="HH19" s="1160"/>
      <c r="HI19" s="1160"/>
      <c r="HJ19" s="1160"/>
      <c r="HK19" s="1160"/>
      <c r="HL19" s="1160"/>
      <c r="HM19" s="1160"/>
      <c r="HN19" s="1160"/>
      <c r="HO19" s="1160"/>
      <c r="HP19" s="1160"/>
      <c r="HQ19" s="1160"/>
      <c r="HR19" s="1160"/>
      <c r="HS19" s="1160"/>
      <c r="HT19" s="1160"/>
      <c r="HU19" s="1160"/>
      <c r="HV19" s="1160"/>
      <c r="HW19" s="1160"/>
      <c r="HX19" s="1160"/>
      <c r="HY19" s="1164"/>
      <c r="HZ19" s="1164"/>
      <c r="IA19" s="1164"/>
      <c r="IB19" s="1164"/>
      <c r="IC19" s="1164"/>
      <c r="ID19" s="1179"/>
      <c r="IE19" s="1159"/>
      <c r="IF19" s="1160"/>
      <c r="IG19" s="1161"/>
      <c r="IH19" s="1162"/>
      <c r="II19" s="1160"/>
      <c r="IJ19" s="1161"/>
      <c r="IK19" s="1162"/>
      <c r="IL19" s="1160"/>
      <c r="IM19" s="1160"/>
      <c r="IN19" s="1160"/>
      <c r="IO19" s="1160"/>
      <c r="IP19" s="1160"/>
      <c r="IQ19" s="1160"/>
      <c r="IR19" s="1160"/>
      <c r="IS19" s="1161"/>
      <c r="IT19" s="1162"/>
      <c r="IU19" s="1160"/>
      <c r="IV19" s="1160"/>
      <c r="IW19" s="1161"/>
      <c r="IX19" s="1162"/>
      <c r="IY19" s="1160"/>
      <c r="IZ19" s="1160"/>
      <c r="JA19" s="1161"/>
      <c r="JB19" s="1162"/>
      <c r="JC19" s="1160"/>
      <c r="JD19" s="1160"/>
      <c r="JE19" s="1161"/>
      <c r="JF19" s="1162"/>
      <c r="JG19" s="1160"/>
      <c r="JH19" s="1160"/>
      <c r="JI19" s="1160"/>
      <c r="JJ19" s="1163"/>
      <c r="JK19" s="1160"/>
      <c r="JL19" s="1103">
        <f t="shared" ca="1" si="44"/>
        <v>0</v>
      </c>
    </row>
    <row r="20" spans="1:272" ht="12.6" customHeight="1" x14ac:dyDescent="0.25">
      <c r="A20" s="1132"/>
      <c r="B20" s="1586"/>
      <c r="C20" s="1133"/>
      <c r="D20" s="1134"/>
      <c r="E20" s="1135"/>
      <c r="F20" s="1136"/>
      <c r="G20" s="1137"/>
      <c r="H20" s="1138"/>
      <c r="I20" s="1139"/>
      <c r="J20" s="1134"/>
      <c r="K20" s="1138"/>
      <c r="L20" s="1140"/>
      <c r="M20" s="1141"/>
      <c r="N20" s="1142"/>
      <c r="O20" s="1137"/>
      <c r="P20" s="1138"/>
      <c r="Q20" s="1134"/>
      <c r="R20" s="1135"/>
      <c r="S20" s="1143"/>
      <c r="T20" s="1138"/>
      <c r="U20" s="1134"/>
      <c r="V20" s="1138"/>
      <c r="W20" s="1142"/>
      <c r="X20" s="1144"/>
      <c r="Y20" s="1145"/>
      <c r="Z20" s="1587"/>
      <c r="AA20" s="1152"/>
      <c r="AB20" s="1132"/>
      <c r="AC20" s="1139"/>
      <c r="AD20" s="1134"/>
      <c r="AE20" s="1138"/>
      <c r="AF20" s="1139"/>
      <c r="AG20" s="1134"/>
      <c r="AH20" s="1138"/>
      <c r="AI20" s="1134"/>
      <c r="AJ20" s="1138"/>
      <c r="AK20" s="1619"/>
      <c r="AL20" s="1620"/>
      <c r="AM20" s="1621"/>
      <c r="AN20" s="1139"/>
      <c r="AO20" s="1142"/>
      <c r="AP20" s="1141"/>
      <c r="AQ20" s="1623"/>
      <c r="AR20" s="1137"/>
      <c r="AS20" s="1138"/>
      <c r="AT20" s="1624"/>
      <c r="AU20" s="1625"/>
      <c r="AV20" s="1143"/>
      <c r="AW20" s="1138"/>
      <c r="AX20" s="1624"/>
      <c r="AY20" s="1625"/>
      <c r="AZ20" s="1143"/>
      <c r="BA20" s="1138"/>
      <c r="BB20" s="1624"/>
      <c r="BC20" s="1625"/>
      <c r="BD20" s="1143"/>
      <c r="BE20" s="1138"/>
      <c r="BF20" s="1624"/>
      <c r="BG20" s="1625"/>
      <c r="BH20" s="1291"/>
      <c r="BJ20" s="915" t="str">
        <f t="shared" si="42"/>
        <v/>
      </c>
      <c r="BK20" s="913" t="e">
        <f t="shared" si="0"/>
        <v>#REF!</v>
      </c>
      <c r="BL20" s="908" t="b">
        <v>0</v>
      </c>
      <c r="BM20" s="908">
        <f t="shared" si="1"/>
        <v>0</v>
      </c>
      <c r="BN20" s="908">
        <f t="shared" si="2"/>
        <v>0</v>
      </c>
      <c r="BO20" s="908">
        <f t="shared" si="3"/>
        <v>0</v>
      </c>
      <c r="BP20" s="908">
        <f t="shared" si="4"/>
        <v>0</v>
      </c>
      <c r="BQ20" s="908">
        <f t="shared" si="5"/>
        <v>0</v>
      </c>
      <c r="BR20" s="908" t="b">
        <f t="shared" si="6"/>
        <v>1</v>
      </c>
      <c r="BS20" s="1216">
        <f t="shared" si="7"/>
        <v>6</v>
      </c>
      <c r="BT20" s="909" t="str">
        <f t="shared" si="8"/>
        <v>No</v>
      </c>
      <c r="BU20" s="1216">
        <f t="shared" si="9"/>
        <v>6</v>
      </c>
      <c r="BV20" s="909" t="str">
        <f t="shared" si="10"/>
        <v>No</v>
      </c>
      <c r="BW20" s="910">
        <f t="shared" si="11"/>
        <v>0</v>
      </c>
      <c r="BX20" s="911" t="str">
        <f t="shared" si="12"/>
        <v/>
      </c>
      <c r="BY20" s="911" t="b">
        <f t="shared" si="13"/>
        <v>0</v>
      </c>
      <c r="BZ20" s="910" t="e">
        <f t="shared" si="35"/>
        <v>#REF!</v>
      </c>
      <c r="CB20" s="616"/>
      <c r="CC20" s="1567"/>
      <c r="CD20" s="645"/>
      <c r="CE20" s="646"/>
      <c r="CF20" s="647"/>
      <c r="CG20" s="660"/>
      <c r="CH20" s="661"/>
      <c r="CI20" s="662"/>
      <c r="CJ20" s="661"/>
      <c r="CK20" s="662"/>
      <c r="CL20" s="663"/>
      <c r="CM20" s="692"/>
      <c r="CN20" s="687"/>
      <c r="CO20" s="1430"/>
      <c r="CP20" s="839"/>
      <c r="CQ20" s="660"/>
      <c r="CR20" s="661"/>
      <c r="CS20" s="662"/>
      <c r="CT20" s="661"/>
      <c r="CU20" s="662"/>
      <c r="CV20" s="663"/>
      <c r="CW20" s="692"/>
      <c r="CX20" s="687"/>
      <c r="CY20" s="1430"/>
      <c r="CZ20" s="839"/>
      <c r="DA20" s="665"/>
      <c r="DB20" s="648"/>
      <c r="DC20" s="649"/>
      <c r="DD20" s="674"/>
      <c r="DE20" s="675"/>
      <c r="DF20" s="58"/>
      <c r="DG20" s="58"/>
      <c r="DH20" s="616"/>
      <c r="DI20" s="617"/>
      <c r="DJ20" s="638"/>
      <c r="DK20" s="1245"/>
      <c r="DL20" s="618"/>
      <c r="DM20" s="639"/>
      <c r="DN20" s="1248"/>
      <c r="DO20" s="619"/>
      <c r="DP20" s="620"/>
      <c r="DQ20" s="1294"/>
      <c r="DR20" s="621"/>
      <c r="DS20" s="1294"/>
      <c r="DT20" s="1296"/>
      <c r="DU20" s="1297"/>
      <c r="DV20" s="622"/>
      <c r="DW20" s="1250"/>
      <c r="DX20" s="623"/>
      <c r="DY20" s="624"/>
      <c r="DZ20" s="622"/>
      <c r="EA20" s="1250"/>
      <c r="EB20" s="623"/>
      <c r="EC20" s="624"/>
      <c r="ED20" s="622"/>
      <c r="EE20" s="1250"/>
      <c r="EF20" s="623"/>
      <c r="EG20" s="624"/>
      <c r="EH20" s="622"/>
      <c r="EI20" s="1250"/>
      <c r="EJ20" s="623"/>
      <c r="EK20" s="625"/>
      <c r="EL20" s="147"/>
      <c r="EM20" s="1513" t="str">
        <f t="shared" si="14"/>
        <v/>
      </c>
      <c r="EN20" s="1303" t="str">
        <f t="shared" si="15"/>
        <v/>
      </c>
      <c r="EO20" s="1304" t="str">
        <f t="shared" si="16"/>
        <v/>
      </c>
      <c r="EP20" s="1305" t="str">
        <f t="shared" si="17"/>
        <v/>
      </c>
      <c r="EQ20" s="1309" t="str">
        <f t="shared" si="18"/>
        <v/>
      </c>
      <c r="ER20" s="1315" t="str">
        <f t="shared" si="19"/>
        <v/>
      </c>
      <c r="ES20" s="1316" t="str">
        <f t="shared" si="20"/>
        <v/>
      </c>
      <c r="ET20" s="1317" t="str">
        <f t="shared" si="21"/>
        <v/>
      </c>
      <c r="EU20" s="1318" t="str">
        <f t="shared" si="36"/>
        <v/>
      </c>
      <c r="EX20" s="870" t="str">
        <f t="shared" si="37"/>
        <v/>
      </c>
      <c r="EY20" s="872" t="str">
        <f t="shared" si="22"/>
        <v/>
      </c>
      <c r="EZ20" s="872" t="str">
        <f t="shared" si="38"/>
        <v/>
      </c>
      <c r="FA20" s="891" t="str">
        <f t="shared" si="43"/>
        <v/>
      </c>
      <c r="FB20" s="892" t="str">
        <f t="shared" si="39"/>
        <v/>
      </c>
      <c r="FC20" s="892">
        <f t="shared" si="23"/>
        <v>0</v>
      </c>
      <c r="FD20" s="892">
        <f t="shared" si="24"/>
        <v>0</v>
      </c>
      <c r="FE20" s="892">
        <f t="shared" si="25"/>
        <v>0</v>
      </c>
      <c r="FF20" s="892">
        <f t="shared" si="40"/>
        <v>590</v>
      </c>
      <c r="FN20" s="703" t="b">
        <v>0</v>
      </c>
      <c r="FO20" s="703" t="b">
        <f t="shared" si="26"/>
        <v>0</v>
      </c>
      <c r="FP20" s="1254" t="b">
        <v>0</v>
      </c>
      <c r="FQ20" s="703" t="b">
        <f t="shared" si="41"/>
        <v>0</v>
      </c>
      <c r="FW20" s="1"/>
      <c r="FX20" s="1"/>
      <c r="FZ20" s="1"/>
      <c r="GA20" s="524" t="str">
        <f t="shared" si="27"/>
        <v/>
      </c>
      <c r="GB20" s="566" t="str">
        <f t="shared" si="28"/>
        <v/>
      </c>
      <c r="GC20" s="568" t="str">
        <f t="shared" si="29"/>
        <v/>
      </c>
      <c r="GD20" s="569" t="str">
        <f t="shared" si="30"/>
        <v/>
      </c>
      <c r="GE20" s="567" t="str">
        <f t="shared" si="31"/>
        <v/>
      </c>
      <c r="GF20" s="525" t="str">
        <f t="shared" si="32"/>
        <v/>
      </c>
      <c r="GG20" s="1056"/>
      <c r="GH20" s="1058"/>
      <c r="GI20" s="1056"/>
      <c r="GJ20" s="1058"/>
      <c r="GK20" s="1523">
        <f t="shared" si="33"/>
        <v>0</v>
      </c>
      <c r="GL20" s="1523" t="e">
        <f t="shared" si="34"/>
        <v>#VALUE!</v>
      </c>
      <c r="GM20" s="1524" t="e">
        <f>IF(ABS(GK20-GL20)&gt;=#REF!,ABS(GK20-GL20),0)</f>
        <v>#VALUE!</v>
      </c>
      <c r="GZ20" s="56"/>
      <c r="HA20" s="1159"/>
      <c r="HB20" s="1160"/>
      <c r="HC20" s="1160"/>
      <c r="HD20" s="1161"/>
      <c r="HE20" s="1162"/>
      <c r="HF20" s="1160"/>
      <c r="HG20" s="1160"/>
      <c r="HH20" s="1160"/>
      <c r="HI20" s="1160"/>
      <c r="HJ20" s="1160"/>
      <c r="HK20" s="1160"/>
      <c r="HL20" s="1160"/>
      <c r="HM20" s="1160"/>
      <c r="HN20" s="1160"/>
      <c r="HO20" s="1160"/>
      <c r="HP20" s="1160"/>
      <c r="HQ20" s="1160"/>
      <c r="HR20" s="1160"/>
      <c r="HS20" s="1160"/>
      <c r="HT20" s="1160"/>
      <c r="HU20" s="1160"/>
      <c r="HV20" s="1160"/>
      <c r="HW20" s="1160"/>
      <c r="HX20" s="1160"/>
      <c r="HY20" s="1164"/>
      <c r="HZ20" s="1164"/>
      <c r="IA20" s="1164"/>
      <c r="IB20" s="1164"/>
      <c r="IC20" s="1164"/>
      <c r="ID20" s="1179"/>
      <c r="IE20" s="1159"/>
      <c r="IF20" s="1160"/>
      <c r="IG20" s="1161"/>
      <c r="IH20" s="1162"/>
      <c r="II20" s="1160"/>
      <c r="IJ20" s="1161"/>
      <c r="IK20" s="1162"/>
      <c r="IL20" s="1160"/>
      <c r="IM20" s="1160"/>
      <c r="IN20" s="1160"/>
      <c r="IO20" s="1160"/>
      <c r="IP20" s="1160"/>
      <c r="IQ20" s="1160"/>
      <c r="IR20" s="1160"/>
      <c r="IS20" s="1161"/>
      <c r="IT20" s="1162"/>
      <c r="IU20" s="1160"/>
      <c r="IV20" s="1160"/>
      <c r="IW20" s="1161"/>
      <c r="IX20" s="1162"/>
      <c r="IY20" s="1160"/>
      <c r="IZ20" s="1160"/>
      <c r="JA20" s="1161"/>
      <c r="JB20" s="1162"/>
      <c r="JC20" s="1160"/>
      <c r="JD20" s="1160"/>
      <c r="JE20" s="1161"/>
      <c r="JF20" s="1162"/>
      <c r="JG20" s="1160"/>
      <c r="JH20" s="1160"/>
      <c r="JI20" s="1160"/>
      <c r="JJ20" s="1163"/>
      <c r="JK20" s="1160"/>
      <c r="JL20" s="1103">
        <f t="shared" ca="1" si="44"/>
        <v>0</v>
      </c>
    </row>
    <row r="21" spans="1:272" ht="12.6" customHeight="1" x14ac:dyDescent="0.25">
      <c r="A21" s="1132" t="s">
        <v>824</v>
      </c>
      <c r="B21" s="1586">
        <v>1</v>
      </c>
      <c r="C21" s="1133" t="s">
        <v>828</v>
      </c>
      <c r="D21" s="1134">
        <v>49</v>
      </c>
      <c r="E21" s="1135">
        <v>8.75</v>
      </c>
      <c r="F21" s="1136">
        <v>9</v>
      </c>
      <c r="G21" s="1137">
        <v>0</v>
      </c>
      <c r="H21" s="1138">
        <v>1.75</v>
      </c>
      <c r="I21" s="1139" t="s">
        <v>87</v>
      </c>
      <c r="J21" s="1134">
        <v>0</v>
      </c>
      <c r="K21" s="1138">
        <v>5</v>
      </c>
      <c r="L21" s="1140" t="s">
        <v>87</v>
      </c>
      <c r="M21" s="1141">
        <v>7.5</v>
      </c>
      <c r="N21" s="1142">
        <v>14</v>
      </c>
      <c r="O21" s="1137">
        <v>0</v>
      </c>
      <c r="P21" s="1138">
        <v>6.25</v>
      </c>
      <c r="Q21" s="1134">
        <v>0</v>
      </c>
      <c r="R21" s="1135">
        <v>6.5</v>
      </c>
      <c r="S21" s="1143">
        <v>0</v>
      </c>
      <c r="T21" s="1138">
        <v>6.25</v>
      </c>
      <c r="U21" s="1134">
        <v>0</v>
      </c>
      <c r="V21" s="1138">
        <v>5.5</v>
      </c>
      <c r="W21" s="1142">
        <v>5</v>
      </c>
      <c r="X21" s="1144"/>
      <c r="Y21" s="1145"/>
      <c r="Z21" s="1587" t="s">
        <v>831</v>
      </c>
      <c r="AA21" s="1152"/>
      <c r="AB21" s="1132" t="s">
        <v>824</v>
      </c>
      <c r="AC21" s="1139" t="s">
        <v>35</v>
      </c>
      <c r="AD21" s="1134">
        <v>5</v>
      </c>
      <c r="AE21" s="1138">
        <v>4.75</v>
      </c>
      <c r="AF21" s="1139">
        <v>7</v>
      </c>
      <c r="AG21" s="1134">
        <v>5</v>
      </c>
      <c r="AH21" s="1138">
        <v>6.625</v>
      </c>
      <c r="AI21" s="1134">
        <v>4</v>
      </c>
      <c r="AJ21" s="1138">
        <v>10.875</v>
      </c>
      <c r="AK21" s="1619"/>
      <c r="AL21" s="1620" t="s">
        <v>35</v>
      </c>
      <c r="AM21" s="1621">
        <v>5</v>
      </c>
      <c r="AN21" s="1139">
        <v>13</v>
      </c>
      <c r="AO21" s="1142">
        <v>4</v>
      </c>
      <c r="AP21" s="1141">
        <v>1.75</v>
      </c>
      <c r="AQ21" s="1623"/>
      <c r="AR21" s="1137">
        <v>49</v>
      </c>
      <c r="AS21" s="1138">
        <v>0</v>
      </c>
      <c r="AT21" s="1624">
        <v>7.9</v>
      </c>
      <c r="AU21" s="1625" t="s">
        <v>35</v>
      </c>
      <c r="AV21" s="1143"/>
      <c r="AW21" s="1138"/>
      <c r="AX21" s="1624"/>
      <c r="AY21" s="1625"/>
      <c r="AZ21" s="1143"/>
      <c r="BA21" s="1138"/>
      <c r="BB21" s="1624"/>
      <c r="BC21" s="1625"/>
      <c r="BD21" s="1143"/>
      <c r="BE21" s="1138"/>
      <c r="BF21" s="1624"/>
      <c r="BG21" s="1625"/>
      <c r="BH21" s="1291"/>
      <c r="BJ21" s="915" t="str">
        <f t="shared" si="42"/>
        <v>G38</v>
      </c>
      <c r="BK21" s="913" t="e">
        <f t="shared" si="0"/>
        <v>#REF!</v>
      </c>
      <c r="BL21" s="908" t="b">
        <v>0</v>
      </c>
      <c r="BM21" s="908">
        <f t="shared" si="1"/>
        <v>60</v>
      </c>
      <c r="BN21" s="908" t="str">
        <f t="shared" si="2"/>
        <v>G</v>
      </c>
      <c r="BO21" s="908">
        <f t="shared" si="3"/>
        <v>9</v>
      </c>
      <c r="BP21" s="908">
        <f t="shared" si="4"/>
        <v>8</v>
      </c>
      <c r="BQ21" s="908">
        <f t="shared" si="5"/>
        <v>2</v>
      </c>
      <c r="BR21" s="908" t="b">
        <f t="shared" si="6"/>
        <v>1</v>
      </c>
      <c r="BS21" s="1216">
        <f t="shared" si="7"/>
        <v>7.75</v>
      </c>
      <c r="BT21" s="909" t="e">
        <f t="shared" si="8"/>
        <v>#REF!</v>
      </c>
      <c r="BU21" s="1216">
        <f t="shared" si="9"/>
        <v>11</v>
      </c>
      <c r="BV21" s="909" t="e">
        <f t="shared" si="10"/>
        <v>#REF!</v>
      </c>
      <c r="BW21" s="910">
        <f t="shared" si="11"/>
        <v>18</v>
      </c>
      <c r="BX21" s="911" t="str">
        <f t="shared" si="12"/>
        <v>G38</v>
      </c>
      <c r="BY21" s="911" t="b">
        <f t="shared" si="13"/>
        <v>0</v>
      </c>
      <c r="BZ21" s="910" t="e">
        <f t="shared" si="35"/>
        <v>#REF!</v>
      </c>
      <c r="CB21" s="616"/>
      <c r="CC21" s="1567"/>
      <c r="CD21" s="645"/>
      <c r="CE21" s="646"/>
      <c r="CF21" s="647"/>
      <c r="CG21" s="660"/>
      <c r="CH21" s="661"/>
      <c r="CI21" s="662"/>
      <c r="CJ21" s="661"/>
      <c r="CK21" s="662"/>
      <c r="CL21" s="663"/>
      <c r="CM21" s="692"/>
      <c r="CN21" s="687"/>
      <c r="CO21" s="1430"/>
      <c r="CP21" s="839"/>
      <c r="CQ21" s="660"/>
      <c r="CR21" s="661"/>
      <c r="CS21" s="662"/>
      <c r="CT21" s="661"/>
      <c r="CU21" s="662"/>
      <c r="CV21" s="663"/>
      <c r="CW21" s="692"/>
      <c r="CX21" s="687"/>
      <c r="CY21" s="1430"/>
      <c r="CZ21" s="839"/>
      <c r="DA21" s="665"/>
      <c r="DB21" s="648"/>
      <c r="DC21" s="649"/>
      <c r="DD21" s="674"/>
      <c r="DE21" s="675"/>
      <c r="DF21" s="58"/>
      <c r="DG21" s="58"/>
      <c r="DH21" s="616"/>
      <c r="DI21" s="617"/>
      <c r="DJ21" s="638"/>
      <c r="DK21" s="1245"/>
      <c r="DL21" s="618"/>
      <c r="DM21" s="639"/>
      <c r="DN21" s="1248"/>
      <c r="DO21" s="619"/>
      <c r="DP21" s="620"/>
      <c r="DQ21" s="1294"/>
      <c r="DR21" s="621"/>
      <c r="DS21" s="1294"/>
      <c r="DT21" s="1296"/>
      <c r="DU21" s="1297"/>
      <c r="DV21" s="622"/>
      <c r="DW21" s="1250"/>
      <c r="DX21" s="623"/>
      <c r="DY21" s="624"/>
      <c r="DZ21" s="622"/>
      <c r="EA21" s="1250"/>
      <c r="EB21" s="623"/>
      <c r="EC21" s="624"/>
      <c r="ED21" s="622"/>
      <c r="EE21" s="1250"/>
      <c r="EF21" s="623"/>
      <c r="EG21" s="624"/>
      <c r="EH21" s="622"/>
      <c r="EI21" s="1250"/>
      <c r="EJ21" s="623"/>
      <c r="EK21" s="625"/>
      <c r="EL21" s="147"/>
      <c r="EM21" s="1513" t="str">
        <f t="shared" si="14"/>
        <v/>
      </c>
      <c r="EN21" s="1303" t="str">
        <f t="shared" si="15"/>
        <v/>
      </c>
      <c r="EO21" s="1304" t="str">
        <f t="shared" si="16"/>
        <v/>
      </c>
      <c r="EP21" s="1305" t="str">
        <f t="shared" si="17"/>
        <v/>
      </c>
      <c r="EQ21" s="1309" t="str">
        <f t="shared" si="18"/>
        <v/>
      </c>
      <c r="ER21" s="1315" t="str">
        <f t="shared" si="19"/>
        <v/>
      </c>
      <c r="ES21" s="1316" t="str">
        <f t="shared" si="20"/>
        <v/>
      </c>
      <c r="ET21" s="1317" t="str">
        <f t="shared" si="21"/>
        <v/>
      </c>
      <c r="EU21" s="1318" t="str">
        <f t="shared" si="36"/>
        <v/>
      </c>
      <c r="EX21" s="870" t="str">
        <f t="shared" si="37"/>
        <v>G38B</v>
      </c>
      <c r="EY21" s="872" t="b">
        <f t="shared" si="22"/>
        <v>1</v>
      </c>
      <c r="EZ21" s="872">
        <f t="shared" si="38"/>
        <v>5</v>
      </c>
      <c r="FA21" s="891" t="b">
        <f t="shared" si="43"/>
        <v>1</v>
      </c>
      <c r="FB21" s="892">
        <f t="shared" si="39"/>
        <v>590</v>
      </c>
      <c r="FC21" s="892">
        <f t="shared" si="23"/>
        <v>64.75</v>
      </c>
      <c r="FD21" s="892">
        <f t="shared" si="24"/>
        <v>466.375</v>
      </c>
      <c r="FE21" s="892">
        <f t="shared" si="25"/>
        <v>58.875</v>
      </c>
      <c r="FF21" s="892">
        <f t="shared" si="40"/>
        <v>590</v>
      </c>
      <c r="FN21" s="703" t="b">
        <v>0</v>
      </c>
      <c r="FO21" s="703" t="b">
        <f t="shared" si="26"/>
        <v>1</v>
      </c>
      <c r="FP21" s="703" t="b">
        <v>0</v>
      </c>
      <c r="FQ21" s="703" t="b">
        <f t="shared" si="41"/>
        <v>1</v>
      </c>
      <c r="FW21" s="8"/>
      <c r="FX21" s="8"/>
      <c r="FZ21" s="8"/>
      <c r="GA21" s="524">
        <f t="shared" si="27"/>
        <v>0</v>
      </c>
      <c r="GB21" s="566">
        <f t="shared" si="28"/>
        <v>0</v>
      </c>
      <c r="GC21" s="568">
        <f t="shared" si="29"/>
        <v>0</v>
      </c>
      <c r="GD21" s="569">
        <f t="shared" si="30"/>
        <v>0</v>
      </c>
      <c r="GE21" s="567">
        <f t="shared" si="31"/>
        <v>0</v>
      </c>
      <c r="GF21" s="525" t="str">
        <f t="shared" si="32"/>
        <v>G38</v>
      </c>
      <c r="GG21" s="1056"/>
      <c r="GH21" s="1058"/>
      <c r="GI21" s="1056"/>
      <c r="GJ21" s="1058"/>
      <c r="GK21" s="1523">
        <f t="shared" si="33"/>
        <v>596.75</v>
      </c>
      <c r="GL21" s="1523">
        <f t="shared" si="34"/>
        <v>0</v>
      </c>
      <c r="GM21" s="1524" t="e">
        <f>IF(ABS(GK21-GL21)&gt;=#REF!,ABS(GK21-GL21),0)</f>
        <v>#REF!</v>
      </c>
      <c r="HA21" s="1159"/>
      <c r="HB21" s="1160"/>
      <c r="HC21" s="1160"/>
      <c r="HD21" s="1161"/>
      <c r="HE21" s="1162"/>
      <c r="HF21" s="1160"/>
      <c r="HG21" s="1160"/>
      <c r="HH21" s="1160"/>
      <c r="HI21" s="1160"/>
      <c r="HJ21" s="1160"/>
      <c r="HK21" s="1160"/>
      <c r="HL21" s="1160"/>
      <c r="HM21" s="1160"/>
      <c r="HN21" s="1160"/>
      <c r="HO21" s="1160"/>
      <c r="HP21" s="1160"/>
      <c r="HQ21" s="1160"/>
      <c r="HR21" s="1160"/>
      <c r="HS21" s="1160"/>
      <c r="HT21" s="1160"/>
      <c r="HU21" s="1160"/>
      <c r="HV21" s="1160"/>
      <c r="HW21" s="1160"/>
      <c r="HX21" s="1160"/>
      <c r="HY21" s="1164"/>
      <c r="HZ21" s="1164"/>
      <c r="IA21" s="1164"/>
      <c r="IB21" s="1164"/>
      <c r="IC21" s="1164"/>
      <c r="ID21" s="1179"/>
      <c r="IE21" s="1159"/>
      <c r="IF21" s="1160"/>
      <c r="IG21" s="1161"/>
      <c r="IH21" s="1162"/>
      <c r="II21" s="1160"/>
      <c r="IJ21" s="1161"/>
      <c r="IK21" s="1162"/>
      <c r="IL21" s="1160"/>
      <c r="IM21" s="1160"/>
      <c r="IN21" s="1160"/>
      <c r="IO21" s="1160"/>
      <c r="IP21" s="1160"/>
      <c r="IQ21" s="1160"/>
      <c r="IR21" s="1160"/>
      <c r="IS21" s="1161"/>
      <c r="IT21" s="1162"/>
      <c r="IU21" s="1160"/>
      <c r="IV21" s="1160"/>
      <c r="IW21" s="1161"/>
      <c r="IX21" s="1162"/>
      <c r="IY21" s="1160"/>
      <c r="IZ21" s="1160"/>
      <c r="JA21" s="1161"/>
      <c r="JB21" s="1162"/>
      <c r="JC21" s="1160"/>
      <c r="JD21" s="1160"/>
      <c r="JE21" s="1161"/>
      <c r="JF21" s="1162"/>
      <c r="JG21" s="1160"/>
      <c r="JH21" s="1160"/>
      <c r="JI21" s="1160"/>
      <c r="JJ21" s="1163"/>
      <c r="JK21" s="1160"/>
      <c r="JL21" s="1103">
        <f t="shared" ca="1" si="44"/>
        <v>0</v>
      </c>
    </row>
    <row r="22" spans="1:272" ht="12.6" customHeight="1" x14ac:dyDescent="0.25">
      <c r="A22" s="1132"/>
      <c r="B22" s="1586"/>
      <c r="C22" s="1133"/>
      <c r="D22" s="1134"/>
      <c r="E22" s="1135"/>
      <c r="F22" s="1136"/>
      <c r="G22" s="1137"/>
      <c r="H22" s="1138"/>
      <c r="I22" s="1139"/>
      <c r="J22" s="1134"/>
      <c r="K22" s="1138"/>
      <c r="L22" s="1140"/>
      <c r="M22" s="1141"/>
      <c r="N22" s="1142"/>
      <c r="O22" s="1137"/>
      <c r="P22" s="1138"/>
      <c r="Q22" s="1134"/>
      <c r="R22" s="1135"/>
      <c r="S22" s="1143"/>
      <c r="T22" s="1138"/>
      <c r="U22" s="1134"/>
      <c r="V22" s="1138"/>
      <c r="W22" s="1142"/>
      <c r="X22" s="1144"/>
      <c r="Y22" s="1145"/>
      <c r="Z22" s="1587"/>
      <c r="AA22" s="1152"/>
      <c r="AB22" s="1132"/>
      <c r="AC22" s="1139"/>
      <c r="AD22" s="1134"/>
      <c r="AE22" s="1138"/>
      <c r="AF22" s="1139"/>
      <c r="AG22" s="1134"/>
      <c r="AH22" s="1138"/>
      <c r="AI22" s="1134"/>
      <c r="AJ22" s="1138"/>
      <c r="AK22" s="1619"/>
      <c r="AL22" s="1620"/>
      <c r="AM22" s="1621"/>
      <c r="AN22" s="1139"/>
      <c r="AO22" s="1142"/>
      <c r="AP22" s="1141"/>
      <c r="AQ22" s="1623"/>
      <c r="AR22" s="1137"/>
      <c r="AS22" s="1138"/>
      <c r="AT22" s="1624"/>
      <c r="AU22" s="1625"/>
      <c r="AV22" s="1143"/>
      <c r="AW22" s="1138"/>
      <c r="AX22" s="1624"/>
      <c r="AY22" s="1625"/>
      <c r="AZ22" s="1143"/>
      <c r="BA22" s="1138"/>
      <c r="BB22" s="1624"/>
      <c r="BC22" s="1625"/>
      <c r="BD22" s="1143"/>
      <c r="BE22" s="1138"/>
      <c r="BF22" s="1624"/>
      <c r="BG22" s="1625"/>
      <c r="BH22" s="1291"/>
      <c r="BJ22" s="915" t="str">
        <f t="shared" si="42"/>
        <v/>
      </c>
      <c r="BK22" s="913" t="e">
        <f t="shared" si="0"/>
        <v>#REF!</v>
      </c>
      <c r="BL22" s="908" t="b">
        <v>0</v>
      </c>
      <c r="BM22" s="908">
        <f t="shared" si="1"/>
        <v>0</v>
      </c>
      <c r="BN22" s="908">
        <f t="shared" si="2"/>
        <v>0</v>
      </c>
      <c r="BO22" s="908">
        <f t="shared" si="3"/>
        <v>0</v>
      </c>
      <c r="BP22" s="908">
        <f t="shared" si="4"/>
        <v>0</v>
      </c>
      <c r="BQ22" s="908">
        <f t="shared" si="5"/>
        <v>0</v>
      </c>
      <c r="BR22" s="908" t="b">
        <f t="shared" si="6"/>
        <v>1</v>
      </c>
      <c r="BS22" s="1216">
        <f t="shared" si="7"/>
        <v>6</v>
      </c>
      <c r="BT22" s="909" t="str">
        <f t="shared" si="8"/>
        <v>No</v>
      </c>
      <c r="BU22" s="1216">
        <f t="shared" si="9"/>
        <v>6</v>
      </c>
      <c r="BV22" s="909" t="str">
        <f t="shared" si="10"/>
        <v>No</v>
      </c>
      <c r="BW22" s="910">
        <f t="shared" si="11"/>
        <v>0</v>
      </c>
      <c r="BX22" s="911" t="str">
        <f t="shared" si="12"/>
        <v/>
      </c>
      <c r="BY22" s="911" t="b">
        <f t="shared" si="13"/>
        <v>0</v>
      </c>
      <c r="BZ22" s="910" t="e">
        <f t="shared" si="35"/>
        <v>#REF!</v>
      </c>
      <c r="CB22" s="616"/>
      <c r="CC22" s="1567"/>
      <c r="CD22" s="645"/>
      <c r="CE22" s="646"/>
      <c r="CF22" s="647"/>
      <c r="CG22" s="660"/>
      <c r="CH22" s="661"/>
      <c r="CI22" s="662"/>
      <c r="CJ22" s="661"/>
      <c r="CK22" s="662"/>
      <c r="CL22" s="663"/>
      <c r="CM22" s="692"/>
      <c r="CN22" s="687"/>
      <c r="CO22" s="1430"/>
      <c r="CP22" s="839"/>
      <c r="CQ22" s="660"/>
      <c r="CR22" s="661"/>
      <c r="CS22" s="662"/>
      <c r="CT22" s="661"/>
      <c r="CU22" s="662"/>
      <c r="CV22" s="663"/>
      <c r="CW22" s="692"/>
      <c r="CX22" s="687"/>
      <c r="CY22" s="1430"/>
      <c r="CZ22" s="839"/>
      <c r="DA22" s="665"/>
      <c r="DB22" s="648"/>
      <c r="DC22" s="649"/>
      <c r="DD22" s="674"/>
      <c r="DE22" s="675"/>
      <c r="DF22" s="58"/>
      <c r="DG22" s="58"/>
      <c r="DH22" s="616"/>
      <c r="DI22" s="617"/>
      <c r="DJ22" s="638"/>
      <c r="DK22" s="1245"/>
      <c r="DL22" s="618"/>
      <c r="DM22" s="639"/>
      <c r="DN22" s="1248"/>
      <c r="DO22" s="619"/>
      <c r="DP22" s="620"/>
      <c r="DQ22" s="1294"/>
      <c r="DR22" s="621"/>
      <c r="DS22" s="1294"/>
      <c r="DT22" s="1296"/>
      <c r="DU22" s="1297"/>
      <c r="DV22" s="622"/>
      <c r="DW22" s="1250"/>
      <c r="DX22" s="623"/>
      <c r="DY22" s="624"/>
      <c r="DZ22" s="622"/>
      <c r="EA22" s="1250"/>
      <c r="EB22" s="623"/>
      <c r="EC22" s="624"/>
      <c r="ED22" s="622"/>
      <c r="EE22" s="1250"/>
      <c r="EF22" s="623"/>
      <c r="EG22" s="624"/>
      <c r="EH22" s="622"/>
      <c r="EI22" s="1250"/>
      <c r="EJ22" s="623"/>
      <c r="EK22" s="625"/>
      <c r="EL22" s="147"/>
      <c r="EM22" s="1513" t="str">
        <f t="shared" si="14"/>
        <v/>
      </c>
      <c r="EN22" s="1303" t="str">
        <f t="shared" si="15"/>
        <v/>
      </c>
      <c r="EO22" s="1304" t="str">
        <f t="shared" si="16"/>
        <v/>
      </c>
      <c r="EP22" s="1305" t="str">
        <f t="shared" si="17"/>
        <v/>
      </c>
      <c r="EQ22" s="1309" t="str">
        <f t="shared" si="18"/>
        <v/>
      </c>
      <c r="ER22" s="1315" t="str">
        <f t="shared" si="19"/>
        <v/>
      </c>
      <c r="ES22" s="1316" t="str">
        <f t="shared" si="20"/>
        <v/>
      </c>
      <c r="ET22" s="1317" t="str">
        <f t="shared" si="21"/>
        <v/>
      </c>
      <c r="EU22" s="1318" t="str">
        <f t="shared" si="36"/>
        <v/>
      </c>
      <c r="EX22" s="870" t="str">
        <f t="shared" si="37"/>
        <v/>
      </c>
      <c r="EY22" s="872" t="str">
        <f t="shared" si="22"/>
        <v/>
      </c>
      <c r="EZ22" s="872" t="str">
        <f t="shared" si="38"/>
        <v/>
      </c>
      <c r="FA22" s="891" t="str">
        <f t="shared" si="43"/>
        <v/>
      </c>
      <c r="FB22" s="892" t="str">
        <f t="shared" si="39"/>
        <v/>
      </c>
      <c r="FC22" s="892">
        <f t="shared" si="23"/>
        <v>0</v>
      </c>
      <c r="FD22" s="892">
        <f t="shared" si="24"/>
        <v>0</v>
      </c>
      <c r="FE22" s="892">
        <f t="shared" si="25"/>
        <v>0</v>
      </c>
      <c r="FF22" s="892">
        <f t="shared" si="40"/>
        <v>590</v>
      </c>
      <c r="FN22" s="703" t="b">
        <v>0</v>
      </c>
      <c r="FO22" s="703" t="b">
        <f t="shared" si="26"/>
        <v>0</v>
      </c>
      <c r="FP22" s="703" t="b">
        <v>0</v>
      </c>
      <c r="FQ22" s="703" t="b">
        <f t="shared" si="41"/>
        <v>0</v>
      </c>
      <c r="FW22" s="8"/>
      <c r="FX22" s="8"/>
      <c r="FZ22" s="8"/>
      <c r="GA22" s="524" t="str">
        <f t="shared" si="27"/>
        <v/>
      </c>
      <c r="GB22" s="566" t="str">
        <f t="shared" si="28"/>
        <v/>
      </c>
      <c r="GC22" s="568" t="str">
        <f t="shared" si="29"/>
        <v/>
      </c>
      <c r="GD22" s="569" t="str">
        <f t="shared" si="30"/>
        <v/>
      </c>
      <c r="GE22" s="567" t="str">
        <f t="shared" si="31"/>
        <v/>
      </c>
      <c r="GF22" s="525" t="str">
        <f t="shared" si="32"/>
        <v/>
      </c>
      <c r="GG22" s="1056"/>
      <c r="GH22" s="1058"/>
      <c r="GI22" s="1056"/>
      <c r="GJ22" s="1058"/>
      <c r="GK22" s="1523">
        <f t="shared" si="33"/>
        <v>0</v>
      </c>
      <c r="GL22" s="1523" t="e">
        <f t="shared" si="34"/>
        <v>#VALUE!</v>
      </c>
      <c r="GM22" s="1524" t="e">
        <f>IF(ABS(GK22-GL22)&gt;=#REF!,ABS(GK22-GL22),0)</f>
        <v>#VALUE!</v>
      </c>
      <c r="HA22" s="1159"/>
      <c r="HB22" s="1160"/>
      <c r="HC22" s="1160"/>
      <c r="HD22" s="1161"/>
      <c r="HE22" s="1162"/>
      <c r="HF22" s="1160"/>
      <c r="HG22" s="1160"/>
      <c r="HH22" s="1160"/>
      <c r="HI22" s="1160"/>
      <c r="HJ22" s="1160"/>
      <c r="HK22" s="1160"/>
      <c r="HL22" s="1160"/>
      <c r="HM22" s="1160"/>
      <c r="HN22" s="1160"/>
      <c r="HO22" s="1160"/>
      <c r="HP22" s="1160"/>
      <c r="HQ22" s="1160"/>
      <c r="HR22" s="1160"/>
      <c r="HS22" s="1160"/>
      <c r="HT22" s="1160"/>
      <c r="HU22" s="1160"/>
      <c r="HV22" s="1160"/>
      <c r="HW22" s="1160"/>
      <c r="HX22" s="1160"/>
      <c r="HY22" s="1164"/>
      <c r="HZ22" s="1164"/>
      <c r="IA22" s="1164"/>
      <c r="IB22" s="1164"/>
      <c r="IC22" s="1164"/>
      <c r="ID22" s="1179"/>
      <c r="IE22" s="1159"/>
      <c r="IF22" s="1160"/>
      <c r="IG22" s="1161"/>
      <c r="IH22" s="1162"/>
      <c r="II22" s="1160"/>
      <c r="IJ22" s="1161"/>
      <c r="IK22" s="1162"/>
      <c r="IL22" s="1160"/>
      <c r="IM22" s="1160"/>
      <c r="IN22" s="1160"/>
      <c r="IO22" s="1160"/>
      <c r="IP22" s="1160"/>
      <c r="IQ22" s="1160"/>
      <c r="IR22" s="1160"/>
      <c r="IS22" s="1161"/>
      <c r="IT22" s="1162"/>
      <c r="IU22" s="1160"/>
      <c r="IV22" s="1160"/>
      <c r="IW22" s="1161"/>
      <c r="IX22" s="1162"/>
      <c r="IY22" s="1160"/>
      <c r="IZ22" s="1160"/>
      <c r="JA22" s="1161"/>
      <c r="JB22" s="1162"/>
      <c r="JC22" s="1160"/>
      <c r="JD22" s="1160"/>
      <c r="JE22" s="1161"/>
      <c r="JF22" s="1162"/>
      <c r="JG22" s="1160"/>
      <c r="JH22" s="1160"/>
      <c r="JI22" s="1160"/>
      <c r="JJ22" s="1163"/>
      <c r="JK22" s="1160"/>
      <c r="JL22" s="1103">
        <f t="shared" ca="1" si="44"/>
        <v>0</v>
      </c>
    </row>
    <row r="23" spans="1:272" ht="12.6" customHeight="1" x14ac:dyDescent="0.25">
      <c r="A23" s="1132"/>
      <c r="B23" s="1586"/>
      <c r="C23" s="1133"/>
      <c r="D23" s="1134"/>
      <c r="E23" s="1135"/>
      <c r="F23" s="1136"/>
      <c r="G23" s="1137"/>
      <c r="H23" s="1138"/>
      <c r="I23" s="1139"/>
      <c r="J23" s="1134"/>
      <c r="K23" s="1138"/>
      <c r="L23" s="1140"/>
      <c r="M23" s="1141"/>
      <c r="N23" s="1142"/>
      <c r="O23" s="1137"/>
      <c r="P23" s="1138"/>
      <c r="Q23" s="1134"/>
      <c r="R23" s="1135"/>
      <c r="S23" s="1143"/>
      <c r="T23" s="1138"/>
      <c r="U23" s="1134"/>
      <c r="V23" s="1138"/>
      <c r="W23" s="1142"/>
      <c r="X23" s="1144"/>
      <c r="Y23" s="1145"/>
      <c r="Z23" s="1587"/>
      <c r="AA23" s="1152"/>
      <c r="AB23" s="1132"/>
      <c r="AC23" s="1139"/>
      <c r="AD23" s="1134"/>
      <c r="AE23" s="1138"/>
      <c r="AF23" s="1139"/>
      <c r="AG23" s="1134"/>
      <c r="AH23" s="1138"/>
      <c r="AI23" s="1134"/>
      <c r="AJ23" s="1138"/>
      <c r="AK23" s="1619"/>
      <c r="AL23" s="1620"/>
      <c r="AM23" s="1621"/>
      <c r="AN23" s="1139"/>
      <c r="AO23" s="1142"/>
      <c r="AP23" s="1141"/>
      <c r="AQ23" s="1623"/>
      <c r="AR23" s="1137"/>
      <c r="AS23" s="1138"/>
      <c r="AT23" s="1624"/>
      <c r="AU23" s="1625"/>
      <c r="AV23" s="1143"/>
      <c r="AW23" s="1138"/>
      <c r="AX23" s="1624"/>
      <c r="AY23" s="1625"/>
      <c r="AZ23" s="1143"/>
      <c r="BA23" s="1138"/>
      <c r="BB23" s="1624"/>
      <c r="BC23" s="1625"/>
      <c r="BD23" s="1143"/>
      <c r="BE23" s="1138"/>
      <c r="BF23" s="1624"/>
      <c r="BG23" s="1625"/>
      <c r="BH23" s="1291"/>
      <c r="BJ23" s="915" t="str">
        <f t="shared" si="42"/>
        <v/>
      </c>
      <c r="BK23" s="913" t="e">
        <f t="shared" si="0"/>
        <v>#REF!</v>
      </c>
      <c r="BL23" s="908" t="b">
        <v>0</v>
      </c>
      <c r="BM23" s="908">
        <f t="shared" si="1"/>
        <v>0</v>
      </c>
      <c r="BN23" s="908">
        <f t="shared" si="2"/>
        <v>0</v>
      </c>
      <c r="BO23" s="908">
        <f t="shared" si="3"/>
        <v>0</v>
      </c>
      <c r="BP23" s="908">
        <f t="shared" si="4"/>
        <v>0</v>
      </c>
      <c r="BQ23" s="908">
        <f t="shared" si="5"/>
        <v>0</v>
      </c>
      <c r="BR23" s="908" t="b">
        <f t="shared" si="6"/>
        <v>1</v>
      </c>
      <c r="BS23" s="1216">
        <f t="shared" si="7"/>
        <v>6</v>
      </c>
      <c r="BT23" s="909" t="str">
        <f t="shared" si="8"/>
        <v>No</v>
      </c>
      <c r="BU23" s="1216">
        <f t="shared" si="9"/>
        <v>6</v>
      </c>
      <c r="BV23" s="909" t="str">
        <f t="shared" si="10"/>
        <v>No</v>
      </c>
      <c r="BW23" s="910">
        <f t="shared" si="11"/>
        <v>0</v>
      </c>
      <c r="BX23" s="911" t="str">
        <f t="shared" si="12"/>
        <v/>
      </c>
      <c r="BY23" s="911" t="b">
        <f t="shared" si="13"/>
        <v>0</v>
      </c>
      <c r="BZ23" s="910" t="e">
        <f t="shared" si="35"/>
        <v>#REF!</v>
      </c>
      <c r="CB23" s="616"/>
      <c r="CC23" s="1567"/>
      <c r="CD23" s="645"/>
      <c r="CE23" s="646"/>
      <c r="CF23" s="647"/>
      <c r="CG23" s="660"/>
      <c r="CH23" s="661"/>
      <c r="CI23" s="662"/>
      <c r="CJ23" s="661"/>
      <c r="CK23" s="662"/>
      <c r="CL23" s="663"/>
      <c r="CM23" s="692"/>
      <c r="CN23" s="687"/>
      <c r="CO23" s="1430"/>
      <c r="CP23" s="839"/>
      <c r="CQ23" s="660"/>
      <c r="CR23" s="661"/>
      <c r="CS23" s="662"/>
      <c r="CT23" s="661"/>
      <c r="CU23" s="662"/>
      <c r="CV23" s="663"/>
      <c r="CW23" s="692"/>
      <c r="CX23" s="687"/>
      <c r="CY23" s="1430"/>
      <c r="CZ23" s="839"/>
      <c r="DA23" s="665"/>
      <c r="DB23" s="648"/>
      <c r="DC23" s="649"/>
      <c r="DD23" s="674"/>
      <c r="DE23" s="675"/>
      <c r="DF23" s="58"/>
      <c r="DG23" s="58"/>
      <c r="DH23" s="616"/>
      <c r="DI23" s="617"/>
      <c r="DJ23" s="638"/>
      <c r="DK23" s="1245"/>
      <c r="DL23" s="618"/>
      <c r="DM23" s="639"/>
      <c r="DN23" s="1248"/>
      <c r="DO23" s="619"/>
      <c r="DP23" s="620"/>
      <c r="DQ23" s="1294"/>
      <c r="DR23" s="621"/>
      <c r="DS23" s="1294"/>
      <c r="DT23" s="1296"/>
      <c r="DU23" s="1297"/>
      <c r="DV23" s="622"/>
      <c r="DW23" s="1250"/>
      <c r="DX23" s="623"/>
      <c r="DY23" s="624"/>
      <c r="DZ23" s="622"/>
      <c r="EA23" s="1250"/>
      <c r="EB23" s="623"/>
      <c r="EC23" s="624"/>
      <c r="ED23" s="622"/>
      <c r="EE23" s="1250"/>
      <c r="EF23" s="623"/>
      <c r="EG23" s="624"/>
      <c r="EH23" s="622"/>
      <c r="EI23" s="1250"/>
      <c r="EJ23" s="623"/>
      <c r="EK23" s="625"/>
      <c r="EL23" s="147"/>
      <c r="EM23" s="1513" t="str">
        <f t="shared" si="14"/>
        <v/>
      </c>
      <c r="EN23" s="1303" t="str">
        <f t="shared" si="15"/>
        <v/>
      </c>
      <c r="EO23" s="1304" t="str">
        <f t="shared" si="16"/>
        <v/>
      </c>
      <c r="EP23" s="1305" t="str">
        <f t="shared" si="17"/>
        <v/>
      </c>
      <c r="EQ23" s="1309" t="str">
        <f t="shared" si="18"/>
        <v/>
      </c>
      <c r="ER23" s="1315" t="str">
        <f t="shared" si="19"/>
        <v/>
      </c>
      <c r="ES23" s="1316" t="str">
        <f t="shared" si="20"/>
        <v/>
      </c>
      <c r="ET23" s="1317" t="str">
        <f t="shared" si="21"/>
        <v/>
      </c>
      <c r="EU23" s="1318" t="str">
        <f t="shared" si="36"/>
        <v/>
      </c>
      <c r="EX23" s="870" t="str">
        <f t="shared" si="37"/>
        <v/>
      </c>
      <c r="EY23" s="872" t="str">
        <f t="shared" si="22"/>
        <v/>
      </c>
      <c r="EZ23" s="872" t="str">
        <f t="shared" si="38"/>
        <v/>
      </c>
      <c r="FA23" s="891" t="str">
        <f t="shared" si="43"/>
        <v/>
      </c>
      <c r="FB23" s="892" t="str">
        <f t="shared" si="39"/>
        <v/>
      </c>
      <c r="FC23" s="892">
        <f t="shared" si="23"/>
        <v>0</v>
      </c>
      <c r="FD23" s="892">
        <f t="shared" si="24"/>
        <v>0</v>
      </c>
      <c r="FE23" s="892">
        <f t="shared" si="25"/>
        <v>0</v>
      </c>
      <c r="FF23" s="892">
        <f t="shared" si="40"/>
        <v>590</v>
      </c>
      <c r="FN23" s="703" t="b">
        <v>0</v>
      </c>
      <c r="FO23" s="703" t="b">
        <f t="shared" si="26"/>
        <v>0</v>
      </c>
      <c r="FP23" s="703" t="b">
        <v>0</v>
      </c>
      <c r="FQ23" s="703" t="b">
        <f t="shared" si="41"/>
        <v>0</v>
      </c>
      <c r="FW23" s="1"/>
      <c r="FX23" s="1"/>
      <c r="FZ23" s="1"/>
      <c r="GA23" s="524" t="str">
        <f t="shared" si="27"/>
        <v/>
      </c>
      <c r="GB23" s="566" t="str">
        <f t="shared" si="28"/>
        <v/>
      </c>
      <c r="GC23" s="568" t="str">
        <f t="shared" si="29"/>
        <v/>
      </c>
      <c r="GD23" s="569" t="str">
        <f t="shared" si="30"/>
        <v/>
      </c>
      <c r="GE23" s="567" t="str">
        <f t="shared" si="31"/>
        <v/>
      </c>
      <c r="GF23" s="525" t="str">
        <f t="shared" si="32"/>
        <v/>
      </c>
      <c r="GG23" s="1056"/>
      <c r="GH23" s="1058"/>
      <c r="GI23" s="1056"/>
      <c r="GJ23" s="1058"/>
      <c r="GK23" s="1523">
        <f t="shared" si="33"/>
        <v>0</v>
      </c>
      <c r="GL23" s="1523" t="e">
        <f t="shared" si="34"/>
        <v>#VALUE!</v>
      </c>
      <c r="GM23" s="1524" t="e">
        <f>IF(ABS(GK23-GL23)&gt;=#REF!,ABS(GK23-GL23),0)</f>
        <v>#VALUE!</v>
      </c>
      <c r="HA23" s="1159"/>
      <c r="HB23" s="1160"/>
      <c r="HC23" s="1160"/>
      <c r="HD23" s="1161"/>
      <c r="HE23" s="1162"/>
      <c r="HF23" s="1160"/>
      <c r="HG23" s="1160"/>
      <c r="HH23" s="1160"/>
      <c r="HI23" s="1160"/>
      <c r="HJ23" s="1160"/>
      <c r="HK23" s="1160"/>
      <c r="HL23" s="1160"/>
      <c r="HM23" s="1160"/>
      <c r="HN23" s="1160"/>
      <c r="HO23" s="1160"/>
      <c r="HP23" s="1160"/>
      <c r="HQ23" s="1160"/>
      <c r="HR23" s="1160"/>
      <c r="HS23" s="1160"/>
      <c r="HT23" s="1160"/>
      <c r="HU23" s="1160"/>
      <c r="HV23" s="1160"/>
      <c r="HW23" s="1160"/>
      <c r="HX23" s="1160"/>
      <c r="HY23" s="1164"/>
      <c r="HZ23" s="1164"/>
      <c r="IA23" s="1164"/>
      <c r="IB23" s="1164"/>
      <c r="IC23" s="1164"/>
      <c r="ID23" s="1179"/>
      <c r="IE23" s="1159"/>
      <c r="IF23" s="1160"/>
      <c r="IG23" s="1161"/>
      <c r="IH23" s="1162"/>
      <c r="II23" s="1160"/>
      <c r="IJ23" s="1161"/>
      <c r="IK23" s="1162"/>
      <c r="IL23" s="1160"/>
      <c r="IM23" s="1160"/>
      <c r="IN23" s="1160"/>
      <c r="IO23" s="1160"/>
      <c r="IP23" s="1160"/>
      <c r="IQ23" s="1160"/>
      <c r="IR23" s="1160"/>
      <c r="IS23" s="1161"/>
      <c r="IT23" s="1162"/>
      <c r="IU23" s="1160"/>
      <c r="IV23" s="1160"/>
      <c r="IW23" s="1161"/>
      <c r="IX23" s="1162"/>
      <c r="IY23" s="1160"/>
      <c r="IZ23" s="1160"/>
      <c r="JA23" s="1161"/>
      <c r="JB23" s="1162"/>
      <c r="JC23" s="1160"/>
      <c r="JD23" s="1160"/>
      <c r="JE23" s="1161"/>
      <c r="JF23" s="1162"/>
      <c r="JG23" s="1160"/>
      <c r="JH23" s="1160"/>
      <c r="JI23" s="1160"/>
      <c r="JJ23" s="1163"/>
      <c r="JK23" s="1160"/>
      <c r="JL23" s="1103">
        <f t="shared" ca="1" si="44"/>
        <v>0</v>
      </c>
    </row>
    <row r="24" spans="1:272" ht="12.6" customHeight="1" x14ac:dyDescent="0.25">
      <c r="A24" s="1132" t="s">
        <v>825</v>
      </c>
      <c r="B24" s="1586">
        <v>1</v>
      </c>
      <c r="C24" s="1133" t="s">
        <v>829</v>
      </c>
      <c r="D24" s="1134">
        <v>49</v>
      </c>
      <c r="E24" s="1135">
        <v>8.75</v>
      </c>
      <c r="F24" s="1136">
        <v>9</v>
      </c>
      <c r="G24" s="1137">
        <v>0</v>
      </c>
      <c r="H24" s="1138">
        <v>1.75</v>
      </c>
      <c r="I24" s="1139" t="s">
        <v>87</v>
      </c>
      <c r="J24" s="1134">
        <v>0</v>
      </c>
      <c r="K24" s="1138">
        <v>5</v>
      </c>
      <c r="L24" s="1140" t="s">
        <v>87</v>
      </c>
      <c r="M24" s="1141">
        <v>7.5</v>
      </c>
      <c r="N24" s="1142">
        <v>14</v>
      </c>
      <c r="O24" s="1137">
        <v>0</v>
      </c>
      <c r="P24" s="1138">
        <v>6.25</v>
      </c>
      <c r="Q24" s="1134">
        <v>0</v>
      </c>
      <c r="R24" s="1135">
        <v>6.5</v>
      </c>
      <c r="S24" s="1143">
        <v>0</v>
      </c>
      <c r="T24" s="1138">
        <v>6.25</v>
      </c>
      <c r="U24" s="1134">
        <v>0</v>
      </c>
      <c r="V24" s="1138">
        <v>5.5</v>
      </c>
      <c r="W24" s="1142">
        <v>5</v>
      </c>
      <c r="X24" s="1144"/>
      <c r="Y24" s="1145"/>
      <c r="Z24" s="1587" t="s">
        <v>830</v>
      </c>
      <c r="AA24" s="1152"/>
      <c r="AB24" s="1132" t="s">
        <v>825</v>
      </c>
      <c r="AC24" s="1139" t="s">
        <v>35</v>
      </c>
      <c r="AD24" s="1134">
        <v>5</v>
      </c>
      <c r="AE24" s="1138">
        <v>4.75</v>
      </c>
      <c r="AF24" s="1139">
        <v>7</v>
      </c>
      <c r="AG24" s="1134">
        <v>5</v>
      </c>
      <c r="AH24" s="1138">
        <v>6.625</v>
      </c>
      <c r="AI24" s="1134">
        <v>4</v>
      </c>
      <c r="AJ24" s="1138">
        <v>10.875</v>
      </c>
      <c r="AK24" s="1619"/>
      <c r="AL24" s="1620" t="s">
        <v>35</v>
      </c>
      <c r="AM24" s="1621">
        <v>5</v>
      </c>
      <c r="AN24" s="1139">
        <v>13</v>
      </c>
      <c r="AO24" s="1142">
        <v>4</v>
      </c>
      <c r="AP24" s="1141">
        <v>1.75</v>
      </c>
      <c r="AQ24" s="1623"/>
      <c r="AR24" s="1137">
        <v>49</v>
      </c>
      <c r="AS24" s="1138">
        <v>0</v>
      </c>
      <c r="AT24" s="1624">
        <v>7.9</v>
      </c>
      <c r="AU24" s="1625" t="s">
        <v>35</v>
      </c>
      <c r="AV24" s="1143"/>
      <c r="AW24" s="1138"/>
      <c r="AX24" s="1624"/>
      <c r="AY24" s="1625"/>
      <c r="AZ24" s="1143"/>
      <c r="BA24" s="1138"/>
      <c r="BB24" s="1624"/>
      <c r="BC24" s="1625"/>
      <c r="BD24" s="1143"/>
      <c r="BE24" s="1138"/>
      <c r="BF24" s="1624"/>
      <c r="BG24" s="1625"/>
      <c r="BH24" s="1291"/>
      <c r="BJ24" s="915" t="str">
        <f t="shared" si="42"/>
        <v>G51</v>
      </c>
      <c r="BK24" s="913" t="e">
        <f t="shared" si="0"/>
        <v>#REF!</v>
      </c>
      <c r="BL24" s="908" t="b">
        <v>0</v>
      </c>
      <c r="BM24" s="908">
        <f t="shared" si="1"/>
        <v>60</v>
      </c>
      <c r="BN24" s="908" t="str">
        <f t="shared" si="2"/>
        <v>G</v>
      </c>
      <c r="BO24" s="908">
        <f t="shared" si="3"/>
        <v>9</v>
      </c>
      <c r="BP24" s="908">
        <f t="shared" si="4"/>
        <v>8.1</v>
      </c>
      <c r="BQ24" s="908">
        <f t="shared" si="5"/>
        <v>2.1</v>
      </c>
      <c r="BR24" s="908" t="b">
        <f t="shared" si="6"/>
        <v>1</v>
      </c>
      <c r="BS24" s="1216">
        <f t="shared" si="7"/>
        <v>7.75</v>
      </c>
      <c r="BT24" s="909" t="e">
        <f t="shared" si="8"/>
        <v>#REF!</v>
      </c>
      <c r="BU24" s="1216">
        <f t="shared" si="9"/>
        <v>11</v>
      </c>
      <c r="BV24" s="909" t="e">
        <f t="shared" si="10"/>
        <v>#REF!</v>
      </c>
      <c r="BW24" s="910">
        <f t="shared" si="11"/>
        <v>18</v>
      </c>
      <c r="BX24" s="911" t="str">
        <f t="shared" si="12"/>
        <v>G51</v>
      </c>
      <c r="BY24" s="911" t="b">
        <f t="shared" si="13"/>
        <v>0</v>
      </c>
      <c r="BZ24" s="910" t="e">
        <f t="shared" si="35"/>
        <v>#REF!</v>
      </c>
      <c r="CB24" s="616"/>
      <c r="CC24" s="1567"/>
      <c r="CD24" s="645"/>
      <c r="CE24" s="646"/>
      <c r="CF24" s="647"/>
      <c r="CG24" s="660"/>
      <c r="CH24" s="661"/>
      <c r="CI24" s="662"/>
      <c r="CJ24" s="661"/>
      <c r="CK24" s="662"/>
      <c r="CL24" s="663"/>
      <c r="CM24" s="692"/>
      <c r="CN24" s="687"/>
      <c r="CO24" s="1430"/>
      <c r="CP24" s="839"/>
      <c r="CQ24" s="660"/>
      <c r="CR24" s="661"/>
      <c r="CS24" s="662"/>
      <c r="CT24" s="661"/>
      <c r="CU24" s="662"/>
      <c r="CV24" s="663"/>
      <c r="CW24" s="692"/>
      <c r="CX24" s="687"/>
      <c r="CY24" s="1430"/>
      <c r="CZ24" s="839"/>
      <c r="DA24" s="665"/>
      <c r="DB24" s="648"/>
      <c r="DC24" s="649"/>
      <c r="DD24" s="674"/>
      <c r="DE24" s="675"/>
      <c r="DF24" s="58"/>
      <c r="DG24" s="58"/>
      <c r="DH24" s="616"/>
      <c r="DI24" s="617"/>
      <c r="DJ24" s="638"/>
      <c r="DK24" s="1245"/>
      <c r="DL24" s="618"/>
      <c r="DM24" s="639"/>
      <c r="DN24" s="1248"/>
      <c r="DO24" s="619"/>
      <c r="DP24" s="620"/>
      <c r="DQ24" s="1294"/>
      <c r="DR24" s="621"/>
      <c r="DS24" s="1294"/>
      <c r="DT24" s="1296"/>
      <c r="DU24" s="1297"/>
      <c r="DV24" s="622"/>
      <c r="DW24" s="1250"/>
      <c r="DX24" s="623"/>
      <c r="DY24" s="624"/>
      <c r="DZ24" s="622"/>
      <c r="EA24" s="1250"/>
      <c r="EB24" s="623"/>
      <c r="EC24" s="624"/>
      <c r="ED24" s="622"/>
      <c r="EE24" s="1250"/>
      <c r="EF24" s="623"/>
      <c r="EG24" s="624"/>
      <c r="EH24" s="622"/>
      <c r="EI24" s="1250"/>
      <c r="EJ24" s="623"/>
      <c r="EK24" s="625"/>
      <c r="EL24" s="147"/>
      <c r="EM24" s="1513" t="str">
        <f t="shared" si="14"/>
        <v/>
      </c>
      <c r="EN24" s="1303" t="str">
        <f t="shared" si="15"/>
        <v/>
      </c>
      <c r="EO24" s="1304" t="str">
        <f t="shared" si="16"/>
        <v/>
      </c>
      <c r="EP24" s="1305" t="str">
        <f t="shared" si="17"/>
        <v/>
      </c>
      <c r="EQ24" s="1309" t="str">
        <f t="shared" si="18"/>
        <v/>
      </c>
      <c r="ER24" s="1315" t="str">
        <f t="shared" si="19"/>
        <v/>
      </c>
      <c r="ES24" s="1316" t="str">
        <f t="shared" si="20"/>
        <v/>
      </c>
      <c r="ET24" s="1317" t="str">
        <f t="shared" si="21"/>
        <v/>
      </c>
      <c r="EU24" s="1318" t="str">
        <f t="shared" si="36"/>
        <v/>
      </c>
      <c r="EX24" s="870" t="str">
        <f t="shared" si="37"/>
        <v>G51B</v>
      </c>
      <c r="EY24" s="872" t="b">
        <f t="shared" si="22"/>
        <v>1</v>
      </c>
      <c r="EZ24" s="872">
        <f t="shared" si="38"/>
        <v>5</v>
      </c>
      <c r="FA24" s="891" t="b">
        <f t="shared" si="43"/>
        <v>1</v>
      </c>
      <c r="FB24" s="892">
        <f t="shared" si="39"/>
        <v>590</v>
      </c>
      <c r="FC24" s="892">
        <f t="shared" si="23"/>
        <v>64.75</v>
      </c>
      <c r="FD24" s="892">
        <f t="shared" si="24"/>
        <v>466.375</v>
      </c>
      <c r="FE24" s="892">
        <f t="shared" si="25"/>
        <v>58.875</v>
      </c>
      <c r="FF24" s="892">
        <f t="shared" si="40"/>
        <v>590</v>
      </c>
      <c r="FN24" s="703" t="b">
        <v>0</v>
      </c>
      <c r="FO24" s="703" t="b">
        <f t="shared" si="26"/>
        <v>1</v>
      </c>
      <c r="FP24" s="703" t="b">
        <v>0</v>
      </c>
      <c r="FQ24" s="703" t="b">
        <f t="shared" si="41"/>
        <v>1</v>
      </c>
      <c r="FW24" s="1"/>
      <c r="FX24" s="1"/>
      <c r="FZ24" s="1"/>
      <c r="GA24" s="524">
        <f t="shared" si="27"/>
        <v>0</v>
      </c>
      <c r="GB24" s="566">
        <f t="shared" si="28"/>
        <v>0</v>
      </c>
      <c r="GC24" s="568">
        <f t="shared" si="29"/>
        <v>0</v>
      </c>
      <c r="GD24" s="569">
        <f t="shared" si="30"/>
        <v>0</v>
      </c>
      <c r="GE24" s="567">
        <f t="shared" si="31"/>
        <v>0</v>
      </c>
      <c r="GF24" s="525" t="str">
        <f t="shared" si="32"/>
        <v>G51</v>
      </c>
      <c r="GG24" s="1056"/>
      <c r="GH24" s="1058"/>
      <c r="GI24" s="1056"/>
      <c r="GJ24" s="1058"/>
      <c r="GK24" s="1523">
        <f t="shared" si="33"/>
        <v>596.75</v>
      </c>
      <c r="GL24" s="1523">
        <f t="shared" si="34"/>
        <v>0</v>
      </c>
      <c r="GM24" s="1524" t="e">
        <f>IF(ABS(GK24-GL24)&gt;=#REF!,ABS(GK24-GL24),0)</f>
        <v>#REF!</v>
      </c>
      <c r="HA24" s="1159"/>
      <c r="HB24" s="1160"/>
      <c r="HC24" s="1160"/>
      <c r="HD24" s="1161"/>
      <c r="HE24" s="1162"/>
      <c r="HF24" s="1160"/>
      <c r="HG24" s="1160"/>
      <c r="HH24" s="1160"/>
      <c r="HI24" s="1160"/>
      <c r="HJ24" s="1160"/>
      <c r="HK24" s="1160"/>
      <c r="HL24" s="1160"/>
      <c r="HM24" s="1160"/>
      <c r="HN24" s="1160"/>
      <c r="HO24" s="1160"/>
      <c r="HP24" s="1160"/>
      <c r="HQ24" s="1160"/>
      <c r="HR24" s="1160"/>
      <c r="HS24" s="1160"/>
      <c r="HT24" s="1160"/>
      <c r="HU24" s="1160"/>
      <c r="HV24" s="1160"/>
      <c r="HW24" s="1160"/>
      <c r="HX24" s="1160"/>
      <c r="HY24" s="1164"/>
      <c r="HZ24" s="1164"/>
      <c r="IA24" s="1164"/>
      <c r="IB24" s="1164"/>
      <c r="IC24" s="1164"/>
      <c r="ID24" s="1179"/>
      <c r="IE24" s="1159"/>
      <c r="IF24" s="1160"/>
      <c r="IG24" s="1161"/>
      <c r="IH24" s="1162"/>
      <c r="II24" s="1160"/>
      <c r="IJ24" s="1161"/>
      <c r="IK24" s="1162"/>
      <c r="IL24" s="1160"/>
      <c r="IM24" s="1160"/>
      <c r="IN24" s="1160"/>
      <c r="IO24" s="1160"/>
      <c r="IP24" s="1160"/>
      <c r="IQ24" s="1160"/>
      <c r="IR24" s="1160"/>
      <c r="IS24" s="1161"/>
      <c r="IT24" s="1162"/>
      <c r="IU24" s="1160"/>
      <c r="IV24" s="1160"/>
      <c r="IW24" s="1161"/>
      <c r="IX24" s="1162"/>
      <c r="IY24" s="1160"/>
      <c r="IZ24" s="1160"/>
      <c r="JA24" s="1161"/>
      <c r="JB24" s="1162"/>
      <c r="JC24" s="1160"/>
      <c r="JD24" s="1160"/>
      <c r="JE24" s="1161"/>
      <c r="JF24" s="1162"/>
      <c r="JG24" s="1160"/>
      <c r="JH24" s="1160"/>
      <c r="JI24" s="1160"/>
      <c r="JJ24" s="1163"/>
      <c r="JK24" s="1160"/>
      <c r="JL24" s="1103">
        <f t="shared" ca="1" si="44"/>
        <v>0</v>
      </c>
    </row>
    <row r="25" spans="1:272" ht="12.6" customHeight="1" x14ac:dyDescent="0.25">
      <c r="A25" s="1132"/>
      <c r="B25" s="1586"/>
      <c r="C25" s="1133"/>
      <c r="D25" s="1134"/>
      <c r="E25" s="1135"/>
      <c r="F25" s="1136"/>
      <c r="G25" s="1137"/>
      <c r="H25" s="1138"/>
      <c r="I25" s="1139"/>
      <c r="J25" s="1134"/>
      <c r="K25" s="1138"/>
      <c r="L25" s="1140"/>
      <c r="M25" s="1141"/>
      <c r="N25" s="1142"/>
      <c r="O25" s="1137"/>
      <c r="P25" s="1138"/>
      <c r="Q25" s="1134"/>
      <c r="R25" s="1135"/>
      <c r="S25" s="1143"/>
      <c r="T25" s="1138"/>
      <c r="U25" s="1134"/>
      <c r="V25" s="1138"/>
      <c r="W25" s="1142"/>
      <c r="X25" s="1144"/>
      <c r="Y25" s="1145"/>
      <c r="Z25" s="1587"/>
      <c r="AA25" s="1152"/>
      <c r="AB25" s="1132"/>
      <c r="AC25" s="1139"/>
      <c r="AD25" s="1134"/>
      <c r="AE25" s="1138"/>
      <c r="AF25" s="1139"/>
      <c r="AG25" s="1134"/>
      <c r="AH25" s="1138"/>
      <c r="AI25" s="1134"/>
      <c r="AJ25" s="1138"/>
      <c r="AK25" s="1619"/>
      <c r="AL25" s="1620"/>
      <c r="AM25" s="1621"/>
      <c r="AN25" s="1139"/>
      <c r="AO25" s="1142"/>
      <c r="AP25" s="1141"/>
      <c r="AQ25" s="1623"/>
      <c r="AR25" s="1137"/>
      <c r="AS25" s="1138"/>
      <c r="AT25" s="1624"/>
      <c r="AU25" s="1625"/>
      <c r="AV25" s="1143"/>
      <c r="AW25" s="1138"/>
      <c r="AX25" s="1624"/>
      <c r="AY25" s="1625"/>
      <c r="AZ25" s="1143"/>
      <c r="BA25" s="1138"/>
      <c r="BB25" s="1624"/>
      <c r="BC25" s="1625"/>
      <c r="BD25" s="1143"/>
      <c r="BE25" s="1138"/>
      <c r="BF25" s="1624"/>
      <c r="BG25" s="1625"/>
      <c r="BH25" s="1291"/>
      <c r="BJ25" s="915" t="str">
        <f t="shared" si="42"/>
        <v/>
      </c>
      <c r="BK25" s="913" t="e">
        <f t="shared" si="0"/>
        <v>#REF!</v>
      </c>
      <c r="BL25" s="908" t="b">
        <v>0</v>
      </c>
      <c r="BM25" s="908">
        <f t="shared" si="1"/>
        <v>0</v>
      </c>
      <c r="BN25" s="908">
        <f t="shared" si="2"/>
        <v>0</v>
      </c>
      <c r="BO25" s="908">
        <f t="shared" si="3"/>
        <v>0</v>
      </c>
      <c r="BP25" s="908">
        <f t="shared" si="4"/>
        <v>0</v>
      </c>
      <c r="BQ25" s="908">
        <f t="shared" si="5"/>
        <v>0</v>
      </c>
      <c r="BR25" s="908" t="b">
        <f t="shared" si="6"/>
        <v>1</v>
      </c>
      <c r="BS25" s="1216">
        <f t="shared" si="7"/>
        <v>6</v>
      </c>
      <c r="BT25" s="909" t="str">
        <f t="shared" si="8"/>
        <v>No</v>
      </c>
      <c r="BU25" s="1216">
        <f t="shared" si="9"/>
        <v>6</v>
      </c>
      <c r="BV25" s="909" t="str">
        <f t="shared" si="10"/>
        <v>No</v>
      </c>
      <c r="BW25" s="910">
        <f t="shared" si="11"/>
        <v>0</v>
      </c>
      <c r="BX25" s="911" t="str">
        <f t="shared" si="12"/>
        <v/>
      </c>
      <c r="BY25" s="911" t="b">
        <f t="shared" si="13"/>
        <v>0</v>
      </c>
      <c r="BZ25" s="910" t="e">
        <f t="shared" si="35"/>
        <v>#REF!</v>
      </c>
      <c r="CB25" s="616"/>
      <c r="CC25" s="1567"/>
      <c r="CD25" s="645"/>
      <c r="CE25" s="646"/>
      <c r="CF25" s="647"/>
      <c r="CG25" s="660"/>
      <c r="CH25" s="661"/>
      <c r="CI25" s="662"/>
      <c r="CJ25" s="661"/>
      <c r="CK25" s="662"/>
      <c r="CL25" s="663"/>
      <c r="CM25" s="692"/>
      <c r="CN25" s="687"/>
      <c r="CO25" s="1430"/>
      <c r="CP25" s="839"/>
      <c r="CQ25" s="660"/>
      <c r="CR25" s="661"/>
      <c r="CS25" s="662"/>
      <c r="CT25" s="661"/>
      <c r="CU25" s="662"/>
      <c r="CV25" s="663"/>
      <c r="CW25" s="692"/>
      <c r="CX25" s="687"/>
      <c r="CY25" s="1430"/>
      <c r="CZ25" s="839"/>
      <c r="DA25" s="665"/>
      <c r="DB25" s="648"/>
      <c r="DC25" s="649"/>
      <c r="DD25" s="674"/>
      <c r="DE25" s="675"/>
      <c r="DF25" s="58"/>
      <c r="DG25" s="58"/>
      <c r="DH25" s="616"/>
      <c r="DI25" s="617"/>
      <c r="DJ25" s="638"/>
      <c r="DK25" s="1245"/>
      <c r="DL25" s="618"/>
      <c r="DM25" s="639"/>
      <c r="DN25" s="1248"/>
      <c r="DO25" s="619"/>
      <c r="DP25" s="620"/>
      <c r="DQ25" s="1294"/>
      <c r="DR25" s="621"/>
      <c r="DS25" s="1294"/>
      <c r="DT25" s="1296"/>
      <c r="DU25" s="1297"/>
      <c r="DV25" s="622"/>
      <c r="DW25" s="1250"/>
      <c r="DX25" s="623"/>
      <c r="DY25" s="624"/>
      <c r="DZ25" s="622"/>
      <c r="EA25" s="1250"/>
      <c r="EB25" s="623"/>
      <c r="EC25" s="624"/>
      <c r="ED25" s="622"/>
      <c r="EE25" s="1250"/>
      <c r="EF25" s="623"/>
      <c r="EG25" s="624"/>
      <c r="EH25" s="622"/>
      <c r="EI25" s="1250"/>
      <c r="EJ25" s="623"/>
      <c r="EK25" s="625"/>
      <c r="EL25" s="147"/>
      <c r="EM25" s="1513" t="str">
        <f t="shared" si="14"/>
        <v/>
      </c>
      <c r="EN25" s="1303" t="str">
        <f t="shared" si="15"/>
        <v/>
      </c>
      <c r="EO25" s="1304" t="str">
        <f t="shared" si="16"/>
        <v/>
      </c>
      <c r="EP25" s="1305" t="str">
        <f t="shared" si="17"/>
        <v/>
      </c>
      <c r="EQ25" s="1309" t="str">
        <f t="shared" si="18"/>
        <v/>
      </c>
      <c r="ER25" s="1315" t="str">
        <f t="shared" si="19"/>
        <v/>
      </c>
      <c r="ES25" s="1316" t="str">
        <f t="shared" si="20"/>
        <v/>
      </c>
      <c r="ET25" s="1317" t="str">
        <f t="shared" si="21"/>
        <v/>
      </c>
      <c r="EU25" s="1318" t="str">
        <f t="shared" si="36"/>
        <v/>
      </c>
      <c r="EX25" s="870" t="str">
        <f t="shared" si="37"/>
        <v/>
      </c>
      <c r="EY25" s="872" t="str">
        <f t="shared" si="22"/>
        <v/>
      </c>
      <c r="EZ25" s="872" t="str">
        <f t="shared" si="38"/>
        <v/>
      </c>
      <c r="FA25" s="891" t="str">
        <f t="shared" si="43"/>
        <v/>
      </c>
      <c r="FB25" s="892" t="str">
        <f t="shared" si="39"/>
        <v/>
      </c>
      <c r="FC25" s="892">
        <f t="shared" si="23"/>
        <v>0</v>
      </c>
      <c r="FD25" s="892">
        <f t="shared" si="24"/>
        <v>0</v>
      </c>
      <c r="FE25" s="892">
        <f t="shared" si="25"/>
        <v>0</v>
      </c>
      <c r="FF25" s="892">
        <f t="shared" si="40"/>
        <v>0</v>
      </c>
      <c r="FN25" s="703" t="b">
        <v>0</v>
      </c>
      <c r="FO25" s="703" t="b">
        <f t="shared" si="26"/>
        <v>0</v>
      </c>
      <c r="FP25" s="703" t="b">
        <v>0</v>
      </c>
      <c r="FQ25" s="703" t="b">
        <f t="shared" si="41"/>
        <v>0</v>
      </c>
      <c r="FW25" s="1"/>
      <c r="FX25" s="1"/>
      <c r="FZ25" s="1"/>
      <c r="GA25" s="524" t="str">
        <f t="shared" si="27"/>
        <v/>
      </c>
      <c r="GB25" s="566" t="str">
        <f t="shared" si="28"/>
        <v/>
      </c>
      <c r="GC25" s="568" t="str">
        <f t="shared" si="29"/>
        <v/>
      </c>
      <c r="GD25" s="569" t="str">
        <f t="shared" si="30"/>
        <v/>
      </c>
      <c r="GE25" s="567" t="str">
        <f t="shared" si="31"/>
        <v/>
      </c>
      <c r="GF25" s="525" t="str">
        <f t="shared" si="32"/>
        <v/>
      </c>
      <c r="GG25" s="1056"/>
      <c r="GH25" s="1058"/>
      <c r="GI25" s="1056"/>
      <c r="GJ25" s="1058"/>
      <c r="GK25" s="1523">
        <f t="shared" si="33"/>
        <v>0</v>
      </c>
      <c r="GL25" s="1523" t="e">
        <f t="shared" si="34"/>
        <v>#VALUE!</v>
      </c>
      <c r="GM25" s="1524" t="e">
        <f>IF(ABS(GK25-GL25)&gt;=#REF!,ABS(GK25-GL25),0)</f>
        <v>#VALUE!</v>
      </c>
      <c r="HA25" s="1159"/>
      <c r="HB25" s="1160"/>
      <c r="HC25" s="1160"/>
      <c r="HD25" s="1161"/>
      <c r="HE25" s="1162"/>
      <c r="HF25" s="1160"/>
      <c r="HG25" s="1160"/>
      <c r="HH25" s="1160"/>
      <c r="HI25" s="1160"/>
      <c r="HJ25" s="1160"/>
      <c r="HK25" s="1160"/>
      <c r="HL25" s="1160"/>
      <c r="HM25" s="1160"/>
      <c r="HN25" s="1160"/>
      <c r="HO25" s="1160"/>
      <c r="HP25" s="1160"/>
      <c r="HQ25" s="1160"/>
      <c r="HR25" s="1160"/>
      <c r="HS25" s="1160"/>
      <c r="HT25" s="1160"/>
      <c r="HU25" s="1160"/>
      <c r="HV25" s="1160"/>
      <c r="HW25" s="1160"/>
      <c r="HX25" s="1160"/>
      <c r="HY25" s="1164"/>
      <c r="HZ25" s="1164"/>
      <c r="IA25" s="1164"/>
      <c r="IB25" s="1164"/>
      <c r="IC25" s="1164"/>
      <c r="ID25" s="1179"/>
      <c r="IE25" s="1159"/>
      <c r="IF25" s="1160"/>
      <c r="IG25" s="1161"/>
      <c r="IH25" s="1162"/>
      <c r="II25" s="1160"/>
      <c r="IJ25" s="1161"/>
      <c r="IK25" s="1162"/>
      <c r="IL25" s="1160"/>
      <c r="IM25" s="1160"/>
      <c r="IN25" s="1160"/>
      <c r="IO25" s="1160"/>
      <c r="IP25" s="1160"/>
      <c r="IQ25" s="1160"/>
      <c r="IR25" s="1160"/>
      <c r="IS25" s="1161"/>
      <c r="IT25" s="1162"/>
      <c r="IU25" s="1160"/>
      <c r="IV25" s="1160"/>
      <c r="IW25" s="1161"/>
      <c r="IX25" s="1162"/>
      <c r="IY25" s="1160"/>
      <c r="IZ25" s="1160"/>
      <c r="JA25" s="1161"/>
      <c r="JB25" s="1162"/>
      <c r="JC25" s="1160"/>
      <c r="JD25" s="1160"/>
      <c r="JE25" s="1161"/>
      <c r="JF25" s="1162"/>
      <c r="JG25" s="1160"/>
      <c r="JH25" s="1160"/>
      <c r="JI25" s="1160"/>
      <c r="JJ25" s="1163"/>
      <c r="JK25" s="1160"/>
      <c r="JL25" s="1103">
        <f t="shared" ca="1" si="44"/>
        <v>0</v>
      </c>
    </row>
    <row r="26" spans="1:272" ht="12.6" customHeight="1" x14ac:dyDescent="0.25">
      <c r="A26" s="1132"/>
      <c r="B26" s="1586"/>
      <c r="C26" s="1133"/>
      <c r="D26" s="1134"/>
      <c r="E26" s="1135"/>
      <c r="F26" s="1136"/>
      <c r="G26" s="1137"/>
      <c r="H26" s="1138"/>
      <c r="I26" s="1139"/>
      <c r="J26" s="1134"/>
      <c r="K26" s="1138"/>
      <c r="L26" s="1140"/>
      <c r="M26" s="1141"/>
      <c r="N26" s="1142"/>
      <c r="O26" s="1137"/>
      <c r="P26" s="1138"/>
      <c r="Q26" s="1134"/>
      <c r="R26" s="1135"/>
      <c r="S26" s="1143"/>
      <c r="T26" s="1138"/>
      <c r="U26" s="1134"/>
      <c r="V26" s="1138"/>
      <c r="W26" s="1142"/>
      <c r="X26" s="1144"/>
      <c r="Y26" s="1145"/>
      <c r="Z26" s="1587"/>
      <c r="AA26" s="1152"/>
      <c r="AB26" s="1132"/>
      <c r="AC26" s="1139"/>
      <c r="AD26" s="1134"/>
      <c r="AE26" s="1138"/>
      <c r="AF26" s="1139"/>
      <c r="AG26" s="1134"/>
      <c r="AH26" s="1138"/>
      <c r="AI26" s="1134"/>
      <c r="AJ26" s="1138"/>
      <c r="AK26" s="1619"/>
      <c r="AL26" s="1620"/>
      <c r="AM26" s="1621"/>
      <c r="AN26" s="1139"/>
      <c r="AO26" s="1142"/>
      <c r="AP26" s="1141"/>
      <c r="AQ26" s="1623"/>
      <c r="AR26" s="1137"/>
      <c r="AS26" s="1138"/>
      <c r="AT26" s="1624"/>
      <c r="AU26" s="1625"/>
      <c r="AV26" s="1143"/>
      <c r="AW26" s="1138"/>
      <c r="AX26" s="1624"/>
      <c r="AY26" s="1625"/>
      <c r="AZ26" s="1143"/>
      <c r="BA26" s="1138"/>
      <c r="BB26" s="1624"/>
      <c r="BC26" s="1625"/>
      <c r="BD26" s="1143"/>
      <c r="BE26" s="1138"/>
      <c r="BF26" s="1624"/>
      <c r="BG26" s="1625"/>
      <c r="BH26" s="1291"/>
      <c r="BJ26" s="915" t="str">
        <f t="shared" si="42"/>
        <v/>
      </c>
      <c r="BK26" s="913" t="e">
        <f t="shared" si="0"/>
        <v>#REF!</v>
      </c>
      <c r="BL26" s="908" t="b">
        <v>0</v>
      </c>
      <c r="BM26" s="908">
        <f t="shared" si="1"/>
        <v>0</v>
      </c>
      <c r="BN26" s="908">
        <f t="shared" si="2"/>
        <v>0</v>
      </c>
      <c r="BO26" s="908">
        <f t="shared" si="3"/>
        <v>0</v>
      </c>
      <c r="BP26" s="908">
        <f t="shared" si="4"/>
        <v>0</v>
      </c>
      <c r="BQ26" s="908">
        <f t="shared" si="5"/>
        <v>0</v>
      </c>
      <c r="BR26" s="908" t="b">
        <f t="shared" si="6"/>
        <v>1</v>
      </c>
      <c r="BS26" s="1216">
        <f t="shared" si="7"/>
        <v>6</v>
      </c>
      <c r="BT26" s="909" t="str">
        <f t="shared" si="8"/>
        <v>No</v>
      </c>
      <c r="BU26" s="1216">
        <f t="shared" si="9"/>
        <v>6</v>
      </c>
      <c r="BV26" s="909" t="str">
        <f t="shared" si="10"/>
        <v>No</v>
      </c>
      <c r="BW26" s="910">
        <f t="shared" si="11"/>
        <v>0</v>
      </c>
      <c r="BX26" s="911" t="str">
        <f t="shared" si="12"/>
        <v/>
      </c>
      <c r="BY26" s="911" t="b">
        <f t="shared" si="13"/>
        <v>0</v>
      </c>
      <c r="BZ26" s="910" t="e">
        <f t="shared" si="35"/>
        <v>#REF!</v>
      </c>
      <c r="CB26" s="616"/>
      <c r="CC26" s="1567"/>
      <c r="CD26" s="645"/>
      <c r="CE26" s="646"/>
      <c r="CF26" s="647"/>
      <c r="CG26" s="660"/>
      <c r="CH26" s="661"/>
      <c r="CI26" s="662"/>
      <c r="CJ26" s="661"/>
      <c r="CK26" s="662"/>
      <c r="CL26" s="663"/>
      <c r="CM26" s="692"/>
      <c r="CN26" s="687"/>
      <c r="CO26" s="1430"/>
      <c r="CP26" s="839"/>
      <c r="CQ26" s="660"/>
      <c r="CR26" s="661"/>
      <c r="CS26" s="662"/>
      <c r="CT26" s="661"/>
      <c r="CU26" s="662"/>
      <c r="CV26" s="663"/>
      <c r="CW26" s="692"/>
      <c r="CX26" s="687"/>
      <c r="CY26" s="1430"/>
      <c r="CZ26" s="839"/>
      <c r="DA26" s="665"/>
      <c r="DB26" s="648"/>
      <c r="DC26" s="649"/>
      <c r="DD26" s="674"/>
      <c r="DE26" s="675"/>
      <c r="DF26" s="58"/>
      <c r="DG26" s="58"/>
      <c r="DH26" s="616"/>
      <c r="DI26" s="617"/>
      <c r="DJ26" s="638"/>
      <c r="DK26" s="1245"/>
      <c r="DL26" s="618"/>
      <c r="DM26" s="639"/>
      <c r="DN26" s="1248"/>
      <c r="DO26" s="619"/>
      <c r="DP26" s="620"/>
      <c r="DQ26" s="1294"/>
      <c r="DR26" s="621"/>
      <c r="DS26" s="1294"/>
      <c r="DT26" s="1296"/>
      <c r="DU26" s="1297"/>
      <c r="DV26" s="622"/>
      <c r="DW26" s="1250"/>
      <c r="DX26" s="623"/>
      <c r="DY26" s="624"/>
      <c r="DZ26" s="622"/>
      <c r="EA26" s="1250"/>
      <c r="EB26" s="623"/>
      <c r="EC26" s="624"/>
      <c r="ED26" s="622"/>
      <c r="EE26" s="1250"/>
      <c r="EF26" s="623"/>
      <c r="EG26" s="624"/>
      <c r="EH26" s="622"/>
      <c r="EI26" s="1250"/>
      <c r="EJ26" s="623"/>
      <c r="EK26" s="625"/>
      <c r="EL26" s="147"/>
      <c r="EM26" s="1513" t="str">
        <f t="shared" si="14"/>
        <v/>
      </c>
      <c r="EN26" s="1303" t="str">
        <f t="shared" si="15"/>
        <v/>
      </c>
      <c r="EO26" s="1304" t="str">
        <f t="shared" si="16"/>
        <v/>
      </c>
      <c r="EP26" s="1305" t="str">
        <f t="shared" si="17"/>
        <v/>
      </c>
      <c r="EQ26" s="1309" t="str">
        <f t="shared" si="18"/>
        <v/>
      </c>
      <c r="ER26" s="1315" t="str">
        <f t="shared" si="19"/>
        <v/>
      </c>
      <c r="ES26" s="1316" t="str">
        <f t="shared" si="20"/>
        <v/>
      </c>
      <c r="ET26" s="1317" t="str">
        <f t="shared" si="21"/>
        <v/>
      </c>
      <c r="EU26" s="1318" t="str">
        <f t="shared" si="36"/>
        <v/>
      </c>
      <c r="EX26" s="870" t="str">
        <f t="shared" si="37"/>
        <v/>
      </c>
      <c r="EY26" s="872" t="str">
        <f t="shared" si="22"/>
        <v/>
      </c>
      <c r="EZ26" s="872" t="str">
        <f t="shared" si="38"/>
        <v/>
      </c>
      <c r="FA26" s="891" t="str">
        <f t="shared" si="43"/>
        <v/>
      </c>
      <c r="FB26" s="892" t="str">
        <f t="shared" si="39"/>
        <v/>
      </c>
      <c r="FC26" s="892">
        <f t="shared" si="23"/>
        <v>0</v>
      </c>
      <c r="FD26" s="892">
        <f t="shared" si="24"/>
        <v>0</v>
      </c>
      <c r="FE26" s="892">
        <f t="shared" si="25"/>
        <v>0</v>
      </c>
      <c r="FF26" s="892">
        <f t="shared" si="40"/>
        <v>0</v>
      </c>
      <c r="FN26" s="703" t="b">
        <v>0</v>
      </c>
      <c r="FO26" s="703" t="b">
        <f t="shared" si="26"/>
        <v>0</v>
      </c>
      <c r="FP26" s="703" t="b">
        <v>0</v>
      </c>
      <c r="FQ26" s="703" t="b">
        <f t="shared" si="41"/>
        <v>0</v>
      </c>
      <c r="FW26" s="1"/>
      <c r="FX26" s="1"/>
      <c r="FZ26" s="1"/>
      <c r="GA26" s="524" t="str">
        <f t="shared" si="27"/>
        <v/>
      </c>
      <c r="GB26" s="566" t="str">
        <f t="shared" si="28"/>
        <v/>
      </c>
      <c r="GC26" s="568" t="str">
        <f t="shared" si="29"/>
        <v/>
      </c>
      <c r="GD26" s="569" t="str">
        <f t="shared" si="30"/>
        <v/>
      </c>
      <c r="GE26" s="567" t="str">
        <f t="shared" si="31"/>
        <v/>
      </c>
      <c r="GF26" s="525" t="str">
        <f t="shared" si="32"/>
        <v/>
      </c>
      <c r="GG26" s="1056"/>
      <c r="GH26" s="1058"/>
      <c r="GI26" s="1056"/>
      <c r="GJ26" s="1058"/>
      <c r="GK26" s="1523">
        <f t="shared" si="33"/>
        <v>0</v>
      </c>
      <c r="GL26" s="1523" t="e">
        <f t="shared" si="34"/>
        <v>#VALUE!</v>
      </c>
      <c r="GM26" s="1524" t="e">
        <f>IF(ABS(GK26-GL26)&gt;=#REF!,ABS(GK26-GL26),0)</f>
        <v>#VALUE!</v>
      </c>
      <c r="GZ26" s="65"/>
      <c r="HA26" s="1159"/>
      <c r="HB26" s="1160"/>
      <c r="HC26" s="1160"/>
      <c r="HD26" s="1161"/>
      <c r="HE26" s="1162"/>
      <c r="HF26" s="1160"/>
      <c r="HG26" s="1160"/>
      <c r="HH26" s="1160"/>
      <c r="HI26" s="1160"/>
      <c r="HJ26" s="1160"/>
      <c r="HK26" s="1160"/>
      <c r="HL26" s="1160"/>
      <c r="HM26" s="1160"/>
      <c r="HN26" s="1160"/>
      <c r="HO26" s="1160"/>
      <c r="HP26" s="1160"/>
      <c r="HQ26" s="1160"/>
      <c r="HR26" s="1160"/>
      <c r="HS26" s="1160"/>
      <c r="HT26" s="1160"/>
      <c r="HU26" s="1160"/>
      <c r="HV26" s="1160"/>
      <c r="HW26" s="1160"/>
      <c r="HX26" s="1160"/>
      <c r="HY26" s="1164"/>
      <c r="HZ26" s="1164"/>
      <c r="IA26" s="1164"/>
      <c r="IB26" s="1164"/>
      <c r="IC26" s="1164"/>
      <c r="ID26" s="1179"/>
      <c r="IE26" s="1159"/>
      <c r="IF26" s="1160"/>
      <c r="IG26" s="1161"/>
      <c r="IH26" s="1162"/>
      <c r="II26" s="1160"/>
      <c r="IJ26" s="1161"/>
      <c r="IK26" s="1162"/>
      <c r="IL26" s="1160"/>
      <c r="IM26" s="1160"/>
      <c r="IN26" s="1160"/>
      <c r="IO26" s="1160"/>
      <c r="IP26" s="1160"/>
      <c r="IQ26" s="1160"/>
      <c r="IR26" s="1160"/>
      <c r="IS26" s="1161"/>
      <c r="IT26" s="1162"/>
      <c r="IU26" s="1160"/>
      <c r="IV26" s="1160"/>
      <c r="IW26" s="1161"/>
      <c r="IX26" s="1162"/>
      <c r="IY26" s="1160"/>
      <c r="IZ26" s="1160"/>
      <c r="JA26" s="1161"/>
      <c r="JB26" s="1162"/>
      <c r="JC26" s="1160"/>
      <c r="JD26" s="1160"/>
      <c r="JE26" s="1161"/>
      <c r="JF26" s="1162"/>
      <c r="JG26" s="1160"/>
      <c r="JH26" s="1160"/>
      <c r="JI26" s="1160"/>
      <c r="JJ26" s="1163"/>
      <c r="JK26" s="1160"/>
      <c r="JL26" s="1103">
        <f t="shared" ca="1" si="44"/>
        <v>0</v>
      </c>
    </row>
    <row r="27" spans="1:272" ht="12.6" customHeight="1" x14ac:dyDescent="0.25">
      <c r="A27" s="1132"/>
      <c r="B27" s="1586"/>
      <c r="C27" s="1133"/>
      <c r="D27" s="1134"/>
      <c r="E27" s="1135"/>
      <c r="F27" s="1136"/>
      <c r="G27" s="1137"/>
      <c r="H27" s="1138"/>
      <c r="I27" s="1139"/>
      <c r="J27" s="1134"/>
      <c r="K27" s="1138"/>
      <c r="L27" s="1140"/>
      <c r="M27" s="1141"/>
      <c r="N27" s="1142"/>
      <c r="O27" s="1137"/>
      <c r="P27" s="1138"/>
      <c r="Q27" s="1134"/>
      <c r="R27" s="1135"/>
      <c r="S27" s="1143"/>
      <c r="T27" s="1138"/>
      <c r="U27" s="1134"/>
      <c r="V27" s="1138"/>
      <c r="W27" s="1142"/>
      <c r="X27" s="1144"/>
      <c r="Y27" s="1145"/>
      <c r="Z27" s="1587"/>
      <c r="AA27" s="1152"/>
      <c r="AB27" s="1132"/>
      <c r="AC27" s="1139"/>
      <c r="AD27" s="1134"/>
      <c r="AE27" s="1138"/>
      <c r="AF27" s="1139"/>
      <c r="AG27" s="1134"/>
      <c r="AH27" s="1138"/>
      <c r="AI27" s="1134"/>
      <c r="AJ27" s="1138"/>
      <c r="AK27" s="1619"/>
      <c r="AL27" s="1620"/>
      <c r="AM27" s="1621"/>
      <c r="AN27" s="1139"/>
      <c r="AO27" s="1142"/>
      <c r="AP27" s="1141"/>
      <c r="AQ27" s="1623"/>
      <c r="AR27" s="1137"/>
      <c r="AS27" s="1138"/>
      <c r="AT27" s="1624"/>
      <c r="AU27" s="1625"/>
      <c r="AV27" s="1143"/>
      <c r="AW27" s="1138"/>
      <c r="AX27" s="1624"/>
      <c r="AY27" s="1625"/>
      <c r="AZ27" s="1143"/>
      <c r="BA27" s="1138"/>
      <c r="BB27" s="1624"/>
      <c r="BC27" s="1625"/>
      <c r="BD27" s="1143"/>
      <c r="BE27" s="1138"/>
      <c r="BF27" s="1624"/>
      <c r="BG27" s="1625"/>
      <c r="BH27" s="1291"/>
      <c r="BJ27" s="915" t="str">
        <f t="shared" si="42"/>
        <v/>
      </c>
      <c r="BK27" s="913" t="e">
        <f t="shared" si="0"/>
        <v>#REF!</v>
      </c>
      <c r="BL27" s="908" t="b">
        <v>0</v>
      </c>
      <c r="BM27" s="908">
        <f t="shared" si="1"/>
        <v>0</v>
      </c>
      <c r="BN27" s="908">
        <f t="shared" si="2"/>
        <v>0</v>
      </c>
      <c r="BO27" s="908">
        <f t="shared" si="3"/>
        <v>0</v>
      </c>
      <c r="BP27" s="908">
        <f t="shared" si="4"/>
        <v>0</v>
      </c>
      <c r="BQ27" s="908">
        <f t="shared" si="5"/>
        <v>0</v>
      </c>
      <c r="BR27" s="908" t="b">
        <f t="shared" si="6"/>
        <v>1</v>
      </c>
      <c r="BS27" s="1216">
        <f t="shared" si="7"/>
        <v>6</v>
      </c>
      <c r="BT27" s="909" t="str">
        <f t="shared" si="8"/>
        <v>No</v>
      </c>
      <c r="BU27" s="1216">
        <f t="shared" si="9"/>
        <v>6</v>
      </c>
      <c r="BV27" s="909" t="str">
        <f t="shared" si="10"/>
        <v>No</v>
      </c>
      <c r="BW27" s="910">
        <f t="shared" si="11"/>
        <v>0</v>
      </c>
      <c r="BX27" s="911" t="str">
        <f t="shared" si="12"/>
        <v/>
      </c>
      <c r="BY27" s="911" t="b">
        <f t="shared" si="13"/>
        <v>0</v>
      </c>
      <c r="BZ27" s="910" t="e">
        <f t="shared" si="35"/>
        <v>#REF!</v>
      </c>
      <c r="CB27" s="616"/>
      <c r="CC27" s="1567"/>
      <c r="CD27" s="645"/>
      <c r="CE27" s="646"/>
      <c r="CF27" s="647"/>
      <c r="CG27" s="660"/>
      <c r="CH27" s="661"/>
      <c r="CI27" s="662"/>
      <c r="CJ27" s="661"/>
      <c r="CK27" s="662"/>
      <c r="CL27" s="663"/>
      <c r="CM27" s="692"/>
      <c r="CN27" s="687"/>
      <c r="CO27" s="1430"/>
      <c r="CP27" s="839"/>
      <c r="CQ27" s="660"/>
      <c r="CR27" s="661"/>
      <c r="CS27" s="662"/>
      <c r="CT27" s="661"/>
      <c r="CU27" s="662"/>
      <c r="CV27" s="663"/>
      <c r="CW27" s="692"/>
      <c r="CX27" s="687"/>
      <c r="CY27" s="1430"/>
      <c r="CZ27" s="839"/>
      <c r="DA27" s="665"/>
      <c r="DB27" s="648"/>
      <c r="DC27" s="649"/>
      <c r="DD27" s="674"/>
      <c r="DE27" s="675"/>
      <c r="DF27" s="58"/>
      <c r="DG27" s="58"/>
      <c r="DH27" s="616"/>
      <c r="DI27" s="617"/>
      <c r="DJ27" s="638"/>
      <c r="DK27" s="1245"/>
      <c r="DL27" s="618"/>
      <c r="DM27" s="639"/>
      <c r="DN27" s="1248"/>
      <c r="DO27" s="619"/>
      <c r="DP27" s="620"/>
      <c r="DQ27" s="1294"/>
      <c r="DR27" s="621"/>
      <c r="DS27" s="1294"/>
      <c r="DT27" s="1296"/>
      <c r="DU27" s="1297"/>
      <c r="DV27" s="622"/>
      <c r="DW27" s="1250"/>
      <c r="DX27" s="623"/>
      <c r="DY27" s="624"/>
      <c r="DZ27" s="622"/>
      <c r="EA27" s="1250"/>
      <c r="EB27" s="623"/>
      <c r="EC27" s="624"/>
      <c r="ED27" s="622"/>
      <c r="EE27" s="1250"/>
      <c r="EF27" s="623"/>
      <c r="EG27" s="624"/>
      <c r="EH27" s="622"/>
      <c r="EI27" s="1250"/>
      <c r="EJ27" s="623"/>
      <c r="EK27" s="625"/>
      <c r="EL27" s="147"/>
      <c r="EM27" s="1513" t="str">
        <f t="shared" si="14"/>
        <v/>
      </c>
      <c r="EN27" s="1303" t="str">
        <f t="shared" si="15"/>
        <v/>
      </c>
      <c r="EO27" s="1304" t="str">
        <f t="shared" si="16"/>
        <v/>
      </c>
      <c r="EP27" s="1305" t="str">
        <f t="shared" si="17"/>
        <v/>
      </c>
      <c r="EQ27" s="1309" t="str">
        <f t="shared" si="18"/>
        <v/>
      </c>
      <c r="ER27" s="1315" t="str">
        <f t="shared" si="19"/>
        <v/>
      </c>
      <c r="ES27" s="1316" t="str">
        <f t="shared" si="20"/>
        <v/>
      </c>
      <c r="ET27" s="1317" t="str">
        <f t="shared" si="21"/>
        <v/>
      </c>
      <c r="EU27" s="1318" t="str">
        <f t="shared" si="36"/>
        <v/>
      </c>
      <c r="EX27" s="870" t="str">
        <f t="shared" si="37"/>
        <v/>
      </c>
      <c r="EY27" s="872" t="str">
        <f t="shared" si="22"/>
        <v/>
      </c>
      <c r="EZ27" s="872" t="str">
        <f t="shared" si="38"/>
        <v/>
      </c>
      <c r="FA27" s="891" t="str">
        <f t="shared" si="43"/>
        <v/>
      </c>
      <c r="FB27" s="892" t="str">
        <f t="shared" si="39"/>
        <v/>
      </c>
      <c r="FC27" s="892">
        <f t="shared" si="23"/>
        <v>0</v>
      </c>
      <c r="FD27" s="892">
        <f t="shared" si="24"/>
        <v>0</v>
      </c>
      <c r="FE27" s="892">
        <f t="shared" si="25"/>
        <v>0</v>
      </c>
      <c r="FF27" s="892">
        <f t="shared" si="40"/>
        <v>0</v>
      </c>
      <c r="FN27" s="703" t="b">
        <v>0</v>
      </c>
      <c r="FO27" s="703" t="b">
        <f t="shared" si="26"/>
        <v>0</v>
      </c>
      <c r="FP27" s="703" t="b">
        <v>0</v>
      </c>
      <c r="FQ27" s="703" t="b">
        <f t="shared" si="41"/>
        <v>0</v>
      </c>
      <c r="FW27" s="1"/>
      <c r="FX27" s="1"/>
      <c r="FZ27" s="1"/>
      <c r="GA27" s="524" t="str">
        <f t="shared" si="27"/>
        <v/>
      </c>
      <c r="GB27" s="566" t="str">
        <f t="shared" si="28"/>
        <v/>
      </c>
      <c r="GC27" s="568" t="str">
        <f t="shared" si="29"/>
        <v/>
      </c>
      <c r="GD27" s="569" t="str">
        <f t="shared" si="30"/>
        <v/>
      </c>
      <c r="GE27" s="567" t="str">
        <f t="shared" si="31"/>
        <v/>
      </c>
      <c r="GF27" s="525" t="str">
        <f t="shared" si="32"/>
        <v/>
      </c>
      <c r="GG27" s="1056"/>
      <c r="GH27" s="1058"/>
      <c r="GI27" s="1056"/>
      <c r="GJ27" s="1058"/>
      <c r="GK27" s="1523">
        <f t="shared" si="33"/>
        <v>0</v>
      </c>
      <c r="GL27" s="1523" t="e">
        <f t="shared" si="34"/>
        <v>#VALUE!</v>
      </c>
      <c r="GM27" s="1524" t="e">
        <f>IF(ABS(GK27-GL27)&gt;=#REF!,ABS(GK27-GL27),0)</f>
        <v>#VALUE!</v>
      </c>
      <c r="GZ27" s="65"/>
      <c r="HA27" s="1159"/>
      <c r="HB27" s="1160"/>
      <c r="HC27" s="1160"/>
      <c r="HD27" s="1161"/>
      <c r="HE27" s="1162"/>
      <c r="HF27" s="1160"/>
      <c r="HG27" s="1160"/>
      <c r="HH27" s="1160"/>
      <c r="HI27" s="1160"/>
      <c r="HJ27" s="1160"/>
      <c r="HK27" s="1160"/>
      <c r="HL27" s="1160"/>
      <c r="HM27" s="1160"/>
      <c r="HN27" s="1160"/>
      <c r="HO27" s="1160"/>
      <c r="HP27" s="1160"/>
      <c r="HQ27" s="1160"/>
      <c r="HR27" s="1160"/>
      <c r="HS27" s="1160"/>
      <c r="HT27" s="1160"/>
      <c r="HU27" s="1160"/>
      <c r="HV27" s="1160"/>
      <c r="HW27" s="1160"/>
      <c r="HX27" s="1160"/>
      <c r="HY27" s="1164"/>
      <c r="HZ27" s="1164"/>
      <c r="IA27" s="1164"/>
      <c r="IB27" s="1164"/>
      <c r="IC27" s="1164"/>
      <c r="ID27" s="1179"/>
      <c r="IE27" s="1159"/>
      <c r="IF27" s="1160"/>
      <c r="IG27" s="1161"/>
      <c r="IH27" s="1162"/>
      <c r="II27" s="1160"/>
      <c r="IJ27" s="1161"/>
      <c r="IK27" s="1162"/>
      <c r="IL27" s="1160"/>
      <c r="IM27" s="1160"/>
      <c r="IN27" s="1160"/>
      <c r="IO27" s="1160"/>
      <c r="IP27" s="1160"/>
      <c r="IQ27" s="1160"/>
      <c r="IR27" s="1160"/>
      <c r="IS27" s="1161"/>
      <c r="IT27" s="1162"/>
      <c r="IU27" s="1160"/>
      <c r="IV27" s="1160"/>
      <c r="IW27" s="1161"/>
      <c r="IX27" s="1162"/>
      <c r="IY27" s="1160"/>
      <c r="IZ27" s="1160"/>
      <c r="JA27" s="1161"/>
      <c r="JB27" s="1162"/>
      <c r="JC27" s="1160"/>
      <c r="JD27" s="1160"/>
      <c r="JE27" s="1161"/>
      <c r="JF27" s="1162"/>
      <c r="JG27" s="1160"/>
      <c r="JH27" s="1160"/>
      <c r="JI27" s="1160"/>
      <c r="JJ27" s="1163"/>
      <c r="JK27" s="1160"/>
      <c r="JL27" s="1103">
        <f t="shared" ca="1" si="44"/>
        <v>0</v>
      </c>
    </row>
    <row r="28" spans="1:272" ht="12.6" customHeight="1" x14ac:dyDescent="0.3">
      <c r="A28" s="1132"/>
      <c r="B28" s="1586"/>
      <c r="C28" s="1133"/>
      <c r="D28" s="1134"/>
      <c r="E28" s="1135"/>
      <c r="F28" s="1136"/>
      <c r="G28" s="1137"/>
      <c r="H28" s="1138"/>
      <c r="I28" s="1139"/>
      <c r="J28" s="1134"/>
      <c r="K28" s="1138"/>
      <c r="L28" s="1140"/>
      <c r="M28" s="1141"/>
      <c r="N28" s="1142"/>
      <c r="O28" s="1137"/>
      <c r="P28" s="1138"/>
      <c r="Q28" s="1134"/>
      <c r="R28" s="1135"/>
      <c r="S28" s="1143"/>
      <c r="T28" s="1138"/>
      <c r="U28" s="1134"/>
      <c r="V28" s="1138"/>
      <c r="W28" s="1142"/>
      <c r="X28" s="1144"/>
      <c r="Y28" s="1145"/>
      <c r="Z28" s="1587"/>
      <c r="AA28" s="1152"/>
      <c r="AB28" s="1132"/>
      <c r="AC28" s="1139"/>
      <c r="AD28" s="1134"/>
      <c r="AE28" s="1138"/>
      <c r="AF28" s="1139"/>
      <c r="AG28" s="1134"/>
      <c r="AH28" s="1138"/>
      <c r="AI28" s="1134"/>
      <c r="AJ28" s="1138"/>
      <c r="AK28" s="1619"/>
      <c r="AL28" s="1620"/>
      <c r="AM28" s="1621"/>
      <c r="AN28" s="1139"/>
      <c r="AO28" s="1142"/>
      <c r="AP28" s="1141"/>
      <c r="AQ28" s="1623"/>
      <c r="AR28" s="1137"/>
      <c r="AS28" s="1138"/>
      <c r="AT28" s="1624"/>
      <c r="AU28" s="1625"/>
      <c r="AV28" s="1143"/>
      <c r="AW28" s="1138"/>
      <c r="AX28" s="1624"/>
      <c r="AY28" s="1625"/>
      <c r="AZ28" s="1143"/>
      <c r="BA28" s="1138"/>
      <c r="BB28" s="1624"/>
      <c r="BC28" s="1625"/>
      <c r="BD28" s="1143"/>
      <c r="BE28" s="1138"/>
      <c r="BF28" s="1624"/>
      <c r="BG28" s="1625"/>
      <c r="BH28" s="1291"/>
      <c r="BJ28" s="915" t="str">
        <f t="shared" si="42"/>
        <v/>
      </c>
      <c r="BK28" s="913" t="e">
        <f t="shared" si="0"/>
        <v>#REF!</v>
      </c>
      <c r="BL28" s="908" t="b">
        <v>0</v>
      </c>
      <c r="BM28" s="908">
        <f t="shared" si="1"/>
        <v>0</v>
      </c>
      <c r="BN28" s="908">
        <f t="shared" si="2"/>
        <v>0</v>
      </c>
      <c r="BO28" s="908">
        <f t="shared" si="3"/>
        <v>0</v>
      </c>
      <c r="BP28" s="908">
        <f t="shared" si="4"/>
        <v>0</v>
      </c>
      <c r="BQ28" s="908">
        <f t="shared" si="5"/>
        <v>0</v>
      </c>
      <c r="BR28" s="908" t="b">
        <f t="shared" si="6"/>
        <v>1</v>
      </c>
      <c r="BS28" s="1216">
        <f t="shared" si="7"/>
        <v>6</v>
      </c>
      <c r="BT28" s="909" t="str">
        <f t="shared" si="8"/>
        <v>No</v>
      </c>
      <c r="BU28" s="1216">
        <f t="shared" si="9"/>
        <v>6</v>
      </c>
      <c r="BV28" s="909" t="str">
        <f t="shared" si="10"/>
        <v>No</v>
      </c>
      <c r="BW28" s="910">
        <f t="shared" si="11"/>
        <v>0</v>
      </c>
      <c r="BX28" s="911" t="str">
        <f t="shared" si="12"/>
        <v/>
      </c>
      <c r="BY28" s="911" t="b">
        <f t="shared" si="13"/>
        <v>0</v>
      </c>
      <c r="BZ28" s="910" t="e">
        <f t="shared" si="35"/>
        <v>#REF!</v>
      </c>
      <c r="CB28" s="616"/>
      <c r="CC28" s="1567"/>
      <c r="CD28" s="645"/>
      <c r="CE28" s="646"/>
      <c r="CF28" s="647"/>
      <c r="CG28" s="660"/>
      <c r="CH28" s="661"/>
      <c r="CI28" s="662"/>
      <c r="CJ28" s="661"/>
      <c r="CK28" s="662"/>
      <c r="CL28" s="663"/>
      <c r="CM28" s="692"/>
      <c r="CN28" s="687"/>
      <c r="CO28" s="1430"/>
      <c r="CP28" s="839"/>
      <c r="CQ28" s="660"/>
      <c r="CR28" s="661"/>
      <c r="CS28" s="662"/>
      <c r="CT28" s="661"/>
      <c r="CU28" s="662"/>
      <c r="CV28" s="663"/>
      <c r="CW28" s="692"/>
      <c r="CX28" s="687"/>
      <c r="CY28" s="1430"/>
      <c r="CZ28" s="839"/>
      <c r="DA28" s="665"/>
      <c r="DB28" s="648"/>
      <c r="DC28" s="649"/>
      <c r="DD28" s="674"/>
      <c r="DE28" s="675"/>
      <c r="DF28" s="58"/>
      <c r="DG28" s="58"/>
      <c r="DH28" s="616"/>
      <c r="DI28" s="617"/>
      <c r="DJ28" s="638"/>
      <c r="DK28" s="1245"/>
      <c r="DL28" s="618"/>
      <c r="DM28" s="639"/>
      <c r="DN28" s="1248"/>
      <c r="DO28" s="619"/>
      <c r="DP28" s="620"/>
      <c r="DQ28" s="1294"/>
      <c r="DR28" s="621"/>
      <c r="DS28" s="1294"/>
      <c r="DT28" s="1296"/>
      <c r="DU28" s="1297"/>
      <c r="DV28" s="622"/>
      <c r="DW28" s="1250"/>
      <c r="DX28" s="623"/>
      <c r="DY28" s="624"/>
      <c r="DZ28" s="622"/>
      <c r="EA28" s="1250"/>
      <c r="EB28" s="623"/>
      <c r="EC28" s="624"/>
      <c r="ED28" s="622"/>
      <c r="EE28" s="1250"/>
      <c r="EF28" s="623"/>
      <c r="EG28" s="624"/>
      <c r="EH28" s="622"/>
      <c r="EI28" s="1250"/>
      <c r="EJ28" s="623"/>
      <c r="EK28" s="625"/>
      <c r="EL28" s="147"/>
      <c r="EM28" s="1513" t="str">
        <f t="shared" si="14"/>
        <v/>
      </c>
      <c r="EN28" s="1303" t="str">
        <f t="shared" si="15"/>
        <v/>
      </c>
      <c r="EO28" s="1304" t="str">
        <f t="shared" si="16"/>
        <v/>
      </c>
      <c r="EP28" s="1305" t="str">
        <f t="shared" si="17"/>
        <v/>
      </c>
      <c r="EQ28" s="1309" t="str">
        <f t="shared" si="18"/>
        <v/>
      </c>
      <c r="ER28" s="1315" t="str">
        <f t="shared" si="19"/>
        <v/>
      </c>
      <c r="ES28" s="1316" t="str">
        <f t="shared" si="20"/>
        <v/>
      </c>
      <c r="ET28" s="1317" t="str">
        <f t="shared" si="21"/>
        <v/>
      </c>
      <c r="EU28" s="1318" t="str">
        <f t="shared" si="36"/>
        <v/>
      </c>
      <c r="EX28" s="870" t="str">
        <f t="shared" si="37"/>
        <v/>
      </c>
      <c r="EY28" s="872" t="str">
        <f t="shared" si="22"/>
        <v/>
      </c>
      <c r="EZ28" s="872" t="str">
        <f t="shared" si="38"/>
        <v/>
      </c>
      <c r="FA28" s="891" t="str">
        <f t="shared" si="43"/>
        <v/>
      </c>
      <c r="FB28" s="892" t="str">
        <f t="shared" si="39"/>
        <v/>
      </c>
      <c r="FC28" s="892">
        <f t="shared" si="23"/>
        <v>0</v>
      </c>
      <c r="FD28" s="892">
        <f t="shared" si="24"/>
        <v>0</v>
      </c>
      <c r="FE28" s="892">
        <f t="shared" si="25"/>
        <v>0</v>
      </c>
      <c r="FF28" s="892">
        <f t="shared" si="40"/>
        <v>0</v>
      </c>
      <c r="FN28" s="703" t="b">
        <v>0</v>
      </c>
      <c r="FO28" s="703" t="b">
        <f t="shared" si="26"/>
        <v>0</v>
      </c>
      <c r="FP28" s="703" t="b">
        <v>0</v>
      </c>
      <c r="FQ28" s="703" t="b">
        <f t="shared" si="41"/>
        <v>0</v>
      </c>
      <c r="FW28" s="1"/>
      <c r="FX28" s="1"/>
      <c r="FZ28" s="1"/>
      <c r="GA28" s="524" t="str">
        <f t="shared" si="27"/>
        <v/>
      </c>
      <c r="GB28" s="566" t="str">
        <f t="shared" si="28"/>
        <v/>
      </c>
      <c r="GC28" s="568" t="str">
        <f t="shared" si="29"/>
        <v/>
      </c>
      <c r="GD28" s="569" t="str">
        <f t="shared" si="30"/>
        <v/>
      </c>
      <c r="GE28" s="567" t="str">
        <f t="shared" si="31"/>
        <v/>
      </c>
      <c r="GF28" s="525" t="str">
        <f t="shared" si="32"/>
        <v/>
      </c>
      <c r="GG28" s="1056"/>
      <c r="GH28" s="1058"/>
      <c r="GI28" s="1056"/>
      <c r="GJ28" s="1058"/>
      <c r="GK28" s="1523">
        <f t="shared" si="33"/>
        <v>0</v>
      </c>
      <c r="GL28" s="1523" t="e">
        <f t="shared" si="34"/>
        <v>#VALUE!</v>
      </c>
      <c r="GM28" s="1524" t="e">
        <f>IF(ABS(GK28-GL28)&gt;=#REF!,ABS(GK28-GL28),0)</f>
        <v>#VALUE!</v>
      </c>
      <c r="GZ28" s="64"/>
      <c r="HA28" s="1159"/>
      <c r="HB28" s="1160"/>
      <c r="HC28" s="1160"/>
      <c r="HD28" s="1161"/>
      <c r="HE28" s="1162"/>
      <c r="HF28" s="1160"/>
      <c r="HG28" s="1160"/>
      <c r="HH28" s="1160"/>
      <c r="HI28" s="1160"/>
      <c r="HJ28" s="1160"/>
      <c r="HK28" s="1160"/>
      <c r="HL28" s="1160"/>
      <c r="HM28" s="1160"/>
      <c r="HN28" s="1160"/>
      <c r="HO28" s="1160"/>
      <c r="HP28" s="1160"/>
      <c r="HQ28" s="1160"/>
      <c r="HR28" s="1160"/>
      <c r="HS28" s="1160"/>
      <c r="HT28" s="1160"/>
      <c r="HU28" s="1160"/>
      <c r="HV28" s="1160"/>
      <c r="HW28" s="1160"/>
      <c r="HX28" s="1160"/>
      <c r="HY28" s="1164"/>
      <c r="HZ28" s="1164"/>
      <c r="IA28" s="1164"/>
      <c r="IB28" s="1164"/>
      <c r="IC28" s="1164"/>
      <c r="ID28" s="1179"/>
      <c r="IE28" s="1159"/>
      <c r="IF28" s="1160"/>
      <c r="IG28" s="1161"/>
      <c r="IH28" s="1162"/>
      <c r="II28" s="1160"/>
      <c r="IJ28" s="1161"/>
      <c r="IK28" s="1162"/>
      <c r="IL28" s="1160"/>
      <c r="IM28" s="1160"/>
      <c r="IN28" s="1160"/>
      <c r="IO28" s="1160"/>
      <c r="IP28" s="1160"/>
      <c r="IQ28" s="1160"/>
      <c r="IR28" s="1160"/>
      <c r="IS28" s="1161"/>
      <c r="IT28" s="1162"/>
      <c r="IU28" s="1160"/>
      <c r="IV28" s="1160"/>
      <c r="IW28" s="1161"/>
      <c r="IX28" s="1162"/>
      <c r="IY28" s="1160"/>
      <c r="IZ28" s="1160"/>
      <c r="JA28" s="1161"/>
      <c r="JB28" s="1162"/>
      <c r="JC28" s="1160"/>
      <c r="JD28" s="1160"/>
      <c r="JE28" s="1161"/>
      <c r="JF28" s="1162"/>
      <c r="JG28" s="1160"/>
      <c r="JH28" s="1160"/>
      <c r="JI28" s="1160"/>
      <c r="JJ28" s="1163"/>
      <c r="JK28" s="1160"/>
      <c r="JL28" s="1103">
        <f t="shared" ca="1" si="44"/>
        <v>0</v>
      </c>
    </row>
    <row r="29" spans="1:272" ht="12.6" customHeight="1" x14ac:dyDescent="0.25">
      <c r="A29" s="1132"/>
      <c r="B29" s="1586"/>
      <c r="C29" s="1133"/>
      <c r="D29" s="1134"/>
      <c r="E29" s="1135"/>
      <c r="F29" s="1136"/>
      <c r="G29" s="1137"/>
      <c r="H29" s="1138"/>
      <c r="I29" s="1139"/>
      <c r="J29" s="1134"/>
      <c r="K29" s="1138"/>
      <c r="L29" s="1140"/>
      <c r="M29" s="1141"/>
      <c r="N29" s="1142"/>
      <c r="O29" s="1137"/>
      <c r="P29" s="1138"/>
      <c r="Q29" s="1134"/>
      <c r="R29" s="1135"/>
      <c r="S29" s="1143"/>
      <c r="T29" s="1138"/>
      <c r="U29" s="1134"/>
      <c r="V29" s="1138"/>
      <c r="W29" s="1142"/>
      <c r="X29" s="1144"/>
      <c r="Y29" s="1145"/>
      <c r="Z29" s="1587"/>
      <c r="AA29" s="1152"/>
      <c r="AB29" s="1132"/>
      <c r="AC29" s="1139"/>
      <c r="AD29" s="1134"/>
      <c r="AE29" s="1138"/>
      <c r="AF29" s="1139"/>
      <c r="AG29" s="1134"/>
      <c r="AH29" s="1138"/>
      <c r="AI29" s="1134"/>
      <c r="AJ29" s="1138"/>
      <c r="AK29" s="1619"/>
      <c r="AL29" s="1620"/>
      <c r="AM29" s="1621"/>
      <c r="AN29" s="1139"/>
      <c r="AO29" s="1142"/>
      <c r="AP29" s="1141"/>
      <c r="AQ29" s="1623"/>
      <c r="AR29" s="1137"/>
      <c r="AS29" s="1138"/>
      <c r="AT29" s="1624"/>
      <c r="AU29" s="1625"/>
      <c r="AV29" s="1143"/>
      <c r="AW29" s="1138"/>
      <c r="AX29" s="1624"/>
      <c r="AY29" s="1625"/>
      <c r="AZ29" s="1143"/>
      <c r="BA29" s="1138"/>
      <c r="BB29" s="1624"/>
      <c r="BC29" s="1625"/>
      <c r="BD29" s="1143"/>
      <c r="BE29" s="1138"/>
      <c r="BF29" s="1624"/>
      <c r="BG29" s="1625"/>
      <c r="BH29" s="1291"/>
      <c r="BJ29" s="915" t="str">
        <f t="shared" si="42"/>
        <v/>
      </c>
      <c r="BK29" s="913" t="e">
        <f t="shared" si="0"/>
        <v>#REF!</v>
      </c>
      <c r="BL29" s="908" t="b">
        <v>0</v>
      </c>
      <c r="BM29" s="908">
        <f t="shared" si="1"/>
        <v>0</v>
      </c>
      <c r="BN29" s="908">
        <f t="shared" si="2"/>
        <v>0</v>
      </c>
      <c r="BO29" s="908">
        <f t="shared" si="3"/>
        <v>0</v>
      </c>
      <c r="BP29" s="908">
        <f t="shared" si="4"/>
        <v>0</v>
      </c>
      <c r="BQ29" s="908">
        <f t="shared" si="5"/>
        <v>0</v>
      </c>
      <c r="BR29" s="908" t="b">
        <f t="shared" si="6"/>
        <v>1</v>
      </c>
      <c r="BS29" s="1216">
        <f t="shared" si="7"/>
        <v>6</v>
      </c>
      <c r="BT29" s="909" t="str">
        <f t="shared" si="8"/>
        <v>No</v>
      </c>
      <c r="BU29" s="1216">
        <f t="shared" si="9"/>
        <v>6</v>
      </c>
      <c r="BV29" s="909" t="str">
        <f t="shared" si="10"/>
        <v>No</v>
      </c>
      <c r="BW29" s="910">
        <f t="shared" si="11"/>
        <v>0</v>
      </c>
      <c r="BX29" s="911" t="str">
        <f t="shared" si="12"/>
        <v/>
      </c>
      <c r="BY29" s="911" t="b">
        <f t="shared" si="13"/>
        <v>0</v>
      </c>
      <c r="BZ29" s="910" t="e">
        <f t="shared" si="35"/>
        <v>#REF!</v>
      </c>
      <c r="CB29" s="616"/>
      <c r="CC29" s="1567"/>
      <c r="CD29" s="645"/>
      <c r="CE29" s="646"/>
      <c r="CF29" s="647"/>
      <c r="CG29" s="660"/>
      <c r="CH29" s="661"/>
      <c r="CI29" s="662"/>
      <c r="CJ29" s="661"/>
      <c r="CK29" s="662"/>
      <c r="CL29" s="663"/>
      <c r="CM29" s="692"/>
      <c r="CN29" s="687"/>
      <c r="CO29" s="1430"/>
      <c r="CP29" s="839"/>
      <c r="CQ29" s="660"/>
      <c r="CR29" s="661"/>
      <c r="CS29" s="662"/>
      <c r="CT29" s="661"/>
      <c r="CU29" s="662"/>
      <c r="CV29" s="663"/>
      <c r="CW29" s="692"/>
      <c r="CX29" s="687"/>
      <c r="CY29" s="1430"/>
      <c r="CZ29" s="839"/>
      <c r="DA29" s="665"/>
      <c r="DB29" s="648"/>
      <c r="DC29" s="649"/>
      <c r="DD29" s="674"/>
      <c r="DE29" s="675"/>
      <c r="DF29" s="58"/>
      <c r="DG29" s="58"/>
      <c r="DH29" s="616"/>
      <c r="DI29" s="617"/>
      <c r="DJ29" s="638"/>
      <c r="DK29" s="1245"/>
      <c r="DL29" s="618"/>
      <c r="DM29" s="639"/>
      <c r="DN29" s="1248"/>
      <c r="DO29" s="619"/>
      <c r="DP29" s="620"/>
      <c r="DQ29" s="1294"/>
      <c r="DR29" s="621"/>
      <c r="DS29" s="1294"/>
      <c r="DT29" s="1296"/>
      <c r="DU29" s="1297"/>
      <c r="DV29" s="622"/>
      <c r="DW29" s="1250"/>
      <c r="DX29" s="623"/>
      <c r="DY29" s="624"/>
      <c r="DZ29" s="622"/>
      <c r="EA29" s="1250"/>
      <c r="EB29" s="623"/>
      <c r="EC29" s="624"/>
      <c r="ED29" s="622"/>
      <c r="EE29" s="1250"/>
      <c r="EF29" s="623"/>
      <c r="EG29" s="624"/>
      <c r="EH29" s="622"/>
      <c r="EI29" s="1250"/>
      <c r="EJ29" s="623"/>
      <c r="EK29" s="625"/>
      <c r="EL29" s="147"/>
      <c r="EM29" s="1513" t="str">
        <f t="shared" si="14"/>
        <v/>
      </c>
      <c r="EN29" s="1303" t="str">
        <f t="shared" si="15"/>
        <v/>
      </c>
      <c r="EO29" s="1304" t="str">
        <f t="shared" si="16"/>
        <v/>
      </c>
      <c r="EP29" s="1305" t="str">
        <f t="shared" si="17"/>
        <v/>
      </c>
      <c r="EQ29" s="1309" t="str">
        <f t="shared" si="18"/>
        <v/>
      </c>
      <c r="ER29" s="1315" t="str">
        <f t="shared" si="19"/>
        <v/>
      </c>
      <c r="ES29" s="1316" t="str">
        <f t="shared" si="20"/>
        <v/>
      </c>
      <c r="ET29" s="1317" t="str">
        <f t="shared" si="21"/>
        <v/>
      </c>
      <c r="EU29" s="1318" t="str">
        <f t="shared" si="36"/>
        <v/>
      </c>
      <c r="EX29" s="870" t="str">
        <f t="shared" si="37"/>
        <v/>
      </c>
      <c r="EY29" s="872" t="str">
        <f t="shared" si="22"/>
        <v/>
      </c>
      <c r="EZ29" s="872" t="str">
        <f t="shared" si="38"/>
        <v/>
      </c>
      <c r="FA29" s="891" t="str">
        <f t="shared" si="43"/>
        <v/>
      </c>
      <c r="FB29" s="892" t="str">
        <f t="shared" si="39"/>
        <v/>
      </c>
      <c r="FC29" s="892">
        <f t="shared" si="23"/>
        <v>0</v>
      </c>
      <c r="FD29" s="892">
        <f t="shared" si="24"/>
        <v>0</v>
      </c>
      <c r="FE29" s="892">
        <f t="shared" si="25"/>
        <v>0</v>
      </c>
      <c r="FF29" s="892">
        <f t="shared" si="40"/>
        <v>0</v>
      </c>
      <c r="FN29" s="703" t="b">
        <v>0</v>
      </c>
      <c r="FO29" s="703" t="b">
        <f t="shared" si="26"/>
        <v>0</v>
      </c>
      <c r="FP29" s="703" t="b">
        <v>0</v>
      </c>
      <c r="FQ29" s="703" t="b">
        <f t="shared" si="41"/>
        <v>0</v>
      </c>
      <c r="FW29" s="1"/>
      <c r="FX29" s="1"/>
      <c r="FZ29" s="1"/>
      <c r="GA29" s="524" t="str">
        <f t="shared" si="27"/>
        <v/>
      </c>
      <c r="GB29" s="566" t="str">
        <f t="shared" si="28"/>
        <v/>
      </c>
      <c r="GC29" s="568" t="str">
        <f t="shared" si="29"/>
        <v/>
      </c>
      <c r="GD29" s="569" t="str">
        <f t="shared" si="30"/>
        <v/>
      </c>
      <c r="GE29" s="567" t="str">
        <f t="shared" si="31"/>
        <v/>
      </c>
      <c r="GF29" s="525" t="str">
        <f t="shared" si="32"/>
        <v/>
      </c>
      <c r="GG29" s="1056"/>
      <c r="GH29" s="1058"/>
      <c r="GI29" s="1056"/>
      <c r="GJ29" s="1058"/>
      <c r="GK29" s="1523">
        <f t="shared" si="33"/>
        <v>0</v>
      </c>
      <c r="GL29" s="1523" t="e">
        <f t="shared" si="34"/>
        <v>#VALUE!</v>
      </c>
      <c r="GM29" s="1524" t="e">
        <f>IF(ABS(GK29-GL29)&gt;=#REF!,ABS(GK29-GL29),0)</f>
        <v>#VALUE!</v>
      </c>
      <c r="HA29" s="1159"/>
      <c r="HB29" s="1160"/>
      <c r="HC29" s="1160"/>
      <c r="HD29" s="1161"/>
      <c r="HE29" s="1162"/>
      <c r="HF29" s="1160"/>
      <c r="HG29" s="1160"/>
      <c r="HH29" s="1160"/>
      <c r="HI29" s="1160"/>
      <c r="HJ29" s="1160"/>
      <c r="HK29" s="1160"/>
      <c r="HL29" s="1160"/>
      <c r="HM29" s="1160"/>
      <c r="HN29" s="1160"/>
      <c r="HO29" s="1160"/>
      <c r="HP29" s="1160"/>
      <c r="HQ29" s="1160"/>
      <c r="HR29" s="1160"/>
      <c r="HS29" s="1160"/>
      <c r="HT29" s="1160"/>
      <c r="HU29" s="1160"/>
      <c r="HV29" s="1160"/>
      <c r="HW29" s="1160"/>
      <c r="HX29" s="1160"/>
      <c r="HY29" s="1164"/>
      <c r="HZ29" s="1164"/>
      <c r="IA29" s="1164"/>
      <c r="IB29" s="1164"/>
      <c r="IC29" s="1164"/>
      <c r="ID29" s="1179"/>
      <c r="IE29" s="1159"/>
      <c r="IF29" s="1160"/>
      <c r="IG29" s="1161"/>
      <c r="IH29" s="1162"/>
      <c r="II29" s="1160"/>
      <c r="IJ29" s="1161"/>
      <c r="IK29" s="1162"/>
      <c r="IL29" s="1160"/>
      <c r="IM29" s="1160"/>
      <c r="IN29" s="1160"/>
      <c r="IO29" s="1160"/>
      <c r="IP29" s="1160"/>
      <c r="IQ29" s="1160"/>
      <c r="IR29" s="1160"/>
      <c r="IS29" s="1161"/>
      <c r="IT29" s="1162"/>
      <c r="IU29" s="1160"/>
      <c r="IV29" s="1160"/>
      <c r="IW29" s="1161"/>
      <c r="IX29" s="1162"/>
      <c r="IY29" s="1160"/>
      <c r="IZ29" s="1160"/>
      <c r="JA29" s="1161"/>
      <c r="JB29" s="1162"/>
      <c r="JC29" s="1160"/>
      <c r="JD29" s="1160"/>
      <c r="JE29" s="1161"/>
      <c r="JF29" s="1162"/>
      <c r="JG29" s="1160"/>
      <c r="JH29" s="1160"/>
      <c r="JI29" s="1160"/>
      <c r="JJ29" s="1163"/>
      <c r="JK29" s="1160"/>
      <c r="JL29" s="1103">
        <f t="shared" ca="1" si="44"/>
        <v>0</v>
      </c>
    </row>
    <row r="30" spans="1:272" s="65" customFormat="1" ht="12.6" customHeight="1" x14ac:dyDescent="0.25">
      <c r="A30" s="1132"/>
      <c r="B30" s="1586"/>
      <c r="C30" s="1133"/>
      <c r="D30" s="1134"/>
      <c r="E30" s="1135"/>
      <c r="F30" s="1136"/>
      <c r="G30" s="1137"/>
      <c r="H30" s="1138"/>
      <c r="I30" s="1139"/>
      <c r="J30" s="1134"/>
      <c r="K30" s="1138"/>
      <c r="L30" s="1140"/>
      <c r="M30" s="1141"/>
      <c r="N30" s="1142"/>
      <c r="O30" s="1137"/>
      <c r="P30" s="1138"/>
      <c r="Q30" s="1134"/>
      <c r="R30" s="1135"/>
      <c r="S30" s="1143"/>
      <c r="T30" s="1138"/>
      <c r="U30" s="1134"/>
      <c r="V30" s="1138"/>
      <c r="W30" s="1142"/>
      <c r="X30" s="1144"/>
      <c r="Y30" s="1145"/>
      <c r="Z30" s="1587"/>
      <c r="AA30" s="1152"/>
      <c r="AB30" s="1132"/>
      <c r="AC30" s="1139"/>
      <c r="AD30" s="1134"/>
      <c r="AE30" s="1138"/>
      <c r="AF30" s="1139"/>
      <c r="AG30" s="1134"/>
      <c r="AH30" s="1138"/>
      <c r="AI30" s="1134"/>
      <c r="AJ30" s="1138"/>
      <c r="AK30" s="1619"/>
      <c r="AL30" s="1620"/>
      <c r="AM30" s="1621"/>
      <c r="AN30" s="1139"/>
      <c r="AO30" s="1142"/>
      <c r="AP30" s="1141"/>
      <c r="AQ30" s="1623"/>
      <c r="AR30" s="1137"/>
      <c r="AS30" s="1138"/>
      <c r="AT30" s="1624"/>
      <c r="AU30" s="1625"/>
      <c r="AV30" s="1143"/>
      <c r="AW30" s="1138"/>
      <c r="AX30" s="1624"/>
      <c r="AY30" s="1625"/>
      <c r="AZ30" s="1143"/>
      <c r="BA30" s="1138"/>
      <c r="BB30" s="1624"/>
      <c r="BC30" s="1625"/>
      <c r="BD30" s="1143"/>
      <c r="BE30" s="1138"/>
      <c r="BF30" s="1624"/>
      <c r="BG30" s="1625"/>
      <c r="BH30" s="1291"/>
      <c r="BJ30" s="915" t="str">
        <f t="shared" si="42"/>
        <v/>
      </c>
      <c r="BK30" s="913" t="e">
        <f t="shared" si="0"/>
        <v>#REF!</v>
      </c>
      <c r="BL30" s="908" t="b">
        <v>0</v>
      </c>
      <c r="BM30" s="908">
        <f t="shared" si="1"/>
        <v>0</v>
      </c>
      <c r="BN30" s="908">
        <f t="shared" si="2"/>
        <v>0</v>
      </c>
      <c r="BO30" s="908">
        <f t="shared" si="3"/>
        <v>0</v>
      </c>
      <c r="BP30" s="908">
        <f t="shared" si="4"/>
        <v>0</v>
      </c>
      <c r="BQ30" s="908">
        <f t="shared" si="5"/>
        <v>0</v>
      </c>
      <c r="BR30" s="908" t="b">
        <f t="shared" si="6"/>
        <v>1</v>
      </c>
      <c r="BS30" s="1216">
        <f t="shared" si="7"/>
        <v>6</v>
      </c>
      <c r="BT30" s="909" t="str">
        <f t="shared" si="8"/>
        <v>No</v>
      </c>
      <c r="BU30" s="1216">
        <f t="shared" si="9"/>
        <v>6</v>
      </c>
      <c r="BV30" s="909" t="str">
        <f t="shared" si="10"/>
        <v>No</v>
      </c>
      <c r="BW30" s="910">
        <f t="shared" si="11"/>
        <v>0</v>
      </c>
      <c r="BX30" s="911" t="str">
        <f t="shared" si="12"/>
        <v/>
      </c>
      <c r="BY30" s="911" t="b">
        <f t="shared" si="13"/>
        <v>0</v>
      </c>
      <c r="BZ30" s="910" t="e">
        <f t="shared" si="35"/>
        <v>#REF!</v>
      </c>
      <c r="CB30" s="616"/>
      <c r="CC30" s="1567"/>
      <c r="CD30" s="645"/>
      <c r="CE30" s="646"/>
      <c r="CF30" s="647"/>
      <c r="CG30" s="660"/>
      <c r="CH30" s="661"/>
      <c r="CI30" s="662"/>
      <c r="CJ30" s="661"/>
      <c r="CK30" s="662"/>
      <c r="CL30" s="663"/>
      <c r="CM30" s="692"/>
      <c r="CN30" s="687"/>
      <c r="CO30" s="1430"/>
      <c r="CP30" s="839"/>
      <c r="CQ30" s="660"/>
      <c r="CR30" s="661"/>
      <c r="CS30" s="662"/>
      <c r="CT30" s="661"/>
      <c r="CU30" s="662"/>
      <c r="CV30" s="663"/>
      <c r="CW30" s="692"/>
      <c r="CX30" s="687"/>
      <c r="CY30" s="1430"/>
      <c r="CZ30" s="839"/>
      <c r="DA30" s="665"/>
      <c r="DB30" s="648"/>
      <c r="DC30" s="649"/>
      <c r="DD30" s="674"/>
      <c r="DE30" s="675"/>
      <c r="DF30" s="58"/>
      <c r="DG30" s="58"/>
      <c r="DH30" s="616"/>
      <c r="DI30" s="617"/>
      <c r="DJ30" s="638"/>
      <c r="DK30" s="1245"/>
      <c r="DL30" s="618"/>
      <c r="DM30" s="639"/>
      <c r="DN30" s="1248"/>
      <c r="DO30" s="619"/>
      <c r="DP30" s="620"/>
      <c r="DQ30" s="1294"/>
      <c r="DR30" s="621"/>
      <c r="DS30" s="1294"/>
      <c r="DT30" s="1296"/>
      <c r="DU30" s="1297"/>
      <c r="DV30" s="622"/>
      <c r="DW30" s="1250"/>
      <c r="DX30" s="623"/>
      <c r="DY30" s="624"/>
      <c r="DZ30" s="622"/>
      <c r="EA30" s="1250"/>
      <c r="EB30" s="623"/>
      <c r="EC30" s="624"/>
      <c r="ED30" s="622"/>
      <c r="EE30" s="1250"/>
      <c r="EF30" s="623"/>
      <c r="EG30" s="624"/>
      <c r="EH30" s="622"/>
      <c r="EI30" s="1250"/>
      <c r="EJ30" s="623"/>
      <c r="EK30" s="625"/>
      <c r="EL30" s="147"/>
      <c r="EM30" s="1513" t="str">
        <f t="shared" si="14"/>
        <v/>
      </c>
      <c r="EN30" s="1303" t="str">
        <f t="shared" si="15"/>
        <v/>
      </c>
      <c r="EO30" s="1304" t="str">
        <f t="shared" si="16"/>
        <v/>
      </c>
      <c r="EP30" s="1305" t="str">
        <f t="shared" si="17"/>
        <v/>
      </c>
      <c r="EQ30" s="1309" t="str">
        <f t="shared" si="18"/>
        <v/>
      </c>
      <c r="ER30" s="1315" t="str">
        <f t="shared" si="19"/>
        <v/>
      </c>
      <c r="ES30" s="1316" t="str">
        <f t="shared" si="20"/>
        <v/>
      </c>
      <c r="ET30" s="1317" t="str">
        <f t="shared" si="21"/>
        <v/>
      </c>
      <c r="EU30" s="1318" t="str">
        <f t="shared" si="36"/>
        <v/>
      </c>
      <c r="EX30" s="870" t="str">
        <f t="shared" si="37"/>
        <v/>
      </c>
      <c r="EY30" s="872" t="str">
        <f t="shared" si="22"/>
        <v/>
      </c>
      <c r="EZ30" s="872" t="str">
        <f t="shared" si="38"/>
        <v/>
      </c>
      <c r="FA30" s="891" t="str">
        <f t="shared" si="43"/>
        <v/>
      </c>
      <c r="FB30" s="892" t="str">
        <f t="shared" si="39"/>
        <v/>
      </c>
      <c r="FC30" s="892">
        <f t="shared" si="23"/>
        <v>0</v>
      </c>
      <c r="FD30" s="892">
        <f t="shared" si="24"/>
        <v>0</v>
      </c>
      <c r="FE30" s="892">
        <f t="shared" si="25"/>
        <v>0</v>
      </c>
      <c r="FF30" s="892">
        <f t="shared" si="40"/>
        <v>0</v>
      </c>
      <c r="FN30" s="703" t="b">
        <v>0</v>
      </c>
      <c r="FO30" s="704" t="b">
        <f t="shared" si="26"/>
        <v>0</v>
      </c>
      <c r="FP30" s="704" t="b">
        <v>0</v>
      </c>
      <c r="FQ30" s="704" t="b">
        <f t="shared" si="41"/>
        <v>0</v>
      </c>
      <c r="FW30" s="1"/>
      <c r="FX30" s="1"/>
      <c r="FZ30" s="1"/>
      <c r="GA30" s="524" t="str">
        <f t="shared" si="27"/>
        <v/>
      </c>
      <c r="GB30" s="566" t="str">
        <f t="shared" si="28"/>
        <v/>
      </c>
      <c r="GC30" s="568" t="str">
        <f t="shared" si="29"/>
        <v/>
      </c>
      <c r="GD30" s="569" t="str">
        <f t="shared" si="30"/>
        <v/>
      </c>
      <c r="GE30" s="567" t="str">
        <f t="shared" si="31"/>
        <v/>
      </c>
      <c r="GF30" s="525" t="str">
        <f t="shared" si="32"/>
        <v/>
      </c>
      <c r="GG30" s="1056"/>
      <c r="GH30" s="1058"/>
      <c r="GI30" s="1056"/>
      <c r="GJ30" s="1058"/>
      <c r="GK30" s="1523">
        <f t="shared" si="33"/>
        <v>0</v>
      </c>
      <c r="GL30" s="1523" t="e">
        <f t="shared" si="34"/>
        <v>#VALUE!</v>
      </c>
      <c r="GM30" s="1524" t="e">
        <f>IF(ABS(GK30-GL30)&gt;=#REF!,ABS(GK30-GL30),0)</f>
        <v>#VALUE!</v>
      </c>
      <c r="GZ30" s="46"/>
      <c r="HA30" s="1159"/>
      <c r="HB30" s="1160"/>
      <c r="HC30" s="1160"/>
      <c r="HD30" s="1161"/>
      <c r="HE30" s="1162"/>
      <c r="HF30" s="1160"/>
      <c r="HG30" s="1160"/>
      <c r="HH30" s="1160"/>
      <c r="HI30" s="1160"/>
      <c r="HJ30" s="1160"/>
      <c r="HK30" s="1160"/>
      <c r="HL30" s="1160"/>
      <c r="HM30" s="1160"/>
      <c r="HN30" s="1160"/>
      <c r="HO30" s="1160"/>
      <c r="HP30" s="1160"/>
      <c r="HQ30" s="1160"/>
      <c r="HR30" s="1160"/>
      <c r="HS30" s="1160"/>
      <c r="HT30" s="1160"/>
      <c r="HU30" s="1160"/>
      <c r="HV30" s="1160"/>
      <c r="HW30" s="1160"/>
      <c r="HX30" s="1160"/>
      <c r="HY30" s="1164"/>
      <c r="HZ30" s="1164"/>
      <c r="IA30" s="1164"/>
      <c r="IB30" s="1164"/>
      <c r="IC30" s="1164"/>
      <c r="ID30" s="1179"/>
      <c r="IE30" s="1159"/>
      <c r="IF30" s="1160"/>
      <c r="IG30" s="1161"/>
      <c r="IH30" s="1162"/>
      <c r="II30" s="1160"/>
      <c r="IJ30" s="1161"/>
      <c r="IK30" s="1162"/>
      <c r="IL30" s="1160"/>
      <c r="IM30" s="1160"/>
      <c r="IN30" s="1160"/>
      <c r="IO30" s="1160"/>
      <c r="IP30" s="1160"/>
      <c r="IQ30" s="1160"/>
      <c r="IR30" s="1160"/>
      <c r="IS30" s="1161"/>
      <c r="IT30" s="1162"/>
      <c r="IU30" s="1160"/>
      <c r="IV30" s="1160"/>
      <c r="IW30" s="1161"/>
      <c r="IX30" s="1162"/>
      <c r="IY30" s="1160"/>
      <c r="IZ30" s="1160"/>
      <c r="JA30" s="1161"/>
      <c r="JB30" s="1162"/>
      <c r="JC30" s="1160"/>
      <c r="JD30" s="1160"/>
      <c r="JE30" s="1161"/>
      <c r="JF30" s="1162"/>
      <c r="JG30" s="1160"/>
      <c r="JH30" s="1160"/>
      <c r="JI30" s="1160"/>
      <c r="JJ30" s="1166"/>
      <c r="JK30" s="1160"/>
      <c r="JL30" s="1103">
        <f t="shared" ca="1" si="44"/>
        <v>0</v>
      </c>
    </row>
    <row r="31" spans="1:272" s="65" customFormat="1" ht="12.6" customHeight="1" x14ac:dyDescent="0.25">
      <c r="A31" s="1132"/>
      <c r="B31" s="1586"/>
      <c r="C31" s="1133"/>
      <c r="D31" s="1134"/>
      <c r="E31" s="1135"/>
      <c r="F31" s="1136"/>
      <c r="G31" s="1137"/>
      <c r="H31" s="1138"/>
      <c r="I31" s="1139"/>
      <c r="J31" s="1134"/>
      <c r="K31" s="1138"/>
      <c r="L31" s="1140"/>
      <c r="M31" s="1141"/>
      <c r="N31" s="1142"/>
      <c r="O31" s="1137"/>
      <c r="P31" s="1138"/>
      <c r="Q31" s="1134"/>
      <c r="R31" s="1135"/>
      <c r="S31" s="1143"/>
      <c r="T31" s="1138"/>
      <c r="U31" s="1134"/>
      <c r="V31" s="1138"/>
      <c r="W31" s="1142"/>
      <c r="X31" s="1144"/>
      <c r="Y31" s="1145"/>
      <c r="Z31" s="1587"/>
      <c r="AA31" s="1152"/>
      <c r="AB31" s="1132"/>
      <c r="AC31" s="1139"/>
      <c r="AD31" s="1134"/>
      <c r="AE31" s="1138"/>
      <c r="AF31" s="1139"/>
      <c r="AG31" s="1134"/>
      <c r="AH31" s="1138"/>
      <c r="AI31" s="1134"/>
      <c r="AJ31" s="1138"/>
      <c r="AK31" s="1619"/>
      <c r="AL31" s="1620"/>
      <c r="AM31" s="1621"/>
      <c r="AN31" s="1139"/>
      <c r="AO31" s="1142"/>
      <c r="AP31" s="1141"/>
      <c r="AQ31" s="1623"/>
      <c r="AR31" s="1137"/>
      <c r="AS31" s="1138"/>
      <c r="AT31" s="1624"/>
      <c r="AU31" s="1625"/>
      <c r="AV31" s="1143"/>
      <c r="AW31" s="1138"/>
      <c r="AX31" s="1624"/>
      <c r="AY31" s="1625"/>
      <c r="AZ31" s="1143"/>
      <c r="BA31" s="1138"/>
      <c r="BB31" s="1624"/>
      <c r="BC31" s="1625"/>
      <c r="BD31" s="1143"/>
      <c r="BE31" s="1138"/>
      <c r="BF31" s="1624"/>
      <c r="BG31" s="1625"/>
      <c r="BH31" s="1291"/>
      <c r="BJ31" s="915" t="str">
        <f t="shared" si="42"/>
        <v/>
      </c>
      <c r="BK31" s="913" t="e">
        <f t="shared" si="0"/>
        <v>#REF!</v>
      </c>
      <c r="BL31" s="908" t="b">
        <v>0</v>
      </c>
      <c r="BM31" s="908">
        <f t="shared" si="1"/>
        <v>0</v>
      </c>
      <c r="BN31" s="908">
        <f t="shared" si="2"/>
        <v>0</v>
      </c>
      <c r="BO31" s="908">
        <f t="shared" si="3"/>
        <v>0</v>
      </c>
      <c r="BP31" s="908">
        <f t="shared" si="4"/>
        <v>0</v>
      </c>
      <c r="BQ31" s="908">
        <f t="shared" si="5"/>
        <v>0</v>
      </c>
      <c r="BR31" s="908" t="b">
        <f t="shared" si="6"/>
        <v>1</v>
      </c>
      <c r="BS31" s="1216">
        <f t="shared" si="7"/>
        <v>6</v>
      </c>
      <c r="BT31" s="909" t="str">
        <f t="shared" si="8"/>
        <v>No</v>
      </c>
      <c r="BU31" s="1216">
        <f t="shared" si="9"/>
        <v>6</v>
      </c>
      <c r="BV31" s="909" t="str">
        <f t="shared" si="10"/>
        <v>No</v>
      </c>
      <c r="BW31" s="910">
        <f t="shared" si="11"/>
        <v>0</v>
      </c>
      <c r="BX31" s="911" t="str">
        <f t="shared" si="12"/>
        <v/>
      </c>
      <c r="BY31" s="911" t="b">
        <f t="shared" si="13"/>
        <v>0</v>
      </c>
      <c r="BZ31" s="910" t="e">
        <f t="shared" si="35"/>
        <v>#REF!</v>
      </c>
      <c r="CB31" s="616"/>
      <c r="CC31" s="1567"/>
      <c r="CD31" s="645"/>
      <c r="CE31" s="646"/>
      <c r="CF31" s="647"/>
      <c r="CG31" s="660"/>
      <c r="CH31" s="661"/>
      <c r="CI31" s="662"/>
      <c r="CJ31" s="661"/>
      <c r="CK31" s="662"/>
      <c r="CL31" s="663"/>
      <c r="CM31" s="692"/>
      <c r="CN31" s="687"/>
      <c r="CO31" s="1430"/>
      <c r="CP31" s="839"/>
      <c r="CQ31" s="660"/>
      <c r="CR31" s="661"/>
      <c r="CS31" s="662"/>
      <c r="CT31" s="661"/>
      <c r="CU31" s="662"/>
      <c r="CV31" s="663"/>
      <c r="CW31" s="692"/>
      <c r="CX31" s="687"/>
      <c r="CY31" s="1430"/>
      <c r="CZ31" s="839"/>
      <c r="DA31" s="665"/>
      <c r="DB31" s="648"/>
      <c r="DC31" s="649"/>
      <c r="DD31" s="674"/>
      <c r="DE31" s="675"/>
      <c r="DF31" s="58"/>
      <c r="DG31" s="58"/>
      <c r="DH31" s="616"/>
      <c r="DI31" s="617"/>
      <c r="DJ31" s="638"/>
      <c r="DK31" s="1245"/>
      <c r="DL31" s="618"/>
      <c r="DM31" s="639"/>
      <c r="DN31" s="1248"/>
      <c r="DO31" s="619"/>
      <c r="DP31" s="620"/>
      <c r="DQ31" s="1294"/>
      <c r="DR31" s="621"/>
      <c r="DS31" s="1294"/>
      <c r="DT31" s="1296"/>
      <c r="DU31" s="1297"/>
      <c r="DV31" s="622"/>
      <c r="DW31" s="1250"/>
      <c r="DX31" s="623"/>
      <c r="DY31" s="624"/>
      <c r="DZ31" s="622"/>
      <c r="EA31" s="1250"/>
      <c r="EB31" s="623"/>
      <c r="EC31" s="624"/>
      <c r="ED31" s="622"/>
      <c r="EE31" s="1250"/>
      <c r="EF31" s="623"/>
      <c r="EG31" s="624"/>
      <c r="EH31" s="622"/>
      <c r="EI31" s="1250"/>
      <c r="EJ31" s="623"/>
      <c r="EK31" s="625"/>
      <c r="EL31" s="147"/>
      <c r="EM31" s="1513" t="str">
        <f t="shared" si="14"/>
        <v/>
      </c>
      <c r="EN31" s="1303" t="str">
        <f t="shared" si="15"/>
        <v/>
      </c>
      <c r="EO31" s="1304" t="str">
        <f t="shared" si="16"/>
        <v/>
      </c>
      <c r="EP31" s="1305" t="str">
        <f t="shared" si="17"/>
        <v/>
      </c>
      <c r="EQ31" s="1309" t="str">
        <f t="shared" si="18"/>
        <v/>
      </c>
      <c r="ER31" s="1315" t="str">
        <f t="shared" si="19"/>
        <v/>
      </c>
      <c r="ES31" s="1316" t="str">
        <f t="shared" si="20"/>
        <v/>
      </c>
      <c r="ET31" s="1317" t="str">
        <f t="shared" si="21"/>
        <v/>
      </c>
      <c r="EU31" s="1318" t="str">
        <f t="shared" si="36"/>
        <v/>
      </c>
      <c r="EX31" s="870" t="str">
        <f t="shared" si="37"/>
        <v/>
      </c>
      <c r="EY31" s="872" t="str">
        <f t="shared" si="22"/>
        <v/>
      </c>
      <c r="EZ31" s="872" t="str">
        <f t="shared" si="38"/>
        <v/>
      </c>
      <c r="FA31" s="891" t="str">
        <f t="shared" si="43"/>
        <v/>
      </c>
      <c r="FB31" s="892" t="str">
        <f t="shared" si="39"/>
        <v/>
      </c>
      <c r="FC31" s="892">
        <f t="shared" si="23"/>
        <v>0</v>
      </c>
      <c r="FD31" s="892">
        <f t="shared" si="24"/>
        <v>0</v>
      </c>
      <c r="FE31" s="892">
        <f t="shared" si="25"/>
        <v>0</v>
      </c>
      <c r="FF31" s="892">
        <f t="shared" si="40"/>
        <v>0</v>
      </c>
      <c r="FN31" s="703" t="b">
        <v>0</v>
      </c>
      <c r="FO31" s="704" t="b">
        <f t="shared" si="26"/>
        <v>0</v>
      </c>
      <c r="FP31" s="704" t="b">
        <v>0</v>
      </c>
      <c r="FQ31" s="704" t="b">
        <f t="shared" si="41"/>
        <v>0</v>
      </c>
      <c r="FW31" s="1"/>
      <c r="FX31" s="1"/>
      <c r="FZ31" s="1"/>
      <c r="GA31" s="524" t="str">
        <f t="shared" si="27"/>
        <v/>
      </c>
      <c r="GB31" s="566" t="str">
        <f t="shared" si="28"/>
        <v/>
      </c>
      <c r="GC31" s="568" t="str">
        <f t="shared" si="29"/>
        <v/>
      </c>
      <c r="GD31" s="569" t="str">
        <f t="shared" si="30"/>
        <v/>
      </c>
      <c r="GE31" s="567" t="str">
        <f t="shared" si="31"/>
        <v/>
      </c>
      <c r="GF31" s="525" t="str">
        <f t="shared" si="32"/>
        <v/>
      </c>
      <c r="GG31" s="1056"/>
      <c r="GH31" s="1058"/>
      <c r="GI31" s="1056"/>
      <c r="GJ31" s="1058"/>
      <c r="GK31" s="1523">
        <f t="shared" si="33"/>
        <v>0</v>
      </c>
      <c r="GL31" s="1523" t="e">
        <f t="shared" si="34"/>
        <v>#VALUE!</v>
      </c>
      <c r="GM31" s="1524" t="e">
        <f>IF(ABS(GK31-GL31)&gt;=#REF!,ABS(GK31-GL31),0)</f>
        <v>#VALUE!</v>
      </c>
      <c r="GZ31" s="46"/>
      <c r="HA31" s="1159"/>
      <c r="HB31" s="1160"/>
      <c r="HC31" s="1160"/>
      <c r="HD31" s="1161"/>
      <c r="HE31" s="1162"/>
      <c r="HF31" s="1160"/>
      <c r="HG31" s="1160"/>
      <c r="HH31" s="1160"/>
      <c r="HI31" s="1160"/>
      <c r="HJ31" s="1160"/>
      <c r="HK31" s="1160"/>
      <c r="HL31" s="1160"/>
      <c r="HM31" s="1160"/>
      <c r="HN31" s="1160"/>
      <c r="HO31" s="1160"/>
      <c r="HP31" s="1160"/>
      <c r="HQ31" s="1160"/>
      <c r="HR31" s="1160"/>
      <c r="HS31" s="1160"/>
      <c r="HT31" s="1160"/>
      <c r="HU31" s="1160"/>
      <c r="HV31" s="1160"/>
      <c r="HW31" s="1160"/>
      <c r="HX31" s="1160"/>
      <c r="HY31" s="1164"/>
      <c r="HZ31" s="1164"/>
      <c r="IA31" s="1164"/>
      <c r="IB31" s="1164"/>
      <c r="IC31" s="1164"/>
      <c r="ID31" s="1179"/>
      <c r="IE31" s="1159"/>
      <c r="IF31" s="1160"/>
      <c r="IG31" s="1161"/>
      <c r="IH31" s="1162"/>
      <c r="II31" s="1160"/>
      <c r="IJ31" s="1161"/>
      <c r="IK31" s="1162"/>
      <c r="IL31" s="1160"/>
      <c r="IM31" s="1160"/>
      <c r="IN31" s="1160"/>
      <c r="IO31" s="1160"/>
      <c r="IP31" s="1160"/>
      <c r="IQ31" s="1160"/>
      <c r="IR31" s="1160"/>
      <c r="IS31" s="1161"/>
      <c r="IT31" s="1162"/>
      <c r="IU31" s="1160"/>
      <c r="IV31" s="1160"/>
      <c r="IW31" s="1161"/>
      <c r="IX31" s="1162"/>
      <c r="IY31" s="1160"/>
      <c r="IZ31" s="1160"/>
      <c r="JA31" s="1161"/>
      <c r="JB31" s="1162"/>
      <c r="JC31" s="1160"/>
      <c r="JD31" s="1160"/>
      <c r="JE31" s="1161"/>
      <c r="JF31" s="1162"/>
      <c r="JG31" s="1160"/>
      <c r="JH31" s="1160"/>
      <c r="JI31" s="1160"/>
      <c r="JJ31" s="1166"/>
      <c r="JK31" s="1160"/>
      <c r="JL31" s="1103">
        <f t="shared" ca="1" si="44"/>
        <v>0</v>
      </c>
    </row>
    <row r="32" spans="1:272" ht="12.6" customHeight="1" x14ac:dyDescent="0.25">
      <c r="A32" s="1132"/>
      <c r="B32" s="1586"/>
      <c r="C32" s="1133"/>
      <c r="D32" s="1134"/>
      <c r="E32" s="1135"/>
      <c r="F32" s="1136"/>
      <c r="G32" s="1137"/>
      <c r="H32" s="1138"/>
      <c r="I32" s="1139"/>
      <c r="J32" s="1134"/>
      <c r="K32" s="1138"/>
      <c r="L32" s="1140"/>
      <c r="M32" s="1141"/>
      <c r="N32" s="1142"/>
      <c r="O32" s="1137"/>
      <c r="P32" s="1138"/>
      <c r="Q32" s="1134"/>
      <c r="R32" s="1135"/>
      <c r="S32" s="1143"/>
      <c r="T32" s="1138"/>
      <c r="U32" s="1134"/>
      <c r="V32" s="1138"/>
      <c r="W32" s="1142"/>
      <c r="X32" s="1144"/>
      <c r="Y32" s="1145"/>
      <c r="Z32" s="1587"/>
      <c r="AA32" s="1152"/>
      <c r="AB32" s="1132"/>
      <c r="AC32" s="1139"/>
      <c r="AD32" s="1134"/>
      <c r="AE32" s="1138"/>
      <c r="AF32" s="1139"/>
      <c r="AG32" s="1134"/>
      <c r="AH32" s="1138"/>
      <c r="AI32" s="1134"/>
      <c r="AJ32" s="1138"/>
      <c r="AK32" s="1619"/>
      <c r="AL32" s="1620"/>
      <c r="AM32" s="1621"/>
      <c r="AN32" s="1139"/>
      <c r="AO32" s="1142"/>
      <c r="AP32" s="1141"/>
      <c r="AQ32" s="1623"/>
      <c r="AR32" s="1137"/>
      <c r="AS32" s="1138"/>
      <c r="AT32" s="1624"/>
      <c r="AU32" s="1625"/>
      <c r="AV32" s="1143"/>
      <c r="AW32" s="1138"/>
      <c r="AX32" s="1624"/>
      <c r="AY32" s="1625"/>
      <c r="AZ32" s="1143"/>
      <c r="BA32" s="1138"/>
      <c r="BB32" s="1624"/>
      <c r="BC32" s="1625"/>
      <c r="BD32" s="1143"/>
      <c r="BE32" s="1138"/>
      <c r="BF32" s="1624"/>
      <c r="BG32" s="1625"/>
      <c r="BH32" s="1291"/>
      <c r="BJ32" s="915" t="str">
        <f t="shared" si="42"/>
        <v/>
      </c>
      <c r="BK32" s="913" t="e">
        <f t="shared" si="0"/>
        <v>#REF!</v>
      </c>
      <c r="BL32" s="908" t="b">
        <v>0</v>
      </c>
      <c r="BM32" s="908">
        <f t="shared" si="1"/>
        <v>0</v>
      </c>
      <c r="BN32" s="908">
        <f t="shared" si="2"/>
        <v>0</v>
      </c>
      <c r="BO32" s="908">
        <f t="shared" si="3"/>
        <v>0</v>
      </c>
      <c r="BP32" s="908">
        <f t="shared" si="4"/>
        <v>0</v>
      </c>
      <c r="BQ32" s="908">
        <f t="shared" si="5"/>
        <v>0</v>
      </c>
      <c r="BR32" s="908" t="b">
        <f t="shared" si="6"/>
        <v>1</v>
      </c>
      <c r="BS32" s="1216">
        <f t="shared" si="7"/>
        <v>6</v>
      </c>
      <c r="BT32" s="909" t="str">
        <f t="shared" si="8"/>
        <v>No</v>
      </c>
      <c r="BU32" s="1216">
        <f t="shared" si="9"/>
        <v>6</v>
      </c>
      <c r="BV32" s="909" t="str">
        <f t="shared" si="10"/>
        <v>No</v>
      </c>
      <c r="BW32" s="910">
        <f t="shared" si="11"/>
        <v>0</v>
      </c>
      <c r="BX32" s="911" t="str">
        <f t="shared" si="12"/>
        <v/>
      </c>
      <c r="BY32" s="911" t="b">
        <f t="shared" si="13"/>
        <v>0</v>
      </c>
      <c r="BZ32" s="910" t="e">
        <f t="shared" si="35"/>
        <v>#REF!</v>
      </c>
      <c r="CB32" s="616"/>
      <c r="CC32" s="1567"/>
      <c r="CD32" s="645"/>
      <c r="CE32" s="646"/>
      <c r="CF32" s="647"/>
      <c r="CG32" s="660"/>
      <c r="CH32" s="661"/>
      <c r="CI32" s="662"/>
      <c r="CJ32" s="661"/>
      <c r="CK32" s="662"/>
      <c r="CL32" s="663"/>
      <c r="CM32" s="692"/>
      <c r="CN32" s="687"/>
      <c r="CO32" s="1430"/>
      <c r="CP32" s="839"/>
      <c r="CQ32" s="660"/>
      <c r="CR32" s="661"/>
      <c r="CS32" s="662"/>
      <c r="CT32" s="661"/>
      <c r="CU32" s="662"/>
      <c r="CV32" s="663"/>
      <c r="CW32" s="692"/>
      <c r="CX32" s="687"/>
      <c r="CY32" s="1430"/>
      <c r="CZ32" s="839"/>
      <c r="DA32" s="665"/>
      <c r="DB32" s="648"/>
      <c r="DC32" s="649"/>
      <c r="DD32" s="674"/>
      <c r="DE32" s="675"/>
      <c r="DF32" s="58"/>
      <c r="DG32" s="58"/>
      <c r="DH32" s="616"/>
      <c r="DI32" s="617"/>
      <c r="DJ32" s="638"/>
      <c r="DK32" s="1245"/>
      <c r="DL32" s="618"/>
      <c r="DM32" s="639"/>
      <c r="DN32" s="1248"/>
      <c r="DO32" s="619"/>
      <c r="DP32" s="620"/>
      <c r="DQ32" s="1294"/>
      <c r="DR32" s="621"/>
      <c r="DS32" s="1294"/>
      <c r="DT32" s="1296"/>
      <c r="DU32" s="1297"/>
      <c r="DV32" s="622"/>
      <c r="DW32" s="1250"/>
      <c r="DX32" s="623"/>
      <c r="DY32" s="624"/>
      <c r="DZ32" s="622"/>
      <c r="EA32" s="1250"/>
      <c r="EB32" s="623"/>
      <c r="EC32" s="624"/>
      <c r="ED32" s="622"/>
      <c r="EE32" s="1250"/>
      <c r="EF32" s="623"/>
      <c r="EG32" s="624"/>
      <c r="EH32" s="622"/>
      <c r="EI32" s="1250"/>
      <c r="EJ32" s="623"/>
      <c r="EK32" s="625"/>
      <c r="EL32" s="147"/>
      <c r="EM32" s="1513" t="str">
        <f t="shared" si="14"/>
        <v/>
      </c>
      <c r="EN32" s="1303" t="str">
        <f t="shared" si="15"/>
        <v/>
      </c>
      <c r="EO32" s="1304" t="str">
        <f t="shared" si="16"/>
        <v/>
      </c>
      <c r="EP32" s="1305" t="str">
        <f t="shared" si="17"/>
        <v/>
      </c>
      <c r="EQ32" s="1309" t="str">
        <f t="shared" si="18"/>
        <v/>
      </c>
      <c r="ER32" s="1315" t="str">
        <f t="shared" si="19"/>
        <v/>
      </c>
      <c r="ES32" s="1316" t="str">
        <f t="shared" si="20"/>
        <v/>
      </c>
      <c r="ET32" s="1317" t="str">
        <f t="shared" si="21"/>
        <v/>
      </c>
      <c r="EU32" s="1318" t="str">
        <f t="shared" si="36"/>
        <v/>
      </c>
      <c r="EX32" s="870" t="str">
        <f t="shared" si="37"/>
        <v/>
      </c>
      <c r="EY32" s="872" t="str">
        <f t="shared" si="22"/>
        <v/>
      </c>
      <c r="EZ32" s="872" t="str">
        <f t="shared" si="38"/>
        <v/>
      </c>
      <c r="FA32" s="891" t="str">
        <f t="shared" si="43"/>
        <v/>
      </c>
      <c r="FB32" s="892" t="str">
        <f t="shared" si="39"/>
        <v/>
      </c>
      <c r="FC32" s="892">
        <f t="shared" si="23"/>
        <v>0</v>
      </c>
      <c r="FD32" s="892">
        <f t="shared" si="24"/>
        <v>0</v>
      </c>
      <c r="FE32" s="892">
        <f t="shared" si="25"/>
        <v>0</v>
      </c>
      <c r="FF32" s="892">
        <f t="shared" si="40"/>
        <v>0</v>
      </c>
      <c r="FN32" s="703" t="b">
        <v>0</v>
      </c>
      <c r="FO32" s="703" t="b">
        <f t="shared" si="26"/>
        <v>0</v>
      </c>
      <c r="FP32" s="703" t="b">
        <v>0</v>
      </c>
      <c r="FQ32" s="703" t="b">
        <f t="shared" si="41"/>
        <v>0</v>
      </c>
      <c r="FW32" s="1"/>
      <c r="FX32" s="1"/>
      <c r="FZ32" s="1"/>
      <c r="GA32" s="524" t="str">
        <f t="shared" si="27"/>
        <v/>
      </c>
      <c r="GB32" s="566" t="str">
        <f t="shared" si="28"/>
        <v/>
      </c>
      <c r="GC32" s="568" t="str">
        <f t="shared" si="29"/>
        <v/>
      </c>
      <c r="GD32" s="569" t="str">
        <f t="shared" si="30"/>
        <v/>
      </c>
      <c r="GE32" s="567" t="str">
        <f t="shared" si="31"/>
        <v/>
      </c>
      <c r="GF32" s="525" t="str">
        <f t="shared" si="32"/>
        <v/>
      </c>
      <c r="GG32" s="1056"/>
      <c r="GH32" s="1058"/>
      <c r="GI32" s="1056"/>
      <c r="GJ32" s="1058"/>
      <c r="GK32" s="1523">
        <f t="shared" si="33"/>
        <v>0</v>
      </c>
      <c r="GL32" s="1523" t="e">
        <f t="shared" si="34"/>
        <v>#VALUE!</v>
      </c>
      <c r="GM32" s="1524" t="e">
        <f>IF(ABS(GK32-GL32)&gt;=#REF!,ABS(GK32-GL32),0)</f>
        <v>#VALUE!</v>
      </c>
      <c r="HA32" s="1159"/>
      <c r="HB32" s="1160"/>
      <c r="HC32" s="1160"/>
      <c r="HD32" s="1161"/>
      <c r="HE32" s="1162"/>
      <c r="HF32" s="1160"/>
      <c r="HG32" s="1160"/>
      <c r="HH32" s="1160"/>
      <c r="HI32" s="1160"/>
      <c r="HJ32" s="1160"/>
      <c r="HK32" s="1160"/>
      <c r="HL32" s="1160"/>
      <c r="HM32" s="1160"/>
      <c r="HN32" s="1160"/>
      <c r="HO32" s="1160"/>
      <c r="HP32" s="1160"/>
      <c r="HQ32" s="1160"/>
      <c r="HR32" s="1160"/>
      <c r="HS32" s="1160"/>
      <c r="HT32" s="1160"/>
      <c r="HU32" s="1160"/>
      <c r="HV32" s="1160"/>
      <c r="HW32" s="1160"/>
      <c r="HX32" s="1160"/>
      <c r="HY32" s="1164"/>
      <c r="HZ32" s="1164"/>
      <c r="IA32" s="1164"/>
      <c r="IB32" s="1164"/>
      <c r="IC32" s="1164"/>
      <c r="ID32" s="1179"/>
      <c r="IE32" s="1159"/>
      <c r="IF32" s="1160"/>
      <c r="IG32" s="1161"/>
      <c r="IH32" s="1162"/>
      <c r="II32" s="1160"/>
      <c r="IJ32" s="1161"/>
      <c r="IK32" s="1162"/>
      <c r="IL32" s="1160"/>
      <c r="IM32" s="1160"/>
      <c r="IN32" s="1160"/>
      <c r="IO32" s="1160"/>
      <c r="IP32" s="1160"/>
      <c r="IQ32" s="1160"/>
      <c r="IR32" s="1160"/>
      <c r="IS32" s="1161"/>
      <c r="IT32" s="1162"/>
      <c r="IU32" s="1160"/>
      <c r="IV32" s="1160"/>
      <c r="IW32" s="1161"/>
      <c r="IX32" s="1162"/>
      <c r="IY32" s="1160"/>
      <c r="IZ32" s="1160"/>
      <c r="JA32" s="1161"/>
      <c r="JB32" s="1162"/>
      <c r="JC32" s="1160"/>
      <c r="JD32" s="1160"/>
      <c r="JE32" s="1161"/>
      <c r="JF32" s="1162"/>
      <c r="JG32" s="1160"/>
      <c r="JH32" s="1160"/>
      <c r="JI32" s="1160"/>
      <c r="JJ32" s="1163"/>
      <c r="JK32" s="1160"/>
      <c r="JL32" s="1103">
        <f t="shared" ca="1" si="44"/>
        <v>0</v>
      </c>
    </row>
    <row r="33" spans="1:272" ht="12.6" customHeight="1" x14ac:dyDescent="0.25">
      <c r="A33" s="1132"/>
      <c r="B33" s="1586"/>
      <c r="C33" s="1133"/>
      <c r="D33" s="1134"/>
      <c r="E33" s="1135"/>
      <c r="F33" s="1136"/>
      <c r="G33" s="1137"/>
      <c r="H33" s="1138"/>
      <c r="I33" s="1139"/>
      <c r="J33" s="1134"/>
      <c r="K33" s="1138"/>
      <c r="L33" s="1140"/>
      <c r="M33" s="1141"/>
      <c r="N33" s="1142"/>
      <c r="O33" s="1137"/>
      <c r="P33" s="1138"/>
      <c r="Q33" s="1134"/>
      <c r="R33" s="1135"/>
      <c r="S33" s="1143"/>
      <c r="T33" s="1138"/>
      <c r="U33" s="1134"/>
      <c r="V33" s="1138"/>
      <c r="W33" s="1142"/>
      <c r="X33" s="1144"/>
      <c r="Y33" s="1145"/>
      <c r="Z33" s="1587"/>
      <c r="AA33" s="1152"/>
      <c r="AB33" s="1132"/>
      <c r="AC33" s="1139"/>
      <c r="AD33" s="1134"/>
      <c r="AE33" s="1138"/>
      <c r="AF33" s="1139"/>
      <c r="AG33" s="1134"/>
      <c r="AH33" s="1138"/>
      <c r="AI33" s="1134"/>
      <c r="AJ33" s="1138"/>
      <c r="AK33" s="1619"/>
      <c r="AL33" s="1620"/>
      <c r="AM33" s="1621"/>
      <c r="AN33" s="1139"/>
      <c r="AO33" s="1142"/>
      <c r="AP33" s="1141"/>
      <c r="AQ33" s="1623"/>
      <c r="AR33" s="1137"/>
      <c r="AS33" s="1138"/>
      <c r="AT33" s="1624"/>
      <c r="AU33" s="1625"/>
      <c r="AV33" s="1143"/>
      <c r="AW33" s="1138"/>
      <c r="AX33" s="1624"/>
      <c r="AY33" s="1625"/>
      <c r="AZ33" s="1143"/>
      <c r="BA33" s="1138"/>
      <c r="BB33" s="1624"/>
      <c r="BC33" s="1625"/>
      <c r="BD33" s="1143"/>
      <c r="BE33" s="1138"/>
      <c r="BF33" s="1624"/>
      <c r="BG33" s="1625"/>
      <c r="BH33" s="1291"/>
      <c r="BJ33" s="915" t="str">
        <f t="shared" si="42"/>
        <v/>
      </c>
      <c r="BK33" s="913" t="e">
        <f t="shared" si="0"/>
        <v>#REF!</v>
      </c>
      <c r="BL33" s="908" t="b">
        <v>0</v>
      </c>
      <c r="BM33" s="908">
        <f t="shared" si="1"/>
        <v>0</v>
      </c>
      <c r="BN33" s="908">
        <f t="shared" si="2"/>
        <v>0</v>
      </c>
      <c r="BO33" s="908">
        <f t="shared" si="3"/>
        <v>0</v>
      </c>
      <c r="BP33" s="908">
        <f t="shared" si="4"/>
        <v>0</v>
      </c>
      <c r="BQ33" s="908">
        <f t="shared" si="5"/>
        <v>0</v>
      </c>
      <c r="BR33" s="908" t="b">
        <f t="shared" si="6"/>
        <v>1</v>
      </c>
      <c r="BS33" s="1216">
        <f t="shared" si="7"/>
        <v>6</v>
      </c>
      <c r="BT33" s="909" t="str">
        <f t="shared" si="8"/>
        <v>No</v>
      </c>
      <c r="BU33" s="1216">
        <f t="shared" si="9"/>
        <v>6</v>
      </c>
      <c r="BV33" s="909" t="str">
        <f t="shared" si="10"/>
        <v>No</v>
      </c>
      <c r="BW33" s="910">
        <f t="shared" si="11"/>
        <v>0</v>
      </c>
      <c r="BX33" s="911" t="str">
        <f t="shared" si="12"/>
        <v/>
      </c>
      <c r="BY33" s="911" t="b">
        <f t="shared" si="13"/>
        <v>0</v>
      </c>
      <c r="BZ33" s="910" t="e">
        <f t="shared" si="35"/>
        <v>#REF!</v>
      </c>
      <c r="CB33" s="616"/>
      <c r="CC33" s="1567"/>
      <c r="CD33" s="645"/>
      <c r="CE33" s="646"/>
      <c r="CF33" s="647"/>
      <c r="CG33" s="660"/>
      <c r="CH33" s="661"/>
      <c r="CI33" s="662"/>
      <c r="CJ33" s="661"/>
      <c r="CK33" s="662"/>
      <c r="CL33" s="663"/>
      <c r="CM33" s="692"/>
      <c r="CN33" s="687"/>
      <c r="CO33" s="1430"/>
      <c r="CP33" s="839"/>
      <c r="CQ33" s="660"/>
      <c r="CR33" s="661"/>
      <c r="CS33" s="662"/>
      <c r="CT33" s="661"/>
      <c r="CU33" s="662"/>
      <c r="CV33" s="663"/>
      <c r="CW33" s="692"/>
      <c r="CX33" s="687"/>
      <c r="CY33" s="1430"/>
      <c r="CZ33" s="839"/>
      <c r="DA33" s="665"/>
      <c r="DB33" s="648"/>
      <c r="DC33" s="649"/>
      <c r="DD33" s="674"/>
      <c r="DE33" s="675"/>
      <c r="DF33" s="58"/>
      <c r="DG33" s="58"/>
      <c r="DH33" s="616"/>
      <c r="DI33" s="617"/>
      <c r="DJ33" s="638"/>
      <c r="DK33" s="1245"/>
      <c r="DL33" s="618"/>
      <c r="DM33" s="639"/>
      <c r="DN33" s="1248"/>
      <c r="DO33" s="619"/>
      <c r="DP33" s="620"/>
      <c r="DQ33" s="1294"/>
      <c r="DR33" s="621"/>
      <c r="DS33" s="1294"/>
      <c r="DT33" s="1296"/>
      <c r="DU33" s="1297"/>
      <c r="DV33" s="622"/>
      <c r="DW33" s="1250"/>
      <c r="DX33" s="623"/>
      <c r="DY33" s="624"/>
      <c r="DZ33" s="622"/>
      <c r="EA33" s="1250"/>
      <c r="EB33" s="623"/>
      <c r="EC33" s="624"/>
      <c r="ED33" s="622"/>
      <c r="EE33" s="1250"/>
      <c r="EF33" s="623"/>
      <c r="EG33" s="624"/>
      <c r="EH33" s="622"/>
      <c r="EI33" s="1250"/>
      <c r="EJ33" s="623"/>
      <c r="EK33" s="625"/>
      <c r="EL33" s="147"/>
      <c r="EM33" s="1513" t="str">
        <f t="shared" si="14"/>
        <v/>
      </c>
      <c r="EN33" s="1303" t="str">
        <f t="shared" si="15"/>
        <v/>
      </c>
      <c r="EO33" s="1304" t="str">
        <f t="shared" si="16"/>
        <v/>
      </c>
      <c r="EP33" s="1305" t="str">
        <f t="shared" si="17"/>
        <v/>
      </c>
      <c r="EQ33" s="1309" t="str">
        <f t="shared" si="18"/>
        <v/>
      </c>
      <c r="ER33" s="1315" t="str">
        <f t="shared" si="19"/>
        <v/>
      </c>
      <c r="ES33" s="1316" t="str">
        <f t="shared" si="20"/>
        <v/>
      </c>
      <c r="ET33" s="1317" t="str">
        <f t="shared" si="21"/>
        <v/>
      </c>
      <c r="EU33" s="1318" t="str">
        <f t="shared" si="36"/>
        <v/>
      </c>
      <c r="EX33" s="870" t="str">
        <f t="shared" si="37"/>
        <v/>
      </c>
      <c r="EY33" s="872" t="str">
        <f t="shared" si="22"/>
        <v/>
      </c>
      <c r="EZ33" s="872" t="str">
        <f t="shared" si="38"/>
        <v/>
      </c>
      <c r="FA33" s="891" t="str">
        <f t="shared" si="43"/>
        <v/>
      </c>
      <c r="FB33" s="892" t="str">
        <f t="shared" si="39"/>
        <v/>
      </c>
      <c r="FC33" s="892">
        <f t="shared" si="23"/>
        <v>0</v>
      </c>
      <c r="FD33" s="892">
        <f t="shared" si="24"/>
        <v>0</v>
      </c>
      <c r="FE33" s="892">
        <f t="shared" si="25"/>
        <v>0</v>
      </c>
      <c r="FF33" s="892">
        <f t="shared" si="40"/>
        <v>0</v>
      </c>
      <c r="FN33" s="703" t="b">
        <v>0</v>
      </c>
      <c r="FO33" s="703" t="b">
        <f t="shared" si="26"/>
        <v>0</v>
      </c>
      <c r="FP33" s="703" t="b">
        <v>0</v>
      </c>
      <c r="FQ33" s="703" t="b">
        <f t="shared" si="41"/>
        <v>0</v>
      </c>
      <c r="FW33" s="1"/>
      <c r="FX33" s="1"/>
      <c r="FZ33" s="1"/>
      <c r="GA33" s="524" t="str">
        <f t="shared" si="27"/>
        <v/>
      </c>
      <c r="GB33" s="566" t="str">
        <f t="shared" si="28"/>
        <v/>
      </c>
      <c r="GC33" s="568" t="str">
        <f t="shared" si="29"/>
        <v/>
      </c>
      <c r="GD33" s="569" t="str">
        <f t="shared" si="30"/>
        <v/>
      </c>
      <c r="GE33" s="567" t="str">
        <f t="shared" si="31"/>
        <v/>
      </c>
      <c r="GF33" s="525" t="str">
        <f t="shared" si="32"/>
        <v/>
      </c>
      <c r="GG33" s="1056"/>
      <c r="GH33" s="1058"/>
      <c r="GI33" s="1056"/>
      <c r="GJ33" s="1058"/>
      <c r="GK33" s="1523">
        <f t="shared" si="33"/>
        <v>0</v>
      </c>
      <c r="GL33" s="1523" t="e">
        <f t="shared" si="34"/>
        <v>#VALUE!</v>
      </c>
      <c r="GM33" s="1524" t="e">
        <f>IF(ABS(GK33-GL33)&gt;=#REF!,ABS(GK33-GL33),0)</f>
        <v>#VALUE!</v>
      </c>
      <c r="HA33" s="1159"/>
      <c r="HB33" s="1160"/>
      <c r="HC33" s="1160"/>
      <c r="HD33" s="1161"/>
      <c r="HE33" s="1162"/>
      <c r="HF33" s="1160"/>
      <c r="HG33" s="1160"/>
      <c r="HH33" s="1160"/>
      <c r="HI33" s="1160"/>
      <c r="HJ33" s="1160"/>
      <c r="HK33" s="1160"/>
      <c r="HL33" s="1160"/>
      <c r="HM33" s="1160"/>
      <c r="HN33" s="1160"/>
      <c r="HO33" s="1160"/>
      <c r="HP33" s="1160"/>
      <c r="HQ33" s="1160"/>
      <c r="HR33" s="1160"/>
      <c r="HS33" s="1160"/>
      <c r="HT33" s="1160"/>
      <c r="HU33" s="1160"/>
      <c r="HV33" s="1160"/>
      <c r="HW33" s="1160"/>
      <c r="HX33" s="1160"/>
      <c r="HY33" s="1164"/>
      <c r="HZ33" s="1164"/>
      <c r="IA33" s="1164"/>
      <c r="IB33" s="1164"/>
      <c r="IC33" s="1164"/>
      <c r="ID33" s="1179"/>
      <c r="IE33" s="1159"/>
      <c r="IF33" s="1160"/>
      <c r="IG33" s="1161"/>
      <c r="IH33" s="1162"/>
      <c r="II33" s="1160"/>
      <c r="IJ33" s="1161"/>
      <c r="IK33" s="1162"/>
      <c r="IL33" s="1160"/>
      <c r="IM33" s="1160"/>
      <c r="IN33" s="1160"/>
      <c r="IO33" s="1160"/>
      <c r="IP33" s="1160"/>
      <c r="IQ33" s="1160"/>
      <c r="IR33" s="1160"/>
      <c r="IS33" s="1161"/>
      <c r="IT33" s="1162"/>
      <c r="IU33" s="1160"/>
      <c r="IV33" s="1160"/>
      <c r="IW33" s="1161"/>
      <c r="IX33" s="1162"/>
      <c r="IY33" s="1160"/>
      <c r="IZ33" s="1160"/>
      <c r="JA33" s="1161"/>
      <c r="JB33" s="1162"/>
      <c r="JC33" s="1160"/>
      <c r="JD33" s="1160"/>
      <c r="JE33" s="1161"/>
      <c r="JF33" s="1162"/>
      <c r="JG33" s="1160"/>
      <c r="JH33" s="1160"/>
      <c r="JI33" s="1160"/>
      <c r="JJ33" s="1163"/>
      <c r="JK33" s="1160"/>
      <c r="JL33" s="1103">
        <f t="shared" ca="1" si="44"/>
        <v>0</v>
      </c>
    </row>
    <row r="34" spans="1:272" ht="12.6" customHeight="1" x14ac:dyDescent="0.25">
      <c r="A34" s="1132"/>
      <c r="B34" s="1586"/>
      <c r="C34" s="1133"/>
      <c r="D34" s="1134"/>
      <c r="E34" s="1135"/>
      <c r="F34" s="1136"/>
      <c r="G34" s="1137"/>
      <c r="H34" s="1138"/>
      <c r="I34" s="1139"/>
      <c r="J34" s="1134"/>
      <c r="K34" s="1138"/>
      <c r="L34" s="1140"/>
      <c r="M34" s="1141"/>
      <c r="N34" s="1142"/>
      <c r="O34" s="1137"/>
      <c r="P34" s="1138"/>
      <c r="Q34" s="1134"/>
      <c r="R34" s="1135"/>
      <c r="S34" s="1143"/>
      <c r="T34" s="1138"/>
      <c r="U34" s="1134"/>
      <c r="V34" s="1138"/>
      <c r="W34" s="1142"/>
      <c r="X34" s="1144"/>
      <c r="Y34" s="1145"/>
      <c r="Z34" s="1587"/>
      <c r="AA34" s="1152"/>
      <c r="AB34" s="1132"/>
      <c r="AC34" s="1139"/>
      <c r="AD34" s="1134"/>
      <c r="AE34" s="1138"/>
      <c r="AF34" s="1139"/>
      <c r="AG34" s="1134"/>
      <c r="AH34" s="1138"/>
      <c r="AI34" s="1134"/>
      <c r="AJ34" s="1138"/>
      <c r="AK34" s="1619"/>
      <c r="AL34" s="1620"/>
      <c r="AM34" s="1621"/>
      <c r="AN34" s="1139"/>
      <c r="AO34" s="1142"/>
      <c r="AP34" s="1141"/>
      <c r="AQ34" s="1623"/>
      <c r="AR34" s="1137"/>
      <c r="AS34" s="1138"/>
      <c r="AT34" s="1624"/>
      <c r="AU34" s="1625"/>
      <c r="AV34" s="1143"/>
      <c r="AW34" s="1138"/>
      <c r="AX34" s="1624"/>
      <c r="AY34" s="1625"/>
      <c r="AZ34" s="1143"/>
      <c r="BA34" s="1138"/>
      <c r="BB34" s="1624"/>
      <c r="BC34" s="1625"/>
      <c r="BD34" s="1143"/>
      <c r="BE34" s="1138"/>
      <c r="BF34" s="1624"/>
      <c r="BG34" s="1625"/>
      <c r="BH34" s="1291"/>
      <c r="BJ34" s="915" t="str">
        <f t="shared" si="42"/>
        <v/>
      </c>
      <c r="BK34" s="913" t="e">
        <f t="shared" si="0"/>
        <v>#REF!</v>
      </c>
      <c r="BL34" s="908" t="b">
        <v>0</v>
      </c>
      <c r="BM34" s="908">
        <f t="shared" si="1"/>
        <v>0</v>
      </c>
      <c r="BN34" s="908">
        <f t="shared" si="2"/>
        <v>0</v>
      </c>
      <c r="BO34" s="908">
        <f t="shared" si="3"/>
        <v>0</v>
      </c>
      <c r="BP34" s="908">
        <f t="shared" si="4"/>
        <v>0</v>
      </c>
      <c r="BQ34" s="908">
        <f t="shared" si="5"/>
        <v>0</v>
      </c>
      <c r="BR34" s="908" t="b">
        <f t="shared" si="6"/>
        <v>1</v>
      </c>
      <c r="BS34" s="1216">
        <f t="shared" si="7"/>
        <v>6</v>
      </c>
      <c r="BT34" s="909" t="str">
        <f t="shared" si="8"/>
        <v>No</v>
      </c>
      <c r="BU34" s="1216">
        <f t="shared" si="9"/>
        <v>6</v>
      </c>
      <c r="BV34" s="909" t="str">
        <f t="shared" si="10"/>
        <v>No</v>
      </c>
      <c r="BW34" s="910">
        <f t="shared" si="11"/>
        <v>0</v>
      </c>
      <c r="BX34" s="911" t="str">
        <f t="shared" si="12"/>
        <v/>
      </c>
      <c r="BY34" s="911" t="b">
        <f t="shared" si="13"/>
        <v>0</v>
      </c>
      <c r="BZ34" s="910" t="e">
        <f t="shared" si="35"/>
        <v>#REF!</v>
      </c>
      <c r="CB34" s="616"/>
      <c r="CC34" s="1567"/>
      <c r="CD34" s="645"/>
      <c r="CE34" s="646"/>
      <c r="CF34" s="647"/>
      <c r="CG34" s="660"/>
      <c r="CH34" s="661"/>
      <c r="CI34" s="662"/>
      <c r="CJ34" s="661"/>
      <c r="CK34" s="662"/>
      <c r="CL34" s="663"/>
      <c r="CM34" s="692"/>
      <c r="CN34" s="687"/>
      <c r="CO34" s="1430"/>
      <c r="CP34" s="839"/>
      <c r="CQ34" s="660"/>
      <c r="CR34" s="661"/>
      <c r="CS34" s="662"/>
      <c r="CT34" s="661"/>
      <c r="CU34" s="662"/>
      <c r="CV34" s="663"/>
      <c r="CW34" s="692"/>
      <c r="CX34" s="687"/>
      <c r="CY34" s="1430"/>
      <c r="CZ34" s="839"/>
      <c r="DA34" s="665"/>
      <c r="DB34" s="648"/>
      <c r="DC34" s="649"/>
      <c r="DD34" s="674"/>
      <c r="DE34" s="675"/>
      <c r="DF34" s="58"/>
      <c r="DG34" s="58"/>
      <c r="DH34" s="616"/>
      <c r="DI34" s="617"/>
      <c r="DJ34" s="638"/>
      <c r="DK34" s="1245"/>
      <c r="DL34" s="618"/>
      <c r="DM34" s="639"/>
      <c r="DN34" s="1248"/>
      <c r="DO34" s="619"/>
      <c r="DP34" s="620"/>
      <c r="DQ34" s="1294"/>
      <c r="DR34" s="621"/>
      <c r="DS34" s="1294"/>
      <c r="DT34" s="1296"/>
      <c r="DU34" s="1297"/>
      <c r="DV34" s="622"/>
      <c r="DW34" s="1250"/>
      <c r="DX34" s="623"/>
      <c r="DY34" s="624"/>
      <c r="DZ34" s="622"/>
      <c r="EA34" s="1250"/>
      <c r="EB34" s="623"/>
      <c r="EC34" s="624"/>
      <c r="ED34" s="622"/>
      <c r="EE34" s="1250"/>
      <c r="EF34" s="623"/>
      <c r="EG34" s="624"/>
      <c r="EH34" s="622"/>
      <c r="EI34" s="1250"/>
      <c r="EJ34" s="623"/>
      <c r="EK34" s="625"/>
      <c r="EL34" s="147"/>
      <c r="EM34" s="1513" t="str">
        <f t="shared" si="14"/>
        <v/>
      </c>
      <c r="EN34" s="1303" t="str">
        <f t="shared" si="15"/>
        <v/>
      </c>
      <c r="EO34" s="1304" t="str">
        <f t="shared" si="16"/>
        <v/>
      </c>
      <c r="EP34" s="1305" t="str">
        <f t="shared" si="17"/>
        <v/>
      </c>
      <c r="EQ34" s="1309" t="str">
        <f t="shared" si="18"/>
        <v/>
      </c>
      <c r="ER34" s="1315" t="str">
        <f t="shared" si="19"/>
        <v/>
      </c>
      <c r="ES34" s="1316" t="str">
        <f t="shared" si="20"/>
        <v/>
      </c>
      <c r="ET34" s="1317" t="str">
        <f t="shared" si="21"/>
        <v/>
      </c>
      <c r="EU34" s="1318" t="str">
        <f t="shared" si="36"/>
        <v/>
      </c>
      <c r="EX34" s="870" t="str">
        <f t="shared" si="37"/>
        <v/>
      </c>
      <c r="EY34" s="872" t="str">
        <f t="shared" si="22"/>
        <v/>
      </c>
      <c r="EZ34" s="872" t="str">
        <f t="shared" si="38"/>
        <v/>
      </c>
      <c r="FA34" s="891" t="str">
        <f t="shared" si="43"/>
        <v/>
      </c>
      <c r="FB34" s="892" t="str">
        <f t="shared" si="39"/>
        <v/>
      </c>
      <c r="FC34" s="892">
        <f t="shared" si="23"/>
        <v>0</v>
      </c>
      <c r="FD34" s="892">
        <f t="shared" si="24"/>
        <v>0</v>
      </c>
      <c r="FE34" s="892">
        <f t="shared" si="25"/>
        <v>0</v>
      </c>
      <c r="FF34" s="892">
        <f t="shared" si="40"/>
        <v>0</v>
      </c>
      <c r="FN34" s="703" t="b">
        <v>0</v>
      </c>
      <c r="FO34" s="703" t="b">
        <f t="shared" si="26"/>
        <v>0</v>
      </c>
      <c r="FP34" s="703" t="b">
        <v>0</v>
      </c>
      <c r="FQ34" s="703" t="b">
        <f t="shared" si="41"/>
        <v>0</v>
      </c>
      <c r="FW34" s="1"/>
      <c r="FX34" s="1"/>
      <c r="FZ34" s="1"/>
      <c r="GA34" s="524" t="str">
        <f t="shared" si="27"/>
        <v/>
      </c>
      <c r="GB34" s="566" t="str">
        <f t="shared" si="28"/>
        <v/>
      </c>
      <c r="GC34" s="568" t="str">
        <f t="shared" si="29"/>
        <v/>
      </c>
      <c r="GD34" s="569" t="str">
        <f t="shared" si="30"/>
        <v/>
      </c>
      <c r="GE34" s="567" t="str">
        <f t="shared" si="31"/>
        <v/>
      </c>
      <c r="GF34" s="525" t="str">
        <f t="shared" si="32"/>
        <v/>
      </c>
      <c r="GG34" s="1056"/>
      <c r="GH34" s="1058"/>
      <c r="GI34" s="1056"/>
      <c r="GJ34" s="1058"/>
      <c r="GK34" s="1523">
        <f t="shared" si="33"/>
        <v>0</v>
      </c>
      <c r="GL34" s="1523" t="e">
        <f t="shared" si="34"/>
        <v>#VALUE!</v>
      </c>
      <c r="GM34" s="1524" t="e">
        <f>IF(ABS(GK34-GL34)&gt;=#REF!,ABS(GK34-GL34),0)</f>
        <v>#VALUE!</v>
      </c>
      <c r="HA34" s="1159"/>
      <c r="HB34" s="1160"/>
      <c r="HC34" s="1160"/>
      <c r="HD34" s="1161"/>
      <c r="HE34" s="1162"/>
      <c r="HF34" s="1160"/>
      <c r="HG34" s="1160"/>
      <c r="HH34" s="1160"/>
      <c r="HI34" s="1160"/>
      <c r="HJ34" s="1160"/>
      <c r="HK34" s="1160"/>
      <c r="HL34" s="1160"/>
      <c r="HM34" s="1160"/>
      <c r="HN34" s="1160"/>
      <c r="HO34" s="1160"/>
      <c r="HP34" s="1160"/>
      <c r="HQ34" s="1160"/>
      <c r="HR34" s="1160"/>
      <c r="HS34" s="1160"/>
      <c r="HT34" s="1160"/>
      <c r="HU34" s="1160"/>
      <c r="HV34" s="1160"/>
      <c r="HW34" s="1160"/>
      <c r="HX34" s="1160"/>
      <c r="HY34" s="1164"/>
      <c r="HZ34" s="1164"/>
      <c r="IA34" s="1164"/>
      <c r="IB34" s="1164"/>
      <c r="IC34" s="1164"/>
      <c r="ID34" s="1179"/>
      <c r="IE34" s="1159"/>
      <c r="IF34" s="1160"/>
      <c r="IG34" s="1161"/>
      <c r="IH34" s="1162"/>
      <c r="II34" s="1160"/>
      <c r="IJ34" s="1161"/>
      <c r="IK34" s="1162"/>
      <c r="IL34" s="1160"/>
      <c r="IM34" s="1160"/>
      <c r="IN34" s="1160"/>
      <c r="IO34" s="1160"/>
      <c r="IP34" s="1160"/>
      <c r="IQ34" s="1160"/>
      <c r="IR34" s="1160"/>
      <c r="IS34" s="1161"/>
      <c r="IT34" s="1162"/>
      <c r="IU34" s="1160"/>
      <c r="IV34" s="1160"/>
      <c r="IW34" s="1161"/>
      <c r="IX34" s="1162"/>
      <c r="IY34" s="1160"/>
      <c r="IZ34" s="1160"/>
      <c r="JA34" s="1161"/>
      <c r="JB34" s="1162"/>
      <c r="JC34" s="1160"/>
      <c r="JD34" s="1160"/>
      <c r="JE34" s="1161"/>
      <c r="JF34" s="1162"/>
      <c r="JG34" s="1160"/>
      <c r="JH34" s="1160"/>
      <c r="JI34" s="1160"/>
      <c r="JJ34" s="1163"/>
      <c r="JK34" s="1160"/>
      <c r="JL34" s="1103">
        <f t="shared" ca="1" si="44"/>
        <v>0</v>
      </c>
    </row>
    <row r="35" spans="1:272" ht="12.6" customHeight="1" x14ac:dyDescent="0.25">
      <c r="A35" s="1132"/>
      <c r="B35" s="1586"/>
      <c r="C35" s="1133"/>
      <c r="D35" s="1134"/>
      <c r="E35" s="1135"/>
      <c r="F35" s="1136"/>
      <c r="G35" s="1137"/>
      <c r="H35" s="1138"/>
      <c r="I35" s="1139"/>
      <c r="J35" s="1134"/>
      <c r="K35" s="1138"/>
      <c r="L35" s="1140"/>
      <c r="M35" s="1141"/>
      <c r="N35" s="1142"/>
      <c r="O35" s="1137"/>
      <c r="P35" s="1138"/>
      <c r="Q35" s="1134"/>
      <c r="R35" s="1135"/>
      <c r="S35" s="1143"/>
      <c r="T35" s="1138"/>
      <c r="U35" s="1134"/>
      <c r="V35" s="1138"/>
      <c r="W35" s="1142"/>
      <c r="X35" s="1144"/>
      <c r="Y35" s="1145"/>
      <c r="Z35" s="1587"/>
      <c r="AA35" s="1152"/>
      <c r="AB35" s="1132"/>
      <c r="AC35" s="1139"/>
      <c r="AD35" s="1134"/>
      <c r="AE35" s="1138"/>
      <c r="AF35" s="1139"/>
      <c r="AG35" s="1134"/>
      <c r="AH35" s="1138"/>
      <c r="AI35" s="1134"/>
      <c r="AJ35" s="1138"/>
      <c r="AK35" s="1619"/>
      <c r="AL35" s="1620"/>
      <c r="AM35" s="1621"/>
      <c r="AN35" s="1139"/>
      <c r="AO35" s="1142"/>
      <c r="AP35" s="1141"/>
      <c r="AQ35" s="1623"/>
      <c r="AR35" s="1137"/>
      <c r="AS35" s="1138"/>
      <c r="AT35" s="1624"/>
      <c r="AU35" s="1625"/>
      <c r="AV35" s="1143"/>
      <c r="AW35" s="1138"/>
      <c r="AX35" s="1624"/>
      <c r="AY35" s="1625"/>
      <c r="AZ35" s="1143"/>
      <c r="BA35" s="1138"/>
      <c r="BB35" s="1624"/>
      <c r="BC35" s="1625"/>
      <c r="BD35" s="1143"/>
      <c r="BE35" s="1138"/>
      <c r="BF35" s="1624"/>
      <c r="BG35" s="1625"/>
      <c r="BH35" s="1291"/>
      <c r="BJ35" s="915" t="str">
        <f t="shared" si="42"/>
        <v/>
      </c>
      <c r="BK35" s="913" t="e">
        <f t="shared" si="0"/>
        <v>#REF!</v>
      </c>
      <c r="BL35" s="908" t="b">
        <v>0</v>
      </c>
      <c r="BM35" s="908">
        <f t="shared" si="1"/>
        <v>0</v>
      </c>
      <c r="BN35" s="908">
        <f t="shared" si="2"/>
        <v>0</v>
      </c>
      <c r="BO35" s="908">
        <f t="shared" si="3"/>
        <v>0</v>
      </c>
      <c r="BP35" s="908">
        <f t="shared" si="4"/>
        <v>0</v>
      </c>
      <c r="BQ35" s="908">
        <f t="shared" si="5"/>
        <v>0</v>
      </c>
      <c r="BR35" s="908" t="b">
        <f t="shared" si="6"/>
        <v>1</v>
      </c>
      <c r="BS35" s="1216">
        <f t="shared" si="7"/>
        <v>6</v>
      </c>
      <c r="BT35" s="909" t="str">
        <f t="shared" si="8"/>
        <v>No</v>
      </c>
      <c r="BU35" s="1216">
        <f t="shared" si="9"/>
        <v>6</v>
      </c>
      <c r="BV35" s="909" t="str">
        <f t="shared" si="10"/>
        <v>No</v>
      </c>
      <c r="BW35" s="910">
        <f t="shared" si="11"/>
        <v>0</v>
      </c>
      <c r="BX35" s="911" t="str">
        <f t="shared" si="12"/>
        <v/>
      </c>
      <c r="BY35" s="911" t="b">
        <f t="shared" si="13"/>
        <v>0</v>
      </c>
      <c r="BZ35" s="910" t="e">
        <f t="shared" si="35"/>
        <v>#REF!</v>
      </c>
      <c r="CB35" s="616"/>
      <c r="CC35" s="1567"/>
      <c r="CD35" s="645"/>
      <c r="CE35" s="646"/>
      <c r="CF35" s="647"/>
      <c r="CG35" s="660"/>
      <c r="CH35" s="661"/>
      <c r="CI35" s="662"/>
      <c r="CJ35" s="661"/>
      <c r="CK35" s="662"/>
      <c r="CL35" s="663"/>
      <c r="CM35" s="692"/>
      <c r="CN35" s="687"/>
      <c r="CO35" s="1430"/>
      <c r="CP35" s="839"/>
      <c r="CQ35" s="660"/>
      <c r="CR35" s="661"/>
      <c r="CS35" s="662"/>
      <c r="CT35" s="661"/>
      <c r="CU35" s="662"/>
      <c r="CV35" s="663"/>
      <c r="CW35" s="692"/>
      <c r="CX35" s="687"/>
      <c r="CY35" s="1430"/>
      <c r="CZ35" s="839"/>
      <c r="DA35" s="665"/>
      <c r="DB35" s="648"/>
      <c r="DC35" s="649"/>
      <c r="DD35" s="674"/>
      <c r="DE35" s="675"/>
      <c r="DF35" s="58"/>
      <c r="DG35" s="58"/>
      <c r="DH35" s="616"/>
      <c r="DI35" s="617"/>
      <c r="DJ35" s="638"/>
      <c r="DK35" s="1245"/>
      <c r="DL35" s="618"/>
      <c r="DM35" s="639"/>
      <c r="DN35" s="1248"/>
      <c r="DO35" s="619"/>
      <c r="DP35" s="620"/>
      <c r="DQ35" s="1294"/>
      <c r="DR35" s="621"/>
      <c r="DS35" s="1294"/>
      <c r="DT35" s="1296"/>
      <c r="DU35" s="1297"/>
      <c r="DV35" s="622"/>
      <c r="DW35" s="1250"/>
      <c r="DX35" s="623"/>
      <c r="DY35" s="624"/>
      <c r="DZ35" s="622"/>
      <c r="EA35" s="1250"/>
      <c r="EB35" s="623"/>
      <c r="EC35" s="624"/>
      <c r="ED35" s="622"/>
      <c r="EE35" s="1250"/>
      <c r="EF35" s="623"/>
      <c r="EG35" s="624"/>
      <c r="EH35" s="622"/>
      <c r="EI35" s="1250"/>
      <c r="EJ35" s="623"/>
      <c r="EK35" s="625"/>
      <c r="EL35" s="147"/>
      <c r="EM35" s="1513" t="str">
        <f t="shared" si="14"/>
        <v/>
      </c>
      <c r="EN35" s="1303" t="str">
        <f t="shared" si="15"/>
        <v/>
      </c>
      <c r="EO35" s="1304" t="str">
        <f t="shared" si="16"/>
        <v/>
      </c>
      <c r="EP35" s="1305" t="str">
        <f t="shared" si="17"/>
        <v/>
      </c>
      <c r="EQ35" s="1309" t="str">
        <f t="shared" si="18"/>
        <v/>
      </c>
      <c r="ER35" s="1315" t="str">
        <f t="shared" si="19"/>
        <v/>
      </c>
      <c r="ES35" s="1316" t="str">
        <f t="shared" si="20"/>
        <v/>
      </c>
      <c r="ET35" s="1317" t="str">
        <f t="shared" si="21"/>
        <v/>
      </c>
      <c r="EU35" s="1318" t="str">
        <f t="shared" si="36"/>
        <v/>
      </c>
      <c r="EX35" s="870" t="str">
        <f t="shared" si="37"/>
        <v/>
      </c>
      <c r="EY35" s="872" t="str">
        <f t="shared" si="22"/>
        <v/>
      </c>
      <c r="EZ35" s="872" t="str">
        <f t="shared" si="38"/>
        <v/>
      </c>
      <c r="FA35" s="891" t="str">
        <f t="shared" si="43"/>
        <v/>
      </c>
      <c r="FB35" s="892" t="str">
        <f t="shared" si="39"/>
        <v/>
      </c>
      <c r="FC35" s="892">
        <f t="shared" si="23"/>
        <v>0</v>
      </c>
      <c r="FD35" s="892">
        <f t="shared" si="24"/>
        <v>0</v>
      </c>
      <c r="FE35" s="892">
        <f t="shared" si="25"/>
        <v>0</v>
      </c>
      <c r="FF35" s="892">
        <f t="shared" si="40"/>
        <v>0</v>
      </c>
      <c r="FN35" s="703" t="b">
        <v>0</v>
      </c>
      <c r="FO35" s="703" t="b">
        <f t="shared" si="26"/>
        <v>0</v>
      </c>
      <c r="FP35" s="703" t="b">
        <v>0</v>
      </c>
      <c r="FQ35" s="703" t="b">
        <f t="shared" si="41"/>
        <v>0</v>
      </c>
      <c r="FW35" s="1"/>
      <c r="FX35" s="1"/>
      <c r="FZ35" s="1"/>
      <c r="GA35" s="524" t="str">
        <f t="shared" si="27"/>
        <v/>
      </c>
      <c r="GB35" s="566" t="str">
        <f t="shared" si="28"/>
        <v/>
      </c>
      <c r="GC35" s="568" t="str">
        <f t="shared" si="29"/>
        <v/>
      </c>
      <c r="GD35" s="569" t="str">
        <f t="shared" si="30"/>
        <v/>
      </c>
      <c r="GE35" s="567" t="str">
        <f t="shared" si="31"/>
        <v/>
      </c>
      <c r="GF35" s="525" t="str">
        <f t="shared" si="32"/>
        <v/>
      </c>
      <c r="GG35" s="1056"/>
      <c r="GH35" s="1058"/>
      <c r="GI35" s="1056"/>
      <c r="GJ35" s="1058"/>
      <c r="GK35" s="1523">
        <f t="shared" si="33"/>
        <v>0</v>
      </c>
      <c r="GL35" s="1523" t="e">
        <f t="shared" si="34"/>
        <v>#VALUE!</v>
      </c>
      <c r="GM35" s="1524" t="e">
        <f>IF(ABS(GK35-GL35)&gt;=#REF!,ABS(GK35-GL35),0)</f>
        <v>#VALUE!</v>
      </c>
      <c r="HA35" s="1159"/>
      <c r="HB35" s="1160"/>
      <c r="HC35" s="1160"/>
      <c r="HD35" s="1161"/>
      <c r="HE35" s="1162"/>
      <c r="HF35" s="1160"/>
      <c r="HG35" s="1160"/>
      <c r="HH35" s="1160"/>
      <c r="HI35" s="1160"/>
      <c r="HJ35" s="1160"/>
      <c r="HK35" s="1160"/>
      <c r="HL35" s="1160"/>
      <c r="HM35" s="1160"/>
      <c r="HN35" s="1160"/>
      <c r="HO35" s="1160"/>
      <c r="HP35" s="1160"/>
      <c r="HQ35" s="1160"/>
      <c r="HR35" s="1160"/>
      <c r="HS35" s="1160"/>
      <c r="HT35" s="1160"/>
      <c r="HU35" s="1160"/>
      <c r="HV35" s="1160"/>
      <c r="HW35" s="1160"/>
      <c r="HX35" s="1160"/>
      <c r="HY35" s="1164"/>
      <c r="HZ35" s="1164"/>
      <c r="IA35" s="1164"/>
      <c r="IB35" s="1164"/>
      <c r="IC35" s="1164"/>
      <c r="ID35" s="1179"/>
      <c r="IE35" s="1159"/>
      <c r="IF35" s="1160"/>
      <c r="IG35" s="1161"/>
      <c r="IH35" s="1162"/>
      <c r="II35" s="1160"/>
      <c r="IJ35" s="1161"/>
      <c r="IK35" s="1162"/>
      <c r="IL35" s="1160"/>
      <c r="IM35" s="1160"/>
      <c r="IN35" s="1160"/>
      <c r="IO35" s="1160"/>
      <c r="IP35" s="1160"/>
      <c r="IQ35" s="1160"/>
      <c r="IR35" s="1160"/>
      <c r="IS35" s="1161"/>
      <c r="IT35" s="1162"/>
      <c r="IU35" s="1160"/>
      <c r="IV35" s="1160"/>
      <c r="IW35" s="1161"/>
      <c r="IX35" s="1162"/>
      <c r="IY35" s="1160"/>
      <c r="IZ35" s="1160"/>
      <c r="JA35" s="1161"/>
      <c r="JB35" s="1162"/>
      <c r="JC35" s="1160"/>
      <c r="JD35" s="1160"/>
      <c r="JE35" s="1161"/>
      <c r="JF35" s="1162"/>
      <c r="JG35" s="1160"/>
      <c r="JH35" s="1160"/>
      <c r="JI35" s="1160"/>
      <c r="JJ35" s="1163"/>
      <c r="JK35" s="1160"/>
      <c r="JL35" s="1103">
        <f t="shared" ca="1" si="44"/>
        <v>0</v>
      </c>
    </row>
    <row r="36" spans="1:272" ht="12.6" customHeight="1" x14ac:dyDescent="0.25">
      <c r="A36" s="1132"/>
      <c r="B36" s="1586"/>
      <c r="C36" s="1133"/>
      <c r="D36" s="1134"/>
      <c r="E36" s="1135"/>
      <c r="F36" s="1136"/>
      <c r="G36" s="1137"/>
      <c r="H36" s="1138"/>
      <c r="I36" s="1139"/>
      <c r="J36" s="1134"/>
      <c r="K36" s="1138"/>
      <c r="L36" s="1140"/>
      <c r="M36" s="1141"/>
      <c r="N36" s="1142"/>
      <c r="O36" s="1137"/>
      <c r="P36" s="1138"/>
      <c r="Q36" s="1134"/>
      <c r="R36" s="1135"/>
      <c r="S36" s="1143"/>
      <c r="T36" s="1138"/>
      <c r="U36" s="1134"/>
      <c r="V36" s="1138"/>
      <c r="W36" s="1142"/>
      <c r="X36" s="1144"/>
      <c r="Y36" s="1145"/>
      <c r="Z36" s="1587"/>
      <c r="AA36" s="1152"/>
      <c r="AB36" s="1132"/>
      <c r="AC36" s="1139"/>
      <c r="AD36" s="1134"/>
      <c r="AE36" s="1138"/>
      <c r="AF36" s="1139"/>
      <c r="AG36" s="1134"/>
      <c r="AH36" s="1138"/>
      <c r="AI36" s="1134"/>
      <c r="AJ36" s="1138"/>
      <c r="AK36" s="1619"/>
      <c r="AL36" s="1620"/>
      <c r="AM36" s="1621"/>
      <c r="AN36" s="1139"/>
      <c r="AO36" s="1142"/>
      <c r="AP36" s="1141"/>
      <c r="AQ36" s="1623"/>
      <c r="AR36" s="1137"/>
      <c r="AS36" s="1138"/>
      <c r="AT36" s="1624"/>
      <c r="AU36" s="1625"/>
      <c r="AV36" s="1143"/>
      <c r="AW36" s="1138"/>
      <c r="AX36" s="1624"/>
      <c r="AY36" s="1625"/>
      <c r="AZ36" s="1143"/>
      <c r="BA36" s="1138"/>
      <c r="BB36" s="1624"/>
      <c r="BC36" s="1625"/>
      <c r="BD36" s="1143"/>
      <c r="BE36" s="1138"/>
      <c r="BF36" s="1624"/>
      <c r="BG36" s="1625"/>
      <c r="BH36" s="1291"/>
      <c r="BJ36" s="915" t="str">
        <f t="shared" si="42"/>
        <v/>
      </c>
      <c r="BK36" s="913" t="e">
        <f t="shared" si="0"/>
        <v>#REF!</v>
      </c>
      <c r="BL36" s="908" t="b">
        <v>0</v>
      </c>
      <c r="BM36" s="908">
        <f t="shared" si="1"/>
        <v>0</v>
      </c>
      <c r="BN36" s="908">
        <f t="shared" si="2"/>
        <v>0</v>
      </c>
      <c r="BO36" s="908">
        <f t="shared" si="3"/>
        <v>0</v>
      </c>
      <c r="BP36" s="908">
        <f t="shared" si="4"/>
        <v>0</v>
      </c>
      <c r="BQ36" s="908">
        <f t="shared" si="5"/>
        <v>0</v>
      </c>
      <c r="BR36" s="908" t="b">
        <f t="shared" si="6"/>
        <v>1</v>
      </c>
      <c r="BS36" s="1216">
        <f t="shared" si="7"/>
        <v>6</v>
      </c>
      <c r="BT36" s="909" t="str">
        <f t="shared" si="8"/>
        <v>No</v>
      </c>
      <c r="BU36" s="1216">
        <f t="shared" si="9"/>
        <v>6</v>
      </c>
      <c r="BV36" s="909" t="str">
        <f t="shared" si="10"/>
        <v>No</v>
      </c>
      <c r="BW36" s="910">
        <f t="shared" si="11"/>
        <v>0</v>
      </c>
      <c r="BX36" s="911" t="str">
        <f t="shared" si="12"/>
        <v/>
      </c>
      <c r="BY36" s="911" t="b">
        <f t="shared" si="13"/>
        <v>0</v>
      </c>
      <c r="BZ36" s="910" t="e">
        <f t="shared" si="35"/>
        <v>#REF!</v>
      </c>
      <c r="CB36" s="616"/>
      <c r="CC36" s="1567"/>
      <c r="CD36" s="645"/>
      <c r="CE36" s="646"/>
      <c r="CF36" s="647"/>
      <c r="CG36" s="660"/>
      <c r="CH36" s="661"/>
      <c r="CI36" s="662"/>
      <c r="CJ36" s="661"/>
      <c r="CK36" s="662"/>
      <c r="CL36" s="663"/>
      <c r="CM36" s="692"/>
      <c r="CN36" s="687"/>
      <c r="CO36" s="1430"/>
      <c r="CP36" s="839"/>
      <c r="CQ36" s="660"/>
      <c r="CR36" s="661"/>
      <c r="CS36" s="662"/>
      <c r="CT36" s="661"/>
      <c r="CU36" s="662"/>
      <c r="CV36" s="663"/>
      <c r="CW36" s="692"/>
      <c r="CX36" s="687"/>
      <c r="CY36" s="1430"/>
      <c r="CZ36" s="839"/>
      <c r="DA36" s="665"/>
      <c r="DB36" s="648"/>
      <c r="DC36" s="649"/>
      <c r="DD36" s="674"/>
      <c r="DE36" s="675"/>
      <c r="DF36" s="58"/>
      <c r="DG36" s="58"/>
      <c r="DH36" s="616"/>
      <c r="DI36" s="617"/>
      <c r="DJ36" s="638"/>
      <c r="DK36" s="1245"/>
      <c r="DL36" s="618"/>
      <c r="DM36" s="639"/>
      <c r="DN36" s="1248"/>
      <c r="DO36" s="619"/>
      <c r="DP36" s="620"/>
      <c r="DQ36" s="1294"/>
      <c r="DR36" s="621"/>
      <c r="DS36" s="1294"/>
      <c r="DT36" s="1296"/>
      <c r="DU36" s="1297"/>
      <c r="DV36" s="622"/>
      <c r="DW36" s="1250"/>
      <c r="DX36" s="623"/>
      <c r="DY36" s="624"/>
      <c r="DZ36" s="622"/>
      <c r="EA36" s="1250"/>
      <c r="EB36" s="623"/>
      <c r="EC36" s="624"/>
      <c r="ED36" s="622"/>
      <c r="EE36" s="1250"/>
      <c r="EF36" s="623"/>
      <c r="EG36" s="624"/>
      <c r="EH36" s="622"/>
      <c r="EI36" s="1250"/>
      <c r="EJ36" s="623"/>
      <c r="EK36" s="625"/>
      <c r="EL36" s="147"/>
      <c r="EM36" s="1513" t="str">
        <f t="shared" si="14"/>
        <v/>
      </c>
      <c r="EN36" s="1303" t="str">
        <f t="shared" si="15"/>
        <v/>
      </c>
      <c r="EO36" s="1304" t="str">
        <f t="shared" si="16"/>
        <v/>
      </c>
      <c r="EP36" s="1305" t="str">
        <f t="shared" si="17"/>
        <v/>
      </c>
      <c r="EQ36" s="1309" t="str">
        <f t="shared" si="18"/>
        <v/>
      </c>
      <c r="ER36" s="1315" t="str">
        <f t="shared" si="19"/>
        <v/>
      </c>
      <c r="ES36" s="1316" t="str">
        <f t="shared" si="20"/>
        <v/>
      </c>
      <c r="ET36" s="1317" t="str">
        <f t="shared" si="21"/>
        <v/>
      </c>
      <c r="EU36" s="1318" t="str">
        <f t="shared" si="36"/>
        <v/>
      </c>
      <c r="EX36" s="870" t="str">
        <f t="shared" si="37"/>
        <v/>
      </c>
      <c r="EY36" s="872" t="str">
        <f t="shared" si="22"/>
        <v/>
      </c>
      <c r="EZ36" s="872" t="str">
        <f t="shared" si="38"/>
        <v/>
      </c>
      <c r="FA36" s="891" t="str">
        <f t="shared" si="43"/>
        <v/>
      </c>
      <c r="FB36" s="892" t="str">
        <f t="shared" si="39"/>
        <v/>
      </c>
      <c r="FC36" s="892">
        <f t="shared" si="23"/>
        <v>0</v>
      </c>
      <c r="FD36" s="892">
        <f t="shared" si="24"/>
        <v>0</v>
      </c>
      <c r="FE36" s="892">
        <f t="shared" si="25"/>
        <v>0</v>
      </c>
      <c r="FF36" s="892">
        <f t="shared" si="40"/>
        <v>0</v>
      </c>
      <c r="FN36" s="703" t="b">
        <v>0</v>
      </c>
      <c r="FO36" s="703" t="b">
        <f t="shared" si="26"/>
        <v>0</v>
      </c>
      <c r="FP36" s="1254" t="b">
        <v>0</v>
      </c>
      <c r="FQ36" s="703" t="b">
        <f t="shared" si="41"/>
        <v>0</v>
      </c>
      <c r="FW36" s="1"/>
      <c r="FX36" s="1"/>
      <c r="FZ36" s="1"/>
      <c r="GA36" s="524" t="str">
        <f t="shared" si="27"/>
        <v/>
      </c>
      <c r="GB36" s="566" t="str">
        <f t="shared" si="28"/>
        <v/>
      </c>
      <c r="GC36" s="568" t="str">
        <f t="shared" si="29"/>
        <v/>
      </c>
      <c r="GD36" s="569" t="str">
        <f t="shared" si="30"/>
        <v/>
      </c>
      <c r="GE36" s="567" t="str">
        <f t="shared" si="31"/>
        <v/>
      </c>
      <c r="GF36" s="525" t="str">
        <f t="shared" si="32"/>
        <v/>
      </c>
      <c r="GG36" s="1056"/>
      <c r="GH36" s="1058"/>
      <c r="GI36" s="1056"/>
      <c r="GJ36" s="1058"/>
      <c r="GK36" s="1523">
        <f t="shared" si="33"/>
        <v>0</v>
      </c>
      <c r="GL36" s="1523" t="e">
        <f t="shared" si="34"/>
        <v>#VALUE!</v>
      </c>
      <c r="GM36" s="1524" t="e">
        <f>IF(ABS(GK36-GL36)&gt;=#REF!,ABS(GK36-GL36),0)</f>
        <v>#VALUE!</v>
      </c>
      <c r="HA36" s="1159"/>
      <c r="HB36" s="1160"/>
      <c r="HC36" s="1160"/>
      <c r="HD36" s="1161"/>
      <c r="HE36" s="1162"/>
      <c r="HF36" s="1160"/>
      <c r="HG36" s="1160"/>
      <c r="HH36" s="1160"/>
      <c r="HI36" s="1160"/>
      <c r="HJ36" s="1160"/>
      <c r="HK36" s="1160"/>
      <c r="HL36" s="1160"/>
      <c r="HM36" s="1160"/>
      <c r="HN36" s="1160"/>
      <c r="HO36" s="1160"/>
      <c r="HP36" s="1160"/>
      <c r="HQ36" s="1160"/>
      <c r="HR36" s="1160"/>
      <c r="HS36" s="1160"/>
      <c r="HT36" s="1160"/>
      <c r="HU36" s="1160"/>
      <c r="HV36" s="1160"/>
      <c r="HW36" s="1160"/>
      <c r="HX36" s="1160"/>
      <c r="HY36" s="1164"/>
      <c r="HZ36" s="1164"/>
      <c r="IA36" s="1164"/>
      <c r="IB36" s="1164"/>
      <c r="IC36" s="1164"/>
      <c r="ID36" s="1179"/>
      <c r="IE36" s="1159"/>
      <c r="IF36" s="1160"/>
      <c r="IG36" s="1161"/>
      <c r="IH36" s="1162"/>
      <c r="II36" s="1160"/>
      <c r="IJ36" s="1161"/>
      <c r="IK36" s="1162"/>
      <c r="IL36" s="1160"/>
      <c r="IM36" s="1160"/>
      <c r="IN36" s="1160"/>
      <c r="IO36" s="1160"/>
      <c r="IP36" s="1160"/>
      <c r="IQ36" s="1160"/>
      <c r="IR36" s="1160"/>
      <c r="IS36" s="1161"/>
      <c r="IT36" s="1162"/>
      <c r="IU36" s="1160"/>
      <c r="IV36" s="1160"/>
      <c r="IW36" s="1161"/>
      <c r="IX36" s="1162"/>
      <c r="IY36" s="1160"/>
      <c r="IZ36" s="1160"/>
      <c r="JA36" s="1161"/>
      <c r="JB36" s="1162"/>
      <c r="JC36" s="1160"/>
      <c r="JD36" s="1160"/>
      <c r="JE36" s="1161"/>
      <c r="JF36" s="1162"/>
      <c r="JG36" s="1160"/>
      <c r="JH36" s="1160"/>
      <c r="JI36" s="1160"/>
      <c r="JJ36" s="1163"/>
      <c r="JK36" s="1160"/>
      <c r="JL36" s="1103">
        <f t="shared" ca="1" si="44"/>
        <v>0</v>
      </c>
    </row>
    <row r="37" spans="1:272" ht="12.6" customHeight="1" x14ac:dyDescent="0.25">
      <c r="A37" s="1132"/>
      <c r="B37" s="1586"/>
      <c r="C37" s="1133"/>
      <c r="D37" s="1134"/>
      <c r="E37" s="1135"/>
      <c r="F37" s="1136"/>
      <c r="G37" s="1137"/>
      <c r="H37" s="1138"/>
      <c r="I37" s="1139"/>
      <c r="J37" s="1134"/>
      <c r="K37" s="1138"/>
      <c r="L37" s="1140"/>
      <c r="M37" s="1141"/>
      <c r="N37" s="1142"/>
      <c r="O37" s="1137"/>
      <c r="P37" s="1138"/>
      <c r="Q37" s="1134"/>
      <c r="R37" s="1135"/>
      <c r="S37" s="1143"/>
      <c r="T37" s="1138"/>
      <c r="U37" s="1134"/>
      <c r="V37" s="1138"/>
      <c r="W37" s="1142"/>
      <c r="X37" s="1144"/>
      <c r="Y37" s="1145"/>
      <c r="Z37" s="1587"/>
      <c r="AA37" s="1152"/>
      <c r="AB37" s="1132"/>
      <c r="AC37" s="1139"/>
      <c r="AD37" s="1134"/>
      <c r="AE37" s="1138"/>
      <c r="AF37" s="1139"/>
      <c r="AG37" s="1134"/>
      <c r="AH37" s="1138"/>
      <c r="AI37" s="1134"/>
      <c r="AJ37" s="1138"/>
      <c r="AK37" s="1619"/>
      <c r="AL37" s="1620"/>
      <c r="AM37" s="1621"/>
      <c r="AN37" s="1139"/>
      <c r="AO37" s="1142"/>
      <c r="AP37" s="1141"/>
      <c r="AQ37" s="1623"/>
      <c r="AR37" s="1137"/>
      <c r="AS37" s="1138"/>
      <c r="AT37" s="1624"/>
      <c r="AU37" s="1625"/>
      <c r="AV37" s="1143"/>
      <c r="AW37" s="1138"/>
      <c r="AX37" s="1624"/>
      <c r="AY37" s="1625"/>
      <c r="AZ37" s="1143"/>
      <c r="BA37" s="1138"/>
      <c r="BB37" s="1624"/>
      <c r="BC37" s="1625"/>
      <c r="BD37" s="1143"/>
      <c r="BE37" s="1138"/>
      <c r="BF37" s="1624"/>
      <c r="BG37" s="1625"/>
      <c r="BH37" s="1291"/>
      <c r="BJ37" s="915" t="str">
        <f t="shared" si="42"/>
        <v/>
      </c>
      <c r="BK37" s="913" t="e">
        <f t="shared" si="0"/>
        <v>#REF!</v>
      </c>
      <c r="BL37" s="908" t="b">
        <v>0</v>
      </c>
      <c r="BM37" s="908">
        <f t="shared" si="1"/>
        <v>0</v>
      </c>
      <c r="BN37" s="908">
        <f t="shared" si="2"/>
        <v>0</v>
      </c>
      <c r="BO37" s="908">
        <f t="shared" si="3"/>
        <v>0</v>
      </c>
      <c r="BP37" s="908">
        <f t="shared" si="4"/>
        <v>0</v>
      </c>
      <c r="BQ37" s="908">
        <f t="shared" si="5"/>
        <v>0</v>
      </c>
      <c r="BR37" s="908" t="b">
        <f t="shared" si="6"/>
        <v>1</v>
      </c>
      <c r="BS37" s="1216">
        <f t="shared" si="7"/>
        <v>6</v>
      </c>
      <c r="BT37" s="909" t="str">
        <f t="shared" si="8"/>
        <v>No</v>
      </c>
      <c r="BU37" s="1216">
        <f t="shared" si="9"/>
        <v>6</v>
      </c>
      <c r="BV37" s="909" t="str">
        <f t="shared" si="10"/>
        <v>No</v>
      </c>
      <c r="BW37" s="910">
        <f t="shared" si="11"/>
        <v>0</v>
      </c>
      <c r="BX37" s="911" t="str">
        <f t="shared" si="12"/>
        <v/>
      </c>
      <c r="BY37" s="911" t="b">
        <f t="shared" si="13"/>
        <v>0</v>
      </c>
      <c r="BZ37" s="910" t="e">
        <f t="shared" si="35"/>
        <v>#REF!</v>
      </c>
      <c r="CB37" s="616"/>
      <c r="CC37" s="1567"/>
      <c r="CD37" s="645"/>
      <c r="CE37" s="646"/>
      <c r="CF37" s="647"/>
      <c r="CG37" s="660"/>
      <c r="CH37" s="661"/>
      <c r="CI37" s="662"/>
      <c r="CJ37" s="661"/>
      <c r="CK37" s="662"/>
      <c r="CL37" s="663"/>
      <c r="CM37" s="692"/>
      <c r="CN37" s="687"/>
      <c r="CO37" s="1430"/>
      <c r="CP37" s="839"/>
      <c r="CQ37" s="660"/>
      <c r="CR37" s="661"/>
      <c r="CS37" s="662"/>
      <c r="CT37" s="661"/>
      <c r="CU37" s="662"/>
      <c r="CV37" s="663"/>
      <c r="CW37" s="692"/>
      <c r="CX37" s="687"/>
      <c r="CY37" s="1430"/>
      <c r="CZ37" s="839"/>
      <c r="DA37" s="665"/>
      <c r="DB37" s="648"/>
      <c r="DC37" s="649"/>
      <c r="DD37" s="674"/>
      <c r="DE37" s="675"/>
      <c r="DF37" s="58"/>
      <c r="DG37" s="58"/>
      <c r="DH37" s="616"/>
      <c r="DI37" s="617"/>
      <c r="DJ37" s="638"/>
      <c r="DK37" s="1245"/>
      <c r="DL37" s="618"/>
      <c r="DM37" s="639"/>
      <c r="DN37" s="1248"/>
      <c r="DO37" s="619"/>
      <c r="DP37" s="620"/>
      <c r="DQ37" s="1294"/>
      <c r="DR37" s="621"/>
      <c r="DS37" s="1294"/>
      <c r="DT37" s="1296"/>
      <c r="DU37" s="1297"/>
      <c r="DV37" s="622"/>
      <c r="DW37" s="1250"/>
      <c r="DX37" s="623"/>
      <c r="DY37" s="624"/>
      <c r="DZ37" s="622"/>
      <c r="EA37" s="1250"/>
      <c r="EB37" s="623"/>
      <c r="EC37" s="624"/>
      <c r="ED37" s="622"/>
      <c r="EE37" s="1250"/>
      <c r="EF37" s="623"/>
      <c r="EG37" s="624"/>
      <c r="EH37" s="622"/>
      <c r="EI37" s="1250"/>
      <c r="EJ37" s="623"/>
      <c r="EK37" s="625"/>
      <c r="EL37" s="147"/>
      <c r="EM37" s="1513" t="str">
        <f t="shared" si="14"/>
        <v/>
      </c>
      <c r="EN37" s="1303" t="str">
        <f t="shared" si="15"/>
        <v/>
      </c>
      <c r="EO37" s="1304" t="str">
        <f t="shared" si="16"/>
        <v/>
      </c>
      <c r="EP37" s="1305" t="str">
        <f t="shared" si="17"/>
        <v/>
      </c>
      <c r="EQ37" s="1309" t="str">
        <f t="shared" si="18"/>
        <v/>
      </c>
      <c r="ER37" s="1315" t="str">
        <f t="shared" si="19"/>
        <v/>
      </c>
      <c r="ES37" s="1316" t="str">
        <f t="shared" si="20"/>
        <v/>
      </c>
      <c r="ET37" s="1317" t="str">
        <f t="shared" si="21"/>
        <v/>
      </c>
      <c r="EU37" s="1318" t="str">
        <f t="shared" si="36"/>
        <v/>
      </c>
      <c r="EX37" s="870" t="str">
        <f t="shared" si="37"/>
        <v/>
      </c>
      <c r="EY37" s="872" t="str">
        <f t="shared" si="22"/>
        <v/>
      </c>
      <c r="EZ37" s="872" t="str">
        <f t="shared" si="38"/>
        <v/>
      </c>
      <c r="FA37" s="891" t="str">
        <f t="shared" si="43"/>
        <v/>
      </c>
      <c r="FB37" s="892" t="str">
        <f t="shared" si="39"/>
        <v/>
      </c>
      <c r="FC37" s="892">
        <f t="shared" si="23"/>
        <v>0</v>
      </c>
      <c r="FD37" s="892">
        <f t="shared" si="24"/>
        <v>0</v>
      </c>
      <c r="FE37" s="892">
        <f t="shared" si="25"/>
        <v>0</v>
      </c>
      <c r="FF37" s="892">
        <f t="shared" si="40"/>
        <v>0</v>
      </c>
      <c r="FN37" s="703" t="b">
        <v>0</v>
      </c>
      <c r="FO37" s="703" t="b">
        <f t="shared" si="26"/>
        <v>0</v>
      </c>
      <c r="FP37" s="1254" t="b">
        <v>0</v>
      </c>
      <c r="FQ37" s="703" t="b">
        <f t="shared" si="41"/>
        <v>0</v>
      </c>
      <c r="FW37" s="1"/>
      <c r="FX37" s="1"/>
      <c r="FZ37" s="1"/>
      <c r="GA37" s="524" t="str">
        <f t="shared" si="27"/>
        <v/>
      </c>
      <c r="GB37" s="566" t="str">
        <f t="shared" si="28"/>
        <v/>
      </c>
      <c r="GC37" s="568" t="str">
        <f t="shared" si="29"/>
        <v/>
      </c>
      <c r="GD37" s="569" t="str">
        <f t="shared" si="30"/>
        <v/>
      </c>
      <c r="GE37" s="567" t="str">
        <f t="shared" si="31"/>
        <v/>
      </c>
      <c r="GF37" s="525" t="str">
        <f t="shared" si="32"/>
        <v/>
      </c>
      <c r="GG37" s="1056"/>
      <c r="GH37" s="1058"/>
      <c r="GI37" s="1056"/>
      <c r="GJ37" s="1058"/>
      <c r="GK37" s="1523">
        <f t="shared" si="33"/>
        <v>0</v>
      </c>
      <c r="GL37" s="1523" t="e">
        <f t="shared" si="34"/>
        <v>#VALUE!</v>
      </c>
      <c r="GM37" s="1524" t="e">
        <f>IF(ABS(GK37-GL37)&gt;=#REF!,ABS(GK37-GL37),0)</f>
        <v>#VALUE!</v>
      </c>
      <c r="HA37" s="1159"/>
      <c r="HB37" s="1160"/>
      <c r="HC37" s="1160"/>
      <c r="HD37" s="1161"/>
      <c r="HE37" s="1162"/>
      <c r="HF37" s="1160"/>
      <c r="HG37" s="1160"/>
      <c r="HH37" s="1160"/>
      <c r="HI37" s="1160"/>
      <c r="HJ37" s="1160"/>
      <c r="HK37" s="1160"/>
      <c r="HL37" s="1160"/>
      <c r="HM37" s="1160"/>
      <c r="HN37" s="1160"/>
      <c r="HO37" s="1160"/>
      <c r="HP37" s="1160"/>
      <c r="HQ37" s="1160"/>
      <c r="HR37" s="1160"/>
      <c r="HS37" s="1160"/>
      <c r="HT37" s="1160"/>
      <c r="HU37" s="1160"/>
      <c r="HV37" s="1160"/>
      <c r="HW37" s="1160"/>
      <c r="HX37" s="1160"/>
      <c r="HY37" s="1164"/>
      <c r="HZ37" s="1164"/>
      <c r="IA37" s="1164"/>
      <c r="IB37" s="1164"/>
      <c r="IC37" s="1164"/>
      <c r="ID37" s="1179"/>
      <c r="IE37" s="1159"/>
      <c r="IF37" s="1160"/>
      <c r="IG37" s="1161"/>
      <c r="IH37" s="1162"/>
      <c r="II37" s="1160"/>
      <c r="IJ37" s="1161"/>
      <c r="IK37" s="1162"/>
      <c r="IL37" s="1160"/>
      <c r="IM37" s="1160"/>
      <c r="IN37" s="1160"/>
      <c r="IO37" s="1160"/>
      <c r="IP37" s="1160"/>
      <c r="IQ37" s="1160"/>
      <c r="IR37" s="1160"/>
      <c r="IS37" s="1161"/>
      <c r="IT37" s="1162"/>
      <c r="IU37" s="1160"/>
      <c r="IV37" s="1160"/>
      <c r="IW37" s="1161"/>
      <c r="IX37" s="1162"/>
      <c r="IY37" s="1160"/>
      <c r="IZ37" s="1160"/>
      <c r="JA37" s="1161"/>
      <c r="JB37" s="1162"/>
      <c r="JC37" s="1160"/>
      <c r="JD37" s="1160"/>
      <c r="JE37" s="1161"/>
      <c r="JF37" s="1162"/>
      <c r="JG37" s="1160"/>
      <c r="JH37" s="1160"/>
      <c r="JI37" s="1160"/>
      <c r="JJ37" s="1163"/>
      <c r="JK37" s="1160"/>
      <c r="JL37" s="1103">
        <f t="shared" ca="1" si="44"/>
        <v>0</v>
      </c>
    </row>
    <row r="38" spans="1:272" ht="12.6" customHeight="1" x14ac:dyDescent="0.25">
      <c r="A38" s="1132"/>
      <c r="B38" s="1586"/>
      <c r="C38" s="1133"/>
      <c r="D38" s="1134"/>
      <c r="E38" s="1135"/>
      <c r="F38" s="1136"/>
      <c r="G38" s="1137"/>
      <c r="H38" s="1138"/>
      <c r="I38" s="1139"/>
      <c r="J38" s="1134"/>
      <c r="K38" s="1138"/>
      <c r="L38" s="1140"/>
      <c r="M38" s="1141"/>
      <c r="N38" s="1142"/>
      <c r="O38" s="1137"/>
      <c r="P38" s="1138"/>
      <c r="Q38" s="1134"/>
      <c r="R38" s="1135"/>
      <c r="S38" s="1143"/>
      <c r="T38" s="1138"/>
      <c r="U38" s="1134"/>
      <c r="V38" s="1138"/>
      <c r="W38" s="1142"/>
      <c r="X38" s="1144"/>
      <c r="Y38" s="1145"/>
      <c r="Z38" s="1587"/>
      <c r="AA38" s="1152"/>
      <c r="AB38" s="1132"/>
      <c r="AC38" s="1139"/>
      <c r="AD38" s="1134"/>
      <c r="AE38" s="1138"/>
      <c r="AF38" s="1139"/>
      <c r="AG38" s="1134"/>
      <c r="AH38" s="1138"/>
      <c r="AI38" s="1134"/>
      <c r="AJ38" s="1138"/>
      <c r="AK38" s="1619"/>
      <c r="AL38" s="1620"/>
      <c r="AM38" s="1621"/>
      <c r="AN38" s="1139"/>
      <c r="AO38" s="1142"/>
      <c r="AP38" s="1141"/>
      <c r="AQ38" s="1623"/>
      <c r="AR38" s="1137"/>
      <c r="AS38" s="1138"/>
      <c r="AT38" s="1624"/>
      <c r="AU38" s="1625"/>
      <c r="AV38" s="1143"/>
      <c r="AW38" s="1138"/>
      <c r="AX38" s="1624"/>
      <c r="AY38" s="1625"/>
      <c r="AZ38" s="1143"/>
      <c r="BA38" s="1138"/>
      <c r="BB38" s="1624"/>
      <c r="BC38" s="1625"/>
      <c r="BD38" s="1143"/>
      <c r="BE38" s="1138"/>
      <c r="BF38" s="1624"/>
      <c r="BG38" s="1625"/>
      <c r="BH38" s="1291"/>
      <c r="BJ38" s="915" t="str">
        <f t="shared" si="42"/>
        <v/>
      </c>
      <c r="BK38" s="913" t="e">
        <f t="shared" si="0"/>
        <v>#REF!</v>
      </c>
      <c r="BL38" s="908" t="b">
        <v>0</v>
      </c>
      <c r="BM38" s="908">
        <f t="shared" si="1"/>
        <v>0</v>
      </c>
      <c r="BN38" s="908">
        <f t="shared" si="2"/>
        <v>0</v>
      </c>
      <c r="BO38" s="908">
        <f t="shared" si="3"/>
        <v>0</v>
      </c>
      <c r="BP38" s="908">
        <f t="shared" si="4"/>
        <v>0</v>
      </c>
      <c r="BQ38" s="908">
        <f t="shared" si="5"/>
        <v>0</v>
      </c>
      <c r="BR38" s="908" t="b">
        <f t="shared" si="6"/>
        <v>1</v>
      </c>
      <c r="BS38" s="1216">
        <f t="shared" si="7"/>
        <v>6</v>
      </c>
      <c r="BT38" s="909" t="str">
        <f t="shared" si="8"/>
        <v>No</v>
      </c>
      <c r="BU38" s="1216">
        <f t="shared" si="9"/>
        <v>6</v>
      </c>
      <c r="BV38" s="909" t="str">
        <f t="shared" si="10"/>
        <v>No</v>
      </c>
      <c r="BW38" s="910">
        <f t="shared" si="11"/>
        <v>0</v>
      </c>
      <c r="BX38" s="911" t="str">
        <f t="shared" si="12"/>
        <v/>
      </c>
      <c r="BY38" s="911" t="b">
        <f t="shared" si="13"/>
        <v>0</v>
      </c>
      <c r="BZ38" s="910" t="e">
        <f t="shared" si="35"/>
        <v>#REF!</v>
      </c>
      <c r="CB38" s="616"/>
      <c r="CC38" s="1567"/>
      <c r="CD38" s="645"/>
      <c r="CE38" s="646"/>
      <c r="CF38" s="647"/>
      <c r="CG38" s="660"/>
      <c r="CH38" s="661"/>
      <c r="CI38" s="662"/>
      <c r="CJ38" s="661"/>
      <c r="CK38" s="662"/>
      <c r="CL38" s="663"/>
      <c r="CM38" s="692"/>
      <c r="CN38" s="687"/>
      <c r="CO38" s="1430"/>
      <c r="CP38" s="839"/>
      <c r="CQ38" s="660"/>
      <c r="CR38" s="661"/>
      <c r="CS38" s="662"/>
      <c r="CT38" s="661"/>
      <c r="CU38" s="662"/>
      <c r="CV38" s="663"/>
      <c r="CW38" s="692"/>
      <c r="CX38" s="687"/>
      <c r="CY38" s="1430"/>
      <c r="CZ38" s="839"/>
      <c r="DA38" s="665"/>
      <c r="DB38" s="648"/>
      <c r="DC38" s="649"/>
      <c r="DD38" s="674"/>
      <c r="DE38" s="675"/>
      <c r="DF38" s="58"/>
      <c r="DG38" s="58"/>
      <c r="DH38" s="616"/>
      <c r="DI38" s="617"/>
      <c r="DJ38" s="638"/>
      <c r="DK38" s="1245"/>
      <c r="DL38" s="618"/>
      <c r="DM38" s="639"/>
      <c r="DN38" s="1248"/>
      <c r="DO38" s="619"/>
      <c r="DP38" s="620"/>
      <c r="DQ38" s="1294"/>
      <c r="DR38" s="621"/>
      <c r="DS38" s="1294"/>
      <c r="DT38" s="1296"/>
      <c r="DU38" s="1297"/>
      <c r="DV38" s="622"/>
      <c r="DW38" s="1250"/>
      <c r="DX38" s="623"/>
      <c r="DY38" s="624"/>
      <c r="DZ38" s="622"/>
      <c r="EA38" s="1250"/>
      <c r="EB38" s="623"/>
      <c r="EC38" s="624"/>
      <c r="ED38" s="622"/>
      <c r="EE38" s="1250"/>
      <c r="EF38" s="623"/>
      <c r="EG38" s="624"/>
      <c r="EH38" s="622"/>
      <c r="EI38" s="1250"/>
      <c r="EJ38" s="623"/>
      <c r="EK38" s="625"/>
      <c r="EL38" s="147"/>
      <c r="EM38" s="1513" t="str">
        <f t="shared" si="14"/>
        <v/>
      </c>
      <c r="EN38" s="1303" t="str">
        <f t="shared" si="15"/>
        <v/>
      </c>
      <c r="EO38" s="1304" t="str">
        <f t="shared" si="16"/>
        <v/>
      </c>
      <c r="EP38" s="1305" t="str">
        <f t="shared" si="17"/>
        <v/>
      </c>
      <c r="EQ38" s="1309" t="str">
        <f t="shared" si="18"/>
        <v/>
      </c>
      <c r="ER38" s="1315" t="str">
        <f t="shared" si="19"/>
        <v/>
      </c>
      <c r="ES38" s="1316" t="str">
        <f t="shared" si="20"/>
        <v/>
      </c>
      <c r="ET38" s="1317" t="str">
        <f t="shared" si="21"/>
        <v/>
      </c>
      <c r="EU38" s="1318" t="str">
        <f t="shared" si="36"/>
        <v/>
      </c>
      <c r="EX38" s="870" t="str">
        <f t="shared" si="37"/>
        <v/>
      </c>
      <c r="EY38" s="872" t="str">
        <f t="shared" si="22"/>
        <v/>
      </c>
      <c r="EZ38" s="872" t="str">
        <f t="shared" si="38"/>
        <v/>
      </c>
      <c r="FA38" s="891" t="str">
        <f t="shared" si="43"/>
        <v/>
      </c>
      <c r="FB38" s="892" t="str">
        <f t="shared" si="39"/>
        <v/>
      </c>
      <c r="FC38" s="892">
        <f t="shared" si="23"/>
        <v>0</v>
      </c>
      <c r="FD38" s="892">
        <f t="shared" si="24"/>
        <v>0</v>
      </c>
      <c r="FE38" s="892">
        <f t="shared" si="25"/>
        <v>0</v>
      </c>
      <c r="FF38" s="892">
        <f t="shared" si="40"/>
        <v>0</v>
      </c>
      <c r="FN38" s="703" t="b">
        <v>0</v>
      </c>
      <c r="FO38" s="703" t="b">
        <f t="shared" si="26"/>
        <v>0</v>
      </c>
      <c r="FP38" s="1254" t="b">
        <v>0</v>
      </c>
      <c r="FQ38" s="703" t="b">
        <f t="shared" si="41"/>
        <v>0</v>
      </c>
      <c r="FW38" s="1"/>
      <c r="FX38" s="1"/>
      <c r="FZ38" s="1"/>
      <c r="GA38" s="524" t="str">
        <f t="shared" si="27"/>
        <v/>
      </c>
      <c r="GB38" s="566" t="str">
        <f t="shared" si="28"/>
        <v/>
      </c>
      <c r="GC38" s="568" t="str">
        <f t="shared" si="29"/>
        <v/>
      </c>
      <c r="GD38" s="569" t="str">
        <f t="shared" si="30"/>
        <v/>
      </c>
      <c r="GE38" s="567" t="str">
        <f t="shared" si="31"/>
        <v/>
      </c>
      <c r="GF38" s="525" t="str">
        <f t="shared" si="32"/>
        <v/>
      </c>
      <c r="GG38" s="1056"/>
      <c r="GH38" s="1058"/>
      <c r="GI38" s="1056"/>
      <c r="GJ38" s="1058"/>
      <c r="GK38" s="1523">
        <f t="shared" si="33"/>
        <v>0</v>
      </c>
      <c r="GL38" s="1523" t="e">
        <f t="shared" si="34"/>
        <v>#VALUE!</v>
      </c>
      <c r="GM38" s="1524" t="e">
        <f>IF(ABS(GK38-GL38)&gt;=#REF!,ABS(GK38-GL38),0)</f>
        <v>#VALUE!</v>
      </c>
      <c r="HA38" s="1159"/>
      <c r="HB38" s="1160"/>
      <c r="HC38" s="1160"/>
      <c r="HD38" s="1161"/>
      <c r="HE38" s="1162"/>
      <c r="HF38" s="1160"/>
      <c r="HG38" s="1160"/>
      <c r="HH38" s="1160"/>
      <c r="HI38" s="1160"/>
      <c r="HJ38" s="1160"/>
      <c r="HK38" s="1160"/>
      <c r="HL38" s="1160"/>
      <c r="HM38" s="1160"/>
      <c r="HN38" s="1160"/>
      <c r="HO38" s="1160"/>
      <c r="HP38" s="1160"/>
      <c r="HQ38" s="1160"/>
      <c r="HR38" s="1160"/>
      <c r="HS38" s="1160"/>
      <c r="HT38" s="1160"/>
      <c r="HU38" s="1160"/>
      <c r="HV38" s="1160"/>
      <c r="HW38" s="1160"/>
      <c r="HX38" s="1160"/>
      <c r="HY38" s="1164"/>
      <c r="HZ38" s="1164"/>
      <c r="IA38" s="1164"/>
      <c r="IB38" s="1164"/>
      <c r="IC38" s="1164"/>
      <c r="ID38" s="1179"/>
      <c r="IE38" s="1159"/>
      <c r="IF38" s="1160"/>
      <c r="IG38" s="1161"/>
      <c r="IH38" s="1162"/>
      <c r="II38" s="1160"/>
      <c r="IJ38" s="1161"/>
      <c r="IK38" s="1162"/>
      <c r="IL38" s="1160"/>
      <c r="IM38" s="1160"/>
      <c r="IN38" s="1160"/>
      <c r="IO38" s="1160"/>
      <c r="IP38" s="1160"/>
      <c r="IQ38" s="1160"/>
      <c r="IR38" s="1160"/>
      <c r="IS38" s="1161"/>
      <c r="IT38" s="1162"/>
      <c r="IU38" s="1160"/>
      <c r="IV38" s="1160"/>
      <c r="IW38" s="1161"/>
      <c r="IX38" s="1162"/>
      <c r="IY38" s="1160"/>
      <c r="IZ38" s="1160"/>
      <c r="JA38" s="1161"/>
      <c r="JB38" s="1162"/>
      <c r="JC38" s="1160"/>
      <c r="JD38" s="1160"/>
      <c r="JE38" s="1161"/>
      <c r="JF38" s="1162"/>
      <c r="JG38" s="1160"/>
      <c r="JH38" s="1160"/>
      <c r="JI38" s="1160"/>
      <c r="JJ38" s="1163"/>
      <c r="JK38" s="1160"/>
      <c r="JL38" s="1103">
        <f t="shared" ca="1" si="44"/>
        <v>0</v>
      </c>
    </row>
    <row r="39" spans="1:272" ht="12.6" customHeight="1" x14ac:dyDescent="0.25">
      <c r="A39" s="1132"/>
      <c r="B39" s="1586"/>
      <c r="C39" s="1133"/>
      <c r="D39" s="1134"/>
      <c r="E39" s="1135"/>
      <c r="F39" s="1136"/>
      <c r="G39" s="1137"/>
      <c r="H39" s="1138"/>
      <c r="I39" s="1139"/>
      <c r="J39" s="1134"/>
      <c r="K39" s="1138"/>
      <c r="L39" s="1140"/>
      <c r="M39" s="1141"/>
      <c r="N39" s="1142"/>
      <c r="O39" s="1137"/>
      <c r="P39" s="1138"/>
      <c r="Q39" s="1134"/>
      <c r="R39" s="1135"/>
      <c r="S39" s="1143"/>
      <c r="T39" s="1138"/>
      <c r="U39" s="1134"/>
      <c r="V39" s="1138"/>
      <c r="W39" s="1142"/>
      <c r="X39" s="1144"/>
      <c r="Y39" s="1145"/>
      <c r="Z39" s="1587"/>
      <c r="AA39" s="1152"/>
      <c r="AB39" s="1132"/>
      <c r="AC39" s="1139"/>
      <c r="AD39" s="1134"/>
      <c r="AE39" s="1138"/>
      <c r="AF39" s="1139"/>
      <c r="AG39" s="1134"/>
      <c r="AH39" s="1138"/>
      <c r="AI39" s="1134"/>
      <c r="AJ39" s="1138"/>
      <c r="AK39" s="1619"/>
      <c r="AL39" s="1620"/>
      <c r="AM39" s="1621"/>
      <c r="AN39" s="1139"/>
      <c r="AO39" s="1142"/>
      <c r="AP39" s="1141"/>
      <c r="AQ39" s="1623"/>
      <c r="AR39" s="1137"/>
      <c r="AS39" s="1138"/>
      <c r="AT39" s="1624"/>
      <c r="AU39" s="1625"/>
      <c r="AV39" s="1143"/>
      <c r="AW39" s="1138"/>
      <c r="AX39" s="1624"/>
      <c r="AY39" s="1625"/>
      <c r="AZ39" s="1143"/>
      <c r="BA39" s="1138"/>
      <c r="BB39" s="1624"/>
      <c r="BC39" s="1625"/>
      <c r="BD39" s="1143"/>
      <c r="BE39" s="1138"/>
      <c r="BF39" s="1624"/>
      <c r="BG39" s="1625"/>
      <c r="BH39" s="1291"/>
      <c r="BJ39" s="915" t="str">
        <f t="shared" si="42"/>
        <v/>
      </c>
      <c r="BK39" s="913" t="e">
        <f t="shared" si="0"/>
        <v>#REF!</v>
      </c>
      <c r="BL39" s="908" t="b">
        <v>0</v>
      </c>
      <c r="BM39" s="908">
        <f t="shared" si="1"/>
        <v>0</v>
      </c>
      <c r="BN39" s="908">
        <f t="shared" si="2"/>
        <v>0</v>
      </c>
      <c r="BO39" s="908">
        <f t="shared" si="3"/>
        <v>0</v>
      </c>
      <c r="BP39" s="908">
        <f t="shared" si="4"/>
        <v>0</v>
      </c>
      <c r="BQ39" s="908">
        <f t="shared" si="5"/>
        <v>0</v>
      </c>
      <c r="BR39" s="908" t="b">
        <f t="shared" si="6"/>
        <v>1</v>
      </c>
      <c r="BS39" s="1216">
        <f t="shared" si="7"/>
        <v>6</v>
      </c>
      <c r="BT39" s="909" t="str">
        <f t="shared" si="8"/>
        <v>No</v>
      </c>
      <c r="BU39" s="1216">
        <f t="shared" si="9"/>
        <v>6</v>
      </c>
      <c r="BV39" s="909" t="str">
        <f t="shared" si="10"/>
        <v>No</v>
      </c>
      <c r="BW39" s="910">
        <f t="shared" si="11"/>
        <v>0</v>
      </c>
      <c r="BX39" s="911" t="str">
        <f t="shared" si="12"/>
        <v/>
      </c>
      <c r="BY39" s="911" t="b">
        <f t="shared" si="13"/>
        <v>0</v>
      </c>
      <c r="BZ39" s="910" t="e">
        <f t="shared" si="35"/>
        <v>#REF!</v>
      </c>
      <c r="CB39" s="616"/>
      <c r="CC39" s="1567"/>
      <c r="CD39" s="645"/>
      <c r="CE39" s="646"/>
      <c r="CF39" s="647"/>
      <c r="CG39" s="660"/>
      <c r="CH39" s="661"/>
      <c r="CI39" s="662"/>
      <c r="CJ39" s="661"/>
      <c r="CK39" s="662"/>
      <c r="CL39" s="663"/>
      <c r="CM39" s="692"/>
      <c r="CN39" s="687"/>
      <c r="CO39" s="1430"/>
      <c r="CP39" s="839"/>
      <c r="CQ39" s="660"/>
      <c r="CR39" s="661"/>
      <c r="CS39" s="662"/>
      <c r="CT39" s="661"/>
      <c r="CU39" s="662"/>
      <c r="CV39" s="663"/>
      <c r="CW39" s="692"/>
      <c r="CX39" s="687"/>
      <c r="CY39" s="1430"/>
      <c r="CZ39" s="839"/>
      <c r="DA39" s="665"/>
      <c r="DB39" s="648"/>
      <c r="DC39" s="649"/>
      <c r="DD39" s="674"/>
      <c r="DE39" s="675"/>
      <c r="DF39" s="58"/>
      <c r="DG39" s="58"/>
      <c r="DH39" s="616"/>
      <c r="DI39" s="617"/>
      <c r="DJ39" s="638"/>
      <c r="DK39" s="1245"/>
      <c r="DL39" s="618"/>
      <c r="DM39" s="639"/>
      <c r="DN39" s="1248"/>
      <c r="DO39" s="619"/>
      <c r="DP39" s="620"/>
      <c r="DQ39" s="1294"/>
      <c r="DR39" s="621"/>
      <c r="DS39" s="1294"/>
      <c r="DT39" s="1296"/>
      <c r="DU39" s="1297"/>
      <c r="DV39" s="622"/>
      <c r="DW39" s="1250"/>
      <c r="DX39" s="623"/>
      <c r="DY39" s="624"/>
      <c r="DZ39" s="622"/>
      <c r="EA39" s="1250"/>
      <c r="EB39" s="623"/>
      <c r="EC39" s="624"/>
      <c r="ED39" s="622"/>
      <c r="EE39" s="1250"/>
      <c r="EF39" s="623"/>
      <c r="EG39" s="624"/>
      <c r="EH39" s="622"/>
      <c r="EI39" s="1250"/>
      <c r="EJ39" s="623"/>
      <c r="EK39" s="625"/>
      <c r="EL39" s="147"/>
      <c r="EM39" s="1513" t="str">
        <f t="shared" si="14"/>
        <v/>
      </c>
      <c r="EN39" s="1303" t="str">
        <f t="shared" si="15"/>
        <v/>
      </c>
      <c r="EO39" s="1304" t="str">
        <f t="shared" si="16"/>
        <v/>
      </c>
      <c r="EP39" s="1305" t="str">
        <f t="shared" si="17"/>
        <v/>
      </c>
      <c r="EQ39" s="1309" t="str">
        <f t="shared" si="18"/>
        <v/>
      </c>
      <c r="ER39" s="1315" t="str">
        <f t="shared" si="19"/>
        <v/>
      </c>
      <c r="ES39" s="1316" t="str">
        <f t="shared" si="20"/>
        <v/>
      </c>
      <c r="ET39" s="1317" t="str">
        <f t="shared" si="21"/>
        <v/>
      </c>
      <c r="EU39" s="1318" t="str">
        <f t="shared" si="36"/>
        <v/>
      </c>
      <c r="EX39" s="870" t="str">
        <f t="shared" si="37"/>
        <v/>
      </c>
      <c r="EY39" s="872" t="str">
        <f t="shared" si="22"/>
        <v/>
      </c>
      <c r="EZ39" s="872" t="str">
        <f t="shared" si="38"/>
        <v/>
      </c>
      <c r="FA39" s="891" t="str">
        <f t="shared" si="43"/>
        <v/>
      </c>
      <c r="FB39" s="892" t="str">
        <f t="shared" si="39"/>
        <v/>
      </c>
      <c r="FC39" s="892">
        <f t="shared" si="23"/>
        <v>0</v>
      </c>
      <c r="FD39" s="892">
        <f t="shared" si="24"/>
        <v>0</v>
      </c>
      <c r="FE39" s="892">
        <f t="shared" si="25"/>
        <v>0</v>
      </c>
      <c r="FF39" s="892">
        <f t="shared" si="40"/>
        <v>0</v>
      </c>
      <c r="FN39" s="703" t="b">
        <v>0</v>
      </c>
      <c r="FO39" s="703" t="b">
        <f t="shared" si="26"/>
        <v>0</v>
      </c>
      <c r="FP39" s="1254" t="b">
        <v>0</v>
      </c>
      <c r="FQ39" s="703" t="b">
        <f t="shared" si="41"/>
        <v>0</v>
      </c>
      <c r="FW39" s="1"/>
      <c r="FX39" s="1"/>
      <c r="FZ39" s="1"/>
      <c r="GA39" s="524" t="str">
        <f t="shared" si="27"/>
        <v/>
      </c>
      <c r="GB39" s="566" t="str">
        <f t="shared" si="28"/>
        <v/>
      </c>
      <c r="GC39" s="568" t="str">
        <f t="shared" si="29"/>
        <v/>
      </c>
      <c r="GD39" s="569" t="str">
        <f t="shared" si="30"/>
        <v/>
      </c>
      <c r="GE39" s="567" t="str">
        <f t="shared" si="31"/>
        <v/>
      </c>
      <c r="GF39" s="525" t="str">
        <f t="shared" si="32"/>
        <v/>
      </c>
      <c r="GG39" s="1056"/>
      <c r="GH39" s="1058"/>
      <c r="GI39" s="1056"/>
      <c r="GJ39" s="1058"/>
      <c r="GK39" s="1523">
        <f t="shared" si="33"/>
        <v>0</v>
      </c>
      <c r="GL39" s="1523" t="e">
        <f t="shared" si="34"/>
        <v>#VALUE!</v>
      </c>
      <c r="GM39" s="1524" t="e">
        <f>IF(ABS(GK39-GL39)&gt;=#REF!,ABS(GK39-GL39),0)</f>
        <v>#VALUE!</v>
      </c>
      <c r="HA39" s="1159"/>
      <c r="HB39" s="1160"/>
      <c r="HC39" s="1160"/>
      <c r="HD39" s="1161"/>
      <c r="HE39" s="1162"/>
      <c r="HF39" s="1160"/>
      <c r="HG39" s="1160"/>
      <c r="HH39" s="1160"/>
      <c r="HI39" s="1160"/>
      <c r="HJ39" s="1160"/>
      <c r="HK39" s="1160"/>
      <c r="HL39" s="1160"/>
      <c r="HM39" s="1160"/>
      <c r="HN39" s="1160"/>
      <c r="HO39" s="1160"/>
      <c r="HP39" s="1160"/>
      <c r="HQ39" s="1160"/>
      <c r="HR39" s="1160"/>
      <c r="HS39" s="1160"/>
      <c r="HT39" s="1160"/>
      <c r="HU39" s="1160"/>
      <c r="HV39" s="1160"/>
      <c r="HW39" s="1160"/>
      <c r="HX39" s="1160"/>
      <c r="HY39" s="1164"/>
      <c r="HZ39" s="1164"/>
      <c r="IA39" s="1164"/>
      <c r="IB39" s="1164"/>
      <c r="IC39" s="1164"/>
      <c r="ID39" s="1179"/>
      <c r="IE39" s="1159"/>
      <c r="IF39" s="1160"/>
      <c r="IG39" s="1161"/>
      <c r="IH39" s="1162"/>
      <c r="II39" s="1160"/>
      <c r="IJ39" s="1161"/>
      <c r="IK39" s="1162"/>
      <c r="IL39" s="1160"/>
      <c r="IM39" s="1160"/>
      <c r="IN39" s="1160"/>
      <c r="IO39" s="1160"/>
      <c r="IP39" s="1160"/>
      <c r="IQ39" s="1160"/>
      <c r="IR39" s="1160"/>
      <c r="IS39" s="1161"/>
      <c r="IT39" s="1162"/>
      <c r="IU39" s="1160"/>
      <c r="IV39" s="1160"/>
      <c r="IW39" s="1161"/>
      <c r="IX39" s="1162"/>
      <c r="IY39" s="1160"/>
      <c r="IZ39" s="1160"/>
      <c r="JA39" s="1161"/>
      <c r="JB39" s="1162"/>
      <c r="JC39" s="1160"/>
      <c r="JD39" s="1160"/>
      <c r="JE39" s="1161"/>
      <c r="JF39" s="1162"/>
      <c r="JG39" s="1160"/>
      <c r="JH39" s="1160"/>
      <c r="JI39" s="1160"/>
      <c r="JJ39" s="1163"/>
      <c r="JK39" s="1160"/>
      <c r="JL39" s="1103">
        <f t="shared" ca="1" si="44"/>
        <v>0</v>
      </c>
    </row>
    <row r="40" spans="1:272" ht="12.6" customHeight="1" x14ac:dyDescent="0.25">
      <c r="A40" s="1132"/>
      <c r="B40" s="1586"/>
      <c r="C40" s="1133"/>
      <c r="D40" s="1134"/>
      <c r="E40" s="1135"/>
      <c r="F40" s="1136"/>
      <c r="G40" s="1137"/>
      <c r="H40" s="1138"/>
      <c r="I40" s="1139"/>
      <c r="J40" s="1134"/>
      <c r="K40" s="1138"/>
      <c r="L40" s="1140"/>
      <c r="M40" s="1141"/>
      <c r="N40" s="1142"/>
      <c r="O40" s="1137"/>
      <c r="P40" s="1138"/>
      <c r="Q40" s="1134"/>
      <c r="R40" s="1135"/>
      <c r="S40" s="1143"/>
      <c r="T40" s="1138"/>
      <c r="U40" s="1134"/>
      <c r="V40" s="1138"/>
      <c r="W40" s="1142"/>
      <c r="X40" s="1144"/>
      <c r="Y40" s="1145"/>
      <c r="Z40" s="1587"/>
      <c r="AA40" s="1152"/>
      <c r="AB40" s="1132"/>
      <c r="AC40" s="1139"/>
      <c r="AD40" s="1134"/>
      <c r="AE40" s="1138"/>
      <c r="AF40" s="1139"/>
      <c r="AG40" s="1134"/>
      <c r="AH40" s="1138"/>
      <c r="AI40" s="1134"/>
      <c r="AJ40" s="1138"/>
      <c r="AK40" s="1619"/>
      <c r="AL40" s="1620"/>
      <c r="AM40" s="1621"/>
      <c r="AN40" s="1139"/>
      <c r="AO40" s="1142"/>
      <c r="AP40" s="1141"/>
      <c r="AQ40" s="1623"/>
      <c r="AR40" s="1137"/>
      <c r="AS40" s="1138"/>
      <c r="AT40" s="1624"/>
      <c r="AU40" s="1625"/>
      <c r="AV40" s="1143"/>
      <c r="AW40" s="1138"/>
      <c r="AX40" s="1624"/>
      <c r="AY40" s="1625"/>
      <c r="AZ40" s="1143"/>
      <c r="BA40" s="1138"/>
      <c r="BB40" s="1624"/>
      <c r="BC40" s="1625"/>
      <c r="BD40" s="1143"/>
      <c r="BE40" s="1138"/>
      <c r="BF40" s="1624"/>
      <c r="BG40" s="1625"/>
      <c r="BH40" s="1291"/>
      <c r="BJ40" s="915" t="str">
        <f t="shared" si="42"/>
        <v/>
      </c>
      <c r="BK40" s="913" t="e">
        <f t="shared" si="0"/>
        <v>#REF!</v>
      </c>
      <c r="BL40" s="908" t="b">
        <v>0</v>
      </c>
      <c r="BM40" s="908">
        <f t="shared" si="1"/>
        <v>0</v>
      </c>
      <c r="BN40" s="908">
        <f t="shared" si="2"/>
        <v>0</v>
      </c>
      <c r="BO40" s="908">
        <f t="shared" si="3"/>
        <v>0</v>
      </c>
      <c r="BP40" s="908">
        <f t="shared" si="4"/>
        <v>0</v>
      </c>
      <c r="BQ40" s="908">
        <f t="shared" si="5"/>
        <v>0</v>
      </c>
      <c r="BR40" s="908" t="b">
        <f t="shared" si="6"/>
        <v>1</v>
      </c>
      <c r="BS40" s="1216">
        <f t="shared" si="7"/>
        <v>6</v>
      </c>
      <c r="BT40" s="909" t="str">
        <f t="shared" si="8"/>
        <v>No</v>
      </c>
      <c r="BU40" s="1216">
        <f t="shared" si="9"/>
        <v>6</v>
      </c>
      <c r="BV40" s="909" t="str">
        <f t="shared" si="10"/>
        <v>No</v>
      </c>
      <c r="BW40" s="910">
        <f t="shared" si="11"/>
        <v>0</v>
      </c>
      <c r="BX40" s="911" t="str">
        <f t="shared" si="12"/>
        <v/>
      </c>
      <c r="BY40" s="911" t="b">
        <f t="shared" si="13"/>
        <v>0</v>
      </c>
      <c r="BZ40" s="910" t="e">
        <f t="shared" si="35"/>
        <v>#REF!</v>
      </c>
      <c r="CB40" s="616"/>
      <c r="CC40" s="1567"/>
      <c r="CD40" s="645"/>
      <c r="CE40" s="646"/>
      <c r="CF40" s="647"/>
      <c r="CG40" s="660"/>
      <c r="CH40" s="661"/>
      <c r="CI40" s="662"/>
      <c r="CJ40" s="661"/>
      <c r="CK40" s="662"/>
      <c r="CL40" s="663"/>
      <c r="CM40" s="692"/>
      <c r="CN40" s="687"/>
      <c r="CO40" s="1430"/>
      <c r="CP40" s="839"/>
      <c r="CQ40" s="660"/>
      <c r="CR40" s="661"/>
      <c r="CS40" s="662"/>
      <c r="CT40" s="661"/>
      <c r="CU40" s="662"/>
      <c r="CV40" s="663"/>
      <c r="CW40" s="692"/>
      <c r="CX40" s="687"/>
      <c r="CY40" s="1430"/>
      <c r="CZ40" s="839"/>
      <c r="DA40" s="665"/>
      <c r="DB40" s="648"/>
      <c r="DC40" s="649"/>
      <c r="DD40" s="674"/>
      <c r="DE40" s="675"/>
      <c r="DF40" s="58"/>
      <c r="DG40" s="58"/>
      <c r="DH40" s="616"/>
      <c r="DI40" s="617"/>
      <c r="DJ40" s="638"/>
      <c r="DK40" s="1245"/>
      <c r="DL40" s="618"/>
      <c r="DM40" s="639"/>
      <c r="DN40" s="1248"/>
      <c r="DO40" s="619"/>
      <c r="DP40" s="620"/>
      <c r="DQ40" s="1294"/>
      <c r="DR40" s="621"/>
      <c r="DS40" s="1294"/>
      <c r="DT40" s="1296"/>
      <c r="DU40" s="1297"/>
      <c r="DV40" s="622"/>
      <c r="DW40" s="1250"/>
      <c r="DX40" s="623"/>
      <c r="DY40" s="624"/>
      <c r="DZ40" s="622"/>
      <c r="EA40" s="1250"/>
      <c r="EB40" s="623"/>
      <c r="EC40" s="624"/>
      <c r="ED40" s="622"/>
      <c r="EE40" s="1250"/>
      <c r="EF40" s="623"/>
      <c r="EG40" s="624"/>
      <c r="EH40" s="622"/>
      <c r="EI40" s="1250"/>
      <c r="EJ40" s="623"/>
      <c r="EK40" s="625"/>
      <c r="EL40" s="147"/>
      <c r="EM40" s="1513" t="str">
        <f t="shared" si="14"/>
        <v/>
      </c>
      <c r="EN40" s="1303" t="str">
        <f t="shared" si="15"/>
        <v/>
      </c>
      <c r="EO40" s="1304" t="str">
        <f t="shared" si="16"/>
        <v/>
      </c>
      <c r="EP40" s="1305" t="str">
        <f t="shared" si="17"/>
        <v/>
      </c>
      <c r="EQ40" s="1309" t="str">
        <f t="shared" si="18"/>
        <v/>
      </c>
      <c r="ER40" s="1315" t="str">
        <f t="shared" si="19"/>
        <v/>
      </c>
      <c r="ES40" s="1316" t="str">
        <f t="shared" si="20"/>
        <v/>
      </c>
      <c r="ET40" s="1317" t="str">
        <f t="shared" si="21"/>
        <v/>
      </c>
      <c r="EU40" s="1318" t="str">
        <f t="shared" si="36"/>
        <v/>
      </c>
      <c r="EX40" s="870" t="str">
        <f t="shared" si="37"/>
        <v/>
      </c>
      <c r="EY40" s="872" t="str">
        <f t="shared" si="22"/>
        <v/>
      </c>
      <c r="EZ40" s="872" t="str">
        <f t="shared" si="38"/>
        <v/>
      </c>
      <c r="FA40" s="891" t="str">
        <f t="shared" si="43"/>
        <v/>
      </c>
      <c r="FB40" s="892" t="str">
        <f t="shared" si="39"/>
        <v/>
      </c>
      <c r="FC40" s="892">
        <f t="shared" si="23"/>
        <v>0</v>
      </c>
      <c r="FD40" s="892">
        <f t="shared" si="24"/>
        <v>0</v>
      </c>
      <c r="FE40" s="892">
        <f t="shared" si="25"/>
        <v>0</v>
      </c>
      <c r="FF40" s="892">
        <f t="shared" si="40"/>
        <v>0</v>
      </c>
      <c r="FN40" s="703" t="b">
        <v>0</v>
      </c>
      <c r="FO40" s="703" t="b">
        <f t="shared" si="26"/>
        <v>0</v>
      </c>
      <c r="FP40" s="1254" t="b">
        <v>0</v>
      </c>
      <c r="FQ40" s="703" t="b">
        <f t="shared" si="41"/>
        <v>0</v>
      </c>
      <c r="FW40" s="1"/>
      <c r="FX40" s="1"/>
      <c r="FZ40" s="1"/>
      <c r="GA40" s="524" t="str">
        <f t="shared" si="27"/>
        <v/>
      </c>
      <c r="GB40" s="566" t="str">
        <f t="shared" si="28"/>
        <v/>
      </c>
      <c r="GC40" s="568" t="str">
        <f t="shared" si="29"/>
        <v/>
      </c>
      <c r="GD40" s="569" t="str">
        <f t="shared" si="30"/>
        <v/>
      </c>
      <c r="GE40" s="567" t="str">
        <f t="shared" si="31"/>
        <v/>
      </c>
      <c r="GF40" s="525" t="str">
        <f t="shared" si="32"/>
        <v/>
      </c>
      <c r="GG40" s="1056"/>
      <c r="GH40" s="1058"/>
      <c r="GI40" s="1056"/>
      <c r="GJ40" s="1058"/>
      <c r="GK40" s="1523">
        <f t="shared" si="33"/>
        <v>0</v>
      </c>
      <c r="GL40" s="1523" t="e">
        <f t="shared" si="34"/>
        <v>#VALUE!</v>
      </c>
      <c r="GM40" s="1524" t="e">
        <f>IF(ABS(GK40-GL40)&gt;=#REF!,ABS(GK40-GL40),0)</f>
        <v>#VALUE!</v>
      </c>
      <c r="HA40" s="1159"/>
      <c r="HB40" s="1160"/>
      <c r="HC40" s="1160"/>
      <c r="HD40" s="1161"/>
      <c r="HE40" s="1162"/>
      <c r="HF40" s="1160"/>
      <c r="HG40" s="1160"/>
      <c r="HH40" s="1160"/>
      <c r="HI40" s="1160"/>
      <c r="HJ40" s="1160"/>
      <c r="HK40" s="1160"/>
      <c r="HL40" s="1160"/>
      <c r="HM40" s="1160"/>
      <c r="HN40" s="1160"/>
      <c r="HO40" s="1160"/>
      <c r="HP40" s="1160"/>
      <c r="HQ40" s="1160"/>
      <c r="HR40" s="1160"/>
      <c r="HS40" s="1160"/>
      <c r="HT40" s="1160"/>
      <c r="HU40" s="1160"/>
      <c r="HV40" s="1160"/>
      <c r="HW40" s="1160"/>
      <c r="HX40" s="1160"/>
      <c r="HY40" s="1164"/>
      <c r="HZ40" s="1164"/>
      <c r="IA40" s="1164"/>
      <c r="IB40" s="1164"/>
      <c r="IC40" s="1164"/>
      <c r="ID40" s="1179"/>
      <c r="IE40" s="1159"/>
      <c r="IF40" s="1160"/>
      <c r="IG40" s="1161"/>
      <c r="IH40" s="1162"/>
      <c r="II40" s="1160"/>
      <c r="IJ40" s="1161"/>
      <c r="IK40" s="1162"/>
      <c r="IL40" s="1160"/>
      <c r="IM40" s="1160"/>
      <c r="IN40" s="1160"/>
      <c r="IO40" s="1160"/>
      <c r="IP40" s="1160"/>
      <c r="IQ40" s="1160"/>
      <c r="IR40" s="1160"/>
      <c r="IS40" s="1161"/>
      <c r="IT40" s="1162"/>
      <c r="IU40" s="1160"/>
      <c r="IV40" s="1160"/>
      <c r="IW40" s="1161"/>
      <c r="IX40" s="1162"/>
      <c r="IY40" s="1160"/>
      <c r="IZ40" s="1160"/>
      <c r="JA40" s="1161"/>
      <c r="JB40" s="1162"/>
      <c r="JC40" s="1160"/>
      <c r="JD40" s="1160"/>
      <c r="JE40" s="1161"/>
      <c r="JF40" s="1162"/>
      <c r="JG40" s="1160"/>
      <c r="JH40" s="1160"/>
      <c r="JI40" s="1160"/>
      <c r="JJ40" s="1163"/>
      <c r="JK40" s="1160"/>
      <c r="JL40" s="1103">
        <f t="shared" ca="1" si="44"/>
        <v>0</v>
      </c>
    </row>
    <row r="41" spans="1:272" ht="12.6" customHeight="1" x14ac:dyDescent="0.25">
      <c r="A41" s="1132"/>
      <c r="B41" s="1586"/>
      <c r="C41" s="1133"/>
      <c r="D41" s="1134"/>
      <c r="E41" s="1135"/>
      <c r="F41" s="1136"/>
      <c r="G41" s="1137"/>
      <c r="H41" s="1138"/>
      <c r="I41" s="1139"/>
      <c r="J41" s="1134"/>
      <c r="K41" s="1138"/>
      <c r="L41" s="1140"/>
      <c r="M41" s="1141"/>
      <c r="N41" s="1142"/>
      <c r="O41" s="1137"/>
      <c r="P41" s="1138"/>
      <c r="Q41" s="1134"/>
      <c r="R41" s="1135"/>
      <c r="S41" s="1143"/>
      <c r="T41" s="1138"/>
      <c r="U41" s="1134"/>
      <c r="V41" s="1138"/>
      <c r="W41" s="1142"/>
      <c r="X41" s="1144"/>
      <c r="Y41" s="1145"/>
      <c r="Z41" s="1587"/>
      <c r="AA41" s="1152"/>
      <c r="AB41" s="1132"/>
      <c r="AC41" s="1139"/>
      <c r="AD41" s="1134"/>
      <c r="AE41" s="1138"/>
      <c r="AF41" s="1139"/>
      <c r="AG41" s="1134"/>
      <c r="AH41" s="1138"/>
      <c r="AI41" s="1134"/>
      <c r="AJ41" s="1138"/>
      <c r="AK41" s="1619"/>
      <c r="AL41" s="1620"/>
      <c r="AM41" s="1621"/>
      <c r="AN41" s="1139"/>
      <c r="AO41" s="1142"/>
      <c r="AP41" s="1141"/>
      <c r="AQ41" s="1623"/>
      <c r="AR41" s="1137"/>
      <c r="AS41" s="1138"/>
      <c r="AT41" s="1624"/>
      <c r="AU41" s="1625"/>
      <c r="AV41" s="1143"/>
      <c r="AW41" s="1138"/>
      <c r="AX41" s="1624"/>
      <c r="AY41" s="1625"/>
      <c r="AZ41" s="1143"/>
      <c r="BA41" s="1138"/>
      <c r="BB41" s="1624"/>
      <c r="BC41" s="1625"/>
      <c r="BD41" s="1143"/>
      <c r="BE41" s="1138"/>
      <c r="BF41" s="1624"/>
      <c r="BG41" s="1625"/>
      <c r="BH41" s="1291"/>
      <c r="BJ41" s="915" t="str">
        <f t="shared" si="42"/>
        <v/>
      </c>
      <c r="BK41" s="913" t="e">
        <f t="shared" si="0"/>
        <v>#REF!</v>
      </c>
      <c r="BL41" s="908" t="b">
        <v>0</v>
      </c>
      <c r="BM41" s="908">
        <f t="shared" si="1"/>
        <v>0</v>
      </c>
      <c r="BN41" s="908">
        <f t="shared" si="2"/>
        <v>0</v>
      </c>
      <c r="BO41" s="908">
        <f t="shared" si="3"/>
        <v>0</v>
      </c>
      <c r="BP41" s="908">
        <f t="shared" si="4"/>
        <v>0</v>
      </c>
      <c r="BQ41" s="908">
        <f t="shared" si="5"/>
        <v>0</v>
      </c>
      <c r="BR41" s="908" t="b">
        <f t="shared" si="6"/>
        <v>1</v>
      </c>
      <c r="BS41" s="1216">
        <f t="shared" si="7"/>
        <v>6</v>
      </c>
      <c r="BT41" s="909" t="str">
        <f t="shared" si="8"/>
        <v>No</v>
      </c>
      <c r="BU41" s="1216">
        <f t="shared" si="9"/>
        <v>6</v>
      </c>
      <c r="BV41" s="909" t="str">
        <f t="shared" si="10"/>
        <v>No</v>
      </c>
      <c r="BW41" s="910">
        <f t="shared" si="11"/>
        <v>0</v>
      </c>
      <c r="BX41" s="911" t="str">
        <f t="shared" si="12"/>
        <v/>
      </c>
      <c r="BY41" s="911" t="b">
        <f t="shared" si="13"/>
        <v>0</v>
      </c>
      <c r="BZ41" s="910" t="e">
        <f t="shared" si="35"/>
        <v>#REF!</v>
      </c>
      <c r="CB41" s="616"/>
      <c r="CC41" s="1567"/>
      <c r="CD41" s="645"/>
      <c r="CE41" s="646"/>
      <c r="CF41" s="647"/>
      <c r="CG41" s="660"/>
      <c r="CH41" s="661"/>
      <c r="CI41" s="662"/>
      <c r="CJ41" s="661"/>
      <c r="CK41" s="662"/>
      <c r="CL41" s="663"/>
      <c r="CM41" s="692"/>
      <c r="CN41" s="687"/>
      <c r="CO41" s="1430"/>
      <c r="CP41" s="839"/>
      <c r="CQ41" s="660"/>
      <c r="CR41" s="661"/>
      <c r="CS41" s="662"/>
      <c r="CT41" s="661"/>
      <c r="CU41" s="662"/>
      <c r="CV41" s="663"/>
      <c r="CW41" s="692"/>
      <c r="CX41" s="687"/>
      <c r="CY41" s="1430"/>
      <c r="CZ41" s="839"/>
      <c r="DA41" s="665"/>
      <c r="DB41" s="648"/>
      <c r="DC41" s="649"/>
      <c r="DD41" s="674"/>
      <c r="DE41" s="675"/>
      <c r="DF41" s="58"/>
      <c r="DG41" s="58"/>
      <c r="DH41" s="616"/>
      <c r="DI41" s="617"/>
      <c r="DJ41" s="638"/>
      <c r="DK41" s="1245"/>
      <c r="DL41" s="618"/>
      <c r="DM41" s="639"/>
      <c r="DN41" s="1248"/>
      <c r="DO41" s="619"/>
      <c r="DP41" s="620"/>
      <c r="DQ41" s="1294"/>
      <c r="DR41" s="621"/>
      <c r="DS41" s="1294"/>
      <c r="DT41" s="1296"/>
      <c r="DU41" s="1297"/>
      <c r="DV41" s="622"/>
      <c r="DW41" s="1250"/>
      <c r="DX41" s="623"/>
      <c r="DY41" s="624"/>
      <c r="DZ41" s="622"/>
      <c r="EA41" s="1250"/>
      <c r="EB41" s="623"/>
      <c r="EC41" s="624"/>
      <c r="ED41" s="622"/>
      <c r="EE41" s="1250"/>
      <c r="EF41" s="623"/>
      <c r="EG41" s="624"/>
      <c r="EH41" s="622"/>
      <c r="EI41" s="1250"/>
      <c r="EJ41" s="623"/>
      <c r="EK41" s="625"/>
      <c r="EL41" s="147"/>
      <c r="EM41" s="1513" t="str">
        <f t="shared" si="14"/>
        <v/>
      </c>
      <c r="EN41" s="1303" t="str">
        <f t="shared" si="15"/>
        <v/>
      </c>
      <c r="EO41" s="1304" t="str">
        <f t="shared" si="16"/>
        <v/>
      </c>
      <c r="EP41" s="1305" t="str">
        <f t="shared" si="17"/>
        <v/>
      </c>
      <c r="EQ41" s="1309" t="str">
        <f t="shared" si="18"/>
        <v/>
      </c>
      <c r="ER41" s="1315" t="str">
        <f t="shared" si="19"/>
        <v/>
      </c>
      <c r="ES41" s="1316" t="str">
        <f t="shared" si="20"/>
        <v/>
      </c>
      <c r="ET41" s="1317" t="str">
        <f t="shared" si="21"/>
        <v/>
      </c>
      <c r="EU41" s="1318" t="str">
        <f t="shared" si="36"/>
        <v/>
      </c>
      <c r="EX41" s="870" t="str">
        <f t="shared" si="37"/>
        <v/>
      </c>
      <c r="EY41" s="872" t="str">
        <f t="shared" si="22"/>
        <v/>
      </c>
      <c r="EZ41" s="872" t="str">
        <f t="shared" si="38"/>
        <v/>
      </c>
      <c r="FA41" s="891" t="str">
        <f t="shared" si="43"/>
        <v/>
      </c>
      <c r="FB41" s="892" t="str">
        <f t="shared" si="39"/>
        <v/>
      </c>
      <c r="FC41" s="892">
        <f t="shared" si="23"/>
        <v>0</v>
      </c>
      <c r="FD41" s="892">
        <f t="shared" si="24"/>
        <v>0</v>
      </c>
      <c r="FE41" s="892">
        <f t="shared" si="25"/>
        <v>0</v>
      </c>
      <c r="FF41" s="892">
        <f t="shared" si="40"/>
        <v>0</v>
      </c>
      <c r="FN41" s="703" t="b">
        <v>0</v>
      </c>
      <c r="FO41" s="703" t="b">
        <f t="shared" si="26"/>
        <v>0</v>
      </c>
      <c r="FP41" s="1254" t="b">
        <v>0</v>
      </c>
      <c r="FQ41" s="703" t="b">
        <f t="shared" si="41"/>
        <v>0</v>
      </c>
      <c r="FW41" s="1"/>
      <c r="FX41" s="1"/>
      <c r="FZ41" s="1"/>
      <c r="GA41" s="524" t="str">
        <f t="shared" si="27"/>
        <v/>
      </c>
      <c r="GB41" s="566" t="str">
        <f t="shared" si="28"/>
        <v/>
      </c>
      <c r="GC41" s="568" t="str">
        <f t="shared" si="29"/>
        <v/>
      </c>
      <c r="GD41" s="569" t="str">
        <f t="shared" si="30"/>
        <v/>
      </c>
      <c r="GE41" s="567" t="str">
        <f t="shared" si="31"/>
        <v/>
      </c>
      <c r="GF41" s="525" t="str">
        <f t="shared" si="32"/>
        <v/>
      </c>
      <c r="GG41" s="1056"/>
      <c r="GH41" s="1058"/>
      <c r="GI41" s="1056"/>
      <c r="GJ41" s="1058"/>
      <c r="GK41" s="1523">
        <f t="shared" si="33"/>
        <v>0</v>
      </c>
      <c r="GL41" s="1523" t="e">
        <f t="shared" si="34"/>
        <v>#VALUE!</v>
      </c>
      <c r="GM41" s="1524" t="e">
        <f>IF(ABS(GK41-GL41)&gt;=#REF!,ABS(GK41-GL41),0)</f>
        <v>#VALUE!</v>
      </c>
      <c r="HA41" s="1159"/>
      <c r="HB41" s="1160"/>
      <c r="HC41" s="1160"/>
      <c r="HD41" s="1161"/>
      <c r="HE41" s="1162"/>
      <c r="HF41" s="1160"/>
      <c r="HG41" s="1160"/>
      <c r="HH41" s="1160"/>
      <c r="HI41" s="1160"/>
      <c r="HJ41" s="1160"/>
      <c r="HK41" s="1160"/>
      <c r="HL41" s="1160"/>
      <c r="HM41" s="1160"/>
      <c r="HN41" s="1160"/>
      <c r="HO41" s="1160"/>
      <c r="HP41" s="1160"/>
      <c r="HQ41" s="1160"/>
      <c r="HR41" s="1160"/>
      <c r="HS41" s="1160"/>
      <c r="HT41" s="1160"/>
      <c r="HU41" s="1160"/>
      <c r="HV41" s="1160"/>
      <c r="HW41" s="1160"/>
      <c r="HX41" s="1160"/>
      <c r="HY41" s="1164"/>
      <c r="HZ41" s="1164"/>
      <c r="IA41" s="1164"/>
      <c r="IB41" s="1164"/>
      <c r="IC41" s="1164"/>
      <c r="ID41" s="1179"/>
      <c r="IE41" s="1159"/>
      <c r="IF41" s="1160"/>
      <c r="IG41" s="1161"/>
      <c r="IH41" s="1162"/>
      <c r="II41" s="1160"/>
      <c r="IJ41" s="1161"/>
      <c r="IK41" s="1162"/>
      <c r="IL41" s="1160"/>
      <c r="IM41" s="1160"/>
      <c r="IN41" s="1160"/>
      <c r="IO41" s="1160"/>
      <c r="IP41" s="1160"/>
      <c r="IQ41" s="1160"/>
      <c r="IR41" s="1160"/>
      <c r="IS41" s="1161"/>
      <c r="IT41" s="1162"/>
      <c r="IU41" s="1160"/>
      <c r="IV41" s="1160"/>
      <c r="IW41" s="1161"/>
      <c r="IX41" s="1162"/>
      <c r="IY41" s="1160"/>
      <c r="IZ41" s="1160"/>
      <c r="JA41" s="1161"/>
      <c r="JB41" s="1162"/>
      <c r="JC41" s="1160"/>
      <c r="JD41" s="1160"/>
      <c r="JE41" s="1161"/>
      <c r="JF41" s="1162"/>
      <c r="JG41" s="1160"/>
      <c r="JH41" s="1160"/>
      <c r="JI41" s="1160"/>
      <c r="JJ41" s="1163"/>
      <c r="JK41" s="1160"/>
      <c r="JL41" s="1103">
        <f t="shared" ca="1" si="44"/>
        <v>0</v>
      </c>
    </row>
    <row r="42" spans="1:272" ht="12.6" customHeight="1" x14ac:dyDescent="0.25">
      <c r="A42" s="1132"/>
      <c r="B42" s="1586"/>
      <c r="C42" s="1133"/>
      <c r="D42" s="1134"/>
      <c r="E42" s="1135"/>
      <c r="F42" s="1136"/>
      <c r="G42" s="1137"/>
      <c r="H42" s="1138"/>
      <c r="I42" s="1139"/>
      <c r="J42" s="1134"/>
      <c r="K42" s="1138"/>
      <c r="L42" s="1140"/>
      <c r="M42" s="1141"/>
      <c r="N42" s="1142"/>
      <c r="O42" s="1137"/>
      <c r="P42" s="1138"/>
      <c r="Q42" s="1134"/>
      <c r="R42" s="1135"/>
      <c r="S42" s="1143"/>
      <c r="T42" s="1138"/>
      <c r="U42" s="1134"/>
      <c r="V42" s="1138"/>
      <c r="W42" s="1142"/>
      <c r="X42" s="1144"/>
      <c r="Y42" s="1145"/>
      <c r="Z42" s="1587"/>
      <c r="AA42" s="1152"/>
      <c r="AB42" s="1132"/>
      <c r="AC42" s="1139"/>
      <c r="AD42" s="1134"/>
      <c r="AE42" s="1138"/>
      <c r="AF42" s="1139"/>
      <c r="AG42" s="1134"/>
      <c r="AH42" s="1138"/>
      <c r="AI42" s="1134"/>
      <c r="AJ42" s="1138"/>
      <c r="AK42" s="1619"/>
      <c r="AL42" s="1620"/>
      <c r="AM42" s="1621"/>
      <c r="AN42" s="1139"/>
      <c r="AO42" s="1142"/>
      <c r="AP42" s="1141"/>
      <c r="AQ42" s="1623"/>
      <c r="AR42" s="1137"/>
      <c r="AS42" s="1138"/>
      <c r="AT42" s="1624"/>
      <c r="AU42" s="1625"/>
      <c r="AV42" s="1143"/>
      <c r="AW42" s="1138"/>
      <c r="AX42" s="1624"/>
      <c r="AY42" s="1625"/>
      <c r="AZ42" s="1143"/>
      <c r="BA42" s="1138"/>
      <c r="BB42" s="1624"/>
      <c r="BC42" s="1625"/>
      <c r="BD42" s="1143"/>
      <c r="BE42" s="1138"/>
      <c r="BF42" s="1624"/>
      <c r="BG42" s="1625"/>
      <c r="BH42" s="1291"/>
      <c r="BJ42" s="915" t="str">
        <f t="shared" si="42"/>
        <v/>
      </c>
      <c r="BK42" s="913" t="e">
        <f t="shared" si="0"/>
        <v>#REF!</v>
      </c>
      <c r="BL42" s="908" t="b">
        <v>0</v>
      </c>
      <c r="BM42" s="908">
        <f t="shared" si="1"/>
        <v>0</v>
      </c>
      <c r="BN42" s="908">
        <f t="shared" si="2"/>
        <v>0</v>
      </c>
      <c r="BO42" s="908">
        <f t="shared" si="3"/>
        <v>0</v>
      </c>
      <c r="BP42" s="908">
        <f t="shared" si="4"/>
        <v>0</v>
      </c>
      <c r="BQ42" s="908">
        <f t="shared" si="5"/>
        <v>0</v>
      </c>
      <c r="BR42" s="908" t="b">
        <f t="shared" si="6"/>
        <v>1</v>
      </c>
      <c r="BS42" s="1216">
        <f t="shared" si="7"/>
        <v>6</v>
      </c>
      <c r="BT42" s="909" t="str">
        <f t="shared" si="8"/>
        <v>No</v>
      </c>
      <c r="BU42" s="1216">
        <f t="shared" si="9"/>
        <v>6</v>
      </c>
      <c r="BV42" s="909" t="str">
        <f t="shared" si="10"/>
        <v>No</v>
      </c>
      <c r="BW42" s="910">
        <f t="shared" si="11"/>
        <v>0</v>
      </c>
      <c r="BX42" s="911" t="str">
        <f t="shared" si="12"/>
        <v/>
      </c>
      <c r="BY42" s="911" t="b">
        <f t="shared" si="13"/>
        <v>0</v>
      </c>
      <c r="BZ42" s="910" t="e">
        <f t="shared" si="35"/>
        <v>#REF!</v>
      </c>
      <c r="CB42" s="616"/>
      <c r="CC42" s="1567"/>
      <c r="CD42" s="645"/>
      <c r="CE42" s="646"/>
      <c r="CF42" s="647"/>
      <c r="CG42" s="660"/>
      <c r="CH42" s="661"/>
      <c r="CI42" s="662"/>
      <c r="CJ42" s="661"/>
      <c r="CK42" s="662"/>
      <c r="CL42" s="663"/>
      <c r="CM42" s="692"/>
      <c r="CN42" s="687"/>
      <c r="CO42" s="1430"/>
      <c r="CP42" s="839"/>
      <c r="CQ42" s="660"/>
      <c r="CR42" s="661"/>
      <c r="CS42" s="662"/>
      <c r="CT42" s="661"/>
      <c r="CU42" s="662"/>
      <c r="CV42" s="663"/>
      <c r="CW42" s="692"/>
      <c r="CX42" s="687"/>
      <c r="CY42" s="1430"/>
      <c r="CZ42" s="839"/>
      <c r="DA42" s="665"/>
      <c r="DB42" s="648"/>
      <c r="DC42" s="649"/>
      <c r="DD42" s="674"/>
      <c r="DE42" s="675"/>
      <c r="DF42" s="58"/>
      <c r="DG42" s="58"/>
      <c r="DH42" s="616"/>
      <c r="DI42" s="617"/>
      <c r="DJ42" s="638"/>
      <c r="DK42" s="1245"/>
      <c r="DL42" s="618"/>
      <c r="DM42" s="639"/>
      <c r="DN42" s="1248"/>
      <c r="DO42" s="619"/>
      <c r="DP42" s="620"/>
      <c r="DQ42" s="1294"/>
      <c r="DR42" s="621"/>
      <c r="DS42" s="1294"/>
      <c r="DT42" s="1296"/>
      <c r="DU42" s="1297"/>
      <c r="DV42" s="622"/>
      <c r="DW42" s="1250"/>
      <c r="DX42" s="623"/>
      <c r="DY42" s="624"/>
      <c r="DZ42" s="622"/>
      <c r="EA42" s="1250"/>
      <c r="EB42" s="623"/>
      <c r="EC42" s="624"/>
      <c r="ED42" s="622"/>
      <c r="EE42" s="1250"/>
      <c r="EF42" s="623"/>
      <c r="EG42" s="624"/>
      <c r="EH42" s="622"/>
      <c r="EI42" s="1250"/>
      <c r="EJ42" s="623"/>
      <c r="EK42" s="625"/>
      <c r="EL42" s="147"/>
      <c r="EM42" s="1513" t="str">
        <f t="shared" si="14"/>
        <v/>
      </c>
      <c r="EN42" s="1303" t="str">
        <f t="shared" si="15"/>
        <v/>
      </c>
      <c r="EO42" s="1304" t="str">
        <f t="shared" si="16"/>
        <v/>
      </c>
      <c r="EP42" s="1305" t="str">
        <f t="shared" si="17"/>
        <v/>
      </c>
      <c r="EQ42" s="1309" t="str">
        <f t="shared" si="18"/>
        <v/>
      </c>
      <c r="ER42" s="1315" t="str">
        <f t="shared" si="19"/>
        <v/>
      </c>
      <c r="ES42" s="1316" t="str">
        <f t="shared" si="20"/>
        <v/>
      </c>
      <c r="ET42" s="1317" t="str">
        <f t="shared" si="21"/>
        <v/>
      </c>
      <c r="EU42" s="1318" t="str">
        <f t="shared" si="36"/>
        <v/>
      </c>
      <c r="EX42" s="870" t="str">
        <f t="shared" si="37"/>
        <v/>
      </c>
      <c r="EY42" s="872" t="str">
        <f t="shared" si="22"/>
        <v/>
      </c>
      <c r="EZ42" s="872" t="str">
        <f t="shared" si="38"/>
        <v/>
      </c>
      <c r="FA42" s="891" t="str">
        <f t="shared" si="43"/>
        <v/>
      </c>
      <c r="FB42" s="892" t="str">
        <f t="shared" si="39"/>
        <v/>
      </c>
      <c r="FC42" s="892">
        <f t="shared" si="23"/>
        <v>0</v>
      </c>
      <c r="FD42" s="892">
        <f t="shared" si="24"/>
        <v>0</v>
      </c>
      <c r="FE42" s="892">
        <f t="shared" si="25"/>
        <v>0</v>
      </c>
      <c r="FF42" s="892">
        <f t="shared" si="40"/>
        <v>0</v>
      </c>
      <c r="FN42" s="703" t="b">
        <v>0</v>
      </c>
      <c r="FO42" s="703" t="b">
        <f t="shared" si="26"/>
        <v>0</v>
      </c>
      <c r="FP42" s="1254" t="b">
        <v>0</v>
      </c>
      <c r="FQ42" s="703" t="b">
        <f t="shared" si="41"/>
        <v>0</v>
      </c>
      <c r="GA42" s="524" t="str">
        <f t="shared" si="27"/>
        <v/>
      </c>
      <c r="GB42" s="566" t="str">
        <f t="shared" si="28"/>
        <v/>
      </c>
      <c r="GC42" s="568" t="str">
        <f t="shared" si="29"/>
        <v/>
      </c>
      <c r="GD42" s="569" t="str">
        <f t="shared" si="30"/>
        <v/>
      </c>
      <c r="GE42" s="567" t="str">
        <f t="shared" si="31"/>
        <v/>
      </c>
      <c r="GF42" s="525" t="str">
        <f t="shared" si="32"/>
        <v/>
      </c>
      <c r="GG42" s="1056"/>
      <c r="GH42" s="1058"/>
      <c r="GI42" s="1056"/>
      <c r="GJ42" s="1058"/>
      <c r="GK42" s="1523">
        <f t="shared" si="33"/>
        <v>0</v>
      </c>
      <c r="GL42" s="1523" t="e">
        <f t="shared" si="34"/>
        <v>#VALUE!</v>
      </c>
      <c r="GM42" s="1524" t="e">
        <f>IF(ABS(GK42-GL42)&gt;=#REF!,ABS(GK42-GL42),0)</f>
        <v>#VALUE!</v>
      </c>
      <c r="HA42" s="1159"/>
      <c r="HB42" s="1160"/>
      <c r="HC42" s="1160"/>
      <c r="HD42" s="1161"/>
      <c r="HE42" s="1162"/>
      <c r="HF42" s="1160"/>
      <c r="HG42" s="1160"/>
      <c r="HH42" s="1160"/>
      <c r="HI42" s="1160"/>
      <c r="HJ42" s="1160"/>
      <c r="HK42" s="1160"/>
      <c r="HL42" s="1160"/>
      <c r="HM42" s="1160"/>
      <c r="HN42" s="1160"/>
      <c r="HO42" s="1160"/>
      <c r="HP42" s="1160"/>
      <c r="HQ42" s="1160"/>
      <c r="HR42" s="1160"/>
      <c r="HS42" s="1160"/>
      <c r="HT42" s="1160"/>
      <c r="HU42" s="1160"/>
      <c r="HV42" s="1160"/>
      <c r="HW42" s="1160"/>
      <c r="HX42" s="1160"/>
      <c r="HY42" s="1164"/>
      <c r="HZ42" s="1164"/>
      <c r="IA42" s="1164"/>
      <c r="IB42" s="1164"/>
      <c r="IC42" s="1164"/>
      <c r="ID42" s="1179"/>
      <c r="IE42" s="1159"/>
      <c r="IF42" s="1160"/>
      <c r="IG42" s="1161"/>
      <c r="IH42" s="1162"/>
      <c r="II42" s="1160"/>
      <c r="IJ42" s="1161"/>
      <c r="IK42" s="1162"/>
      <c r="IL42" s="1160"/>
      <c r="IM42" s="1160"/>
      <c r="IN42" s="1160"/>
      <c r="IO42" s="1160"/>
      <c r="IP42" s="1160"/>
      <c r="IQ42" s="1160"/>
      <c r="IR42" s="1160"/>
      <c r="IS42" s="1161"/>
      <c r="IT42" s="1162"/>
      <c r="IU42" s="1160"/>
      <c r="IV42" s="1160"/>
      <c r="IW42" s="1161"/>
      <c r="IX42" s="1162"/>
      <c r="IY42" s="1160"/>
      <c r="IZ42" s="1160"/>
      <c r="JA42" s="1161"/>
      <c r="JB42" s="1162"/>
      <c r="JC42" s="1160"/>
      <c r="JD42" s="1160"/>
      <c r="JE42" s="1161"/>
      <c r="JF42" s="1162"/>
      <c r="JG42" s="1160"/>
      <c r="JH42" s="1160"/>
      <c r="JI42" s="1160"/>
      <c r="JJ42" s="1163"/>
      <c r="JK42" s="1160"/>
      <c r="JL42" s="1103">
        <f t="shared" ca="1" si="44"/>
        <v>0</v>
      </c>
    </row>
    <row r="43" spans="1:272" ht="12.6" customHeight="1" x14ac:dyDescent="0.25">
      <c r="A43" s="1132"/>
      <c r="B43" s="1586"/>
      <c r="C43" s="1133"/>
      <c r="D43" s="1134"/>
      <c r="E43" s="1135"/>
      <c r="F43" s="1136"/>
      <c r="G43" s="1137"/>
      <c r="H43" s="1138"/>
      <c r="I43" s="1139"/>
      <c r="J43" s="1134"/>
      <c r="K43" s="1138"/>
      <c r="L43" s="1140"/>
      <c r="M43" s="1141"/>
      <c r="N43" s="1142"/>
      <c r="O43" s="1137"/>
      <c r="P43" s="1138"/>
      <c r="Q43" s="1134"/>
      <c r="R43" s="1135"/>
      <c r="S43" s="1143"/>
      <c r="T43" s="1138"/>
      <c r="U43" s="1134"/>
      <c r="V43" s="1138"/>
      <c r="W43" s="1142"/>
      <c r="X43" s="1144"/>
      <c r="Y43" s="1145"/>
      <c r="Z43" s="1587"/>
      <c r="AA43" s="1152"/>
      <c r="AB43" s="1132"/>
      <c r="AC43" s="1139"/>
      <c r="AD43" s="1134"/>
      <c r="AE43" s="1138"/>
      <c r="AF43" s="1139"/>
      <c r="AG43" s="1134"/>
      <c r="AH43" s="1138"/>
      <c r="AI43" s="1134"/>
      <c r="AJ43" s="1138"/>
      <c r="AK43" s="1619"/>
      <c r="AL43" s="1620"/>
      <c r="AM43" s="1621"/>
      <c r="AN43" s="1139"/>
      <c r="AO43" s="1142"/>
      <c r="AP43" s="1141"/>
      <c r="AQ43" s="1623"/>
      <c r="AR43" s="1137"/>
      <c r="AS43" s="1138"/>
      <c r="AT43" s="1624"/>
      <c r="AU43" s="1625"/>
      <c r="AV43" s="1143"/>
      <c r="AW43" s="1138"/>
      <c r="AX43" s="1624"/>
      <c r="AY43" s="1625"/>
      <c r="AZ43" s="1143"/>
      <c r="BA43" s="1138"/>
      <c r="BB43" s="1624"/>
      <c r="BC43" s="1625"/>
      <c r="BD43" s="1143"/>
      <c r="BE43" s="1138"/>
      <c r="BF43" s="1624"/>
      <c r="BG43" s="1625"/>
      <c r="BH43" s="1291"/>
      <c r="BJ43" s="915" t="str">
        <f t="shared" si="42"/>
        <v/>
      </c>
      <c r="BK43" s="913" t="e">
        <f t="shared" si="0"/>
        <v>#REF!</v>
      </c>
      <c r="BL43" s="908" t="b">
        <v>0</v>
      </c>
      <c r="BM43" s="908">
        <f t="shared" si="1"/>
        <v>0</v>
      </c>
      <c r="BN43" s="908">
        <f t="shared" si="2"/>
        <v>0</v>
      </c>
      <c r="BO43" s="908">
        <f t="shared" si="3"/>
        <v>0</v>
      </c>
      <c r="BP43" s="908">
        <f t="shared" si="4"/>
        <v>0</v>
      </c>
      <c r="BQ43" s="908">
        <f t="shared" si="5"/>
        <v>0</v>
      </c>
      <c r="BR43" s="908" t="b">
        <f t="shared" si="6"/>
        <v>1</v>
      </c>
      <c r="BS43" s="1216">
        <f t="shared" si="7"/>
        <v>6</v>
      </c>
      <c r="BT43" s="909" t="str">
        <f t="shared" si="8"/>
        <v>No</v>
      </c>
      <c r="BU43" s="1216">
        <f t="shared" si="9"/>
        <v>6</v>
      </c>
      <c r="BV43" s="909" t="str">
        <f t="shared" si="10"/>
        <v>No</v>
      </c>
      <c r="BW43" s="910">
        <f t="shared" si="11"/>
        <v>0</v>
      </c>
      <c r="BX43" s="911" t="str">
        <f t="shared" si="12"/>
        <v/>
      </c>
      <c r="BY43" s="911" t="b">
        <f t="shared" si="13"/>
        <v>0</v>
      </c>
      <c r="BZ43" s="910" t="e">
        <f t="shared" si="35"/>
        <v>#REF!</v>
      </c>
      <c r="CB43" s="616"/>
      <c r="CC43" s="1567"/>
      <c r="CD43" s="645"/>
      <c r="CE43" s="646"/>
      <c r="CF43" s="647"/>
      <c r="CG43" s="660"/>
      <c r="CH43" s="661"/>
      <c r="CI43" s="662"/>
      <c r="CJ43" s="661"/>
      <c r="CK43" s="662"/>
      <c r="CL43" s="663"/>
      <c r="CM43" s="692"/>
      <c r="CN43" s="687"/>
      <c r="CO43" s="1430"/>
      <c r="CP43" s="839"/>
      <c r="CQ43" s="660"/>
      <c r="CR43" s="661"/>
      <c r="CS43" s="662"/>
      <c r="CT43" s="661"/>
      <c r="CU43" s="662"/>
      <c r="CV43" s="663"/>
      <c r="CW43" s="692"/>
      <c r="CX43" s="687"/>
      <c r="CY43" s="1430"/>
      <c r="CZ43" s="839"/>
      <c r="DA43" s="665"/>
      <c r="DB43" s="648"/>
      <c r="DC43" s="649"/>
      <c r="DD43" s="674"/>
      <c r="DE43" s="675"/>
      <c r="DF43" s="58"/>
      <c r="DG43" s="58"/>
      <c r="DH43" s="616"/>
      <c r="DI43" s="617"/>
      <c r="DJ43" s="638"/>
      <c r="DK43" s="1245"/>
      <c r="DL43" s="618"/>
      <c r="DM43" s="639"/>
      <c r="DN43" s="1248"/>
      <c r="DO43" s="619"/>
      <c r="DP43" s="620"/>
      <c r="DQ43" s="1294"/>
      <c r="DR43" s="621"/>
      <c r="DS43" s="1294"/>
      <c r="DT43" s="1296"/>
      <c r="DU43" s="1297"/>
      <c r="DV43" s="622"/>
      <c r="DW43" s="1250"/>
      <c r="DX43" s="623"/>
      <c r="DY43" s="624"/>
      <c r="DZ43" s="622"/>
      <c r="EA43" s="1250"/>
      <c r="EB43" s="623"/>
      <c r="EC43" s="624"/>
      <c r="ED43" s="622"/>
      <c r="EE43" s="1250"/>
      <c r="EF43" s="623"/>
      <c r="EG43" s="624"/>
      <c r="EH43" s="622"/>
      <c r="EI43" s="1250"/>
      <c r="EJ43" s="623"/>
      <c r="EK43" s="625"/>
      <c r="EL43" s="147"/>
      <c r="EM43" s="1513" t="str">
        <f t="shared" si="14"/>
        <v/>
      </c>
      <c r="EN43" s="1303" t="str">
        <f t="shared" si="15"/>
        <v/>
      </c>
      <c r="EO43" s="1304" t="str">
        <f t="shared" si="16"/>
        <v/>
      </c>
      <c r="EP43" s="1305" t="str">
        <f t="shared" si="17"/>
        <v/>
      </c>
      <c r="EQ43" s="1309" t="str">
        <f t="shared" si="18"/>
        <v/>
      </c>
      <c r="ER43" s="1315" t="str">
        <f t="shared" si="19"/>
        <v/>
      </c>
      <c r="ES43" s="1316" t="str">
        <f t="shared" si="20"/>
        <v/>
      </c>
      <c r="ET43" s="1317" t="str">
        <f t="shared" si="21"/>
        <v/>
      </c>
      <c r="EU43" s="1318" t="str">
        <f t="shared" si="36"/>
        <v/>
      </c>
      <c r="EX43" s="870" t="str">
        <f t="shared" si="37"/>
        <v/>
      </c>
      <c r="EY43" s="872" t="str">
        <f t="shared" si="22"/>
        <v/>
      </c>
      <c r="EZ43" s="872" t="str">
        <f t="shared" si="38"/>
        <v/>
      </c>
      <c r="FA43" s="891" t="str">
        <f t="shared" si="43"/>
        <v/>
      </c>
      <c r="FB43" s="892" t="str">
        <f t="shared" si="39"/>
        <v/>
      </c>
      <c r="FC43" s="892">
        <f t="shared" si="23"/>
        <v>0</v>
      </c>
      <c r="FD43" s="892">
        <f t="shared" si="24"/>
        <v>0</v>
      </c>
      <c r="FE43" s="892">
        <f t="shared" si="25"/>
        <v>0</v>
      </c>
      <c r="FF43" s="892">
        <f t="shared" si="40"/>
        <v>0</v>
      </c>
      <c r="FN43" s="703" t="b">
        <v>0</v>
      </c>
      <c r="FO43" s="703" t="b">
        <f t="shared" si="26"/>
        <v>0</v>
      </c>
      <c r="FP43" s="1254" t="b">
        <v>0</v>
      </c>
      <c r="FQ43" s="703" t="b">
        <f t="shared" si="41"/>
        <v>0</v>
      </c>
      <c r="GA43" s="524" t="str">
        <f t="shared" si="27"/>
        <v/>
      </c>
      <c r="GB43" s="566" t="str">
        <f t="shared" si="28"/>
        <v/>
      </c>
      <c r="GC43" s="568" t="str">
        <f t="shared" si="29"/>
        <v/>
      </c>
      <c r="GD43" s="569" t="str">
        <f t="shared" si="30"/>
        <v/>
      </c>
      <c r="GE43" s="567" t="str">
        <f t="shared" si="31"/>
        <v/>
      </c>
      <c r="GF43" s="525" t="str">
        <f t="shared" si="32"/>
        <v/>
      </c>
      <c r="GG43" s="1056"/>
      <c r="GH43" s="1058"/>
      <c r="GI43" s="1056"/>
      <c r="GJ43" s="1058"/>
      <c r="GK43" s="1523">
        <f t="shared" si="33"/>
        <v>0</v>
      </c>
      <c r="GL43" s="1523" t="e">
        <f t="shared" si="34"/>
        <v>#VALUE!</v>
      </c>
      <c r="GM43" s="1524" t="e">
        <f>IF(ABS(GK43-GL43)&gt;=#REF!,ABS(GK43-GL43),0)</f>
        <v>#VALUE!</v>
      </c>
      <c r="HA43" s="1159"/>
      <c r="HB43" s="1160"/>
      <c r="HC43" s="1160"/>
      <c r="HD43" s="1161"/>
      <c r="HE43" s="1162"/>
      <c r="HF43" s="1160"/>
      <c r="HG43" s="1160"/>
      <c r="HH43" s="1160"/>
      <c r="HI43" s="1160"/>
      <c r="HJ43" s="1160"/>
      <c r="HK43" s="1160"/>
      <c r="HL43" s="1160"/>
      <c r="HM43" s="1160"/>
      <c r="HN43" s="1160"/>
      <c r="HO43" s="1160"/>
      <c r="HP43" s="1160"/>
      <c r="HQ43" s="1160"/>
      <c r="HR43" s="1160"/>
      <c r="HS43" s="1160"/>
      <c r="HT43" s="1160"/>
      <c r="HU43" s="1160"/>
      <c r="HV43" s="1160"/>
      <c r="HW43" s="1160"/>
      <c r="HX43" s="1160"/>
      <c r="HY43" s="1164"/>
      <c r="HZ43" s="1164"/>
      <c r="IA43" s="1164"/>
      <c r="IB43" s="1164"/>
      <c r="IC43" s="1164"/>
      <c r="ID43" s="1179"/>
      <c r="IE43" s="1159"/>
      <c r="IF43" s="1160"/>
      <c r="IG43" s="1161"/>
      <c r="IH43" s="1162"/>
      <c r="II43" s="1160"/>
      <c r="IJ43" s="1161"/>
      <c r="IK43" s="1162"/>
      <c r="IL43" s="1160"/>
      <c r="IM43" s="1160"/>
      <c r="IN43" s="1160"/>
      <c r="IO43" s="1160"/>
      <c r="IP43" s="1160"/>
      <c r="IQ43" s="1160"/>
      <c r="IR43" s="1160"/>
      <c r="IS43" s="1161"/>
      <c r="IT43" s="1162"/>
      <c r="IU43" s="1160"/>
      <c r="IV43" s="1160"/>
      <c r="IW43" s="1161"/>
      <c r="IX43" s="1162"/>
      <c r="IY43" s="1160"/>
      <c r="IZ43" s="1160"/>
      <c r="JA43" s="1161"/>
      <c r="JB43" s="1162"/>
      <c r="JC43" s="1160"/>
      <c r="JD43" s="1160"/>
      <c r="JE43" s="1161"/>
      <c r="JF43" s="1162"/>
      <c r="JG43" s="1160"/>
      <c r="JH43" s="1160"/>
      <c r="JI43" s="1160"/>
      <c r="JJ43" s="1163"/>
      <c r="JK43" s="1160"/>
      <c r="JL43" s="1103">
        <f t="shared" ca="1" si="44"/>
        <v>0</v>
      </c>
    </row>
    <row r="44" spans="1:272" ht="12.6" customHeight="1" x14ac:dyDescent="0.25">
      <c r="A44" s="1132"/>
      <c r="B44" s="1586"/>
      <c r="C44" s="1133"/>
      <c r="D44" s="1134"/>
      <c r="E44" s="1135"/>
      <c r="F44" s="1136"/>
      <c r="G44" s="1137"/>
      <c r="H44" s="1138"/>
      <c r="I44" s="1139"/>
      <c r="J44" s="1134"/>
      <c r="K44" s="1138"/>
      <c r="L44" s="1140"/>
      <c r="M44" s="1141"/>
      <c r="N44" s="1142"/>
      <c r="O44" s="1137"/>
      <c r="P44" s="1138"/>
      <c r="Q44" s="1134"/>
      <c r="R44" s="1135"/>
      <c r="S44" s="1143"/>
      <c r="T44" s="1138"/>
      <c r="U44" s="1134"/>
      <c r="V44" s="1138"/>
      <c r="W44" s="1142"/>
      <c r="X44" s="1144"/>
      <c r="Y44" s="1145"/>
      <c r="Z44" s="1587"/>
      <c r="AA44" s="1152"/>
      <c r="AB44" s="1132"/>
      <c r="AC44" s="1139"/>
      <c r="AD44" s="1134"/>
      <c r="AE44" s="1138"/>
      <c r="AF44" s="1139"/>
      <c r="AG44" s="1134"/>
      <c r="AH44" s="1138"/>
      <c r="AI44" s="1134"/>
      <c r="AJ44" s="1138"/>
      <c r="AK44" s="1619"/>
      <c r="AL44" s="1620"/>
      <c r="AM44" s="1621"/>
      <c r="AN44" s="1139"/>
      <c r="AO44" s="1142"/>
      <c r="AP44" s="1141"/>
      <c r="AQ44" s="1623"/>
      <c r="AR44" s="1137"/>
      <c r="AS44" s="1138"/>
      <c r="AT44" s="1624"/>
      <c r="AU44" s="1625"/>
      <c r="AV44" s="1143"/>
      <c r="AW44" s="1138"/>
      <c r="AX44" s="1624"/>
      <c r="AY44" s="1625"/>
      <c r="AZ44" s="1143"/>
      <c r="BA44" s="1138"/>
      <c r="BB44" s="1624"/>
      <c r="BC44" s="1625"/>
      <c r="BD44" s="1143"/>
      <c r="BE44" s="1138"/>
      <c r="BF44" s="1624"/>
      <c r="BG44" s="1625"/>
      <c r="BH44" s="1291"/>
      <c r="BJ44" s="915" t="str">
        <f t="shared" si="42"/>
        <v/>
      </c>
      <c r="BK44" s="913" t="e">
        <f t="shared" si="0"/>
        <v>#REF!</v>
      </c>
      <c r="BL44" s="908" t="b">
        <v>0</v>
      </c>
      <c r="BM44" s="908">
        <f t="shared" si="1"/>
        <v>0</v>
      </c>
      <c r="BN44" s="908">
        <f t="shared" si="2"/>
        <v>0</v>
      </c>
      <c r="BO44" s="908">
        <f t="shared" si="3"/>
        <v>0</v>
      </c>
      <c r="BP44" s="908">
        <f t="shared" si="4"/>
        <v>0</v>
      </c>
      <c r="BQ44" s="908">
        <f t="shared" si="5"/>
        <v>0</v>
      </c>
      <c r="BR44" s="908" t="b">
        <f t="shared" si="6"/>
        <v>1</v>
      </c>
      <c r="BS44" s="1216">
        <f t="shared" si="7"/>
        <v>6</v>
      </c>
      <c r="BT44" s="909" t="str">
        <f t="shared" si="8"/>
        <v>No</v>
      </c>
      <c r="BU44" s="1216">
        <f t="shared" si="9"/>
        <v>6</v>
      </c>
      <c r="BV44" s="909" t="str">
        <f t="shared" si="10"/>
        <v>No</v>
      </c>
      <c r="BW44" s="910">
        <f t="shared" si="11"/>
        <v>0</v>
      </c>
      <c r="BX44" s="911" t="str">
        <f t="shared" si="12"/>
        <v/>
      </c>
      <c r="BY44" s="911" t="b">
        <f t="shared" si="13"/>
        <v>0</v>
      </c>
      <c r="BZ44" s="910" t="e">
        <f t="shared" si="35"/>
        <v>#REF!</v>
      </c>
      <c r="CB44" s="616"/>
      <c r="CC44" s="1567"/>
      <c r="CD44" s="645"/>
      <c r="CE44" s="646"/>
      <c r="CF44" s="647"/>
      <c r="CG44" s="660"/>
      <c r="CH44" s="661"/>
      <c r="CI44" s="662"/>
      <c r="CJ44" s="661"/>
      <c r="CK44" s="662"/>
      <c r="CL44" s="663"/>
      <c r="CM44" s="692"/>
      <c r="CN44" s="687"/>
      <c r="CO44" s="1430"/>
      <c r="CP44" s="839"/>
      <c r="CQ44" s="660"/>
      <c r="CR44" s="661"/>
      <c r="CS44" s="662"/>
      <c r="CT44" s="661"/>
      <c r="CU44" s="662"/>
      <c r="CV44" s="663"/>
      <c r="CW44" s="692"/>
      <c r="CX44" s="687"/>
      <c r="CY44" s="1430"/>
      <c r="CZ44" s="839"/>
      <c r="DA44" s="665"/>
      <c r="DB44" s="648"/>
      <c r="DC44" s="649"/>
      <c r="DD44" s="674"/>
      <c r="DE44" s="675"/>
      <c r="DF44" s="58"/>
      <c r="DG44" s="58"/>
      <c r="DH44" s="616"/>
      <c r="DI44" s="617"/>
      <c r="DJ44" s="638"/>
      <c r="DK44" s="1245"/>
      <c r="DL44" s="618"/>
      <c r="DM44" s="639"/>
      <c r="DN44" s="1248"/>
      <c r="DO44" s="619"/>
      <c r="DP44" s="620"/>
      <c r="DQ44" s="1294"/>
      <c r="DR44" s="621"/>
      <c r="DS44" s="1294"/>
      <c r="DT44" s="1296"/>
      <c r="DU44" s="1297"/>
      <c r="DV44" s="622"/>
      <c r="DW44" s="1250"/>
      <c r="DX44" s="623"/>
      <c r="DY44" s="624"/>
      <c r="DZ44" s="622"/>
      <c r="EA44" s="1250"/>
      <c r="EB44" s="623"/>
      <c r="EC44" s="624"/>
      <c r="ED44" s="622"/>
      <c r="EE44" s="1250"/>
      <c r="EF44" s="623"/>
      <c r="EG44" s="624"/>
      <c r="EH44" s="622"/>
      <c r="EI44" s="1250"/>
      <c r="EJ44" s="623"/>
      <c r="EK44" s="625"/>
      <c r="EL44" s="147"/>
      <c r="EM44" s="1513" t="str">
        <f t="shared" si="14"/>
        <v/>
      </c>
      <c r="EN44" s="1303" t="str">
        <f t="shared" si="15"/>
        <v/>
      </c>
      <c r="EO44" s="1304" t="str">
        <f t="shared" si="16"/>
        <v/>
      </c>
      <c r="EP44" s="1305" t="str">
        <f t="shared" si="17"/>
        <v/>
      </c>
      <c r="EQ44" s="1309" t="str">
        <f t="shared" si="18"/>
        <v/>
      </c>
      <c r="ER44" s="1315" t="str">
        <f t="shared" si="19"/>
        <v/>
      </c>
      <c r="ES44" s="1316" t="str">
        <f t="shared" si="20"/>
        <v/>
      </c>
      <c r="ET44" s="1317" t="str">
        <f t="shared" si="21"/>
        <v/>
      </c>
      <c r="EU44" s="1318" t="str">
        <f t="shared" si="36"/>
        <v/>
      </c>
      <c r="EX44" s="870" t="str">
        <f t="shared" si="37"/>
        <v/>
      </c>
      <c r="EY44" s="872" t="str">
        <f t="shared" si="22"/>
        <v/>
      </c>
      <c r="EZ44" s="872" t="str">
        <f t="shared" si="38"/>
        <v/>
      </c>
      <c r="FA44" s="891" t="str">
        <f t="shared" si="43"/>
        <v/>
      </c>
      <c r="FB44" s="892" t="str">
        <f t="shared" si="39"/>
        <v/>
      </c>
      <c r="FC44" s="892">
        <f t="shared" si="23"/>
        <v>0</v>
      </c>
      <c r="FD44" s="892">
        <f t="shared" si="24"/>
        <v>0</v>
      </c>
      <c r="FE44" s="892">
        <f t="shared" si="25"/>
        <v>0</v>
      </c>
      <c r="FF44" s="892">
        <f t="shared" si="40"/>
        <v>0</v>
      </c>
      <c r="FN44" s="703" t="b">
        <v>0</v>
      </c>
      <c r="FO44" s="703" t="b">
        <f t="shared" si="26"/>
        <v>0</v>
      </c>
      <c r="FP44" s="1254" t="b">
        <v>0</v>
      </c>
      <c r="FQ44" s="703" t="b">
        <f t="shared" si="41"/>
        <v>0</v>
      </c>
      <c r="GA44" s="524" t="str">
        <f t="shared" si="27"/>
        <v/>
      </c>
      <c r="GB44" s="566" t="str">
        <f t="shared" si="28"/>
        <v/>
      </c>
      <c r="GC44" s="568" t="str">
        <f t="shared" si="29"/>
        <v/>
      </c>
      <c r="GD44" s="569" t="str">
        <f t="shared" si="30"/>
        <v/>
      </c>
      <c r="GE44" s="567" t="str">
        <f t="shared" si="31"/>
        <v/>
      </c>
      <c r="GF44" s="525" t="str">
        <f t="shared" si="32"/>
        <v/>
      </c>
      <c r="GG44" s="1056"/>
      <c r="GH44" s="1058"/>
      <c r="GI44" s="1056"/>
      <c r="GJ44" s="1058"/>
      <c r="GK44" s="1523">
        <f t="shared" si="33"/>
        <v>0</v>
      </c>
      <c r="GL44" s="1523" t="e">
        <f t="shared" si="34"/>
        <v>#VALUE!</v>
      </c>
      <c r="GM44" s="1524" t="e">
        <f>IF(ABS(GK44-GL44)&gt;=#REF!,ABS(GK44-GL44),0)</f>
        <v>#VALUE!</v>
      </c>
      <c r="GN44" s="56"/>
      <c r="GO44" s="57"/>
      <c r="GP44" s="59"/>
      <c r="HA44" s="1159"/>
      <c r="HB44" s="1160"/>
      <c r="HC44" s="1160"/>
      <c r="HD44" s="1161"/>
      <c r="HE44" s="1162"/>
      <c r="HF44" s="1160"/>
      <c r="HG44" s="1160"/>
      <c r="HH44" s="1160"/>
      <c r="HI44" s="1160"/>
      <c r="HJ44" s="1160"/>
      <c r="HK44" s="1160"/>
      <c r="HL44" s="1160"/>
      <c r="HM44" s="1160"/>
      <c r="HN44" s="1160"/>
      <c r="HO44" s="1160"/>
      <c r="HP44" s="1160"/>
      <c r="HQ44" s="1160"/>
      <c r="HR44" s="1160"/>
      <c r="HS44" s="1160"/>
      <c r="HT44" s="1160"/>
      <c r="HU44" s="1160"/>
      <c r="HV44" s="1160"/>
      <c r="HW44" s="1160"/>
      <c r="HX44" s="1160"/>
      <c r="HY44" s="1164"/>
      <c r="HZ44" s="1164"/>
      <c r="IA44" s="1164"/>
      <c r="IB44" s="1164"/>
      <c r="IC44" s="1164"/>
      <c r="ID44" s="1179"/>
      <c r="IE44" s="1159"/>
      <c r="IF44" s="1160"/>
      <c r="IG44" s="1161"/>
      <c r="IH44" s="1162"/>
      <c r="II44" s="1160"/>
      <c r="IJ44" s="1161"/>
      <c r="IK44" s="1162"/>
      <c r="IL44" s="1160"/>
      <c r="IM44" s="1160"/>
      <c r="IN44" s="1160"/>
      <c r="IO44" s="1160"/>
      <c r="IP44" s="1160"/>
      <c r="IQ44" s="1160"/>
      <c r="IR44" s="1160"/>
      <c r="IS44" s="1161"/>
      <c r="IT44" s="1162"/>
      <c r="IU44" s="1160"/>
      <c r="IV44" s="1160"/>
      <c r="IW44" s="1161"/>
      <c r="IX44" s="1162"/>
      <c r="IY44" s="1160"/>
      <c r="IZ44" s="1160"/>
      <c r="JA44" s="1161"/>
      <c r="JB44" s="1162"/>
      <c r="JC44" s="1160"/>
      <c r="JD44" s="1160"/>
      <c r="JE44" s="1161"/>
      <c r="JF44" s="1162"/>
      <c r="JG44" s="1160"/>
      <c r="JH44" s="1160"/>
      <c r="JI44" s="1160"/>
      <c r="JJ44" s="1163"/>
      <c r="JK44" s="1160"/>
      <c r="JL44" s="1103">
        <f t="shared" ca="1" si="44"/>
        <v>0</v>
      </c>
    </row>
    <row r="45" spans="1:272" ht="12.6" customHeight="1" thickBot="1" x14ac:dyDescent="0.35">
      <c r="A45" s="1588"/>
      <c r="B45" s="1589"/>
      <c r="C45" s="1590"/>
      <c r="D45" s="1591"/>
      <c r="E45" s="1592"/>
      <c r="F45" s="1593"/>
      <c r="G45" s="1594"/>
      <c r="H45" s="1595"/>
      <c r="I45" s="1596"/>
      <c r="J45" s="1591"/>
      <c r="K45" s="1595"/>
      <c r="L45" s="1597"/>
      <c r="M45" s="1598"/>
      <c r="N45" s="1599"/>
      <c r="O45" s="1594"/>
      <c r="P45" s="1595"/>
      <c r="Q45" s="1591"/>
      <c r="R45" s="1592"/>
      <c r="S45" s="1600"/>
      <c r="T45" s="1595"/>
      <c r="U45" s="1591"/>
      <c r="V45" s="1595"/>
      <c r="W45" s="1599"/>
      <c r="X45" s="1601"/>
      <c r="Y45" s="1602"/>
      <c r="Z45" s="1603"/>
      <c r="AA45" s="1643"/>
      <c r="AB45" s="1588"/>
      <c r="AC45" s="1596"/>
      <c r="AD45" s="1591"/>
      <c r="AE45" s="1595"/>
      <c r="AF45" s="1596"/>
      <c r="AG45" s="1591"/>
      <c r="AH45" s="1595"/>
      <c r="AI45" s="1591"/>
      <c r="AJ45" s="1595"/>
      <c r="AK45" s="1626"/>
      <c r="AL45" s="1627"/>
      <c r="AM45" s="1628"/>
      <c r="AN45" s="1596"/>
      <c r="AO45" s="1599"/>
      <c r="AP45" s="1598"/>
      <c r="AQ45" s="1630"/>
      <c r="AR45" s="1594"/>
      <c r="AS45" s="1595"/>
      <c r="AT45" s="1631"/>
      <c r="AU45" s="1632"/>
      <c r="AV45" s="1600"/>
      <c r="AW45" s="1595"/>
      <c r="AX45" s="1631"/>
      <c r="AY45" s="1632"/>
      <c r="AZ45" s="1600"/>
      <c r="BA45" s="1595"/>
      <c r="BB45" s="1631"/>
      <c r="BC45" s="1632"/>
      <c r="BD45" s="1600"/>
      <c r="BE45" s="1595"/>
      <c r="BF45" s="1631"/>
      <c r="BG45" s="1632"/>
      <c r="BH45" s="1291"/>
      <c r="BJ45" s="915" t="str">
        <f t="shared" si="42"/>
        <v/>
      </c>
      <c r="BK45" s="913" t="e">
        <f t="shared" si="0"/>
        <v>#REF!</v>
      </c>
      <c r="BL45" s="908" t="b">
        <v>0</v>
      </c>
      <c r="BM45" s="908">
        <f t="shared" si="1"/>
        <v>0</v>
      </c>
      <c r="BN45" s="908">
        <f t="shared" si="2"/>
        <v>0</v>
      </c>
      <c r="BO45" s="908">
        <f t="shared" si="3"/>
        <v>0</v>
      </c>
      <c r="BP45" s="908">
        <f t="shared" si="4"/>
        <v>0</v>
      </c>
      <c r="BQ45" s="908">
        <f t="shared" si="5"/>
        <v>0</v>
      </c>
      <c r="BR45" s="908" t="b">
        <f t="shared" si="6"/>
        <v>1</v>
      </c>
      <c r="BS45" s="1216">
        <f t="shared" si="7"/>
        <v>6</v>
      </c>
      <c r="BT45" s="909" t="str">
        <f t="shared" si="8"/>
        <v>No</v>
      </c>
      <c r="BU45" s="1216">
        <f t="shared" si="9"/>
        <v>6</v>
      </c>
      <c r="BV45" s="909" t="str">
        <f t="shared" si="10"/>
        <v>No</v>
      </c>
      <c r="BW45" s="910">
        <f t="shared" si="11"/>
        <v>0</v>
      </c>
      <c r="BX45" s="911" t="str">
        <f t="shared" si="12"/>
        <v/>
      </c>
      <c r="BY45" s="911" t="b">
        <f t="shared" si="13"/>
        <v>0</v>
      </c>
      <c r="BZ45" s="910" t="e">
        <f t="shared" si="35"/>
        <v>#REF!</v>
      </c>
      <c r="CB45" s="626"/>
      <c r="CC45" s="1568"/>
      <c r="CD45" s="650"/>
      <c r="CE45" s="651"/>
      <c r="CF45" s="652"/>
      <c r="CG45" s="666"/>
      <c r="CH45" s="667"/>
      <c r="CI45" s="668"/>
      <c r="CJ45" s="667"/>
      <c r="CK45" s="668"/>
      <c r="CL45" s="669"/>
      <c r="CM45" s="693"/>
      <c r="CN45" s="690"/>
      <c r="CO45" s="1431"/>
      <c r="CP45" s="840"/>
      <c r="CQ45" s="666"/>
      <c r="CR45" s="667"/>
      <c r="CS45" s="668"/>
      <c r="CT45" s="667"/>
      <c r="CU45" s="668"/>
      <c r="CV45" s="669"/>
      <c r="CW45" s="693"/>
      <c r="CX45" s="690"/>
      <c r="CY45" s="1431"/>
      <c r="CZ45" s="840"/>
      <c r="DA45" s="671"/>
      <c r="DB45" s="653"/>
      <c r="DC45" s="654"/>
      <c r="DD45" s="676"/>
      <c r="DE45" s="677"/>
      <c r="DF45" s="58"/>
      <c r="DG45" s="58"/>
      <c r="DH45" s="725"/>
      <c r="DI45" s="627"/>
      <c r="DJ45" s="640"/>
      <c r="DK45" s="1246"/>
      <c r="DL45" s="628"/>
      <c r="DM45" s="641"/>
      <c r="DN45" s="1249"/>
      <c r="DO45" s="629"/>
      <c r="DP45" s="630"/>
      <c r="DQ45" s="1295"/>
      <c r="DR45" s="631"/>
      <c r="DS45" s="1295"/>
      <c r="DT45" s="1298"/>
      <c r="DU45" s="1299"/>
      <c r="DV45" s="632"/>
      <c r="DW45" s="1251"/>
      <c r="DX45" s="633"/>
      <c r="DY45" s="634"/>
      <c r="DZ45" s="632"/>
      <c r="EA45" s="1251"/>
      <c r="EB45" s="633"/>
      <c r="EC45" s="634"/>
      <c r="ED45" s="632"/>
      <c r="EE45" s="1251"/>
      <c r="EF45" s="633"/>
      <c r="EG45" s="634"/>
      <c r="EH45" s="632"/>
      <c r="EI45" s="1251"/>
      <c r="EJ45" s="633"/>
      <c r="EK45" s="635"/>
      <c r="EL45" s="147"/>
      <c r="EM45" s="1515" t="str">
        <f t="shared" si="14"/>
        <v/>
      </c>
      <c r="EN45" s="1517" t="str">
        <f t="shared" si="15"/>
        <v/>
      </c>
      <c r="EO45" s="1306" t="str">
        <f t="shared" si="16"/>
        <v/>
      </c>
      <c r="EP45" s="1307" t="str">
        <f t="shared" si="17"/>
        <v/>
      </c>
      <c r="EQ45" s="1310" t="str">
        <f t="shared" si="18"/>
        <v/>
      </c>
      <c r="ER45" s="1319" t="str">
        <f t="shared" si="19"/>
        <v/>
      </c>
      <c r="ES45" s="1320" t="str">
        <f t="shared" si="20"/>
        <v/>
      </c>
      <c r="ET45" s="1321" t="str">
        <f t="shared" si="21"/>
        <v/>
      </c>
      <c r="EU45" s="1322" t="str">
        <f t="shared" si="36"/>
        <v/>
      </c>
      <c r="EX45" s="870" t="str">
        <f t="shared" si="37"/>
        <v/>
      </c>
      <c r="EY45" s="872" t="str">
        <f t="shared" si="22"/>
        <v/>
      </c>
      <c r="EZ45" s="872" t="str">
        <f t="shared" si="38"/>
        <v/>
      </c>
      <c r="FA45" s="891" t="str">
        <f t="shared" si="43"/>
        <v/>
      </c>
      <c r="FB45" s="892" t="str">
        <f t="shared" si="39"/>
        <v/>
      </c>
      <c r="FC45" s="892">
        <f t="shared" si="23"/>
        <v>0</v>
      </c>
      <c r="FD45" s="892">
        <f t="shared" si="24"/>
        <v>0</v>
      </c>
      <c r="FE45" s="892">
        <f t="shared" si="25"/>
        <v>0</v>
      </c>
      <c r="FF45" s="892">
        <f t="shared" si="40"/>
        <v>0</v>
      </c>
      <c r="FN45" s="703" t="b">
        <v>0</v>
      </c>
      <c r="FO45" s="703" t="b">
        <f t="shared" si="26"/>
        <v>0</v>
      </c>
      <c r="FP45" s="1254" t="b">
        <v>0</v>
      </c>
      <c r="FQ45" s="703" t="b">
        <f t="shared" si="41"/>
        <v>0</v>
      </c>
      <c r="FW45" s="24"/>
      <c r="FX45" s="24"/>
      <c r="FZ45" s="26"/>
      <c r="GA45" s="524" t="str">
        <f t="shared" si="27"/>
        <v/>
      </c>
      <c r="GB45" s="566" t="str">
        <f t="shared" si="28"/>
        <v/>
      </c>
      <c r="GC45" s="568" t="str">
        <f t="shared" si="29"/>
        <v/>
      </c>
      <c r="GD45" s="569" t="str">
        <f t="shared" si="30"/>
        <v/>
      </c>
      <c r="GE45" s="567" t="str">
        <f t="shared" si="31"/>
        <v/>
      </c>
      <c r="GF45" s="525" t="str">
        <f t="shared" si="32"/>
        <v/>
      </c>
      <c r="GG45" s="1059"/>
      <c r="GH45" s="1060"/>
      <c r="GI45" s="1059"/>
      <c r="GJ45" s="1060"/>
      <c r="GK45" s="1523">
        <f t="shared" si="33"/>
        <v>0</v>
      </c>
      <c r="GL45" s="1523" t="e">
        <f t="shared" si="34"/>
        <v>#VALUE!</v>
      </c>
      <c r="GM45" s="1524" t="e">
        <f>IF(ABS(GK45-GL45)&gt;=#REF!,ABS(GK45-GL45),0)</f>
        <v>#VALUE!</v>
      </c>
      <c r="GN45" s="56"/>
      <c r="GO45" s="56"/>
      <c r="GP45" s="56"/>
      <c r="GZ45" s="64"/>
      <c r="HA45" s="1167"/>
      <c r="HB45" s="1168"/>
      <c r="HC45" s="1168"/>
      <c r="HD45" s="1169"/>
      <c r="HE45" s="1170"/>
      <c r="HF45" s="1168"/>
      <c r="HG45" s="1168"/>
      <c r="HH45" s="1168"/>
      <c r="HI45" s="1168"/>
      <c r="HJ45" s="1168"/>
      <c r="HK45" s="1168"/>
      <c r="HL45" s="1168"/>
      <c r="HM45" s="1168"/>
      <c r="HN45" s="1168"/>
      <c r="HO45" s="1168"/>
      <c r="HP45" s="1168"/>
      <c r="HQ45" s="1168"/>
      <c r="HR45" s="1168"/>
      <c r="HS45" s="1168"/>
      <c r="HT45" s="1168"/>
      <c r="HU45" s="1168"/>
      <c r="HV45" s="1168"/>
      <c r="HW45" s="1168"/>
      <c r="HX45" s="1168"/>
      <c r="HY45" s="1171"/>
      <c r="HZ45" s="1171"/>
      <c r="IA45" s="1171"/>
      <c r="IB45" s="1171"/>
      <c r="IC45" s="1171"/>
      <c r="ID45" s="1180"/>
      <c r="IE45" s="1167"/>
      <c r="IF45" s="1168"/>
      <c r="IG45" s="1169"/>
      <c r="IH45" s="1170"/>
      <c r="II45" s="1168"/>
      <c r="IJ45" s="1169"/>
      <c r="IK45" s="1170"/>
      <c r="IL45" s="1168"/>
      <c r="IM45" s="1168"/>
      <c r="IN45" s="1168"/>
      <c r="IO45" s="1168"/>
      <c r="IP45" s="1168"/>
      <c r="IQ45" s="1168"/>
      <c r="IR45" s="1168"/>
      <c r="IS45" s="1169"/>
      <c r="IT45" s="1170"/>
      <c r="IU45" s="1168"/>
      <c r="IV45" s="1168"/>
      <c r="IW45" s="1169"/>
      <c r="IX45" s="1170"/>
      <c r="IY45" s="1168"/>
      <c r="IZ45" s="1168"/>
      <c r="JA45" s="1169"/>
      <c r="JB45" s="1170"/>
      <c r="JC45" s="1168"/>
      <c r="JD45" s="1168"/>
      <c r="JE45" s="1169"/>
      <c r="JF45" s="1170"/>
      <c r="JG45" s="1168"/>
      <c r="JH45" s="1168"/>
      <c r="JI45" s="1168"/>
      <c r="JJ45" s="1173"/>
      <c r="JK45" s="1168"/>
      <c r="JL45" s="1104">
        <f t="shared" ca="1" si="44"/>
        <v>0</v>
      </c>
    </row>
    <row r="46" spans="1:272" ht="20.100000000000001" customHeight="1" thickTop="1" x14ac:dyDescent="0.2">
      <c r="A46" s="1065"/>
      <c r="B46" s="1065"/>
      <c r="C46" s="1065"/>
      <c r="D46" s="1065"/>
      <c r="E46" s="1065"/>
      <c r="F46" s="1065"/>
      <c r="G46" s="1065"/>
      <c r="H46" s="1065"/>
      <c r="I46" s="1065"/>
      <c r="J46" s="1065"/>
      <c r="K46" s="1065"/>
      <c r="L46" s="1065"/>
      <c r="M46" s="1065"/>
      <c r="N46" s="1065"/>
      <c r="O46" s="1065"/>
      <c r="P46" s="1065"/>
      <c r="Q46" s="1065"/>
      <c r="R46" s="1065"/>
      <c r="S46" s="1065"/>
      <c r="T46" s="1065"/>
      <c r="U46" s="1065"/>
      <c r="V46" s="1065"/>
      <c r="W46" s="1065"/>
      <c r="X46" s="1065"/>
      <c r="Y46" s="1065"/>
      <c r="Z46" s="1065"/>
      <c r="AA46" s="1065"/>
      <c r="AB46" s="1065"/>
      <c r="AC46" s="1065"/>
      <c r="AD46" s="1065"/>
      <c r="AE46" s="1065"/>
      <c r="AF46" s="1065"/>
      <c r="AG46" s="1065"/>
      <c r="AH46" s="1065"/>
      <c r="AI46" s="1065"/>
      <c r="AJ46" s="1065"/>
      <c r="AK46" s="1065"/>
      <c r="AL46" s="1065"/>
      <c r="AM46" s="1065"/>
      <c r="AN46" s="1065"/>
      <c r="AO46" s="1065"/>
      <c r="AP46" s="1065"/>
      <c r="AQ46" s="1065"/>
      <c r="AR46" s="1065"/>
      <c r="AS46" s="1065"/>
      <c r="AT46" s="1065"/>
      <c r="AU46" s="1065"/>
      <c r="AV46" s="1065"/>
      <c r="AW46" s="1065"/>
      <c r="AX46" s="1065"/>
      <c r="AY46" s="1065"/>
      <c r="AZ46" s="1065"/>
      <c r="BA46" s="1065"/>
      <c r="BB46" s="1065"/>
      <c r="BC46" s="1065"/>
      <c r="BD46" s="1065"/>
      <c r="BE46" s="1065"/>
      <c r="BF46" s="1065"/>
      <c r="BG46" s="1065"/>
      <c r="BH46" s="178"/>
      <c r="CA46" s="40"/>
      <c r="CB46" s="27"/>
      <c r="CC46" s="27"/>
      <c r="CD46" s="27"/>
      <c r="CE46" s="27"/>
      <c r="CF46" s="27"/>
      <c r="CG46" s="27"/>
      <c r="CH46" s="27"/>
      <c r="CI46" s="27"/>
      <c r="CJ46" s="27"/>
      <c r="CK46" s="27"/>
      <c r="CL46" s="27"/>
      <c r="CM46" s="27"/>
      <c r="CN46" s="27"/>
      <c r="CO46" s="27"/>
      <c r="CP46" s="27"/>
      <c r="CQ46" s="27"/>
      <c r="CR46" s="27"/>
      <c r="CS46" s="27"/>
      <c r="CT46" s="27"/>
      <c r="CU46" s="27"/>
      <c r="CV46" s="27"/>
      <c r="CW46" s="27"/>
      <c r="CX46" s="27"/>
      <c r="CY46" s="27"/>
      <c r="CZ46" s="27"/>
      <c r="DA46" s="27"/>
      <c r="DB46" s="24"/>
      <c r="DC46" s="24"/>
      <c r="DD46" s="24"/>
      <c r="DE46" s="24"/>
      <c r="DF46" s="24"/>
      <c r="DG46" s="24"/>
      <c r="DH46" s="55"/>
      <c r="DI46" s="55"/>
      <c r="DJ46" s="55"/>
      <c r="DK46" s="55"/>
      <c r="DL46" s="55"/>
      <c r="DM46" s="55"/>
      <c r="DN46" s="55"/>
      <c r="DO46" s="55"/>
      <c r="DP46" s="55"/>
      <c r="DQ46" s="55"/>
      <c r="DR46" s="55"/>
      <c r="DS46" s="55"/>
      <c r="DT46" s="572"/>
      <c r="DU46" s="572"/>
      <c r="DV46" s="55"/>
      <c r="DW46" s="55"/>
      <c r="DX46" s="55"/>
      <c r="DY46" s="55"/>
      <c r="DZ46" s="55"/>
      <c r="EA46" s="55"/>
      <c r="EB46" s="55"/>
      <c r="EC46" s="55"/>
      <c r="ED46" s="55"/>
      <c r="EE46" s="55"/>
      <c r="EF46" s="55"/>
      <c r="EG46" s="55"/>
      <c r="EH46" s="55"/>
      <c r="EI46" s="55"/>
      <c r="EJ46" s="55"/>
      <c r="EK46" s="55"/>
      <c r="EL46" s="24"/>
      <c r="EM46" s="23"/>
      <c r="EN46" s="29"/>
      <c r="EO46" s="209"/>
      <c r="EP46" s="210"/>
      <c r="EQ46" s="210"/>
      <c r="ER46" s="210"/>
      <c r="ES46" s="211"/>
      <c r="ET46" s="212"/>
      <c r="EU46" s="212"/>
      <c r="EV46" s="212"/>
      <c r="EW46" s="212"/>
      <c r="EX46" s="212"/>
      <c r="EY46" s="212"/>
      <c r="EZ46" s="212"/>
      <c r="FA46" s="212"/>
      <c r="FB46" s="212"/>
      <c r="FC46" s="212"/>
      <c r="FD46" s="209"/>
      <c r="FE46" s="209"/>
      <c r="FF46" s="209"/>
      <c r="FG46" s="209"/>
      <c r="FH46" s="209"/>
      <c r="FI46" s="209"/>
      <c r="FJ46" s="209"/>
      <c r="FK46" s="209"/>
      <c r="FL46" s="209"/>
      <c r="FM46" s="209"/>
      <c r="FN46" s="24"/>
      <c r="FO46" s="24"/>
      <c r="FP46" s="24"/>
      <c r="FQ46" s="24"/>
      <c r="FR46" s="24"/>
      <c r="FS46" s="24"/>
      <c r="FT46" s="24"/>
      <c r="FU46" s="24"/>
      <c r="FV46" s="24"/>
      <c r="FW46" s="24"/>
      <c r="FX46" s="24"/>
      <c r="FY46" s="24"/>
      <c r="FZ46" s="26"/>
      <c r="GA46" s="49"/>
      <c r="GB46" s="1061"/>
      <c r="GC46" s="1061"/>
      <c r="GD46" s="1061"/>
      <c r="GE46" s="1061"/>
      <c r="GF46" s="1061"/>
      <c r="GG46" s="1061"/>
      <c r="GH46" s="1061"/>
      <c r="GI46" s="56"/>
      <c r="GJ46" s="56"/>
      <c r="GK46" s="56"/>
      <c r="GL46" s="56"/>
      <c r="GM46" s="56"/>
      <c r="GN46" s="56"/>
      <c r="GO46" s="56"/>
      <c r="GP46" s="56"/>
      <c r="GQ46" s="56"/>
      <c r="GR46" s="56"/>
      <c r="GS46" s="56"/>
      <c r="GT46" s="56"/>
      <c r="GU46" s="56"/>
      <c r="GV46" s="56"/>
      <c r="GW46" s="56"/>
      <c r="GX46" s="56"/>
      <c r="GY46" s="56"/>
    </row>
    <row r="47" spans="1:272" ht="12.75" customHeight="1" x14ac:dyDescent="0.2">
      <c r="B47" s="476" t="s">
        <v>373</v>
      </c>
      <c r="AL47" s="177"/>
      <c r="AM47" s="177"/>
      <c r="AN47" s="177"/>
      <c r="AO47" s="177"/>
      <c r="AP47" s="177"/>
      <c r="AQ47" s="177"/>
      <c r="CA47" s="40"/>
      <c r="CB47" s="27"/>
      <c r="CC47" s="27"/>
      <c r="CD47" s="27"/>
      <c r="CE47" s="27"/>
      <c r="CF47" s="27"/>
      <c r="CG47" s="27"/>
      <c r="CH47" s="27"/>
      <c r="CI47" s="27"/>
      <c r="CJ47" s="27"/>
      <c r="CK47" s="27"/>
      <c r="CL47" s="27"/>
      <c r="CM47" s="27"/>
      <c r="CN47" s="27"/>
      <c r="CO47" s="27"/>
      <c r="CP47" s="27"/>
      <c r="CQ47" s="27"/>
      <c r="CR47" s="27"/>
      <c r="CS47" s="27"/>
      <c r="CT47" s="27"/>
      <c r="CU47" s="27"/>
      <c r="CV47" s="27"/>
      <c r="CW47" s="27"/>
      <c r="CX47" s="27"/>
      <c r="CY47" s="27"/>
      <c r="DD47" s="27"/>
      <c r="DE47" s="27"/>
      <c r="DF47" s="27"/>
      <c r="DG47" s="27"/>
      <c r="DH47" s="55"/>
      <c r="DI47" s="55"/>
      <c r="DJ47" s="55"/>
      <c r="DK47" s="55"/>
      <c r="DL47" s="55"/>
      <c r="DM47" s="55"/>
      <c r="DN47" s="55"/>
      <c r="DO47" s="55"/>
      <c r="DP47" s="55"/>
      <c r="DQ47" s="55"/>
      <c r="DR47" s="55"/>
      <c r="DS47" s="55"/>
      <c r="DT47" s="55"/>
      <c r="DU47" s="55"/>
      <c r="DV47" s="55"/>
      <c r="DW47" s="55"/>
      <c r="DX47" s="55"/>
      <c r="DY47" s="55"/>
      <c r="DZ47" s="55"/>
      <c r="EA47" s="55"/>
      <c r="EB47" s="55"/>
      <c r="EC47" s="55"/>
      <c r="ED47" s="55"/>
      <c r="EE47" s="55"/>
      <c r="EF47" s="55"/>
      <c r="EG47" s="55"/>
      <c r="EH47" s="55"/>
      <c r="EI47" s="55"/>
      <c r="EJ47" s="55"/>
      <c r="EK47" s="55"/>
      <c r="EL47" s="24"/>
      <c r="EM47" s="24"/>
      <c r="EN47" s="26"/>
      <c r="EO47" s="24"/>
      <c r="EP47" s="25"/>
      <c r="EQ47" s="25"/>
      <c r="ER47" s="25"/>
      <c r="ES47" s="28"/>
      <c r="ET47" s="24"/>
      <c r="EU47" s="24"/>
      <c r="EV47" s="24"/>
      <c r="EW47" s="24"/>
      <c r="EX47" s="24"/>
      <c r="EY47" s="24"/>
      <c r="EZ47" s="24"/>
      <c r="FA47" s="24"/>
      <c r="FB47" s="24"/>
      <c r="FC47" s="24"/>
      <c r="FD47" s="24"/>
      <c r="FE47" s="24"/>
      <c r="FF47" s="24"/>
      <c r="FG47" s="24"/>
      <c r="FH47" s="24"/>
      <c r="FI47" s="24"/>
      <c r="FJ47" s="24"/>
      <c r="FK47" s="24"/>
      <c r="FL47" s="24"/>
      <c r="FM47" s="24"/>
      <c r="FN47" s="24"/>
      <c r="FO47" s="24"/>
      <c r="FP47" s="24"/>
      <c r="FQ47" s="24"/>
      <c r="FR47" s="24"/>
      <c r="FS47" s="24"/>
      <c r="FT47" s="24"/>
      <c r="FU47" s="24"/>
      <c r="FV47" s="24"/>
      <c r="FW47" s="24"/>
      <c r="FX47" s="24"/>
      <c r="FY47" s="24"/>
      <c r="FZ47" s="26"/>
      <c r="GA47" s="24"/>
      <c r="GB47" s="56"/>
      <c r="GC47" s="56"/>
      <c r="GD47" s="56"/>
      <c r="GE47" s="56"/>
      <c r="GF47" s="56"/>
      <c r="GG47" s="56"/>
      <c r="GH47" s="56"/>
      <c r="GI47" s="56"/>
      <c r="GJ47" s="56"/>
      <c r="GK47" s="56"/>
      <c r="GL47" s="56"/>
      <c r="GM47" s="56"/>
      <c r="GN47" s="56"/>
      <c r="GO47" s="56"/>
      <c r="GP47" s="56"/>
      <c r="GQ47" s="56"/>
      <c r="GR47" s="27"/>
      <c r="GS47" s="27"/>
      <c r="GT47" s="27"/>
      <c r="GU47" s="27"/>
      <c r="GV47" s="27"/>
      <c r="GW47" s="27"/>
      <c r="GX47" s="27"/>
      <c r="GY47" s="27"/>
      <c r="GZ47" s="27"/>
      <c r="HA47" s="27"/>
      <c r="HB47" s="27"/>
      <c r="HC47" s="27"/>
      <c r="HD47" s="27"/>
      <c r="HE47" s="27"/>
      <c r="HF47" s="27"/>
      <c r="HG47" s="27"/>
      <c r="HH47" s="27"/>
      <c r="HI47" s="27"/>
      <c r="HJ47" s="27"/>
      <c r="HK47" s="27"/>
      <c r="HL47" s="27"/>
      <c r="HM47" s="27"/>
      <c r="HN47" s="27"/>
      <c r="HO47" s="27"/>
      <c r="HP47" s="55"/>
      <c r="HQ47" s="27"/>
      <c r="HR47" s="27"/>
      <c r="HS47" s="27"/>
      <c r="HT47" s="27"/>
      <c r="HU47" s="27"/>
      <c r="HV47" s="27"/>
      <c r="HW47" s="27"/>
      <c r="HX47" s="27"/>
      <c r="HY47" s="27"/>
      <c r="HZ47" s="27"/>
      <c r="IA47" s="27"/>
      <c r="IB47" s="27"/>
      <c r="IC47" s="27"/>
      <c r="ID47" s="27"/>
      <c r="IE47" s="27"/>
      <c r="IF47" s="27"/>
      <c r="IG47" s="27"/>
      <c r="IH47" s="27"/>
      <c r="II47" s="27"/>
      <c r="IJ47" s="27"/>
      <c r="IK47" s="27"/>
      <c r="IL47" s="27"/>
      <c r="IM47" s="27"/>
      <c r="IN47" s="27"/>
      <c r="IO47" s="27"/>
      <c r="IP47" s="27"/>
      <c r="IQ47" s="27"/>
      <c r="IR47" s="27"/>
      <c r="IS47" s="27"/>
      <c r="IT47" s="27"/>
      <c r="IU47" s="27"/>
    </row>
    <row r="48" spans="1:272" ht="12" hidden="1" customHeight="1" thickTop="1" thickBot="1" x14ac:dyDescent="0.25">
      <c r="B48" s="66">
        <f>SUM(B14:B45)</f>
        <v>4</v>
      </c>
      <c r="CA48" s="40"/>
      <c r="CB48" s="27"/>
      <c r="CC48" s="27"/>
      <c r="CD48" s="27"/>
      <c r="CE48" s="27"/>
      <c r="CF48" s="27"/>
      <c r="CG48" s="27"/>
      <c r="CH48" s="27"/>
      <c r="CI48" s="27"/>
      <c r="CJ48" s="27"/>
      <c r="CK48" s="27"/>
      <c r="CL48" s="27"/>
      <c r="CM48" s="27"/>
      <c r="CN48" s="27"/>
      <c r="CO48" s="27"/>
      <c r="CP48" s="27"/>
      <c r="CQ48" s="27"/>
      <c r="CR48" s="27"/>
      <c r="CS48" s="27"/>
      <c r="CT48" s="27"/>
      <c r="CU48" s="27"/>
      <c r="CV48" s="27"/>
      <c r="CW48" s="27"/>
      <c r="CX48" s="27"/>
      <c r="CY48" s="27"/>
      <c r="DD48" s="24"/>
      <c r="DE48" s="24"/>
      <c r="DF48" s="24"/>
      <c r="DG48" s="24"/>
      <c r="DH48" s="55"/>
      <c r="DI48" s="55"/>
      <c r="DJ48" s="55"/>
      <c r="DK48" s="55"/>
      <c r="DL48" s="55"/>
      <c r="DM48" s="55"/>
      <c r="DN48" s="55"/>
      <c r="DO48" s="55"/>
      <c r="DP48" s="55"/>
      <c r="DQ48" s="55"/>
      <c r="DR48" s="55"/>
      <c r="DS48" s="55"/>
      <c r="DT48" s="55"/>
      <c r="DU48" s="55"/>
      <c r="DV48" s="55"/>
      <c r="DW48" s="55"/>
      <c r="DX48" s="55"/>
      <c r="DY48" s="55"/>
      <c r="DZ48" s="55"/>
      <c r="EA48" s="55"/>
      <c r="EB48" s="55"/>
      <c r="EC48" s="55"/>
      <c r="ED48" s="55"/>
      <c r="EE48" s="55"/>
      <c r="EF48" s="55"/>
      <c r="EG48" s="55"/>
      <c r="EH48" s="55"/>
      <c r="EI48" s="55"/>
      <c r="EJ48" s="55"/>
      <c r="EK48" s="55"/>
      <c r="EL48" s="24"/>
      <c r="EM48" s="24"/>
      <c r="EN48" s="26"/>
      <c r="EO48" s="24"/>
      <c r="EP48" s="25"/>
      <c r="EQ48" s="25"/>
      <c r="ER48" s="25"/>
      <c r="ES48" s="28"/>
      <c r="ET48" s="24"/>
      <c r="EU48" s="24"/>
      <c r="EV48" s="24"/>
      <c r="EW48" s="24"/>
      <c r="EX48" s="24"/>
      <c r="EY48" s="24"/>
      <c r="EZ48" s="24"/>
      <c r="FA48" s="24"/>
      <c r="FB48" s="24"/>
      <c r="FC48" s="24"/>
      <c r="FD48" s="24"/>
      <c r="FE48" s="24"/>
      <c r="FF48" s="24"/>
      <c r="FG48" s="24"/>
      <c r="FH48" s="24"/>
      <c r="FI48" s="24"/>
      <c r="FJ48" s="24"/>
      <c r="FK48" s="24"/>
      <c r="FL48" s="24"/>
      <c r="FM48" s="24"/>
      <c r="FZ48" s="850" t="s">
        <v>653</v>
      </c>
      <c r="GA48" s="524" t="str">
        <f t="shared" ref="GA48" si="45">IF(GF48="","",CE48)</f>
        <v/>
      </c>
      <c r="GB48" s="566" t="str">
        <f t="shared" ref="GB48" si="46">IF(GF48="","",CF48)</f>
        <v/>
      </c>
      <c r="GC48" s="568" t="str">
        <f t="shared" ref="GC48" si="47">IF(GF48="","",IF(CD88="",0,CD88))</f>
        <v/>
      </c>
      <c r="GD48" s="569" t="str">
        <f t="shared" ref="GD48" si="48">IF(GF48="","",IF(CM88="",0,CM88))</f>
        <v/>
      </c>
      <c r="GE48" s="567"/>
      <c r="GF48" s="525"/>
      <c r="GG48" s="1522"/>
      <c r="GH48" s="1525"/>
      <c r="GI48" s="1522"/>
      <c r="GJ48" s="1525"/>
      <c r="GK48" s="56"/>
      <c r="GL48" s="56"/>
      <c r="GM48" s="56"/>
      <c r="GN48" s="56"/>
      <c r="GO48" s="56"/>
      <c r="GP48" s="56"/>
      <c r="GQ48" s="56"/>
      <c r="GR48" s="70" t="str">
        <f>IF(ISERROR(VLOOKUP($CB48,#REF!,HA$7,FALSE)),"",VLOOKUP($CB48,#REF!,HA$7,FALSE))</f>
        <v/>
      </c>
      <c r="GS48" s="71" t="str">
        <f>IF(ISERROR(VLOOKUP($CB48,#REF!,HB$7,FALSE)),"",IF(VLOOKUP($CB48,#REF!,HB$7,FALSE)="","",VLOOKUP($CB48,#REF!,HB$7,FALSE)))</f>
        <v/>
      </c>
      <c r="GT48" s="72" t="str">
        <f>IF(ISERROR(VLOOKUP($CB48,#REF!,HC$7,FALSE)),"",IF(VLOOKUP($CB48,#REF!,HC$7,FALSE)="","",VLOOKUP($CB48,#REF!,HC$7,FALSE)))</f>
        <v/>
      </c>
      <c r="GU48" s="73" t="str">
        <f>IF(ISERROR(VLOOKUP($CB48,#REF!,HD$7,FALSE)),"",IF(VLOOKUP($CB48,#REF!,HD$7,FALSE)="","",VLOOKUP($CB48,#REF!,HD$7,FALSE)))</f>
        <v/>
      </c>
      <c r="GV48" s="74" t="str">
        <f>IF(ISERROR(VLOOKUP($CB48,#REF!,HE$7,FALSE)),"",IF(VLOOKUP($CB48,#REF!,HE$7,FALSE)="","",VLOOKUP($CB48,#REF!,HE$7,FALSE)))</f>
        <v/>
      </c>
      <c r="GW48" s="75" t="str">
        <f>IF(ISERROR(VLOOKUP($CB48,#REF!,HF$7,FALSE)),"",IF(VLOOKUP($CB48,#REF!,HF$7,FALSE)="","",VLOOKUP($CB48,#REF!,HF$7,FALSE)))</f>
        <v/>
      </c>
      <c r="GX48" s="76" t="str">
        <f>IF(ISERROR(VLOOKUP($CB48,#REF!,HG$7,FALSE)),"",IF(VLOOKUP($CB48,#REF!,HG$7,FALSE)="","",VLOOKUP($CB48,#REF!,HG$7,FALSE)))</f>
        <v/>
      </c>
      <c r="GY48" s="77" t="str">
        <f>IF(ISERROR(VLOOKUP($CB48,#REF!,HH$7,FALSE)),"",IF(VLOOKUP($CB48,#REF!,HH$7,FALSE)="","",VLOOKUP($CB48,#REF!,HH$7,FALSE)))</f>
        <v/>
      </c>
      <c r="GZ48" s="76" t="str">
        <f>IF(ISERROR(VLOOKUP($CB48,#REF!,HI$7,FALSE)),"",IF(VLOOKUP($CB48,#REF!,HI$7,FALSE)="","",VLOOKUP($CB48,#REF!,HI$7,FALSE)))</f>
        <v/>
      </c>
      <c r="HA48" s="77" t="str">
        <f>IF(ISERROR(VLOOKUP($CB48,#REF!,HJ$7,FALSE)),"",IF(VLOOKUP($CB48,#REF!,HJ$7,FALSE)="","",VLOOKUP($CB48,#REF!,HJ$7,FALSE)))</f>
        <v/>
      </c>
      <c r="HB48" s="78" t="str">
        <f>IF(ISERROR(VLOOKUP($CB48,#REF!,HK$7,FALSE)),"",IF(VLOOKUP($CB48,#REF!,HK$7,FALSE)="","",VLOOKUP($CB48,#REF!,HK$7,FALSE)))</f>
        <v/>
      </c>
      <c r="HC48" s="79" t="str">
        <f>IF(ISERROR(VLOOKUP($CB48,#REF!,HL$7,FALSE)),"",IF(VLOOKUP($CB48,#REF!,HL$7,FALSE)="","",VLOOKUP($CB48,#REF!,HL$7,FALSE)))</f>
        <v/>
      </c>
      <c r="HD48" s="75" t="str">
        <f>IF(ISERROR(VLOOKUP($CB48,#REF!,HM$7,FALSE)),"",IF(VLOOKUP($CB48,#REF!,HM$7,FALSE)="","",VLOOKUP($CB48,#REF!,HM$7,FALSE)))</f>
        <v/>
      </c>
      <c r="HE48" s="76" t="str">
        <f>IF(ISERROR(VLOOKUP($CB48,#REF!,HN$7,FALSE)),"",IF(VLOOKUP($CB48,#REF!,HN$7,FALSE)="","",VLOOKUP($CB48,#REF!,HN$7,FALSE)))</f>
        <v/>
      </c>
      <c r="HF48" s="77" t="str">
        <f>IF(ISERROR(VLOOKUP($CB48,#REF!,HO$7,FALSE)),"",IF(VLOOKUP($CB48,#REF!,HO$7,FALSE)="","",VLOOKUP($CB48,#REF!,HO$7,FALSE)))</f>
        <v/>
      </c>
      <c r="HG48" s="76" t="str">
        <f>IF(ISERROR(VLOOKUP($CB48,#REF!,HP$7,FALSE)),"",IF(VLOOKUP($CB48,#REF!,HP$7,FALSE)="","",VLOOKUP($CB48,#REF!,HP$7,FALSE)))</f>
        <v/>
      </c>
      <c r="HH48" s="77" t="str">
        <f>IF(ISERROR(VLOOKUP($CB48,#REF!,HQ$7,FALSE)),"",IF(VLOOKUP($CB48,#REF!,HQ$7,FALSE)="","",VLOOKUP($CB48,#REF!,HQ$7,FALSE)))</f>
        <v/>
      </c>
      <c r="HI48" s="78" t="str">
        <f>IF(ISERROR(VLOOKUP($CB48,#REF!,HR$7,FALSE)),"",IF(VLOOKUP($CB48,#REF!,HR$7,FALSE)="","",VLOOKUP($CB48,#REF!,HR$7,FALSE)))</f>
        <v/>
      </c>
      <c r="HJ48" s="79" t="str">
        <f>IF(ISERROR(VLOOKUP($CB48,#REF!,HS$7,FALSE)),"",IF(VLOOKUP($CB48,#REF!,HS$7,FALSE)="","",VLOOKUP($CB48,#REF!,HS$7,FALSE)))</f>
        <v/>
      </c>
      <c r="HK48" s="80" t="str">
        <f>IF(ISERROR(VLOOKUP($CB48,#REF!,HT$7,FALSE)),"",IF(VLOOKUP($CB48,#REF!,HT$7,FALSE)="","",VLOOKUP($CB48,#REF!,HT$7,FALSE)))</f>
        <v/>
      </c>
      <c r="HL48" s="70" t="str">
        <f>IF(ISERROR(VLOOKUP($CB48,#REF!,HU$7,FALSE)),"",IF(VLOOKUP($CB48,#REF!,HU$7,FALSE)="","",VLOOKUP($CB48,#REF!,HU$7,FALSE)))</f>
        <v/>
      </c>
      <c r="HM48" s="81" t="str">
        <f>IF(ISERROR(VLOOKUP($CB48,#REF!,HV$7,FALSE)),"",IF(VLOOKUP($CB48,#REF!,HV$7,FALSE)="","",VLOOKUP($CB48,#REF!,HV$7,FALSE)))</f>
        <v/>
      </c>
      <c r="HN48" s="82" t="str">
        <f>IF(ISERROR(VLOOKUP($CB48,#REF!,HW$7,FALSE)),"",IF(VLOOKUP($CB48,#REF!,HW$7,FALSE)="","",VLOOKUP($CB48,#REF!,HW$7,FALSE)))</f>
        <v/>
      </c>
      <c r="HO48" s="83" t="str">
        <f>IF(ISERROR(VLOOKUP($CB48,#REF!,HX$7,FALSE)),"",IF(VLOOKUP($CB48,#REF!,HX$7,FALSE)="","",VLOOKUP($CB48,#REF!,HX$7,FALSE)))</f>
        <v/>
      </c>
      <c r="HP48" s="68">
        <f>IF(IU48="",0,1)</f>
        <v>0</v>
      </c>
      <c r="HQ48" s="70" t="str">
        <f ca="1">IF($HP48=0,"",IF(ISBLANK(OFFSET(#REF!,MATCH(OFFSET($DH48,($HP48-1)*-1,0),#REF!,0)+($HP48-2),HZ$9-1)),"",OFFSET(#REF!,MATCH(OFFSET($DH48,($HP48-1)*-1,0),#REF!,0)+($HP48-2),HZ$9-1)))</f>
        <v/>
      </c>
      <c r="HR48" s="84" t="str">
        <f ca="1">IF($HP48=0,"",IF(ISBLANK(OFFSET(#REF!,MATCH(OFFSET($DH48,($HP48-1)*-1,0),#REF!,0)+($HP48-2),IA$9-1)),"",OFFSET(#REF!,MATCH(OFFSET($DH48,($HP48-1)*-1,0),#REF!,0)+($HP48-2),IA$9-1)))</f>
        <v/>
      </c>
      <c r="HS48" s="85" t="str">
        <f ca="1">IF($HP48=0,"",IF(ISBLANK(OFFSET(#REF!,MATCH(OFFSET($DH48,($HP48-1)*-1,0),#REF!,0)+($HP48-2),IB$9-1)),"",OFFSET(#REF!,MATCH(OFFSET($DH48,($HP48-1)*-1,0),#REF!,0)+($HP48-2),IB$9-1)))</f>
        <v/>
      </c>
      <c r="HT48" s="86" t="str">
        <f ca="1">IF($HP48=0,"",IF(ISBLANK(OFFSET(#REF!,MATCH(OFFSET($DH48,($HP48-1)*-1,0),#REF!,0)+($HP48-2),IC$9-1)),"",OFFSET(#REF!,MATCH(OFFSET($DH48,($HP48-1)*-1,0),#REF!,0)+($HP48-2),IC$9-1)))</f>
        <v/>
      </c>
      <c r="HU48" s="87" t="str">
        <f ca="1">IF($HP48=0,"",IF(ISBLANK(OFFSET(#REF!,MATCH(OFFSET($DH48,($HP48-1)*-1,0),#REF!,0)+($HP48-2),ID$9-1)),"",OFFSET(#REF!,MATCH(OFFSET($DH48,($HP48-1)*-1,0),#REF!,0)+($HP48-2),ID$9-1)))</f>
        <v/>
      </c>
      <c r="HV48" s="88" t="str">
        <f ca="1">IF($HP48=0,"",IF(ISBLANK(OFFSET(#REF!,MATCH(OFFSET($DH48,($HP48-1)*-1,0),#REF!,0)+($HP48-2),IE$9-1)),"",OFFSET(#REF!,MATCH(OFFSET($DH48,($HP48-1)*-1,0),#REF!,0)+($HP48-2),IE$9-1)))</f>
        <v/>
      </c>
      <c r="HW48" s="89" t="str">
        <f ca="1">IF($HP48=0,"",IF(ISBLANK(OFFSET(#REF!,MATCH(OFFSET($DH48,($HP48-1)*-1,0),#REF!,0)+($HP48-2),IF$9-1)),"",OFFSET(#REF!,MATCH(OFFSET($DH48,($HP48-1)*-1,0),#REF!,0)+($HP48-2),IF$9-1)))</f>
        <v/>
      </c>
      <c r="HX48" s="90" t="str">
        <f ca="1">IF($HP48=0,"",IF(ISBLANK(OFFSET(#REF!,MATCH(OFFSET($DH48,($HP48-1)*-1,0),#REF!,0)+($HP48-2),IG$9-1)),"",OFFSET(#REF!,MATCH(OFFSET($DH48,($HP48-1)*-1,0),#REF!,0)+($HP48-2),IG$9-1)))</f>
        <v/>
      </c>
      <c r="HY48" s="91" t="str">
        <f ca="1">IF($HP48=0,"",IF(ISBLANK(OFFSET(#REF!,MATCH(OFFSET($DH48,($HP48-1)*-1,0),#REF!,0)+($HP48-2),IH$9-1)),"",OFFSET(#REF!,MATCH(OFFSET($DH48,($HP48-1)*-1,0),#REF!,0)+($HP48-2),IH$9-1)))</f>
        <v/>
      </c>
      <c r="HZ48" s="92" t="str">
        <f ca="1">IF($HP48=0,"",IF(ISBLANK(OFFSET(#REF!,MATCH(OFFSET($DH48,($HP48-1)*-1,0),#REF!,0)+($HP48-2),II$9-1)),"",OFFSET(#REF!,MATCH(OFFSET($DH48,($HP48-1)*-1,0),#REF!,0)+($HP48-2),II$9-1)))</f>
        <v/>
      </c>
      <c r="IA48" s="92" t="str">
        <f ca="1">IF($HP48=0,"",IF(ISBLANK(OFFSET(#REF!,MATCH(OFFSET($DH48,($HP48-1)*-1,0),#REF!,0)+($HP48-2),IJ$9-1)),"",OFFSET(#REF!,MATCH(OFFSET($DH48,($HP48-1)*-1,0),#REF!,0)+($HP48-2),IJ$9-1)))</f>
        <v/>
      </c>
      <c r="IB48" s="92" t="str">
        <f ca="1">IF($HP48=0,"",IF(ISBLANK(OFFSET(#REF!,MATCH(OFFSET($DH48,($HP48-1)*-1,0),#REF!,0)+($HP48-2),IK$9-1)),"",OFFSET(#REF!,MATCH(OFFSET($DH48,($HP48-1)*-1,0),#REF!,0)+($HP48-2),IK$9-1)))</f>
        <v/>
      </c>
      <c r="IC48" s="93" t="str">
        <f ca="1">IF($HP48=0,"",IF(ISBLANK(OFFSET(#REF!,MATCH(OFFSET($DH48,($HP48-1)*-1,0),#REF!,0)+($HP48-2),IL$9-1)),"",OFFSET(#REF!,MATCH(OFFSET($DH48,($HP48-1)*-1,0),#REF!,0)+($HP48-2),IL$9-1)))</f>
        <v/>
      </c>
      <c r="ID48" s="94" t="str">
        <f ca="1">IF($HP48=0,"",IF(ISBLANK(OFFSET(#REF!,MATCH(OFFSET($DH48,($HP48-1)*-1,0),#REF!,0)+($HP48-2),IM$9-1)),"",OFFSET(#REF!,MATCH(OFFSET($DH48,($HP48-1)*-1,0),#REF!,0)+($HP48-2),IM$9-1)))</f>
        <v/>
      </c>
      <c r="IE48" s="95" t="str">
        <f ca="1">IF($HP48=0,"",IF(ISBLANK(OFFSET(#REF!,MATCH(OFFSET($DH48,($HP48-1)*-1,0),#REF!,0)+($HP48-2),IN$9-1)),"",OFFSET(#REF!,MATCH(OFFSET($DH48,($HP48-1)*-1,0),#REF!,0)+($HP48-2),IN$9-1)))</f>
        <v/>
      </c>
      <c r="IF48" s="96" t="str">
        <f ca="1">IF($HP48=0,"",IF(ISBLANK(OFFSET(#REF!,MATCH(OFFSET($DH48,($HP48-1)*-1,0),#REF!,0)+($HP48-2),IO$9-1)),"",OFFSET(#REF!,MATCH(OFFSET($DH48,($HP48-1)*-1,0),#REF!,0)+($HP48-2),IO$9-1)))</f>
        <v/>
      </c>
      <c r="IG48" s="97" t="str">
        <f ca="1">IF($HP48=0,"",IF(ISBLANK(OFFSET(#REF!,MATCH(OFFSET($DH48,($HP48-1)*-1,0),#REF!,0)+($HP48-2),IP$9-1)),"",OFFSET(#REF!,MATCH(OFFSET($DH48,($HP48-1)*-1,0),#REF!,0)+($HP48-2),IP$9-1)))</f>
        <v/>
      </c>
      <c r="IH48" s="98" t="str">
        <f ca="1">IF($HP48=0,"",IF(ISBLANK(OFFSET(#REF!,MATCH(OFFSET($DH48,($HP48-1)*-1,0),#REF!,0)+($HP48-2),IQ$9-1)),"",OFFSET(#REF!,MATCH(OFFSET($DH48,($HP48-1)*-1,0),#REF!,0)+($HP48-2),IQ$9-1)))</f>
        <v/>
      </c>
      <c r="II48" s="95" t="str">
        <f ca="1">IF($HP48=0,"",IF(ISBLANK(OFFSET(#REF!,MATCH(OFFSET($DH48,($HP48-1)*-1,0),#REF!,0)+($HP48-2),IR$9-1)),"",OFFSET(#REF!,MATCH(OFFSET($DH48,($HP48-1)*-1,0),#REF!,0)+($HP48-2),IR$9-1)))</f>
        <v/>
      </c>
      <c r="IJ48" s="96" t="str">
        <f ca="1">IF($HP48=0,"",IF(ISBLANK(OFFSET(#REF!,MATCH(OFFSET($DH48,($HP48-1)*-1,0),#REF!,0)+($HP48-2),IS$9-1)),"",OFFSET(#REF!,MATCH(OFFSET($DH48,($HP48-1)*-1,0),#REF!,0)+($HP48-2),IS$9-1)))</f>
        <v/>
      </c>
      <c r="IK48" s="97" t="str">
        <f ca="1">IF($HP48=0,"",IF(ISBLANK(OFFSET(#REF!,MATCH(OFFSET($DH48,($HP48-1)*-1,0),#REF!,0)+($HP48-2),IT$9-1)),"",OFFSET(#REF!,MATCH(OFFSET($DH48,($HP48-1)*-1,0),#REF!,0)+($HP48-2),IT$9-1)))</f>
        <v/>
      </c>
      <c r="IL48" s="98" t="str">
        <f ca="1">IF($HP48=0,"",IF(ISBLANK(OFFSET(#REF!,MATCH(OFFSET($DH48,($HP48-1)*-1,0),#REF!,0)+($HP48-2),IU$9-1)),"",OFFSET(#REF!,MATCH(OFFSET($DH48,($HP48-1)*-1,0),#REF!,0)+($HP48-2),IU$9-1)))</f>
        <v/>
      </c>
      <c r="IM48" s="95" t="str">
        <f ca="1">IF($HP48=0,"",IF(ISBLANK(OFFSET(#REF!,MATCH(OFFSET($DH48,($HP48-1)*-1,0),#REF!,0)+($HP48-2),IV$9-1)),"",OFFSET(#REF!,MATCH(OFFSET($DH48,($HP48-1)*-1,0),#REF!,0)+($HP48-2),IV$9-1)))</f>
        <v/>
      </c>
      <c r="IN48" s="99" t="str">
        <f ca="1">IF($HP48=0,"",IF(ISBLANK(OFFSET(#REF!,MATCH(OFFSET($DH48,($HP48-1)*-1,0),#REF!,0)+($HP48-2),IW$9-1)),"",OFFSET(#REF!,MATCH(OFFSET($DH48,($HP48-1)*-1,0),#REF!,0)+($HP48-2),IW$9-1)))</f>
        <v/>
      </c>
      <c r="IO48" s="97" t="str">
        <f ca="1">IF($HP48=0,"",IF(ISBLANK(OFFSET(#REF!,MATCH(OFFSET($DH48,($HP48-1)*-1,0),#REF!,0)+($HP48-2),IX$9-1)),"",OFFSET(#REF!,MATCH(OFFSET($DH48,($HP48-1)*-1,0),#REF!,0)+($HP48-2),IX$9-1)))</f>
        <v/>
      </c>
      <c r="IP48" s="98" t="str">
        <f ca="1">IF($HP48=0,"",IF(ISBLANK(OFFSET(#REF!,MATCH(OFFSET($DH48,($HP48-1)*-1,0),#REF!,0)+($HP48-2),IY$9-1)),"",OFFSET(#REF!,MATCH(OFFSET($DH48,($HP48-1)*-1,0),#REF!,0)+($HP48-2),IY$9-1)))</f>
        <v/>
      </c>
      <c r="IQ48" s="100" t="str">
        <f ca="1">IF($HP48=0,"",IF(ISBLANK(OFFSET(#REF!,MATCH(OFFSET($DH48,($HP48-1)*-1,0),#REF!,0)+($HP48-2),IZ$9-1)),"",OFFSET(#REF!,MATCH(OFFSET($DH48,($HP48-1)*-1,0),#REF!,0)+($HP48-2),IZ$9-1)))</f>
        <v/>
      </c>
      <c r="IR48" s="99" t="str">
        <f ca="1">IF($HP48=0,"",IF(ISBLANK(OFFSET(#REF!,MATCH(OFFSET($DH48,($HP48-1)*-1,0),#REF!,0)+($HP48-2),JA$9-1)),"",OFFSET(#REF!,MATCH(OFFSET($DH48,($HP48-1)*-1,0),#REF!,0)+($HP48-2),JA$9-1)))</f>
        <v/>
      </c>
      <c r="IS48" s="97" t="str">
        <f ca="1">IF($HP48=0,"",IF(ISBLANK(OFFSET(#REF!,MATCH(OFFSET($DH48,($HP48-1)*-1,0),#REF!,0)+($HP48-2),JB$9-1)),"",OFFSET(#REF!,MATCH(OFFSET($DH48,($HP48-1)*-1,0),#REF!,0)+($HP48-2),JB$9-1)))</f>
        <v/>
      </c>
      <c r="IT48" s="101" t="str">
        <f ca="1">IF($HP48=0,"",IF(ISBLANK(OFFSET(#REF!,MATCH(OFFSET($DH48,($HP48-1)*-1,0),#REF!,0)+($HP48-2),JC$9-1)),"",OFFSET(#REF!,MATCH(OFFSET($DH48,($HP48-1)*-1,0),#REF!,0)+($HP48-2),JC$9-1)))</f>
        <v/>
      </c>
      <c r="IU48" s="102" t="str">
        <f>IF(ISERROR(VLOOKUP($DH48,#REF!,JD$9,FALSE)),"",IF(VLOOKUP($DH48,#REF!,JD$9,FALSE)="","",VLOOKUP($DH48,#REF!,JD$9,FALSE)))</f>
        <v/>
      </c>
    </row>
    <row r="49" spans="1:222" ht="12.6" hidden="1" customHeight="1" thickBot="1" x14ac:dyDescent="0.25">
      <c r="B49" s="142">
        <v>0</v>
      </c>
      <c r="C49" s="67"/>
      <c r="CI49" s="27"/>
      <c r="CJ49" s="27"/>
      <c r="CK49" s="27"/>
      <c r="CL49" s="27"/>
      <c r="CM49" s="27"/>
      <c r="CN49" s="27"/>
      <c r="CO49" s="27"/>
      <c r="GD49" s="56"/>
      <c r="GE49" s="56"/>
      <c r="GF49" s="56"/>
      <c r="GG49" s="56"/>
      <c r="GH49" s="56"/>
      <c r="GI49" s="56"/>
      <c r="GJ49" s="56"/>
      <c r="GK49" s="56"/>
      <c r="GL49" s="56"/>
      <c r="GM49" s="56"/>
      <c r="GN49" s="56"/>
      <c r="GO49" s="56"/>
      <c r="GP49" s="56"/>
      <c r="GQ49" s="56"/>
      <c r="GR49" s="56"/>
      <c r="GS49" s="56"/>
      <c r="GT49" s="56"/>
      <c r="GU49" s="56"/>
      <c r="GV49" s="56"/>
      <c r="GW49" s="56"/>
      <c r="GX49" s="56"/>
      <c r="GY49" s="56"/>
      <c r="GZ49" s="56"/>
      <c r="HB49" s="59"/>
      <c r="HC49" s="59"/>
      <c r="HD49" s="60"/>
      <c r="HE49" s="61"/>
      <c r="HF49" s="59"/>
      <c r="HG49" s="59"/>
      <c r="HH49" s="59"/>
      <c r="HI49" s="59"/>
      <c r="HJ49" s="59"/>
      <c r="HK49" s="59"/>
      <c r="HL49" s="59"/>
      <c r="HM49" s="59"/>
      <c r="HN49" s="59"/>
    </row>
    <row r="50" spans="1:222" ht="12.6" hidden="1" customHeight="1" thickBot="1" x14ac:dyDescent="0.25">
      <c r="BZ50" s="214"/>
      <c r="CA50" s="214"/>
      <c r="CB50" s="214"/>
      <c r="CC50" s="214"/>
      <c r="CD50" s="214"/>
      <c r="CE50" s="214"/>
      <c r="CF50" s="214"/>
      <c r="CG50" s="214"/>
      <c r="CH50" s="214"/>
      <c r="CI50" s="214"/>
      <c r="CJ50" s="214"/>
      <c r="CK50" s="214"/>
      <c r="CL50" s="214"/>
      <c r="CM50" s="214"/>
      <c r="CN50" s="214"/>
      <c r="CO50" s="214"/>
      <c r="CP50" s="214"/>
      <c r="CQ50" s="214"/>
      <c r="CR50" s="214"/>
      <c r="CS50" s="214"/>
      <c r="CT50" s="214"/>
      <c r="CU50" s="258"/>
      <c r="CV50" s="259"/>
      <c r="CW50" s="259"/>
      <c r="CX50" s="213"/>
      <c r="CY50" s="214"/>
      <c r="CZ50" s="214"/>
      <c r="DA50" s="214"/>
      <c r="DB50" s="214"/>
      <c r="DC50" s="214"/>
      <c r="DD50" s="214"/>
      <c r="DE50" s="214"/>
      <c r="DF50" s="214"/>
      <c r="DG50" s="214"/>
      <c r="DH50" s="214"/>
      <c r="DI50" s="231"/>
      <c r="DJ50" s="231"/>
      <c r="DK50" s="231"/>
      <c r="DL50" s="214"/>
      <c r="DM50" s="214"/>
      <c r="DN50" s="213"/>
      <c r="DO50" s="214"/>
      <c r="DP50" s="214"/>
      <c r="DQ50" s="214"/>
      <c r="DR50" s="214"/>
      <c r="DS50" s="214"/>
      <c r="DT50" s="214"/>
      <c r="DU50" s="214"/>
      <c r="DV50" s="214"/>
      <c r="DW50" s="214"/>
      <c r="DX50" s="214"/>
      <c r="DY50" s="214"/>
      <c r="DZ50" s="214"/>
      <c r="EA50" s="214"/>
      <c r="EB50" s="213"/>
      <c r="EC50" s="260"/>
      <c r="ED50" s="1890" t="s">
        <v>169</v>
      </c>
      <c r="EE50" s="1890" t="s">
        <v>222</v>
      </c>
      <c r="EF50" s="1890" t="s">
        <v>223</v>
      </c>
      <c r="EG50" s="1890" t="s">
        <v>224</v>
      </c>
      <c r="EH50" s="1890" t="s">
        <v>225</v>
      </c>
      <c r="EI50" s="1890" t="s">
        <v>226</v>
      </c>
      <c r="EJ50" s="1890" t="s">
        <v>227</v>
      </c>
      <c r="EK50" s="1890" t="s">
        <v>228</v>
      </c>
      <c r="EL50" s="1890" t="s">
        <v>170</v>
      </c>
      <c r="EM50" s="1890" t="s">
        <v>229</v>
      </c>
      <c r="EN50" s="1890" t="s">
        <v>261</v>
      </c>
      <c r="EO50" s="1890" t="s">
        <v>171</v>
      </c>
      <c r="EP50" s="1890" t="s">
        <v>230</v>
      </c>
      <c r="EQ50" s="1890" t="s">
        <v>172</v>
      </c>
      <c r="ER50" s="1890" t="s">
        <v>231</v>
      </c>
      <c r="ES50" s="1890" t="s">
        <v>262</v>
      </c>
      <c r="ET50" s="1890" t="s">
        <v>173</v>
      </c>
      <c r="EU50" s="1890" t="s">
        <v>174</v>
      </c>
      <c r="EV50" s="214"/>
      <c r="EW50" s="214"/>
      <c r="EX50" s="214"/>
      <c r="EY50" s="217"/>
      <c r="EZ50" s="217"/>
      <c r="FA50" s="217"/>
      <c r="FB50" s="214"/>
      <c r="FC50" s="214"/>
      <c r="FD50" s="214"/>
      <c r="FG50" s="41"/>
      <c r="FH50" s="41"/>
      <c r="FI50" s="41"/>
      <c r="FJ50" s="41"/>
      <c r="FK50" s="41"/>
      <c r="FL50" s="155"/>
      <c r="FM50" s="155"/>
      <c r="FN50" s="1907" t="s">
        <v>292</v>
      </c>
      <c r="FO50" s="1908"/>
      <c r="FP50" s="1908"/>
      <c r="FQ50" s="1908"/>
      <c r="FR50" s="1908"/>
      <c r="FS50" s="1909"/>
      <c r="FT50" s="1955" t="s">
        <v>293</v>
      </c>
      <c r="FU50" s="1956"/>
      <c r="FV50" s="1956"/>
      <c r="FW50" s="1956"/>
      <c r="FX50" s="1956"/>
      <c r="FY50" s="1956"/>
      <c r="FZ50" s="1957"/>
      <c r="GA50" s="154"/>
      <c r="GB50" s="154"/>
      <c r="GC50" s="154"/>
      <c r="GD50" s="154"/>
      <c r="GE50" s="154"/>
      <c r="GF50" s="154"/>
      <c r="GG50" s="154"/>
      <c r="GH50" s="154"/>
      <c r="GI50" s="154"/>
      <c r="GJ50" s="154"/>
      <c r="GK50" s="154"/>
      <c r="GL50" s="56"/>
      <c r="GM50" s="56"/>
      <c r="GN50" s="56"/>
      <c r="GO50" s="56"/>
      <c r="GP50" s="56"/>
      <c r="GQ50" s="56"/>
      <c r="GR50" s="56"/>
      <c r="GS50" s="56"/>
      <c r="GT50" s="56"/>
      <c r="GU50" s="56"/>
      <c r="GV50" s="56"/>
      <c r="GW50" s="56"/>
      <c r="GX50" s="56"/>
      <c r="GY50" s="56"/>
      <c r="GZ50" s="56"/>
      <c r="HB50" s="59"/>
      <c r="HC50" s="59"/>
      <c r="HD50" s="60"/>
      <c r="HE50" s="61"/>
      <c r="HF50" s="59"/>
      <c r="HG50" s="59"/>
      <c r="HH50" s="59"/>
      <c r="HI50" s="59"/>
      <c r="HJ50" s="59"/>
      <c r="HK50" s="59"/>
      <c r="HL50" s="59"/>
      <c r="HM50" s="59"/>
      <c r="HN50" s="59"/>
    </row>
    <row r="51" spans="1:222" ht="12.6" hidden="1" customHeight="1" thickTop="1" thickBot="1" x14ac:dyDescent="0.25">
      <c r="BZ51" s="214"/>
      <c r="CA51" s="214"/>
      <c r="CB51" s="214"/>
      <c r="CC51" s="2060" t="s">
        <v>290</v>
      </c>
      <c r="CD51" s="2061"/>
      <c r="CE51" s="2061"/>
      <c r="CF51" s="2061"/>
      <c r="CG51" s="2061"/>
      <c r="CH51" s="2061"/>
      <c r="CI51" s="2061"/>
      <c r="CJ51" s="2061"/>
      <c r="CK51" s="2062"/>
      <c r="CL51" s="2060" t="s">
        <v>167</v>
      </c>
      <c r="CM51" s="2061"/>
      <c r="CN51" s="2061"/>
      <c r="CO51" s="2061"/>
      <c r="CP51" s="2061"/>
      <c r="CQ51" s="2061"/>
      <c r="CR51" s="2061"/>
      <c r="CS51" s="2061"/>
      <c r="CT51" s="2062"/>
      <c r="CU51" s="261"/>
      <c r="CV51" s="262"/>
      <c r="CW51" s="262"/>
      <c r="CX51" s="262"/>
      <c r="CY51" s="262"/>
      <c r="CZ51" s="262"/>
      <c r="DA51" s="262"/>
      <c r="DB51" s="262"/>
      <c r="DC51" s="262"/>
      <c r="DD51" s="262"/>
      <c r="DE51" s="262"/>
      <c r="DF51" s="262"/>
      <c r="DG51" s="262"/>
      <c r="DH51" s="262"/>
      <c r="DI51" s="262"/>
      <c r="DJ51" s="262"/>
      <c r="DK51" s="262"/>
      <c r="DL51" s="262"/>
      <c r="DM51" s="262"/>
      <c r="DN51" s="263"/>
      <c r="DO51" s="262"/>
      <c r="DP51" s="262"/>
      <c r="DQ51" s="262"/>
      <c r="DR51" s="262"/>
      <c r="DS51" s="262"/>
      <c r="DT51" s="262"/>
      <c r="DU51" s="262"/>
      <c r="DV51" s="262"/>
      <c r="DW51" s="262"/>
      <c r="DX51" s="262"/>
      <c r="DY51" s="262"/>
      <c r="DZ51" s="262"/>
      <c r="EA51" s="262"/>
      <c r="EB51" s="264"/>
      <c r="EC51" s="265"/>
      <c r="ED51" s="1891"/>
      <c r="EE51" s="1919"/>
      <c r="EF51" s="1919"/>
      <c r="EG51" s="2003"/>
      <c r="EH51" s="1919"/>
      <c r="EI51" s="1919"/>
      <c r="EJ51" s="1919"/>
      <c r="EK51" s="1891"/>
      <c r="EL51" s="1891"/>
      <c r="EM51" s="1891"/>
      <c r="EN51" s="1919"/>
      <c r="EO51" s="1891"/>
      <c r="EP51" s="1891"/>
      <c r="EQ51" s="1891"/>
      <c r="ER51" s="1891"/>
      <c r="ES51" s="1891"/>
      <c r="ET51" s="1891"/>
      <c r="EU51" s="1891"/>
      <c r="EV51" s="214"/>
      <c r="EW51" s="214"/>
      <c r="EX51" s="1894" t="s">
        <v>294</v>
      </c>
      <c r="EY51" s="1892" t="s">
        <v>295</v>
      </c>
      <c r="EZ51" s="214"/>
      <c r="FA51" s="214"/>
      <c r="FB51" s="214"/>
      <c r="FC51" s="214"/>
      <c r="FD51" s="214"/>
      <c r="FF51" s="1985" t="s">
        <v>552</v>
      </c>
      <c r="FG51" s="1986"/>
      <c r="FH51" s="1986"/>
      <c r="FI51" s="1986"/>
      <c r="FL51" s="155"/>
      <c r="FM51" s="155"/>
      <c r="FN51" s="1910"/>
      <c r="FO51" s="1911"/>
      <c r="FP51" s="1911"/>
      <c r="FQ51" s="1911"/>
      <c r="FR51" s="1911"/>
      <c r="FS51" s="1912"/>
      <c r="FT51" s="1958"/>
      <c r="FU51" s="1959"/>
      <c r="FV51" s="1959"/>
      <c r="FW51" s="1959"/>
      <c r="FX51" s="1959"/>
      <c r="FY51" s="1959"/>
      <c r="FZ51" s="1960"/>
      <c r="GA51" s="154"/>
      <c r="GB51" s="154"/>
      <c r="GC51" s="154"/>
      <c r="GD51" s="154"/>
      <c r="GE51" s="154"/>
      <c r="GF51" s="154"/>
      <c r="GG51" s="154"/>
      <c r="GH51" s="154"/>
      <c r="GI51" s="154"/>
      <c r="GJ51" s="154"/>
      <c r="GK51" s="1"/>
      <c r="GL51" s="56"/>
      <c r="GM51" s="56"/>
      <c r="GN51" s="56"/>
      <c r="GO51" s="56"/>
      <c r="GP51" s="56"/>
      <c r="GQ51" s="56"/>
      <c r="GR51" s="56"/>
      <c r="GS51" s="56"/>
      <c r="GT51" s="56"/>
      <c r="GU51" s="56"/>
      <c r="GV51" s="56"/>
      <c r="GW51" s="56"/>
      <c r="GX51" s="56"/>
      <c r="GY51" s="56"/>
      <c r="GZ51" s="56"/>
      <c r="HB51" s="59"/>
      <c r="HC51" s="59"/>
      <c r="HD51" s="60"/>
      <c r="HE51" s="61"/>
      <c r="HF51" s="59"/>
      <c r="HG51" s="59"/>
      <c r="HH51" s="59"/>
      <c r="HI51" s="59"/>
      <c r="HJ51" s="59"/>
      <c r="HK51" s="59"/>
      <c r="HL51" s="59"/>
      <c r="HM51" s="59"/>
      <c r="HN51" s="59"/>
    </row>
    <row r="52" spans="1:222" ht="12.6" hidden="1" customHeight="1" thickTop="1" thickBot="1" x14ac:dyDescent="0.25">
      <c r="BZ52" s="214"/>
      <c r="CA52" s="214"/>
      <c r="CB52" s="1990" t="s">
        <v>289</v>
      </c>
      <c r="CC52" s="2057" t="s">
        <v>195</v>
      </c>
      <c r="CD52" s="1992" t="s">
        <v>196</v>
      </c>
      <c r="CE52" s="1992" t="s">
        <v>197</v>
      </c>
      <c r="CF52" s="1992" t="s">
        <v>198</v>
      </c>
      <c r="CG52" s="1992" t="s">
        <v>254</v>
      </c>
      <c r="CH52" s="1992" t="s">
        <v>199</v>
      </c>
      <c r="CI52" s="1992" t="s">
        <v>258</v>
      </c>
      <c r="CJ52" s="1992" t="s">
        <v>200</v>
      </c>
      <c r="CK52" s="2059" t="s">
        <v>201</v>
      </c>
      <c r="CL52" s="2057" t="s">
        <v>195</v>
      </c>
      <c r="CM52" s="1992" t="s">
        <v>196</v>
      </c>
      <c r="CN52" s="1992" t="s">
        <v>202</v>
      </c>
      <c r="CO52" s="1992" t="s">
        <v>198</v>
      </c>
      <c r="CP52" s="1992" t="s">
        <v>254</v>
      </c>
      <c r="CQ52" s="1992" t="s">
        <v>199</v>
      </c>
      <c r="CR52" s="1992" t="s">
        <v>258</v>
      </c>
      <c r="CS52" s="1992" t="s">
        <v>200</v>
      </c>
      <c r="CT52" s="2059" t="s">
        <v>201</v>
      </c>
      <c r="CU52" s="1998" t="s">
        <v>188</v>
      </c>
      <c r="CV52" s="1920" t="s">
        <v>203</v>
      </c>
      <c r="CW52" s="1920" t="s">
        <v>204</v>
      </c>
      <c r="CX52" s="1917" t="s">
        <v>205</v>
      </c>
      <c r="CY52" s="2056" t="s">
        <v>240</v>
      </c>
      <c r="CZ52" s="2001" t="s">
        <v>206</v>
      </c>
      <c r="DA52" s="2002"/>
      <c r="DB52" s="2056" t="s">
        <v>207</v>
      </c>
      <c r="DC52" s="1920" t="s">
        <v>210</v>
      </c>
      <c r="DD52" s="1920" t="s">
        <v>211</v>
      </c>
      <c r="DE52" s="2056" t="s">
        <v>241</v>
      </c>
      <c r="DF52" s="2001" t="s">
        <v>208</v>
      </c>
      <c r="DG52" s="2002"/>
      <c r="DH52" s="1920" t="s">
        <v>209</v>
      </c>
      <c r="DI52" s="1920" t="s">
        <v>212</v>
      </c>
      <c r="DJ52" s="1920" t="s">
        <v>213</v>
      </c>
      <c r="DK52" s="1920" t="s">
        <v>214</v>
      </c>
      <c r="DL52" s="1920" t="s">
        <v>242</v>
      </c>
      <c r="DM52" s="1915" t="s">
        <v>243</v>
      </c>
      <c r="DN52" s="2070"/>
      <c r="DO52" s="1915" t="s">
        <v>244</v>
      </c>
      <c r="DP52" s="1916"/>
      <c r="DQ52" s="1917" t="s">
        <v>245</v>
      </c>
      <c r="DR52" s="1918"/>
      <c r="DS52" s="1920" t="s">
        <v>255</v>
      </c>
      <c r="DT52" s="1915" t="s">
        <v>246</v>
      </c>
      <c r="DU52" s="2070"/>
      <c r="DV52" s="1915" t="s">
        <v>247</v>
      </c>
      <c r="DW52" s="1916"/>
      <c r="DX52" s="1917" t="s">
        <v>248</v>
      </c>
      <c r="DY52" s="1918"/>
      <c r="DZ52" s="1920" t="s">
        <v>12</v>
      </c>
      <c r="EA52" s="1920" t="s">
        <v>13</v>
      </c>
      <c r="EB52" s="1920" t="s">
        <v>260</v>
      </c>
      <c r="EC52" s="1920" t="s">
        <v>259</v>
      </c>
      <c r="ED52" s="1891"/>
      <c r="EE52" s="1919"/>
      <c r="EF52" s="1919"/>
      <c r="EG52" s="2003"/>
      <c r="EH52" s="1919"/>
      <c r="EI52" s="1919"/>
      <c r="EJ52" s="1919"/>
      <c r="EK52" s="1891"/>
      <c r="EL52" s="1891"/>
      <c r="EM52" s="1891"/>
      <c r="EN52" s="1919"/>
      <c r="EO52" s="1891"/>
      <c r="EP52" s="1891"/>
      <c r="EQ52" s="1891"/>
      <c r="ER52" s="1891"/>
      <c r="ES52" s="1891"/>
      <c r="ET52" s="1891"/>
      <c r="EU52" s="1891"/>
      <c r="EV52" s="1920" t="s">
        <v>268</v>
      </c>
      <c r="EW52" s="1920" t="s">
        <v>269</v>
      </c>
      <c r="EX52" s="1895"/>
      <c r="EY52" s="1892"/>
      <c r="EZ52" s="1979" t="s">
        <v>215</v>
      </c>
      <c r="FA52" s="1981" t="s">
        <v>216</v>
      </c>
      <c r="FB52" s="1896" t="s">
        <v>351</v>
      </c>
      <c r="FC52" s="1896" t="s">
        <v>352</v>
      </c>
      <c r="FD52" s="1977" t="s">
        <v>401</v>
      </c>
      <c r="FE52" s="1978"/>
      <c r="FF52" s="155" t="s">
        <v>553</v>
      </c>
      <c r="FK52" s="1963" t="s">
        <v>403</v>
      </c>
      <c r="FL52" s="1965" t="s">
        <v>296</v>
      </c>
      <c r="FM52" s="1967" t="s">
        <v>187</v>
      </c>
      <c r="FN52" s="1975" t="s">
        <v>189</v>
      </c>
      <c r="FO52" s="2202" t="s">
        <v>190</v>
      </c>
      <c r="FP52" s="2190" t="s">
        <v>191</v>
      </c>
      <c r="FQ52" s="2190" t="s">
        <v>192</v>
      </c>
      <c r="FR52" s="2198" t="s">
        <v>193</v>
      </c>
      <c r="FS52" s="2195" t="s">
        <v>194</v>
      </c>
      <c r="FT52" s="1961" t="s">
        <v>316</v>
      </c>
      <c r="FU52" s="1903" t="s">
        <v>181</v>
      </c>
      <c r="FV52" s="1903" t="s">
        <v>319</v>
      </c>
      <c r="FW52" s="1903" t="s">
        <v>318</v>
      </c>
      <c r="FX52" s="1903" t="s">
        <v>182</v>
      </c>
      <c r="FY52" s="1903" t="s">
        <v>317</v>
      </c>
      <c r="FZ52" s="1903" t="s">
        <v>320</v>
      </c>
      <c r="GA52" s="1903" t="s">
        <v>183</v>
      </c>
      <c r="GB52" s="1905" t="s">
        <v>184</v>
      </c>
      <c r="GC52" s="1901" t="s">
        <v>301</v>
      </c>
      <c r="GD52" s="116"/>
      <c r="GE52" s="49"/>
      <c r="GF52" s="49"/>
      <c r="GG52" s="53"/>
      <c r="GH52" s="53"/>
      <c r="GI52" s="54"/>
      <c r="GJ52" s="1899" t="s">
        <v>321</v>
      </c>
      <c r="GK52" s="1"/>
      <c r="GL52" s="56"/>
      <c r="GM52" s="56"/>
    </row>
    <row r="53" spans="1:222" ht="12.6" hidden="1" customHeight="1" thickTop="1" thickBot="1" x14ac:dyDescent="0.25">
      <c r="BZ53" s="214"/>
      <c r="CA53" s="214"/>
      <c r="CB53" s="1991"/>
      <c r="CC53" s="2058"/>
      <c r="CD53" s="1898"/>
      <c r="CE53" s="1898"/>
      <c r="CF53" s="1993"/>
      <c r="CG53" s="1993"/>
      <c r="CH53" s="1993"/>
      <c r="CI53" s="1993"/>
      <c r="CJ53" s="1993"/>
      <c r="CK53" s="1982"/>
      <c r="CL53" s="2058"/>
      <c r="CM53" s="1898"/>
      <c r="CN53" s="1898"/>
      <c r="CO53" s="1993"/>
      <c r="CP53" s="1993"/>
      <c r="CQ53" s="1993"/>
      <c r="CR53" s="1993"/>
      <c r="CS53" s="1993"/>
      <c r="CT53" s="1982"/>
      <c r="CU53" s="1999"/>
      <c r="CV53" s="1921"/>
      <c r="CW53" s="1997"/>
      <c r="CX53" s="2000"/>
      <c r="CY53" s="1891"/>
      <c r="CZ53" s="266" t="s">
        <v>251</v>
      </c>
      <c r="DA53" s="266" t="s">
        <v>252</v>
      </c>
      <c r="DB53" s="1891"/>
      <c r="DC53" s="1921"/>
      <c r="DD53" s="1921"/>
      <c r="DE53" s="1891"/>
      <c r="DF53" s="266" t="s">
        <v>251</v>
      </c>
      <c r="DG53" s="266" t="s">
        <v>252</v>
      </c>
      <c r="DH53" s="1921"/>
      <c r="DI53" s="1921"/>
      <c r="DJ53" s="1921"/>
      <c r="DK53" s="1921"/>
      <c r="DL53" s="1921"/>
      <c r="DM53" s="267" t="s">
        <v>218</v>
      </c>
      <c r="DN53" s="267" t="s">
        <v>219</v>
      </c>
      <c r="DO53" s="267" t="s">
        <v>218</v>
      </c>
      <c r="DP53" s="267" t="s">
        <v>219</v>
      </c>
      <c r="DQ53" s="267" t="s">
        <v>218</v>
      </c>
      <c r="DR53" s="267" t="s">
        <v>219</v>
      </c>
      <c r="DS53" s="1921"/>
      <c r="DT53" s="267" t="s">
        <v>218</v>
      </c>
      <c r="DU53" s="267" t="s">
        <v>219</v>
      </c>
      <c r="DV53" s="267" t="s">
        <v>218</v>
      </c>
      <c r="DW53" s="267" t="s">
        <v>219</v>
      </c>
      <c r="DX53" s="267" t="s">
        <v>218</v>
      </c>
      <c r="DY53" s="267" t="s">
        <v>219</v>
      </c>
      <c r="DZ53" s="1921"/>
      <c r="EA53" s="1921"/>
      <c r="EB53" s="1922"/>
      <c r="EC53" s="1922"/>
      <c r="ED53" s="1891"/>
      <c r="EE53" s="1919"/>
      <c r="EF53" s="1919"/>
      <c r="EG53" s="2003"/>
      <c r="EH53" s="1919"/>
      <c r="EI53" s="1919"/>
      <c r="EJ53" s="1919"/>
      <c r="EK53" s="1891"/>
      <c r="EL53" s="1891"/>
      <c r="EM53" s="1891"/>
      <c r="EN53" s="1919"/>
      <c r="EO53" s="1891"/>
      <c r="EP53" s="1891"/>
      <c r="EQ53" s="1891"/>
      <c r="ER53" s="1891"/>
      <c r="ES53" s="1891"/>
      <c r="ET53" s="1891"/>
      <c r="EU53" s="1891"/>
      <c r="EV53" s="1921"/>
      <c r="EW53" s="1921"/>
      <c r="EX53" s="1895"/>
      <c r="EY53" s="1893"/>
      <c r="EZ53" s="1980"/>
      <c r="FA53" s="1982"/>
      <c r="FB53" s="1897"/>
      <c r="FC53" s="1897"/>
      <c r="FD53" s="451" t="s">
        <v>282</v>
      </c>
      <c r="FE53" s="452" t="s">
        <v>283</v>
      </c>
      <c r="FF53" s="162" t="s">
        <v>554</v>
      </c>
      <c r="FG53" s="162" t="s">
        <v>555</v>
      </c>
      <c r="FH53" s="162" t="s">
        <v>556</v>
      </c>
      <c r="FI53" s="162" t="s">
        <v>557</v>
      </c>
      <c r="FK53" s="1964"/>
      <c r="FL53" s="1966"/>
      <c r="FM53" s="1968"/>
      <c r="FN53" s="1976"/>
      <c r="FO53" s="2191"/>
      <c r="FP53" s="2191"/>
      <c r="FQ53" s="2191"/>
      <c r="FR53" s="2191"/>
      <c r="FS53" s="2196"/>
      <c r="FT53" s="2197"/>
      <c r="FU53" s="2189"/>
      <c r="FV53" s="2189"/>
      <c r="FW53" s="2189"/>
      <c r="FX53" s="2189"/>
      <c r="FY53" s="2189"/>
      <c r="FZ53" s="2189"/>
      <c r="GA53" s="2192"/>
      <c r="GB53" s="2194"/>
      <c r="GC53" s="2188"/>
      <c r="GD53" s="117" t="s">
        <v>299</v>
      </c>
      <c r="GE53" s="62" t="s">
        <v>300</v>
      </c>
      <c r="GF53" s="51" t="s">
        <v>302</v>
      </c>
      <c r="GG53" s="51" t="s">
        <v>303</v>
      </c>
      <c r="GH53" s="51" t="s">
        <v>304</v>
      </c>
      <c r="GI53" s="52" t="s">
        <v>305</v>
      </c>
      <c r="GJ53" s="1900"/>
      <c r="GK53" s="706" t="s">
        <v>558</v>
      </c>
      <c r="GL53" s="56"/>
      <c r="GM53" s="56"/>
    </row>
    <row r="54" spans="1:222" ht="12.6" hidden="1" customHeight="1" thickTop="1" x14ac:dyDescent="0.2">
      <c r="BZ54" s="214"/>
      <c r="CA54" s="214"/>
      <c r="CB54" s="289" t="str">
        <f t="shared" ref="CB54:CB85" si="49">IF(CB14="","",CB14)</f>
        <v/>
      </c>
      <c r="CC54" s="290" t="str">
        <f>IF(CG14="","",VLOOKUP(CG14,#REF!,12,FALSE))</f>
        <v/>
      </c>
      <c r="CD54" s="1219" t="str">
        <f>IF(ISBLANK(CN14),IF(CG14="","",VLOOKUP(CG14,#REF!,13,FALSE)),CN14)</f>
        <v/>
      </c>
      <c r="CE54" s="1219" t="str">
        <f>IF(CG14="","",IF(VLOOKUP(CG14,#REF!,5,FALSE)="","R",UPPER(VLOOKUP(CG14,#REF!,5,FALSE))))</f>
        <v/>
      </c>
      <c r="CF54" s="1219" t="str">
        <f>IF(ISBLANK(CP14),IF(CG14="","",VLOOKUP(CG14,#REF!,6,FALSE)),CP14)</f>
        <v/>
      </c>
      <c r="CG54" s="1219" t="str">
        <f>IF(CG14="","",IF(VLOOKUP(CG14,#REF!,10,FALSE)="","",(VLOOKUP(CG14,#REF!,10,FALSE)*-1)))</f>
        <v/>
      </c>
      <c r="CH54" s="1219" t="str">
        <f>IF(CG14="","",IF(VLOOKUP(CG14,#REF!,7,FALSE)="","",(VLOOKUP(CG14,#REF!,7,FALSE)*-1)))</f>
        <v/>
      </c>
      <c r="CI54" s="1219" t="str">
        <f>IF(CG14="","",IF(VLOOKUP(CG14,#REF!,8,FALSE)="",$FC$4,(VLOOKUP(CG14,#REF!,8,FALSE))))</f>
        <v/>
      </c>
      <c r="CJ54" s="1219" t="str">
        <f>IF(CG14="","",VLOOKUP(CG14,#REF!,9,FALSE))</f>
        <v/>
      </c>
      <c r="CK54" s="1220">
        <f t="shared" ref="CK54:CK85" si="50">CM14*-1</f>
        <v>0</v>
      </c>
      <c r="CL54" s="1218" t="str">
        <f>IF(CQ14="","",VLOOKUP(CQ14,#REF!,12,FALSE))</f>
        <v/>
      </c>
      <c r="CM54" s="1219" t="str">
        <f>IF(ISBLANK(CX14),IF(CQ14="","",VLOOKUP(CQ14,#REF!,13,FALSE)),CX14)</f>
        <v/>
      </c>
      <c r="CN54" s="1219" t="str">
        <f>IF(CQ14="","",IF(VLOOKUP(CQ14,#REF!,5,FALSE)="","R",UPPER(VLOOKUP(CQ14,#REF!,5,FALSE))))</f>
        <v/>
      </c>
      <c r="CO54" s="1219" t="str">
        <f>IF(ISBLANK(CZ14),IF(CQ14="","",VLOOKUP(CQ14,#REF!,6,FALSE)),CZ14)</f>
        <v/>
      </c>
      <c r="CP54" s="1219" t="str">
        <f>IF(CQ14="","",IF(VLOOKUP(CQ14,#REF!,10,FALSE)="","",(VLOOKUP(CQ14,#REF!,10,FALSE)*-1)))</f>
        <v/>
      </c>
      <c r="CQ54" s="1219" t="str">
        <f>IF(CQ14="","",IF(VLOOKUP(CQ14,#REF!,7,FALSE)="","",(VLOOKUP(CQ14,#REF!,7,FALSE)*-1)))</f>
        <v/>
      </c>
      <c r="CR54" s="1219" t="str">
        <f>IF(CQ14="","",IF(VLOOKUP(CQ14,#REF!,8,FALSE)="",$FC$4,(VLOOKUP(CQ14,#REF!,8,FALSE))))</f>
        <v/>
      </c>
      <c r="CS54" s="1219" t="str">
        <f>IF(CQ14="","",VLOOKUP(CQ14,#REF!,9,FALSE))</f>
        <v/>
      </c>
      <c r="CT54" s="1220">
        <f t="shared" ref="CT54:CT85" si="51">CW14*-1</f>
        <v>0</v>
      </c>
      <c r="CU54" s="1230">
        <f t="shared" ref="CU54:CU85" si="52">IF(DA14="",0,ATAN(DA14/12))</f>
        <v>0</v>
      </c>
      <c r="CV54" s="1224" t="str">
        <f t="shared" ref="CV54:CV85" si="53">IF(OR(CD54="",CE14="",CM54=""),"",CEILING(IF(AND(CE14="",CF14=""),"",((CE14*12+CF14)+CD54+CM54)/COS(EU54))-0.0625,0.125))</f>
        <v/>
      </c>
      <c r="CW54" s="1224" t="str">
        <f t="shared" ref="CW54:CW85" si="54">IF(CF54="","",IF(ABS(EM54)&lt;ABS($FA$2),CF54,IF(EM54=0,CF54,CEILING((CF54+((DC54-CD54)/12)*EM54)-0.0625,0.125))))</f>
        <v/>
      </c>
      <c r="CX54" s="1224" t="str">
        <f t="shared" ref="CX54:CX85" si="55">IF(CO54="","",IF(ABS(ER54)&lt;ABS($FA$2),CO54,IF(ER54=0,CO54,CEILING((CO54+((DI54-CM54)/12)*ER54)-0.0625,0.125))))</f>
        <v/>
      </c>
      <c r="CY54" s="1226">
        <f t="shared" ref="CY54:CY85" si="56">RADIANS(ABS(CL14))</f>
        <v>0</v>
      </c>
      <c r="CZ54" s="1226" t="e">
        <f t="shared" ref="CZ54:CZ85" si="57">MIN(IF(CH14&gt;0,CH14/2,MAX(CI14/2,CJ54)),IF(CI14&gt;0,CI14/2,MAX(CH14/2,CJ54)),IF(CJ54&gt;0,CJ54,MAX(CI14/2,CH14/2)))/IF(OR(CC54="C",AND(CC54="M",$FG$1="N")),1,COS(CY54))</f>
        <v>#REF!</v>
      </c>
      <c r="DA54" s="1226" t="str">
        <f t="shared" ref="DA54:DA85" si="58">IF(CD54="","",IF(CJ54&gt;=0,MAX(CH14/2,CI14/2,CJ54),CJ54)/IF(OR(CC54="C",AND(CC54="M",$FG$1="N")),1,COS(CY54)))</f>
        <v/>
      </c>
      <c r="DB54" s="1224" t="str">
        <f>IF(CD54="","",CD54+DA54+($EY$4*TAN(CY54)))</f>
        <v/>
      </c>
      <c r="DC54" s="1224" t="str">
        <f t="shared" ref="DC54:DC85" si="59">IF(CD54="","",IF(NOT(ISBLANK(CO14)),CD54-CO14,MAX(IF(AND(CZ54&gt;=$FB$4,DA54&lt;=$FA$4,OR($FA$1=1,$FA$1=4)),CD54,IF(OR($FA$1=3,$FA$1=4),DB54-$FA$4,DB54+MAX(($FA$4-$FB$4)-(DA54-CZ54)-$EY$4/2*TAN(CY54),0)-$FA$4))-EO54,0)))</f>
        <v/>
      </c>
      <c r="DD54" s="814">
        <f>IF(CD54="",0,IF(DC54/COS(EU54)&lt;0.0625,0,CEILING(DC54/COS(EU54)-0.03125,0.125)))</f>
        <v>0</v>
      </c>
      <c r="DE54" s="812">
        <f t="shared" ref="DE54:DE85" si="60">RADIANS(ABS(CV14))</f>
        <v>0</v>
      </c>
      <c r="DF54" s="813" t="e">
        <f t="shared" ref="DF54:DF85" si="61">MIN(IF(CR14&gt;0,CR14/2,MAX(CS14/2,CS54)),IF(CS14&gt;0,CS14/2,MAX(CR14/2,CS54)),IF(CS54&gt;0,CS54,MAX(CS14/2,CR14/2)))/IF(OR(CL54="C",AND(CL54="M",$FG$1="N")),1,COS(DE54))</f>
        <v>#REF!</v>
      </c>
      <c r="DG54" s="813" t="str">
        <f t="shared" ref="DG54:DG85" si="62">IF(CM54="","",IF(CS54&gt;=0,MAX(CR14/2,CS14/2,CS54),CS54)/IF(OR(CL54="C",AND(CL54="M",$FG$1="N")),1,COS(DE54)))</f>
        <v/>
      </c>
      <c r="DH54" s="1224" t="str">
        <f>IF(CM54="","",CM54+DG54+($EY$4*TAN(DE54)))</f>
        <v/>
      </c>
      <c r="DI54" s="1224" t="str">
        <f t="shared" ref="DI54:DI85" si="63">IF(CM54="","",IF(NOT(ISBLANK(CY14)),CM54-CY14,MAX(IF(AND(DF54&gt;=$FB$4,DG54&lt;=$FA$4,OR($FA$1=1,$FA$1=4)),CM54,IF(OR($FA$1=3,$FA$1=4),DH54-$FA$4,DH54+MAX(($FA$4-$FB$4)-(DG54-DF54)-$EY$4/2*TAN(DE54),0)-$FA$4))-ET54,0)-CY14))</f>
        <v/>
      </c>
      <c r="DJ54" s="1225">
        <f>IF(CM54="",0,IF(DI54/COS(EU54)&lt;0.0625,0,CEILING(DI54/COS(EU54)-0.03125,0.125)))</f>
        <v>0</v>
      </c>
      <c r="DK54" s="1224" t="str">
        <f t="shared" ref="DK54:DK85" si="64">IF(CV54="","",CEILING(CV54-DD54-DJ54-0.0625,0.125))</f>
        <v/>
      </c>
      <c r="DL54" s="1224" t="str">
        <f t="shared" ref="DL54:DL85" si="65">IF(AND(EG54="",CH54=""),"",IF(EG54="ERR","ERR",IF(ISNUMBER(EG54),(EG54/2)*-1,CH54)))</f>
        <v/>
      </c>
      <c r="DM54" s="1224" t="str">
        <f t="shared" ref="DM54:DM85" si="66">IF(DL54="ERR","ERR",IF(DL54="","",IF(CR54*TAN(CY54)&lt;=($FE$4-($FD$4-0.0625)),CD54-(DL54-EO54)/IF(OR(CC54="C",AND(CC54="M",$FG$1="N")),1,COS(CY54))-IF(MID(CE54,1,1)="R",0,DC54),(ABS(DL54-EO54)/IF(OR(CC54="C",AND(CC54="M",$FG$1="N")),1,COS(CY54))+CD54)-((CR54/2)*TAN(CY54))-IF(MID(CE54,1,1)="R",0,DC54))))</f>
        <v/>
      </c>
      <c r="DN54" s="1224" t="str">
        <f t="shared" ref="DN54:DN85" si="67">IF(DL54="ERR","ERR",IF(DL54="","",IF(CI54*TAN(CY54)&lt;=($FE$4-($FD$4-0.0625)),CD54-(DL54-EO54)/IF(OR(CC54="C",AND(CC54="M",$FG$1="N")),1,COS(CY54))-IF(MID(CE54,1,1)="R",0,DC54),(ABS(DL54-EO54)/IF(OR(CC54="C",AND(CC54="M",$FG$1="N")),1,COS(CY54))+CD54)+((CI54/2)*TAN(CY54))-IF(MID(CE54,1,1)="R",0,DC54))))</f>
        <v/>
      </c>
      <c r="DO54" s="828" t="e">
        <f t="shared" ref="DO54:DO85" si="68">IF(ISBLANK(CO14),IF(DM54&lt;$EX$6+($FD$4-0.0625)/2,"ERR",IF(DM54&lt;$EX$6+$FE$4/2,($FE$4/2+$EX$6),IF(DM54&lt;$FA$4+IF(MID(CE54,1,1)="R",DC54+CO14,0)-$FE$4/2-$EX$6,DM54,IF(DM54&lt;=$FA$4+IF(MID(CE54,1,1)="R",DC54,0)-($FD$4-0.0625)/2-$EX$6,$FA$4+IF(MID(CE54,1,1)="R",DC54,0)-($FE$4/2+$EX$6),"ERR")))),DM54)</f>
        <v>#REF!</v>
      </c>
      <c r="DP54" s="828" t="e">
        <f t="shared" ref="DP54:DP85" si="69">IF(ISBLANK(CO14),IF(DN54&lt;$EX$6+($FD$4-0.0625)/2,"ERR",IF(DN54&lt;0.5+$FE$4/2,($FE$4/2+$EX$6),IF(DN54&lt;$FA$4+IF(MID(CE54,1,1)="R",DC54+CO14,0)-$FE$4/2-$EX$6,DN54,IF(DN54&lt;=$FA$4+IF(MID(CE54,1,1)="R",DC54,0)-($FD$4-0.0625)/2-$EX$6,$FA$4+IF(MID(CE54,1,1)="R",DC54,0)-($FE$4/2+$EX$6),"ERR")))),DN54)</f>
        <v>#REF!</v>
      </c>
      <c r="DQ54" s="1224" t="str">
        <f t="shared" ref="DQ54:DR85" si="70">IF(ISERROR(DM54),"ERR",IF(DM54="","",IF(DO54="ERR","ERR",CEILING(DO54-0.0625,0.125))))</f>
        <v/>
      </c>
      <c r="DR54" s="1224" t="str">
        <f t="shared" si="70"/>
        <v/>
      </c>
      <c r="DS54" s="1224" t="str">
        <f t="shared" ref="DS54:DS85" si="71">IF(AND(EJ54="",CQ54=""),"",IF(EJ54="ERR","ERR",IF(ISNUMBER(EJ54),(EJ54/2)*-1,CQ54)))</f>
        <v/>
      </c>
      <c r="DT54" s="1224" t="str">
        <f t="shared" ref="DT54:DT85" si="72">IF(DS54="ERR","ERR",IF(DS54="","",IF(CR54*TAN(DE54)&lt;=($FE$4-($FD$4-0.0625)),CM54-(DS54-ET54)/IF(OR(CL54="C",AND(CL54="M",$FG$1="N")),1,COS(DE54))-IF(MID(CN54,1,1)="R",0,DI54),(ABS(DS54-ET54)/IF(OR(CL54="C",AND(CL54="M",$FG$1="N")),1,COS(DE54))+CM54)-((CR54/2)*TAN(DE54))-IF(MID(CN54,1,1)="R",0,DI54))))</f>
        <v/>
      </c>
      <c r="DU54" s="1224" t="str">
        <f t="shared" ref="DU54:DU85" si="73">IF(DS54="ERR","ERR",IF(DS54="","",IF(CR54*TAN(DE54)&lt;=($FE$4-($FD$4-0.0625)),CM54-(DS54-ET54)/IF(OR(CL54="C",AND(CL54="M",$FG$1="N")),1,COS(DE54))-IF(MID(CN54,1,1)="R",0,DI54),(ABS(DS54-ET54)/IF(OR(CL54="C",AND(CL54="M",$FG$1="N")),1,COS(DE54))+CM54)+((CR54/2)*TAN(DE54))-IF(MID(CN54,1,1)="R",0,DI54))))</f>
        <v/>
      </c>
      <c r="DV54" s="828" t="e">
        <f t="shared" ref="DV54:DV85" si="74">IF(ISBLANK(CY14),IF(DT54&lt;$EX$6+($FD$4-0.0625)/2,"ERR",IF(DT54&lt;$EX$6+$FE$4/2,($FE$4/2+$EX$6),IF(DT54&lt;$FA$4+IF(MID(CN54,1,1)="R",DI54+CY14,0)-$FE$4/2-$EX$6,DT54,IF(DT54&lt;=$FA$4+IF(MID(CN54,1,1)="R",DI54,0)-($FD$4-0.0625)/2-$EX$6,$FA$4+IF(MID(CN54,1,1)="R",DI54,0)-($FE$4/2+$EX$6),"ERR")))),DT54)</f>
        <v>#REF!</v>
      </c>
      <c r="DW54" s="828" t="e">
        <f t="shared" ref="DW54:DW85" si="75">IF(ISBLANK(CY14),IF(DU54&lt;$EX$6+($FD$4-0.0625)/2,"ERR",IF(DU54&lt;0.5+$FE$4/2,($FE$4/2+$EX$6),IF(DU54&lt;$FA$4+IF(MID(CN54,1,1)="R",DI54+CY14,0)-$FE$4/2-$EX$6,DU54,IF(DU54&lt;=$FA$4+IF(MID(CN54,1,1)="R",DI54,0)-($FD$4-0.0625)/2-$EX$6,$FA$4+IF(MID(CN54,1,1)="R",DI54,0)-($FE$4/2+$EX$6),"ERR")))),DU54)</f>
        <v>#REF!</v>
      </c>
      <c r="DX54" s="812" t="str">
        <f t="shared" ref="DX54:DY74" si="76">IF(ISERROR(DT54),"ERR",IF(DT54="","",IF(DV54="ERR","ERR",CEILING(DV54-0.0625,0.125))))</f>
        <v/>
      </c>
      <c r="DY54" s="812" t="str">
        <f t="shared" si="76"/>
        <v/>
      </c>
      <c r="DZ54" s="812" t="str">
        <f t="shared" ref="DZ54:DZ84" si="77">IF(CG54="","",IF((CD54-CG54)/COS(CU54)-FB54&lt;=-0.0625,CEILING((CD54-CG54)/COS(CU54)-FB54+0.0625,-0.125),IF((CD54-CG54)/COS(CU54)-FB54&gt;=0.0625,CEILING((CD54-CG54)/COS(CU54)-FB54-0.0625,0.125),0)))</f>
        <v/>
      </c>
      <c r="EA54" s="812" t="str">
        <f t="shared" ref="EA54:EA84" si="78">IF(CP54="","",IF((CM54-CP54)/COS(CU54)-FC54&lt;=-0.0625,CEILING((CM54-CP54)/COS(CU54)-FC54+0.0625,-0.125),IF((CM54-CP54)/COS(CU54)-FC54&gt;=0.0625,CEILING((CM54-CP54)/COS(CU54)-FC54-0.0625,0.125),0)))</f>
        <v/>
      </c>
      <c r="EB54" s="815" t="str">
        <f t="shared" ref="EB54:EB85" si="79">IF(CD14="","",$FC$4)</f>
        <v/>
      </c>
      <c r="EC54" s="816" t="str">
        <f t="shared" ref="EC54:EC85" si="80">IF(AND(DR54="",DY54=""),"",IF(OR(CI54=EB54,CR54=EB54),EB54,CI54))</f>
        <v/>
      </c>
      <c r="ED54" s="815" t="str">
        <f t="shared" ref="ED54:ED85" si="81">IF(DA14="","",CEILING(($EZ$4/COS(CU54)+$FA$4/12*ABS(DA14)+0.5),0.125))</f>
        <v/>
      </c>
      <c r="EE54" s="815" t="str">
        <f t="shared" ref="EE54:EE85" si="82">(IF(CC54="B",MIN(CJ14:CK14),""))</f>
        <v/>
      </c>
      <c r="EF54" s="815" t="str">
        <f t="shared" ref="EF54:EF85" si="83">(IF(CC54="B",MAX(CJ14:CK14),""))</f>
        <v/>
      </c>
      <c r="EG54" s="815" t="str">
        <f t="shared" ref="EG54:EG85" si="84">IF(EE54="","",IF((EF54-EE54)/2&lt;=($FE$4-($FD$4-0.0625)),(EE54+EF54)/2,"ERR"))</f>
        <v/>
      </c>
      <c r="EH54" s="815" t="str">
        <f t="shared" ref="EH54:EH85" si="85">IF(CL54="B",MIN(CT14:CU14),"")</f>
        <v/>
      </c>
      <c r="EI54" s="815" t="str">
        <f t="shared" ref="EI54:EI85" si="86">IF(CL54="B",MAX(CT14:CU14),"")</f>
        <v/>
      </c>
      <c r="EJ54" s="815" t="str">
        <f t="shared" ref="EJ54:EJ85" si="87">IF(EH54="","",IF((EI54-EH54)/2&lt;=($FE$4-($FD$4-0.0625)),(EH54+EI54)/2,"ERR"))</f>
        <v/>
      </c>
      <c r="EK54" s="813">
        <f t="shared" ref="EK54:EK85" si="88">IF(CK54="",0,ATAN(CK54/12))</f>
        <v>0</v>
      </c>
      <c r="EL54" s="813">
        <f t="shared" ref="EL54:EL85" si="89">CU54-EK54</f>
        <v>0</v>
      </c>
      <c r="EM54" s="813">
        <f t="shared" ref="EM54:EM85" si="90">TAN(EL54)*12</f>
        <v>0</v>
      </c>
      <c r="EN54" s="813" t="e">
        <f t="shared" ref="EN54:EN85" si="91">IF(ABS(EM54)&lt;$FA$2,"",IF(EM54&gt;0,CEILING(EM54-0.0625,0.125),CEILING(EM54+0.0625,-0.125)))</f>
        <v>#REF!</v>
      </c>
      <c r="EO54" s="812" t="str">
        <f t="shared" ref="EO54:EO85" si="92">IF(CF54="","",CF54*TAN(EK54))</f>
        <v/>
      </c>
      <c r="EP54" s="813">
        <f t="shared" ref="EP54:EP85" si="93">IF(CT54="",0,ATAN(CT54/12))</f>
        <v>0</v>
      </c>
      <c r="EQ54" s="813">
        <f t="shared" ref="EQ54:EQ85" si="94">CU54+EP54</f>
        <v>0</v>
      </c>
      <c r="ER54" s="813">
        <f t="shared" ref="ER54:ER85" si="95">TAN(EQ54)*-12</f>
        <v>0</v>
      </c>
      <c r="ES54" s="813" t="e">
        <f t="shared" ref="ES54:ES85" si="96">IF(ABS(ER54)&lt;$FA$2,"",IF(ER54&gt;0,CEILING(ER54-0.0625,0.125),CEILING(ER54+0.0625,-0.125)))</f>
        <v>#REF!</v>
      </c>
      <c r="ET54" s="812" t="str">
        <f t="shared" ref="ET54:ET85" si="97">IF(CO54="","",CO54*TAN(EP54))</f>
        <v/>
      </c>
      <c r="EU54" s="812" t="e">
        <f t="shared" ref="EU54:EU85" si="98">IF((CE14*12+CF14)/COS(CU54)-(CE14*12+CF14)&lt;$FE$2,0,CU54)</f>
        <v>#REF!</v>
      </c>
      <c r="EV54" s="815" t="e">
        <f t="shared" ref="EV54:EV85" si="99">MIN(IF(CH14&gt;0,CH14/2,MAX(CI14/2,CJ54)),IF(CI14&gt;0,CI14/2,MAX(CH14/2,CJ54)),IF(CJ54&gt;0,CJ54,MAX(CI14/2,CH14/2)))/COS(CY54)+CD54-DC54</f>
        <v>#VALUE!</v>
      </c>
      <c r="EW54" s="815" t="e">
        <f t="shared" ref="EW54:EW85" si="100">MIN(IF(CR14&gt;0,CR14/2,MAX(CS14/2,CS54)),IF(CS14&gt;0,CS14/2,MAX(CR14/2,CS54)),IF(CS54&gt;0,CS54,MAX(CS14/2,CR14/2)))/COS(DE54)+CM54-DI54</f>
        <v>#VALUE!</v>
      </c>
      <c r="EX54" s="817" t="str">
        <f t="shared" ref="EX54:EX85" si="101">IF(CD14="","",IF(EZ54&lt;1.2,5+$EX$4,IF(EZ54&lt;1.79,6+$EX$4,IF(EZ54&lt;2.3,7+$EX$4,IF(EZ54&lt;3.76,8+$EX$4,IF(EZ54&lt;4.76,10+$EX$4,IF(EZ54&lt;8.45,12+$EX$4,"ERR")))))))</f>
        <v/>
      </c>
      <c r="EY54" s="818" t="e">
        <f t="shared" ref="EY54:EY85" si="102">TRUNC(IF(FA54&lt;1.03,25.667,IF(FA54&lt;1.2,29.667,IF(FA54&lt;1.79,33.583,IF(FA54&lt;2.3,37.75,IF(FA54&lt;3.76,42,IF(FA54&lt;4.76,50.167,IF(FA54&lt;8.45,58.167,"ERR"))))))))</f>
        <v>#DIV/0!</v>
      </c>
      <c r="EZ54" s="893" t="e">
        <f t="shared" ref="EZ54:EZ85" si="103">(0.03*BP14*((CE14+CF14/12)/BO14)*(BO14^2-IF(ISEVEN(BO14),0,1)))/BM14</f>
        <v>#DIV/0!</v>
      </c>
      <c r="FA54" s="894" t="e">
        <f t="shared" ref="FA54:FA85" si="104">(0.026*BP14*((CE14+CF14/12)/BO14)*(BO14^2-IF(ISEVEN(BO14),0,1)))/BM14</f>
        <v>#DIV/0!</v>
      </c>
      <c r="FB54" s="819" t="str">
        <f t="shared" ref="FB54:FB85" si="105">IF(CG54="","",IF(ABS(DA14*((BM14-IF(DA14&gt;0,$FF$4,0))/12))&gt;$CX$2,DA14*((BM14-IF(DA14&gt;0,$FF$4,0))/12),0))</f>
        <v/>
      </c>
      <c r="FC54" s="820" t="str">
        <f t="shared" ref="FC54:FC85" si="106">IF(CP54="","",IF(ABS(DA14*((BM14-IF(DA14&lt;0,$FF$4,0))/12))&gt;$CX$2,DA14*((BM14-IF(DA14&lt;0,$FF$4,0))/12)*-1,0))</f>
        <v/>
      </c>
      <c r="FD54" s="829">
        <f t="shared" ref="FD54:FD85" si="107">IF(CF54="",0,MAX(0,DB54-$FA$4))</f>
        <v>0</v>
      </c>
      <c r="FE54" s="774">
        <f t="shared" ref="FE54:FE85" si="108">IF(CO54="",0,MAX(0,DH54-$FA$4))</f>
        <v>0</v>
      </c>
      <c r="FF54" s="703" t="b">
        <f t="shared" ref="FF54:FF85" si="109">IF(ISERROR(AR14),TRUE,IF(OR(AR14="",ISBLANK(AR14)),FALSE,IF(ISTEXT(AR14),IF(AND(AR14="P",LEFT(AS14,1)="#"),FALSE,TRUE),IF(ISTEXT(AS14),TRUE,FALSE))))</f>
        <v>0</v>
      </c>
      <c r="FG54" s="703" t="b">
        <f t="shared" ref="FG54:FG85" si="110">IF(ISERROR(AV14),TRUE,IF(OR(AV14="",ISBLANK(AV14)),FALSE,IF(ISTEXT(AV14),IF(AND(AV14="P",LEFT(AW14,1)="#"),FALSE,TRUE),IF(ISTEXT(AW14),TRUE,FALSE))))</f>
        <v>0</v>
      </c>
      <c r="FH54" s="703" t="b">
        <f t="shared" ref="FH54:FH85" si="111">IF(ISERROR(AZ14),TRUE,IF(OR(AZ14="",ISBLANK(AZ14)),FALSE,IF(ISTEXT(AZ14),IF(AND(AZ14="P",LEFT(BA14,1)="#"),FALSE,TRUE),IF(ISTEXT(BA14),TRUE,FALSE))))</f>
        <v>0</v>
      </c>
      <c r="FI54" s="703" t="b">
        <f t="shared" ref="FI54:FI85" si="112">IF(ISERROR(BD14),TRUE,IF(OR(BD14="",ISBLANK(BD14)),FALSE,IF(ISTEXT(BD14),IF(AND(BD14="P",LEFT(BE14,1)="#"),FALSE,TRUE),IF(ISTEXT(BE14),TRUE,FALSE))))</f>
        <v>0</v>
      </c>
      <c r="FJ54" s="724"/>
      <c r="FK54" s="475" t="str">
        <f>IF(ISBLANK(DH14),"",DH14)</f>
        <v/>
      </c>
      <c r="FL54" s="233" t="e">
        <f>VLOOKUP(DH14,$CB$54:$DK$85,36,FALSE)</f>
        <v>#N/A</v>
      </c>
      <c r="FM54" s="234" t="str">
        <f t="shared" ref="FM54:FM85" si="113">IF(ISBLANK(DH15),IF(SUM(DJ15:DN15)=0,"",IF(ISBLANK(DI15),"X","")),"")</f>
        <v/>
      </c>
      <c r="FN54" s="182" t="str">
        <f>IF(SUM(DJ14:DN14)=0,"",IF(OR(FS54=0,DL14=""),"",CEILING(IF(AND(DJ14="",DK14=""),IF(AND(DM14="",DN14=""),(FS54-FO54*FP54)/2,(DJ14*12+DK14+(DL14*(DM14*12+DN14)))-FO54*FP54),(DJ14*12+DK14))-0.0625,0.125)))</f>
        <v/>
      </c>
      <c r="FO54" s="183" t="str">
        <f>IF(SUM(DJ14:DN14)=0,"",IF(OR(FS54=0,DL14=""),"",DL14-IF(AND(DJ14="",DK14=""),1,0)-IF(AND(DM14="",DN14="",FM54=""),1,0)))</f>
        <v/>
      </c>
      <c r="FP54" s="184" t="str">
        <f>IF(SUM(DJ14:DN14)=0,"",IF(OR(FS54=0,DL14=""),"",CEILING(IF(AND(DM14="",DN14=""),IF(DL14=FO54,(FS54-FN54-FQ54)/FO54,(FS54-IF(AND(DJ14="",DK14=""),0,FN54)-IF(FM54="",0,FQ54))/DL14),DM14*12+DN14)-0.0625,0.125)))</f>
        <v/>
      </c>
      <c r="FQ54" s="184" t="str">
        <f>IF(SUM(DJ14:DN14)=0,"",IF(OR(FS54=0,DL14=""),"",IF(UPPER(FM54)="X",0,FS54-FN54-FO54*FP54)))</f>
        <v/>
      </c>
      <c r="FR54" s="235">
        <f>IF(FS54="",0,IF(OR(FS54=0,DL14=""),0,FS54-(FN54+FO54*FP54+FQ54)))</f>
        <v>0</v>
      </c>
      <c r="FS54" s="236" t="str">
        <f>IF(SUM(DJ14:DN14)=0,"",VLOOKUP(DH14,CB14:CF45,4,FALSE)*12+VLOOKUP(DH14,CB14:CF45,5,FALSE))</f>
        <v/>
      </c>
      <c r="FT54" s="182" t="str">
        <f>IF(SUM(DJ14:DN14)=0,"",IF(FU54="","",FL54))</f>
        <v/>
      </c>
      <c r="FU54" s="185" t="str">
        <f>IF(SUM(DJ14:DN14)=0,"",1)</f>
        <v/>
      </c>
      <c r="FV54" s="237" t="str">
        <f t="shared" ref="FV54:FV85" si="114">IF(FW54="","",CEILING(FW54+GJ54-0.0625,0.125))</f>
        <v/>
      </c>
      <c r="FW54" s="186" t="str">
        <f>IF(SUM(DJ14:DN14)=0,"",IF(OR(FN54=0,FN54=""),"",(FN54+VLOOKUP(DH14,CB54:CD85,3,FALSE)-VLOOKUP(DH14,CB54:DD85,29,FALSE))/COS(VLOOKUP(DH14,$CB$54:$EU$85,72,FALSE))))</f>
        <v/>
      </c>
      <c r="FX54" s="186" t="str">
        <f>IF(SUM(DJ14:DN14)=0,"",IF(FO54=0,0,IF(FP54="","",CEILING(FP54/COS(VLOOKUP(FK54,$CB$54:$EU$85,72,FALSE))-0.0625,0.125))))</f>
        <v/>
      </c>
      <c r="FY54" s="186" t="str">
        <f>IF(SUM(DJ14:DN14)=0,"",IF(OR(FQ54=0,FQ54=""),"",FT54-IF(FW54="",0,FW54)-FO54*FX54))</f>
        <v/>
      </c>
      <c r="FZ54" s="195" t="str">
        <f>IF(FY54="","",CEILING(FT54-IF(FV54="",0,FV54)-(FO54*FX54)-0.0625,0.125))</f>
        <v/>
      </c>
      <c r="GA54" s="186" t="str">
        <f>IF(SUM(DJ14:DN14)=0,"",IF(FW54="",0,FW54)+FO54*FX54+IF(FY54="",0,FY54))</f>
        <v/>
      </c>
      <c r="GB54" s="187" t="str">
        <f ca="1">IF(SUM(DJ14:DN14)=0,"",IF(FY54="","",2+SUM(FO54:OFFSET(FO54,(FU54-1)*-1,0))))</f>
        <v/>
      </c>
      <c r="GC54" s="238" t="e">
        <f>VLOOKUP(DH14,$CB$54:$CD$85,3,FALSE)</f>
        <v>#N/A</v>
      </c>
      <c r="GD54" s="239" t="str">
        <f t="shared" ref="GD54:GD85" si="115">IF(ISBLANK(DT14),"",MAX(0,DT14+VLOOKUP(FK54,$CB$54:$CD$85,3,FALSE)))</f>
        <v/>
      </c>
      <c r="GE54" s="240" t="str">
        <f t="shared" ref="GE54:GE85" si="116">IF(ISBLANK(DU14),"",MAX(0,DU14+VLOOKUP(FK54,$CB$54:$CM$85,12,FALSE)))</f>
        <v/>
      </c>
      <c r="GF54" s="188" t="str">
        <f t="shared" ref="GF54:GF85" si="117">IF(AND(ISBLANK(DV14),ISBLANK(DW14)),"",IF(DV14="P",IF(ISNUMBER(DW14),CONCATENATE("#", DW14),DW14),CEILING((DV14*12+DW14+GC54)/COS(VLOOKUP(FK54,$CB$54:$EU$85,72,FALSE))-0.0625,0.125)))</f>
        <v/>
      </c>
      <c r="GG54" s="189" t="str">
        <f t="shared" ref="GG54:GG85" si="118">IF(AND(ISBLANK(DZ14),ISBLANK(EA14)),"",IF(DZ14="P",IF(ISNUMBER(EA14),CONCATENATE("#", EA14),EA14),CEILING((DZ14*12+EA14+GC54)/COS(VLOOKUP(FK54,$CB$54:$EU$85,72,FALSE))-0.0625,0.125)))</f>
        <v/>
      </c>
      <c r="GH54" s="189" t="str">
        <f t="shared" ref="GH54:GH85" si="119">IF(AND(ISBLANK(ED14),ISBLANK(EE14)),"",IF(ED14="P",IF(ISNUMBER(EE14),CONCATENATE("#", EE14),EE14),CEILING((ED14*12+EE14+GC54)/COS(VLOOKUP(FK54,$CB$54:$EU$85,72,FALSE))-0.0625,0.125)))</f>
        <v/>
      </c>
      <c r="GI54" s="190" t="str">
        <f t="shared" ref="GI54:GI85" si="120">IF(AND(ISBLANK(EH14),ISBLANK(EI14)),"",IF(EH14="P",IF(ISNUMBER(EI14),CONCATENATE("#", EI14),EI14),CEILING((EH14*12+EI14+GC54)/COS(VLOOKUP(FK54,$CB$54:$EU$85,72,FALSE))-0.0625,0.125)))</f>
        <v/>
      </c>
      <c r="GJ54" s="472">
        <f t="shared" ref="GJ54:GJ84" ca="1" si="121">IF(FY54="",GJ55,(FY54-(FQ54+VLOOKUP(FK54,$CB$54:$EU$85,12,FALSE)-VLOOKUP(FK54,$CB$54:$EU$85,34,FALSE))/COS(VLOOKUP(FK54,$CB$54:$EU$85,72,FALSE)))/2)</f>
        <v>0</v>
      </c>
      <c r="GK54" s="834" t="str">
        <f>CONCATENATE(IF(AND(AD14&lt;&gt;"",AE14&lt;&gt;""),IF(AD14*12+AE14+IF(VLOOKUP(BX14,$BJ$14:$BN$45,5,FALSE)="BG",AG14*12+AH14,0)&lt;VLOOKUP(BX14,$BJ$14:$BM$45,4,FALSE)/$EX$5,"A",""),""),IF(AND(AI14&lt;&gt;"",AJ14&lt;&gt;""),IF(AI14*12+AJ14+IF(VLOOKUP(BX14,$BJ$14:$BN$45,5,FALSE)="BG",AG14*12+AH14,0)&lt;VLOOKUP(BX14,$BJ$14:$BM$45,4,FALSE)/$EX$5,"B",""),""))</f>
        <v/>
      </c>
      <c r="GL54" s="56"/>
      <c r="GM54" s="56"/>
    </row>
    <row r="55" spans="1:222" ht="12.6" hidden="1" customHeight="1" x14ac:dyDescent="0.2">
      <c r="BZ55" s="214"/>
      <c r="CA55" s="214"/>
      <c r="CB55" s="289" t="str">
        <f t="shared" si="49"/>
        <v/>
      </c>
      <c r="CC55" s="290" t="str">
        <f>IF(CG15="","",VLOOKUP(CG15,#REF!,12,FALSE))</f>
        <v/>
      </c>
      <c r="CD55" s="1219" t="str">
        <f>IF(ISBLANK(CN15),IF(CG15="","",VLOOKUP(CG15,#REF!,13,FALSE)),CN15)</f>
        <v/>
      </c>
      <c r="CE55" s="1219" t="str">
        <f>IF(CG15="","",IF(VLOOKUP(CG15,#REF!,5,FALSE)="","R",UPPER(VLOOKUP(CG15,#REF!,5,FALSE))))</f>
        <v/>
      </c>
      <c r="CF55" s="1219" t="str">
        <f>IF(ISBLANK(CP15),IF(CG15="","",VLOOKUP(CG15,#REF!,6,FALSE)),CP15)</f>
        <v/>
      </c>
      <c r="CG55" s="1219" t="str">
        <f>IF(CG15="","",IF(VLOOKUP(CG15,#REF!,10,FALSE)="","",(VLOOKUP(CG15,#REF!,10,FALSE)*-1)))</f>
        <v/>
      </c>
      <c r="CH55" s="1219" t="str">
        <f>IF(CG15="","",IF(VLOOKUP(CG15,#REF!,7,FALSE)="","",(VLOOKUP(CG15,#REF!,7,FALSE)*-1)))</f>
        <v/>
      </c>
      <c r="CI55" s="1219" t="str">
        <f>IF(CG15="","",IF(VLOOKUP(CG15,#REF!,8,FALSE)="",$FC$4,(VLOOKUP(CG15,#REF!,8,FALSE))))</f>
        <v/>
      </c>
      <c r="CJ55" s="1219" t="str">
        <f>IF(CG15="","",VLOOKUP(CG15,#REF!,9,FALSE))</f>
        <v/>
      </c>
      <c r="CK55" s="1220">
        <f t="shared" si="50"/>
        <v>0</v>
      </c>
      <c r="CL55" s="1218" t="str">
        <f>IF(CQ15="","",VLOOKUP(CQ15,#REF!,12,FALSE))</f>
        <v/>
      </c>
      <c r="CM55" s="1219" t="str">
        <f>IF(ISBLANK(CX15),IF(CQ15="","",VLOOKUP(CQ15,#REF!,13,FALSE)),CX15)</f>
        <v/>
      </c>
      <c r="CN55" s="1219" t="str">
        <f>IF(CQ15="","",IF(VLOOKUP(CQ15,#REF!,5,FALSE)="","R",UPPER(VLOOKUP(CQ15,#REF!,5,FALSE))))</f>
        <v/>
      </c>
      <c r="CO55" s="1219" t="str">
        <f>IF(ISBLANK(CZ15),IF(CQ15="","",VLOOKUP(CQ15,#REF!,6,FALSE)),CZ15)</f>
        <v/>
      </c>
      <c r="CP55" s="1219" t="str">
        <f>IF(CQ15="","",IF(VLOOKUP(CQ15,#REF!,10,FALSE)="","",(VLOOKUP(CQ15,#REF!,10,FALSE)*-1)))</f>
        <v/>
      </c>
      <c r="CQ55" s="1219" t="str">
        <f>IF(CQ15="","",IF(VLOOKUP(CQ15,#REF!,7,FALSE)="","",(VLOOKUP(CQ15,#REF!,7,FALSE)*-1)))</f>
        <v/>
      </c>
      <c r="CR55" s="1219" t="str">
        <f>IF(CQ15="","",IF(VLOOKUP(CQ15,#REF!,8,FALSE)="",$FC$4,(VLOOKUP(CQ15,#REF!,8,FALSE))))</f>
        <v/>
      </c>
      <c r="CS55" s="1219" t="str">
        <f>IF(CQ15="","",VLOOKUP(CQ15,#REF!,9,FALSE))</f>
        <v/>
      </c>
      <c r="CT55" s="1220">
        <f t="shared" si="51"/>
        <v>0</v>
      </c>
      <c r="CU55" s="1230">
        <f t="shared" si="52"/>
        <v>0</v>
      </c>
      <c r="CV55" s="1224" t="str">
        <f t="shared" si="53"/>
        <v/>
      </c>
      <c r="CW55" s="1224" t="str">
        <f t="shared" si="54"/>
        <v/>
      </c>
      <c r="CX55" s="1224" t="str">
        <f t="shared" si="55"/>
        <v/>
      </c>
      <c r="CY55" s="1226">
        <f t="shared" si="56"/>
        <v>0</v>
      </c>
      <c r="CZ55" s="1226" t="e">
        <f t="shared" si="57"/>
        <v>#REF!</v>
      </c>
      <c r="DA55" s="1226" t="str">
        <f t="shared" si="58"/>
        <v/>
      </c>
      <c r="DB55" s="1224" t="str">
        <f t="shared" ref="DB55:DB85" si="122">IF(CD55="","",CD55+DA55+($EY$4*TAN(CY55)))</f>
        <v/>
      </c>
      <c r="DC55" s="1224" t="str">
        <f t="shared" si="59"/>
        <v/>
      </c>
      <c r="DD55" s="814">
        <f t="shared" ref="DD55:DD85" si="123">IF(CD55="",0,IF(DC55/COS(EU55)&lt;0.0625,0,CEILING(DC55/COS(EU55)-0.03125,0.125)))</f>
        <v>0</v>
      </c>
      <c r="DE55" s="812">
        <f t="shared" si="60"/>
        <v>0</v>
      </c>
      <c r="DF55" s="813" t="e">
        <f t="shared" si="61"/>
        <v>#REF!</v>
      </c>
      <c r="DG55" s="813" t="str">
        <f t="shared" si="62"/>
        <v/>
      </c>
      <c r="DH55" s="1224" t="str">
        <f t="shared" ref="DH55:DH85" si="124">IF(CM55="","",CM55+DG55+($EY$4*TAN(DE55)))</f>
        <v/>
      </c>
      <c r="DI55" s="1224" t="str">
        <f t="shared" si="63"/>
        <v/>
      </c>
      <c r="DJ55" s="1225">
        <f t="shared" ref="DJ55:DJ85" si="125">IF(CM55="",0,IF(DI55/COS(EU55)&lt;0.0625,0,CEILING(DI55/COS(EU55)-0.03125,0.125)))</f>
        <v>0</v>
      </c>
      <c r="DK55" s="1224" t="str">
        <f t="shared" si="64"/>
        <v/>
      </c>
      <c r="DL55" s="1224" t="str">
        <f t="shared" si="65"/>
        <v/>
      </c>
      <c r="DM55" s="1224" t="str">
        <f t="shared" si="66"/>
        <v/>
      </c>
      <c r="DN55" s="1224" t="str">
        <f t="shared" si="67"/>
        <v/>
      </c>
      <c r="DO55" s="828" t="e">
        <f t="shared" si="68"/>
        <v>#REF!</v>
      </c>
      <c r="DP55" s="828" t="e">
        <f t="shared" si="69"/>
        <v>#REF!</v>
      </c>
      <c r="DQ55" s="1224" t="str">
        <f t="shared" si="70"/>
        <v/>
      </c>
      <c r="DR55" s="1224" t="str">
        <f t="shared" si="70"/>
        <v/>
      </c>
      <c r="DS55" s="1224" t="str">
        <f t="shared" si="71"/>
        <v/>
      </c>
      <c r="DT55" s="1224" t="str">
        <f t="shared" si="72"/>
        <v/>
      </c>
      <c r="DU55" s="1224" t="str">
        <f t="shared" si="73"/>
        <v/>
      </c>
      <c r="DV55" s="828" t="e">
        <f t="shared" si="74"/>
        <v>#REF!</v>
      </c>
      <c r="DW55" s="828" t="e">
        <f t="shared" si="75"/>
        <v>#REF!</v>
      </c>
      <c r="DX55" s="812" t="str">
        <f t="shared" si="76"/>
        <v/>
      </c>
      <c r="DY55" s="812" t="str">
        <f t="shared" si="76"/>
        <v/>
      </c>
      <c r="DZ55" s="812" t="str">
        <f t="shared" si="77"/>
        <v/>
      </c>
      <c r="EA55" s="812" t="str">
        <f t="shared" si="78"/>
        <v/>
      </c>
      <c r="EB55" s="815" t="str">
        <f t="shared" si="79"/>
        <v/>
      </c>
      <c r="EC55" s="816" t="str">
        <f t="shared" si="80"/>
        <v/>
      </c>
      <c r="ED55" s="815" t="str">
        <f t="shared" si="81"/>
        <v/>
      </c>
      <c r="EE55" s="815" t="str">
        <f t="shared" si="82"/>
        <v/>
      </c>
      <c r="EF55" s="815" t="str">
        <f t="shared" si="83"/>
        <v/>
      </c>
      <c r="EG55" s="815" t="str">
        <f t="shared" si="84"/>
        <v/>
      </c>
      <c r="EH55" s="815" t="str">
        <f t="shared" si="85"/>
        <v/>
      </c>
      <c r="EI55" s="815" t="str">
        <f t="shared" si="86"/>
        <v/>
      </c>
      <c r="EJ55" s="815" t="str">
        <f t="shared" si="87"/>
        <v/>
      </c>
      <c r="EK55" s="813">
        <f t="shared" si="88"/>
        <v>0</v>
      </c>
      <c r="EL55" s="813">
        <f t="shared" si="89"/>
        <v>0</v>
      </c>
      <c r="EM55" s="813">
        <f t="shared" si="90"/>
        <v>0</v>
      </c>
      <c r="EN55" s="813" t="e">
        <f t="shared" si="91"/>
        <v>#REF!</v>
      </c>
      <c r="EO55" s="812" t="str">
        <f t="shared" si="92"/>
        <v/>
      </c>
      <c r="EP55" s="813">
        <f t="shared" si="93"/>
        <v>0</v>
      </c>
      <c r="EQ55" s="813">
        <f t="shared" si="94"/>
        <v>0</v>
      </c>
      <c r="ER55" s="813">
        <f t="shared" si="95"/>
        <v>0</v>
      </c>
      <c r="ES55" s="813" t="e">
        <f t="shared" si="96"/>
        <v>#REF!</v>
      </c>
      <c r="ET55" s="812" t="str">
        <f t="shared" si="97"/>
        <v/>
      </c>
      <c r="EU55" s="812" t="e">
        <f t="shared" si="98"/>
        <v>#REF!</v>
      </c>
      <c r="EV55" s="815" t="e">
        <f t="shared" si="99"/>
        <v>#VALUE!</v>
      </c>
      <c r="EW55" s="815" t="e">
        <f t="shared" si="100"/>
        <v>#VALUE!</v>
      </c>
      <c r="EX55" s="817" t="str">
        <f t="shared" si="101"/>
        <v/>
      </c>
      <c r="EY55" s="818">
        <f t="shared" si="102"/>
        <v>25</v>
      </c>
      <c r="EZ55" s="893">
        <f t="shared" si="103"/>
        <v>0</v>
      </c>
      <c r="FA55" s="894">
        <f t="shared" si="104"/>
        <v>0</v>
      </c>
      <c r="FB55" s="819" t="str">
        <f t="shared" si="105"/>
        <v/>
      </c>
      <c r="FC55" s="820" t="str">
        <f t="shared" si="106"/>
        <v/>
      </c>
      <c r="FD55" s="829">
        <f t="shared" si="107"/>
        <v>0</v>
      </c>
      <c r="FE55" s="774">
        <f t="shared" si="108"/>
        <v>0</v>
      </c>
      <c r="FF55" s="703" t="b">
        <f t="shared" si="109"/>
        <v>0</v>
      </c>
      <c r="FG55" s="703" t="b">
        <f t="shared" si="110"/>
        <v>0</v>
      </c>
      <c r="FH55" s="703" t="b">
        <f t="shared" si="111"/>
        <v>0</v>
      </c>
      <c r="FI55" s="703" t="b">
        <f t="shared" si="112"/>
        <v>0</v>
      </c>
      <c r="FJ55" s="849" t="str">
        <f t="shared" ref="FJ55:FJ85" si="126">IF(AND(COUNTA(DH15:EK15)&gt;0,FK55=FK54,FK55&lt;&gt;""),"G","")</f>
        <v/>
      </c>
      <c r="FK55" s="848" t="str">
        <f t="shared" ref="FK55:FK85" si="127">IF(ISBLANK(DH15),FK54,DH15)</f>
        <v/>
      </c>
      <c r="FL55" s="242" t="e">
        <f t="shared" ref="FL55:FL85" si="128">IF(ISERROR(VLOOKUP(DH15,$CB$54:$DK$85,36,FALSE)),FL54,VLOOKUP(DH15,$CB$54:$DK$85,36,FALSE))</f>
        <v>#N/A</v>
      </c>
      <c r="FM55" s="234" t="str">
        <f t="shared" si="113"/>
        <v/>
      </c>
      <c r="FN55" s="191" t="str">
        <f t="shared" ref="FN55:FN85" ca="1" si="129">IF(OR(FS55=0,DL15=""),"",IF(UPPER(FM54)="X",0,CEILING(IF(AND(DJ15="",DK15=""),IF(UPPER(FM55)="X",FP55,IF(AND(DM15="",DN15=""),(FS55-FO55*FP55)/2,(DJ15*12+DK15+(DL15*(DM15*12+DN15)))-FO55*FP55)),(DJ15*12+DK15))-0.0625,0.125)))</f>
        <v/>
      </c>
      <c r="FO55" s="192" t="str">
        <f t="shared" ref="FO55:FO85" ca="1" si="130">IF(OR(FS55=0,DL15=""),"",DL15-IF(AND(DJ15="",DK15="",FM54&lt;&gt;"X"),1,0)-IF(AND(DM15="",DN15="",FM55=""),1,0))</f>
        <v/>
      </c>
      <c r="FP55" s="193" t="str">
        <f t="shared" ref="FP55:FP85" ca="1" si="131">IF(OR(FS55=0,DL15=""),"",CEILING(IF(AND(DM15="",DN15=""),IF(DL15=FO55,(FS55-FN55-FQ55)/FO55,(FS55-IF(AND(DJ15="",DK15=""),0,FN55)-IF(FM55="",0,FQ55))/DL15),DM15*12+DN15)-0.0625,0.125))</f>
        <v/>
      </c>
      <c r="FQ55" s="193" t="str">
        <f t="shared" ref="FQ55:FQ85" ca="1" si="132">IF(OR(FS55=0,DL15=""),"",IF(UPPER(FM55)="X",0,FS55-FN55-FO55*FP55))</f>
        <v/>
      </c>
      <c r="FR55" s="243">
        <f t="shared" ref="FR55:FR85" ca="1" si="133">IF(OR(FS55=0,DL15=""),0,FS55-(FN55+FO55*FP55+FQ55))</f>
        <v>0</v>
      </c>
      <c r="FS55" s="244">
        <f t="shared" ref="FS55:FS85" ca="1" si="134">IF(ISBLANK(DH15),IF(FR54=0,IF(OR(DI15="F",DI15="N"),OFFSET(FS54,(-1*(FU54-1)),0),0),FR54),VLOOKUP(DH15,$CB$14:$CF$45,4,FALSE)*12+VLOOKUP(DH15,$CB$14:$CF$45,5,FALSE))</f>
        <v>0</v>
      </c>
      <c r="FT55" s="191" t="str">
        <f t="shared" ref="FT55:FT85" ca="1" si="135">IF(FU55="","",IF(FU55=1,IF(FL55="",OFFSET(FL55,(-1*FU54),0),FL55),FT54-GA54))</f>
        <v/>
      </c>
      <c r="FU55" s="194" t="str">
        <f t="shared" ref="FU55:FU85" ca="1" si="136">IF(FS55=0,"",IF(FR54=0,1,FU54+1))</f>
        <v/>
      </c>
      <c r="FV55" s="245" t="str">
        <f t="shared" ca="1" si="114"/>
        <v/>
      </c>
      <c r="FW55" s="195" t="str">
        <f t="shared" ref="FW55:FW85" ca="1" si="137">IF(OR(FN55=0,FN55=""),"",(FN55+VLOOKUP(FK55,$CB$54:$CD$85,3,FALSE)-VLOOKUP(FK55,$CB$54:$DD$85,29,FALSE))/COS(VLOOKUP(FK55,$CB$54:$EU$85,72,FALSE)))</f>
        <v/>
      </c>
      <c r="FX55" s="195" t="str">
        <f t="shared" ref="FX55:FX85" ca="1" si="138">IF(FO55=0,0,IF(FP55="","",CEILING(FP55/COS(VLOOKUP(FK55,$CB$54:$EU$85,72,FALSE))-0.0625,0.125)))</f>
        <v/>
      </c>
      <c r="FY55" s="195" t="str">
        <f t="shared" ref="FY55:FY85" ca="1" si="139">IF(OR(FQ55=0,FQ55=""),"",FT55-IF(FW55="",0,FW55)-FO55*FX55)</f>
        <v/>
      </c>
      <c r="FZ55" s="195" t="str">
        <f t="shared" ref="FZ55:FZ85" ca="1" si="140">IF(FY55="","",CEILING(FT55-IF(FV55="",0,FV55)-(FO55*FX55)-0.0625,0.125))</f>
        <v/>
      </c>
      <c r="GA55" s="195" t="str">
        <f t="shared" ref="GA55:GA85" ca="1" si="141">IF(FP55="","",IF(FW55="",0,FW55)+FO55*FX55+IF(FY55="",0,FY55))</f>
        <v/>
      </c>
      <c r="GB55" s="196" t="str">
        <f ca="1">IF(FY55="","",2+SUM(FO55:OFFSET(FO55,(FU55-1)*-1,0)))</f>
        <v/>
      </c>
      <c r="GC55" s="238" t="e">
        <f t="shared" ref="GC55:GC85" si="142">IF(ISERROR(VLOOKUP(DH15,$CB$54:$CD$85,3,FALSE)),GC54,VLOOKUP(DH15,$CB$54:$CD$85,3,FALSE))</f>
        <v>#N/A</v>
      </c>
      <c r="GD55" s="246" t="str">
        <f t="shared" si="115"/>
        <v/>
      </c>
      <c r="GE55" s="247" t="str">
        <f t="shared" si="116"/>
        <v/>
      </c>
      <c r="GF55" s="197" t="str">
        <f t="shared" si="117"/>
        <v/>
      </c>
      <c r="GG55" s="198" t="str">
        <f t="shared" si="118"/>
        <v/>
      </c>
      <c r="GH55" s="198" t="str">
        <f t="shared" si="119"/>
        <v/>
      </c>
      <c r="GI55" s="199" t="str">
        <f t="shared" si="120"/>
        <v/>
      </c>
      <c r="GJ55" s="473">
        <f t="shared" ca="1" si="121"/>
        <v>0</v>
      </c>
      <c r="GK55" s="834" t="e">
        <f t="shared" ref="GK55:GK85" ca="1" si="143">CONCATENATE(IF(AND(AD15&lt;&gt;"",AE15&lt;&gt;""),IF(AD15*12+AE15+IF(VLOOKUP(BX15,$BJ$14:$BN$45,5,FALSE)="BG",AG15*12+AH15,0)&lt;VLOOKUP(BX15,$BJ$14:$BM$45,4,FALSE)/$EX$5,"A",""),""),IF(AND(AI15&lt;&gt;"",AJ15&lt;&gt;""),IF(AI15*12+AJ15+IF(VLOOKUP(BX15,$BJ$14:$BN$45,5,FALSE)="BG",AG15*12+AH15,0)&lt;VLOOKUP(BX15,$BJ$14:$BM$45,4,FALSE)/$EX$5,"B",""),""))</f>
        <v>#REF!</v>
      </c>
      <c r="GL55" s="56"/>
      <c r="GM55" s="56"/>
    </row>
    <row r="56" spans="1:222" ht="12.6" hidden="1" customHeight="1" x14ac:dyDescent="0.2">
      <c r="BZ56" s="214"/>
      <c r="CA56" s="214"/>
      <c r="CB56" s="289" t="str">
        <f t="shared" si="49"/>
        <v/>
      </c>
      <c r="CC56" s="290" t="str">
        <f>IF(CG16="","",VLOOKUP(CG16,#REF!,12,FALSE))</f>
        <v/>
      </c>
      <c r="CD56" s="1219" t="str">
        <f>IF(ISBLANK(CN16),IF(CG16="","",VLOOKUP(CG16,#REF!,13,FALSE)),CN16)</f>
        <v/>
      </c>
      <c r="CE56" s="1219" t="str">
        <f>IF(CG16="","",IF(VLOOKUP(CG16,#REF!,5,FALSE)="","R",UPPER(VLOOKUP(CG16,#REF!,5,FALSE))))</f>
        <v/>
      </c>
      <c r="CF56" s="1219" t="str">
        <f>IF(ISBLANK(CP16),IF(CG16="","",VLOOKUP(CG16,#REF!,6,FALSE)),CP16)</f>
        <v/>
      </c>
      <c r="CG56" s="1219" t="str">
        <f>IF(CG16="","",IF(VLOOKUP(CG16,#REF!,10,FALSE)="","",(VLOOKUP(CG16,#REF!,10,FALSE)*-1)))</f>
        <v/>
      </c>
      <c r="CH56" s="1219" t="str">
        <f>IF(CG16="","",IF(VLOOKUP(CG16,#REF!,7,FALSE)="","",(VLOOKUP(CG16,#REF!,7,FALSE)*-1)))</f>
        <v/>
      </c>
      <c r="CI56" s="1219" t="str">
        <f>IF(CG16="","",IF(VLOOKUP(CG16,#REF!,8,FALSE)="",$FC$4,(VLOOKUP(CG16,#REF!,8,FALSE))))</f>
        <v/>
      </c>
      <c r="CJ56" s="1219" t="str">
        <f>IF(CG16="","",VLOOKUP(CG16,#REF!,9,FALSE))</f>
        <v/>
      </c>
      <c r="CK56" s="1220">
        <f t="shared" si="50"/>
        <v>0</v>
      </c>
      <c r="CL56" s="1218" t="str">
        <f>IF(CQ16="","",VLOOKUP(CQ16,#REF!,12,FALSE))</f>
        <v/>
      </c>
      <c r="CM56" s="1219" t="str">
        <f>IF(ISBLANK(CX16),IF(CQ16="","",VLOOKUP(CQ16,#REF!,13,FALSE)),CX16)</f>
        <v/>
      </c>
      <c r="CN56" s="1219" t="str">
        <f>IF(CQ16="","",IF(VLOOKUP(CQ16,#REF!,5,FALSE)="","R",UPPER(VLOOKUP(CQ16,#REF!,5,FALSE))))</f>
        <v/>
      </c>
      <c r="CO56" s="1219" t="str">
        <f>IF(ISBLANK(CZ16),IF(CQ16="","",VLOOKUP(CQ16,#REF!,6,FALSE)),CZ16)</f>
        <v/>
      </c>
      <c r="CP56" s="1219" t="str">
        <f>IF(CQ16="","",IF(VLOOKUP(CQ16,#REF!,10,FALSE)="","",(VLOOKUP(CQ16,#REF!,10,FALSE)*-1)))</f>
        <v/>
      </c>
      <c r="CQ56" s="1219" t="str">
        <f>IF(CQ16="","",IF(VLOOKUP(CQ16,#REF!,7,FALSE)="","",(VLOOKUP(CQ16,#REF!,7,FALSE)*-1)))</f>
        <v/>
      </c>
      <c r="CR56" s="1219" t="str">
        <f>IF(CQ16="","",IF(VLOOKUP(CQ16,#REF!,8,FALSE)="",$FC$4,(VLOOKUP(CQ16,#REF!,8,FALSE))))</f>
        <v/>
      </c>
      <c r="CS56" s="1219" t="str">
        <f>IF(CQ16="","",VLOOKUP(CQ16,#REF!,9,FALSE))</f>
        <v/>
      </c>
      <c r="CT56" s="1220">
        <f t="shared" si="51"/>
        <v>0</v>
      </c>
      <c r="CU56" s="1230">
        <f t="shared" si="52"/>
        <v>0</v>
      </c>
      <c r="CV56" s="1224" t="str">
        <f t="shared" si="53"/>
        <v/>
      </c>
      <c r="CW56" s="1224" t="str">
        <f t="shared" si="54"/>
        <v/>
      </c>
      <c r="CX56" s="1224" t="str">
        <f t="shared" si="55"/>
        <v/>
      </c>
      <c r="CY56" s="1226">
        <f t="shared" si="56"/>
        <v>0</v>
      </c>
      <c r="CZ56" s="1226" t="e">
        <f t="shared" si="57"/>
        <v>#REF!</v>
      </c>
      <c r="DA56" s="1226" t="str">
        <f t="shared" si="58"/>
        <v/>
      </c>
      <c r="DB56" s="1224" t="str">
        <f t="shared" si="122"/>
        <v/>
      </c>
      <c r="DC56" s="1224" t="str">
        <f t="shared" si="59"/>
        <v/>
      </c>
      <c r="DD56" s="814">
        <f t="shared" si="123"/>
        <v>0</v>
      </c>
      <c r="DE56" s="812">
        <f t="shared" si="60"/>
        <v>0</v>
      </c>
      <c r="DF56" s="813" t="e">
        <f t="shared" si="61"/>
        <v>#REF!</v>
      </c>
      <c r="DG56" s="813" t="str">
        <f t="shared" si="62"/>
        <v/>
      </c>
      <c r="DH56" s="1224" t="str">
        <f t="shared" si="124"/>
        <v/>
      </c>
      <c r="DI56" s="1224" t="str">
        <f t="shared" si="63"/>
        <v/>
      </c>
      <c r="DJ56" s="1225">
        <f t="shared" si="125"/>
        <v>0</v>
      </c>
      <c r="DK56" s="1224" t="str">
        <f t="shared" si="64"/>
        <v/>
      </c>
      <c r="DL56" s="1224" t="str">
        <f t="shared" si="65"/>
        <v/>
      </c>
      <c r="DM56" s="1224" t="str">
        <f t="shared" si="66"/>
        <v/>
      </c>
      <c r="DN56" s="1224" t="str">
        <f t="shared" si="67"/>
        <v/>
      </c>
      <c r="DO56" s="828" t="e">
        <f t="shared" si="68"/>
        <v>#REF!</v>
      </c>
      <c r="DP56" s="828" t="e">
        <f t="shared" si="69"/>
        <v>#REF!</v>
      </c>
      <c r="DQ56" s="1224" t="str">
        <f t="shared" si="70"/>
        <v/>
      </c>
      <c r="DR56" s="1224" t="str">
        <f t="shared" si="70"/>
        <v/>
      </c>
      <c r="DS56" s="1224" t="str">
        <f t="shared" si="71"/>
        <v/>
      </c>
      <c r="DT56" s="1224" t="str">
        <f t="shared" si="72"/>
        <v/>
      </c>
      <c r="DU56" s="1224" t="str">
        <f t="shared" si="73"/>
        <v/>
      </c>
      <c r="DV56" s="828" t="e">
        <f t="shared" si="74"/>
        <v>#REF!</v>
      </c>
      <c r="DW56" s="828" t="e">
        <f t="shared" si="75"/>
        <v>#REF!</v>
      </c>
      <c r="DX56" s="812" t="str">
        <f t="shared" si="76"/>
        <v/>
      </c>
      <c r="DY56" s="812" t="str">
        <f t="shared" si="76"/>
        <v/>
      </c>
      <c r="DZ56" s="812" t="str">
        <f t="shared" si="77"/>
        <v/>
      </c>
      <c r="EA56" s="812" t="str">
        <f t="shared" si="78"/>
        <v/>
      </c>
      <c r="EB56" s="815" t="str">
        <f t="shared" si="79"/>
        <v/>
      </c>
      <c r="EC56" s="816" t="str">
        <f t="shared" si="80"/>
        <v/>
      </c>
      <c r="ED56" s="815" t="str">
        <f t="shared" si="81"/>
        <v/>
      </c>
      <c r="EE56" s="815" t="str">
        <f t="shared" si="82"/>
        <v/>
      </c>
      <c r="EF56" s="815" t="str">
        <f t="shared" si="83"/>
        <v/>
      </c>
      <c r="EG56" s="815" t="str">
        <f t="shared" si="84"/>
        <v/>
      </c>
      <c r="EH56" s="815" t="str">
        <f t="shared" si="85"/>
        <v/>
      </c>
      <c r="EI56" s="815" t="str">
        <f t="shared" si="86"/>
        <v/>
      </c>
      <c r="EJ56" s="815" t="str">
        <f t="shared" si="87"/>
        <v/>
      </c>
      <c r="EK56" s="813">
        <f t="shared" si="88"/>
        <v>0</v>
      </c>
      <c r="EL56" s="813">
        <f t="shared" si="89"/>
        <v>0</v>
      </c>
      <c r="EM56" s="813">
        <f t="shared" si="90"/>
        <v>0</v>
      </c>
      <c r="EN56" s="813" t="e">
        <f t="shared" si="91"/>
        <v>#REF!</v>
      </c>
      <c r="EO56" s="812" t="str">
        <f t="shared" si="92"/>
        <v/>
      </c>
      <c r="EP56" s="813">
        <f t="shared" si="93"/>
        <v>0</v>
      </c>
      <c r="EQ56" s="813">
        <f t="shared" si="94"/>
        <v>0</v>
      </c>
      <c r="ER56" s="813">
        <f t="shared" si="95"/>
        <v>0</v>
      </c>
      <c r="ES56" s="813" t="e">
        <f t="shared" si="96"/>
        <v>#REF!</v>
      </c>
      <c r="ET56" s="812" t="str">
        <f t="shared" si="97"/>
        <v/>
      </c>
      <c r="EU56" s="812" t="e">
        <f t="shared" si="98"/>
        <v>#REF!</v>
      </c>
      <c r="EV56" s="815" t="e">
        <f t="shared" si="99"/>
        <v>#VALUE!</v>
      </c>
      <c r="EW56" s="815" t="e">
        <f t="shared" si="100"/>
        <v>#VALUE!</v>
      </c>
      <c r="EX56" s="817" t="str">
        <f t="shared" si="101"/>
        <v/>
      </c>
      <c r="EY56" s="818" t="e">
        <f t="shared" si="102"/>
        <v>#DIV/0!</v>
      </c>
      <c r="EZ56" s="893" t="e">
        <f t="shared" si="103"/>
        <v>#DIV/0!</v>
      </c>
      <c r="FA56" s="894" t="e">
        <f t="shared" si="104"/>
        <v>#DIV/0!</v>
      </c>
      <c r="FB56" s="819" t="str">
        <f t="shared" si="105"/>
        <v/>
      </c>
      <c r="FC56" s="820" t="str">
        <f t="shared" si="106"/>
        <v/>
      </c>
      <c r="FD56" s="829">
        <f t="shared" si="107"/>
        <v>0</v>
      </c>
      <c r="FE56" s="774">
        <f t="shared" si="108"/>
        <v>0</v>
      </c>
      <c r="FF56" s="703" t="b">
        <f t="shared" si="109"/>
        <v>0</v>
      </c>
      <c r="FG56" s="703" t="b">
        <f t="shared" si="110"/>
        <v>0</v>
      </c>
      <c r="FH56" s="703" t="b">
        <f t="shared" si="111"/>
        <v>0</v>
      </c>
      <c r="FI56" s="703" t="b">
        <f t="shared" si="112"/>
        <v>0</v>
      </c>
      <c r="FJ56" s="849" t="str">
        <f t="shared" si="126"/>
        <v/>
      </c>
      <c r="FK56" s="848" t="str">
        <f t="shared" si="127"/>
        <v/>
      </c>
      <c r="FL56" s="242" t="e">
        <f t="shared" si="128"/>
        <v>#N/A</v>
      </c>
      <c r="FM56" s="234" t="str">
        <f t="shared" si="113"/>
        <v/>
      </c>
      <c r="FN56" s="191" t="str">
        <f t="shared" ca="1" si="129"/>
        <v/>
      </c>
      <c r="FO56" s="192" t="str">
        <f t="shared" ca="1" si="130"/>
        <v/>
      </c>
      <c r="FP56" s="193" t="str">
        <f t="shared" ca="1" si="131"/>
        <v/>
      </c>
      <c r="FQ56" s="193" t="str">
        <f t="shared" ca="1" si="132"/>
        <v/>
      </c>
      <c r="FR56" s="243">
        <f t="shared" ca="1" si="133"/>
        <v>0</v>
      </c>
      <c r="FS56" s="244">
        <f t="shared" ca="1" si="134"/>
        <v>0</v>
      </c>
      <c r="FT56" s="191" t="str">
        <f t="shared" ca="1" si="135"/>
        <v/>
      </c>
      <c r="FU56" s="194" t="str">
        <f t="shared" ca="1" si="136"/>
        <v/>
      </c>
      <c r="FV56" s="245" t="str">
        <f t="shared" ca="1" si="114"/>
        <v/>
      </c>
      <c r="FW56" s="195" t="str">
        <f t="shared" ca="1" si="137"/>
        <v/>
      </c>
      <c r="FX56" s="195" t="str">
        <f t="shared" ca="1" si="138"/>
        <v/>
      </c>
      <c r="FY56" s="195" t="str">
        <f t="shared" ca="1" si="139"/>
        <v/>
      </c>
      <c r="FZ56" s="195" t="str">
        <f t="shared" ca="1" si="140"/>
        <v/>
      </c>
      <c r="GA56" s="195" t="str">
        <f t="shared" ca="1" si="141"/>
        <v/>
      </c>
      <c r="GB56" s="196" t="str">
        <f ca="1">IF(FY56="","",2+SUM(FO56:OFFSET(FO56,(FU56-1)*-1,0)))</f>
        <v/>
      </c>
      <c r="GC56" s="238" t="e">
        <f t="shared" si="142"/>
        <v>#N/A</v>
      </c>
      <c r="GD56" s="246" t="str">
        <f t="shared" si="115"/>
        <v/>
      </c>
      <c r="GE56" s="247" t="str">
        <f t="shared" si="116"/>
        <v/>
      </c>
      <c r="GF56" s="197" t="str">
        <f t="shared" si="117"/>
        <v/>
      </c>
      <c r="GG56" s="198" t="str">
        <f t="shared" si="118"/>
        <v/>
      </c>
      <c r="GH56" s="198" t="str">
        <f t="shared" si="119"/>
        <v/>
      </c>
      <c r="GI56" s="199" t="str">
        <f t="shared" si="120"/>
        <v/>
      </c>
      <c r="GJ56" s="473">
        <f t="shared" ca="1" si="121"/>
        <v>0</v>
      </c>
      <c r="GK56" s="834" t="str">
        <f t="shared" si="143"/>
        <v/>
      </c>
      <c r="GL56" s="56"/>
      <c r="GM56" s="56"/>
    </row>
    <row r="57" spans="1:222" ht="12.6" hidden="1" customHeight="1" x14ac:dyDescent="0.2">
      <c r="BZ57" s="214"/>
      <c r="CA57" s="214"/>
      <c r="CB57" s="289" t="str">
        <f t="shared" si="49"/>
        <v/>
      </c>
      <c r="CC57" s="290" t="str">
        <f>IF(CG17="","",VLOOKUP(CG17,#REF!,12,FALSE))</f>
        <v/>
      </c>
      <c r="CD57" s="1219" t="str">
        <f>IF(ISBLANK(CN17),IF(CG17="","",VLOOKUP(CG17,#REF!,13,FALSE)),CN17)</f>
        <v/>
      </c>
      <c r="CE57" s="1219" t="str">
        <f>IF(CG17="","",IF(VLOOKUP(CG17,#REF!,5,FALSE)="","R",UPPER(VLOOKUP(CG17,#REF!,5,FALSE))))</f>
        <v/>
      </c>
      <c r="CF57" s="1219" t="str">
        <f>IF(ISBLANK(CP17),IF(CG17="","",VLOOKUP(CG17,#REF!,6,FALSE)),CP17)</f>
        <v/>
      </c>
      <c r="CG57" s="1219" t="str">
        <f>IF(CG17="","",IF(VLOOKUP(CG17,#REF!,10,FALSE)="","",(VLOOKUP(CG17,#REF!,10,FALSE)*-1)))</f>
        <v/>
      </c>
      <c r="CH57" s="1219" t="str">
        <f>IF(CG17="","",IF(VLOOKUP(CG17,#REF!,7,FALSE)="","",(VLOOKUP(CG17,#REF!,7,FALSE)*-1)))</f>
        <v/>
      </c>
      <c r="CI57" s="1219" t="str">
        <f>IF(CG17="","",IF(VLOOKUP(CG17,#REF!,8,FALSE)="",$FC$4,(VLOOKUP(CG17,#REF!,8,FALSE))))</f>
        <v/>
      </c>
      <c r="CJ57" s="1219" t="str">
        <f>IF(CG17="","",VLOOKUP(CG17,#REF!,9,FALSE))</f>
        <v/>
      </c>
      <c r="CK57" s="1220">
        <f t="shared" si="50"/>
        <v>0</v>
      </c>
      <c r="CL57" s="1218" t="str">
        <f>IF(CQ17="","",VLOOKUP(CQ17,#REF!,12,FALSE))</f>
        <v/>
      </c>
      <c r="CM57" s="1219" t="str">
        <f>IF(ISBLANK(CX17),IF(CQ17="","",VLOOKUP(CQ17,#REF!,13,FALSE)),CX17)</f>
        <v/>
      </c>
      <c r="CN57" s="1219" t="str">
        <f>IF(CQ17="","",IF(VLOOKUP(CQ17,#REF!,5,FALSE)="","R",UPPER(VLOOKUP(CQ17,#REF!,5,FALSE))))</f>
        <v/>
      </c>
      <c r="CO57" s="1219" t="str">
        <f>IF(ISBLANK(CZ17),IF(CQ17="","",VLOOKUP(CQ17,#REF!,6,FALSE)),CZ17)</f>
        <v/>
      </c>
      <c r="CP57" s="1219" t="str">
        <f>IF(CQ17="","",IF(VLOOKUP(CQ17,#REF!,10,FALSE)="","",(VLOOKUP(CQ17,#REF!,10,FALSE)*-1)))</f>
        <v/>
      </c>
      <c r="CQ57" s="1219" t="str">
        <f>IF(CQ17="","",IF(VLOOKUP(CQ17,#REF!,7,FALSE)="","",(VLOOKUP(CQ17,#REF!,7,FALSE)*-1)))</f>
        <v/>
      </c>
      <c r="CR57" s="1219" t="str">
        <f>IF(CQ17="","",IF(VLOOKUP(CQ17,#REF!,8,FALSE)="",$FC$4,(VLOOKUP(CQ17,#REF!,8,FALSE))))</f>
        <v/>
      </c>
      <c r="CS57" s="1219" t="str">
        <f>IF(CQ17="","",VLOOKUP(CQ17,#REF!,9,FALSE))</f>
        <v/>
      </c>
      <c r="CT57" s="1220">
        <f t="shared" si="51"/>
        <v>0</v>
      </c>
      <c r="CU57" s="1230">
        <f t="shared" si="52"/>
        <v>0</v>
      </c>
      <c r="CV57" s="1224" t="str">
        <f t="shared" si="53"/>
        <v/>
      </c>
      <c r="CW57" s="1224" t="str">
        <f t="shared" si="54"/>
        <v/>
      </c>
      <c r="CX57" s="1224" t="str">
        <f t="shared" si="55"/>
        <v/>
      </c>
      <c r="CY57" s="1226">
        <f t="shared" si="56"/>
        <v>0</v>
      </c>
      <c r="CZ57" s="1226" t="e">
        <f t="shared" si="57"/>
        <v>#REF!</v>
      </c>
      <c r="DA57" s="1226" t="str">
        <f t="shared" si="58"/>
        <v/>
      </c>
      <c r="DB57" s="1224" t="str">
        <f t="shared" si="122"/>
        <v/>
      </c>
      <c r="DC57" s="1224" t="str">
        <f t="shared" si="59"/>
        <v/>
      </c>
      <c r="DD57" s="814">
        <f t="shared" si="123"/>
        <v>0</v>
      </c>
      <c r="DE57" s="812">
        <f t="shared" si="60"/>
        <v>0</v>
      </c>
      <c r="DF57" s="813" t="e">
        <f t="shared" si="61"/>
        <v>#REF!</v>
      </c>
      <c r="DG57" s="813" t="str">
        <f t="shared" si="62"/>
        <v/>
      </c>
      <c r="DH57" s="1224" t="str">
        <f t="shared" si="124"/>
        <v/>
      </c>
      <c r="DI57" s="1224" t="str">
        <f t="shared" si="63"/>
        <v/>
      </c>
      <c r="DJ57" s="1225">
        <f t="shared" si="125"/>
        <v>0</v>
      </c>
      <c r="DK57" s="1224" t="str">
        <f t="shared" si="64"/>
        <v/>
      </c>
      <c r="DL57" s="1224" t="str">
        <f t="shared" si="65"/>
        <v/>
      </c>
      <c r="DM57" s="1224" t="str">
        <f t="shared" si="66"/>
        <v/>
      </c>
      <c r="DN57" s="1224" t="str">
        <f t="shared" si="67"/>
        <v/>
      </c>
      <c r="DO57" s="828" t="e">
        <f t="shared" si="68"/>
        <v>#REF!</v>
      </c>
      <c r="DP57" s="828" t="e">
        <f t="shared" si="69"/>
        <v>#REF!</v>
      </c>
      <c r="DQ57" s="1224" t="str">
        <f t="shared" si="70"/>
        <v/>
      </c>
      <c r="DR57" s="1224" t="str">
        <f t="shared" si="70"/>
        <v/>
      </c>
      <c r="DS57" s="1224" t="str">
        <f t="shared" si="71"/>
        <v/>
      </c>
      <c r="DT57" s="1224" t="str">
        <f t="shared" si="72"/>
        <v/>
      </c>
      <c r="DU57" s="1224" t="str">
        <f t="shared" si="73"/>
        <v/>
      </c>
      <c r="DV57" s="828" t="e">
        <f t="shared" si="74"/>
        <v>#REF!</v>
      </c>
      <c r="DW57" s="828" t="e">
        <f t="shared" si="75"/>
        <v>#REF!</v>
      </c>
      <c r="DX57" s="812" t="str">
        <f t="shared" si="76"/>
        <v/>
      </c>
      <c r="DY57" s="812" t="str">
        <f t="shared" si="76"/>
        <v/>
      </c>
      <c r="DZ57" s="812" t="str">
        <f t="shared" si="77"/>
        <v/>
      </c>
      <c r="EA57" s="812" t="str">
        <f t="shared" si="78"/>
        <v/>
      </c>
      <c r="EB57" s="815" t="str">
        <f t="shared" si="79"/>
        <v/>
      </c>
      <c r="EC57" s="816" t="str">
        <f t="shared" si="80"/>
        <v/>
      </c>
      <c r="ED57" s="815" t="str">
        <f t="shared" si="81"/>
        <v/>
      </c>
      <c r="EE57" s="815" t="str">
        <f t="shared" si="82"/>
        <v/>
      </c>
      <c r="EF57" s="815" t="str">
        <f t="shared" si="83"/>
        <v/>
      </c>
      <c r="EG57" s="815" t="str">
        <f t="shared" si="84"/>
        <v/>
      </c>
      <c r="EH57" s="815" t="str">
        <f t="shared" si="85"/>
        <v/>
      </c>
      <c r="EI57" s="815" t="str">
        <f t="shared" si="86"/>
        <v/>
      </c>
      <c r="EJ57" s="815" t="str">
        <f t="shared" si="87"/>
        <v/>
      </c>
      <c r="EK57" s="813">
        <f t="shared" si="88"/>
        <v>0</v>
      </c>
      <c r="EL57" s="813">
        <f t="shared" si="89"/>
        <v>0</v>
      </c>
      <c r="EM57" s="813">
        <f t="shared" si="90"/>
        <v>0</v>
      </c>
      <c r="EN57" s="813" t="e">
        <f t="shared" si="91"/>
        <v>#REF!</v>
      </c>
      <c r="EO57" s="812" t="str">
        <f t="shared" si="92"/>
        <v/>
      </c>
      <c r="EP57" s="813">
        <f t="shared" si="93"/>
        <v>0</v>
      </c>
      <c r="EQ57" s="813">
        <f t="shared" si="94"/>
        <v>0</v>
      </c>
      <c r="ER57" s="813">
        <f t="shared" si="95"/>
        <v>0</v>
      </c>
      <c r="ES57" s="813" t="e">
        <f t="shared" si="96"/>
        <v>#REF!</v>
      </c>
      <c r="ET57" s="812" t="str">
        <f t="shared" si="97"/>
        <v/>
      </c>
      <c r="EU57" s="812" t="e">
        <f t="shared" si="98"/>
        <v>#REF!</v>
      </c>
      <c r="EV57" s="815" t="e">
        <f t="shared" si="99"/>
        <v>#VALUE!</v>
      </c>
      <c r="EW57" s="815" t="e">
        <f t="shared" si="100"/>
        <v>#VALUE!</v>
      </c>
      <c r="EX57" s="817" t="str">
        <f t="shared" si="101"/>
        <v/>
      </c>
      <c r="EY57" s="818">
        <f t="shared" si="102"/>
        <v>25</v>
      </c>
      <c r="EZ57" s="893">
        <f t="shared" si="103"/>
        <v>0</v>
      </c>
      <c r="FA57" s="894">
        <f t="shared" si="104"/>
        <v>0</v>
      </c>
      <c r="FB57" s="819" t="str">
        <f t="shared" si="105"/>
        <v/>
      </c>
      <c r="FC57" s="820" t="str">
        <f t="shared" si="106"/>
        <v/>
      </c>
      <c r="FD57" s="829">
        <f t="shared" si="107"/>
        <v>0</v>
      </c>
      <c r="FE57" s="774">
        <f t="shared" si="108"/>
        <v>0</v>
      </c>
      <c r="FF57" s="703" t="b">
        <f t="shared" si="109"/>
        <v>0</v>
      </c>
      <c r="FG57" s="703" t="b">
        <f t="shared" si="110"/>
        <v>0</v>
      </c>
      <c r="FH57" s="703" t="b">
        <f t="shared" si="111"/>
        <v>0</v>
      </c>
      <c r="FI57" s="703" t="b">
        <f t="shared" si="112"/>
        <v>0</v>
      </c>
      <c r="FJ57" s="849" t="str">
        <f t="shared" si="126"/>
        <v/>
      </c>
      <c r="FK57" s="848" t="str">
        <f t="shared" si="127"/>
        <v/>
      </c>
      <c r="FL57" s="242" t="e">
        <f t="shared" si="128"/>
        <v>#N/A</v>
      </c>
      <c r="FM57" s="234" t="str">
        <f t="shared" si="113"/>
        <v/>
      </c>
      <c r="FN57" s="191" t="str">
        <f t="shared" ca="1" si="129"/>
        <v/>
      </c>
      <c r="FO57" s="192" t="str">
        <f t="shared" ca="1" si="130"/>
        <v/>
      </c>
      <c r="FP57" s="193" t="str">
        <f t="shared" ca="1" si="131"/>
        <v/>
      </c>
      <c r="FQ57" s="193" t="str">
        <f t="shared" ca="1" si="132"/>
        <v/>
      </c>
      <c r="FR57" s="243">
        <f t="shared" ca="1" si="133"/>
        <v>0</v>
      </c>
      <c r="FS57" s="244">
        <f t="shared" ca="1" si="134"/>
        <v>0</v>
      </c>
      <c r="FT57" s="191" t="str">
        <f t="shared" ca="1" si="135"/>
        <v/>
      </c>
      <c r="FU57" s="194" t="str">
        <f t="shared" ca="1" si="136"/>
        <v/>
      </c>
      <c r="FV57" s="245" t="str">
        <f t="shared" ca="1" si="114"/>
        <v/>
      </c>
      <c r="FW57" s="195" t="str">
        <f t="shared" ca="1" si="137"/>
        <v/>
      </c>
      <c r="FX57" s="195" t="str">
        <f t="shared" ca="1" si="138"/>
        <v/>
      </c>
      <c r="FY57" s="195" t="str">
        <f t="shared" ca="1" si="139"/>
        <v/>
      </c>
      <c r="FZ57" s="195" t="str">
        <f t="shared" ca="1" si="140"/>
        <v/>
      </c>
      <c r="GA57" s="195" t="str">
        <f t="shared" ca="1" si="141"/>
        <v/>
      </c>
      <c r="GB57" s="196" t="str">
        <f ca="1">IF(FY57="","",2+SUM(FO57:OFFSET(FO57,(FU57-1)*-1,0)))</f>
        <v/>
      </c>
      <c r="GC57" s="238" t="e">
        <f t="shared" si="142"/>
        <v>#N/A</v>
      </c>
      <c r="GD57" s="246" t="str">
        <f t="shared" si="115"/>
        <v/>
      </c>
      <c r="GE57" s="247" t="str">
        <f t="shared" si="116"/>
        <v/>
      </c>
      <c r="GF57" s="197" t="str">
        <f t="shared" si="117"/>
        <v/>
      </c>
      <c r="GG57" s="198" t="str">
        <f t="shared" si="118"/>
        <v/>
      </c>
      <c r="GH57" s="198" t="str">
        <f t="shared" si="119"/>
        <v/>
      </c>
      <c r="GI57" s="199" t="str">
        <f t="shared" si="120"/>
        <v/>
      </c>
      <c r="GJ57" s="473">
        <f t="shared" ca="1" si="121"/>
        <v>0</v>
      </c>
      <c r="GK57" s="834" t="e">
        <f t="shared" ca="1" si="143"/>
        <v>#REF!</v>
      </c>
      <c r="GL57" s="56"/>
      <c r="GM57" s="56"/>
    </row>
    <row r="58" spans="1:222" ht="12.6" hidden="1" customHeight="1" x14ac:dyDescent="0.2">
      <c r="BZ58" s="214"/>
      <c r="CA58" s="214"/>
      <c r="CB58" s="289" t="str">
        <f t="shared" si="49"/>
        <v/>
      </c>
      <c r="CC58" s="290" t="str">
        <f>IF(CG18="","",VLOOKUP(CG18,#REF!,12,FALSE))</f>
        <v/>
      </c>
      <c r="CD58" s="1219" t="str">
        <f>IF(ISBLANK(CN18),IF(CG18="","",VLOOKUP(CG18,#REF!,13,FALSE)),CN18)</f>
        <v/>
      </c>
      <c r="CE58" s="1219" t="str">
        <f>IF(CG18="","",IF(VLOOKUP(CG18,#REF!,5,FALSE)="","R",UPPER(VLOOKUP(CG18,#REF!,5,FALSE))))</f>
        <v/>
      </c>
      <c r="CF58" s="1219" t="str">
        <f>IF(ISBLANK(CP18),IF(CG18="","",VLOOKUP(CG18,#REF!,6,FALSE)),CP18)</f>
        <v/>
      </c>
      <c r="CG58" s="1219" t="str">
        <f>IF(CG18="","",IF(VLOOKUP(CG18,#REF!,10,FALSE)="","",(VLOOKUP(CG18,#REF!,10,FALSE)*-1)))</f>
        <v/>
      </c>
      <c r="CH58" s="1219" t="str">
        <f>IF(CG18="","",IF(VLOOKUP(CG18,#REF!,7,FALSE)="","",(VLOOKUP(CG18,#REF!,7,FALSE)*-1)))</f>
        <v/>
      </c>
      <c r="CI58" s="1219" t="str">
        <f>IF(CG18="","",IF(VLOOKUP(CG18,#REF!,8,FALSE)="",$FC$4,(VLOOKUP(CG18,#REF!,8,FALSE))))</f>
        <v/>
      </c>
      <c r="CJ58" s="1219" t="str">
        <f>IF(CG18="","",VLOOKUP(CG18,#REF!,9,FALSE))</f>
        <v/>
      </c>
      <c r="CK58" s="1220">
        <f t="shared" si="50"/>
        <v>0</v>
      </c>
      <c r="CL58" s="1218" t="str">
        <f>IF(CQ18="","",VLOOKUP(CQ18,#REF!,12,FALSE))</f>
        <v/>
      </c>
      <c r="CM58" s="1219" t="str">
        <f>IF(ISBLANK(CX18),IF(CQ18="","",VLOOKUP(CQ18,#REF!,13,FALSE)),CX18)</f>
        <v/>
      </c>
      <c r="CN58" s="1219" t="str">
        <f>IF(CQ18="","",IF(VLOOKUP(CQ18,#REF!,5,FALSE)="","R",UPPER(VLOOKUP(CQ18,#REF!,5,FALSE))))</f>
        <v/>
      </c>
      <c r="CO58" s="1219" t="str">
        <f>IF(ISBLANK(CZ18),IF(CQ18="","",VLOOKUP(CQ18,#REF!,6,FALSE)),CZ18)</f>
        <v/>
      </c>
      <c r="CP58" s="1219" t="str">
        <f>IF(CQ18="","",IF(VLOOKUP(CQ18,#REF!,10,FALSE)="","",(VLOOKUP(CQ18,#REF!,10,FALSE)*-1)))</f>
        <v/>
      </c>
      <c r="CQ58" s="1219" t="str">
        <f>IF(CQ18="","",IF(VLOOKUP(CQ18,#REF!,7,FALSE)="","",(VLOOKUP(CQ18,#REF!,7,FALSE)*-1)))</f>
        <v/>
      </c>
      <c r="CR58" s="1219" t="str">
        <f>IF(CQ18="","",IF(VLOOKUP(CQ18,#REF!,8,FALSE)="",$FC$4,(VLOOKUP(CQ18,#REF!,8,FALSE))))</f>
        <v/>
      </c>
      <c r="CS58" s="1219" t="str">
        <f>IF(CQ18="","",VLOOKUP(CQ18,#REF!,9,FALSE))</f>
        <v/>
      </c>
      <c r="CT58" s="1220">
        <f t="shared" si="51"/>
        <v>0</v>
      </c>
      <c r="CU58" s="1230">
        <f t="shared" si="52"/>
        <v>0</v>
      </c>
      <c r="CV58" s="1224" t="str">
        <f t="shared" si="53"/>
        <v/>
      </c>
      <c r="CW58" s="1224" t="str">
        <f t="shared" si="54"/>
        <v/>
      </c>
      <c r="CX58" s="1224" t="str">
        <f t="shared" si="55"/>
        <v/>
      </c>
      <c r="CY58" s="1226">
        <f t="shared" si="56"/>
        <v>0</v>
      </c>
      <c r="CZ58" s="1226" t="e">
        <f t="shared" si="57"/>
        <v>#REF!</v>
      </c>
      <c r="DA58" s="1226" t="str">
        <f t="shared" si="58"/>
        <v/>
      </c>
      <c r="DB58" s="1224" t="str">
        <f t="shared" si="122"/>
        <v/>
      </c>
      <c r="DC58" s="1224" t="str">
        <f t="shared" si="59"/>
        <v/>
      </c>
      <c r="DD58" s="814">
        <f t="shared" si="123"/>
        <v>0</v>
      </c>
      <c r="DE58" s="812">
        <f t="shared" si="60"/>
        <v>0</v>
      </c>
      <c r="DF58" s="813" t="e">
        <f t="shared" si="61"/>
        <v>#REF!</v>
      </c>
      <c r="DG58" s="813" t="str">
        <f t="shared" si="62"/>
        <v/>
      </c>
      <c r="DH58" s="1224" t="str">
        <f t="shared" si="124"/>
        <v/>
      </c>
      <c r="DI58" s="1224" t="str">
        <f t="shared" si="63"/>
        <v/>
      </c>
      <c r="DJ58" s="1225">
        <f t="shared" si="125"/>
        <v>0</v>
      </c>
      <c r="DK58" s="1224" t="str">
        <f t="shared" si="64"/>
        <v/>
      </c>
      <c r="DL58" s="1224" t="str">
        <f t="shared" si="65"/>
        <v/>
      </c>
      <c r="DM58" s="1224" t="str">
        <f t="shared" si="66"/>
        <v/>
      </c>
      <c r="DN58" s="1224" t="str">
        <f t="shared" si="67"/>
        <v/>
      </c>
      <c r="DO58" s="828" t="e">
        <f t="shared" si="68"/>
        <v>#REF!</v>
      </c>
      <c r="DP58" s="828" t="e">
        <f t="shared" si="69"/>
        <v>#REF!</v>
      </c>
      <c r="DQ58" s="1224" t="str">
        <f t="shared" si="70"/>
        <v/>
      </c>
      <c r="DR58" s="1224" t="str">
        <f t="shared" si="70"/>
        <v/>
      </c>
      <c r="DS58" s="1224" t="str">
        <f t="shared" si="71"/>
        <v/>
      </c>
      <c r="DT58" s="1224" t="str">
        <f t="shared" si="72"/>
        <v/>
      </c>
      <c r="DU58" s="1224" t="str">
        <f t="shared" si="73"/>
        <v/>
      </c>
      <c r="DV58" s="828" t="e">
        <f t="shared" si="74"/>
        <v>#REF!</v>
      </c>
      <c r="DW58" s="828" t="e">
        <f t="shared" si="75"/>
        <v>#REF!</v>
      </c>
      <c r="DX58" s="812" t="str">
        <f t="shared" si="76"/>
        <v/>
      </c>
      <c r="DY58" s="812" t="str">
        <f t="shared" si="76"/>
        <v/>
      </c>
      <c r="DZ58" s="812" t="str">
        <f t="shared" si="77"/>
        <v/>
      </c>
      <c r="EA58" s="812" t="str">
        <f t="shared" si="78"/>
        <v/>
      </c>
      <c r="EB58" s="815" t="str">
        <f t="shared" si="79"/>
        <v/>
      </c>
      <c r="EC58" s="816" t="str">
        <f t="shared" si="80"/>
        <v/>
      </c>
      <c r="ED58" s="815" t="str">
        <f t="shared" si="81"/>
        <v/>
      </c>
      <c r="EE58" s="815" t="str">
        <f t="shared" si="82"/>
        <v/>
      </c>
      <c r="EF58" s="815" t="str">
        <f t="shared" si="83"/>
        <v/>
      </c>
      <c r="EG58" s="815" t="str">
        <f t="shared" si="84"/>
        <v/>
      </c>
      <c r="EH58" s="815" t="str">
        <f t="shared" si="85"/>
        <v/>
      </c>
      <c r="EI58" s="815" t="str">
        <f t="shared" si="86"/>
        <v/>
      </c>
      <c r="EJ58" s="815" t="str">
        <f t="shared" si="87"/>
        <v/>
      </c>
      <c r="EK58" s="813">
        <f t="shared" si="88"/>
        <v>0</v>
      </c>
      <c r="EL58" s="813">
        <f t="shared" si="89"/>
        <v>0</v>
      </c>
      <c r="EM58" s="813">
        <f t="shared" si="90"/>
        <v>0</v>
      </c>
      <c r="EN58" s="813" t="e">
        <f t="shared" si="91"/>
        <v>#REF!</v>
      </c>
      <c r="EO58" s="812" t="str">
        <f t="shared" si="92"/>
        <v/>
      </c>
      <c r="EP58" s="813">
        <f t="shared" si="93"/>
        <v>0</v>
      </c>
      <c r="EQ58" s="813">
        <f t="shared" si="94"/>
        <v>0</v>
      </c>
      <c r="ER58" s="813">
        <f t="shared" si="95"/>
        <v>0</v>
      </c>
      <c r="ES58" s="813" t="e">
        <f t="shared" si="96"/>
        <v>#REF!</v>
      </c>
      <c r="ET58" s="812" t="str">
        <f t="shared" si="97"/>
        <v/>
      </c>
      <c r="EU58" s="812" t="e">
        <f t="shared" si="98"/>
        <v>#REF!</v>
      </c>
      <c r="EV58" s="815" t="e">
        <f t="shared" si="99"/>
        <v>#VALUE!</v>
      </c>
      <c r="EW58" s="815" t="e">
        <f t="shared" si="100"/>
        <v>#VALUE!</v>
      </c>
      <c r="EX58" s="817" t="str">
        <f t="shared" si="101"/>
        <v/>
      </c>
      <c r="EY58" s="818" t="e">
        <f t="shared" si="102"/>
        <v>#DIV/0!</v>
      </c>
      <c r="EZ58" s="893" t="e">
        <f t="shared" si="103"/>
        <v>#DIV/0!</v>
      </c>
      <c r="FA58" s="894" t="e">
        <f t="shared" si="104"/>
        <v>#DIV/0!</v>
      </c>
      <c r="FB58" s="819" t="str">
        <f t="shared" si="105"/>
        <v/>
      </c>
      <c r="FC58" s="820" t="str">
        <f t="shared" si="106"/>
        <v/>
      </c>
      <c r="FD58" s="829">
        <f t="shared" si="107"/>
        <v>0</v>
      </c>
      <c r="FE58" s="774">
        <f t="shared" si="108"/>
        <v>0</v>
      </c>
      <c r="FF58" s="703" t="b">
        <f t="shared" si="109"/>
        <v>0</v>
      </c>
      <c r="FG58" s="703" t="b">
        <f t="shared" si="110"/>
        <v>0</v>
      </c>
      <c r="FH58" s="703" t="b">
        <f t="shared" si="111"/>
        <v>0</v>
      </c>
      <c r="FI58" s="703" t="b">
        <f t="shared" si="112"/>
        <v>0</v>
      </c>
      <c r="FJ58" s="849" t="str">
        <f t="shared" si="126"/>
        <v/>
      </c>
      <c r="FK58" s="848" t="str">
        <f t="shared" si="127"/>
        <v/>
      </c>
      <c r="FL58" s="242" t="e">
        <f t="shared" si="128"/>
        <v>#N/A</v>
      </c>
      <c r="FM58" s="234" t="str">
        <f t="shared" si="113"/>
        <v/>
      </c>
      <c r="FN58" s="191" t="str">
        <f t="shared" ca="1" si="129"/>
        <v/>
      </c>
      <c r="FO58" s="192" t="str">
        <f t="shared" ca="1" si="130"/>
        <v/>
      </c>
      <c r="FP58" s="193" t="str">
        <f t="shared" ca="1" si="131"/>
        <v/>
      </c>
      <c r="FQ58" s="193" t="str">
        <f t="shared" ca="1" si="132"/>
        <v/>
      </c>
      <c r="FR58" s="243">
        <f t="shared" ca="1" si="133"/>
        <v>0</v>
      </c>
      <c r="FS58" s="244">
        <f t="shared" ca="1" si="134"/>
        <v>0</v>
      </c>
      <c r="FT58" s="191" t="str">
        <f t="shared" ca="1" si="135"/>
        <v/>
      </c>
      <c r="FU58" s="194" t="str">
        <f t="shared" ca="1" si="136"/>
        <v/>
      </c>
      <c r="FV58" s="245" t="str">
        <f t="shared" ca="1" si="114"/>
        <v/>
      </c>
      <c r="FW58" s="195" t="str">
        <f t="shared" ca="1" si="137"/>
        <v/>
      </c>
      <c r="FX58" s="195" t="str">
        <f t="shared" ca="1" si="138"/>
        <v/>
      </c>
      <c r="FY58" s="195" t="str">
        <f t="shared" ca="1" si="139"/>
        <v/>
      </c>
      <c r="FZ58" s="195" t="str">
        <f t="shared" ca="1" si="140"/>
        <v/>
      </c>
      <c r="GA58" s="195" t="str">
        <f t="shared" ca="1" si="141"/>
        <v/>
      </c>
      <c r="GB58" s="196" t="str">
        <f ca="1">IF(FY58="","",2+SUM(FO58:OFFSET(FO58,(FU58-1)*-1,0)))</f>
        <v/>
      </c>
      <c r="GC58" s="238" t="e">
        <f t="shared" si="142"/>
        <v>#N/A</v>
      </c>
      <c r="GD58" s="246" t="str">
        <f t="shared" si="115"/>
        <v/>
      </c>
      <c r="GE58" s="247" t="str">
        <f t="shared" si="116"/>
        <v/>
      </c>
      <c r="GF58" s="197" t="str">
        <f t="shared" si="117"/>
        <v/>
      </c>
      <c r="GG58" s="198" t="str">
        <f t="shared" si="118"/>
        <v/>
      </c>
      <c r="GH58" s="198" t="str">
        <f t="shared" si="119"/>
        <v/>
      </c>
      <c r="GI58" s="199" t="str">
        <f t="shared" si="120"/>
        <v/>
      </c>
      <c r="GJ58" s="473">
        <f t="shared" ca="1" si="121"/>
        <v>0</v>
      </c>
      <c r="GK58" s="834" t="str">
        <f t="shared" si="143"/>
        <v/>
      </c>
    </row>
    <row r="59" spans="1:222" ht="12.6" hidden="1" customHeight="1" x14ac:dyDescent="0.2">
      <c r="BZ59" s="214"/>
      <c r="CA59" s="214"/>
      <c r="CB59" s="289" t="str">
        <f t="shared" si="49"/>
        <v/>
      </c>
      <c r="CC59" s="290" t="str">
        <f>IF(CG19="","",VLOOKUP(CG19,#REF!,12,FALSE))</f>
        <v/>
      </c>
      <c r="CD59" s="1219" t="str">
        <f>IF(ISBLANK(CN19),IF(CG19="","",VLOOKUP(CG19,#REF!,13,FALSE)),CN19)</f>
        <v/>
      </c>
      <c r="CE59" s="1219" t="str">
        <f>IF(CG19="","",IF(VLOOKUP(CG19,#REF!,5,FALSE)="","R",UPPER(VLOOKUP(CG19,#REF!,5,FALSE))))</f>
        <v/>
      </c>
      <c r="CF59" s="1219" t="str">
        <f>IF(ISBLANK(CP19),IF(CG19="","",VLOOKUP(CG19,#REF!,6,FALSE)),CP19)</f>
        <v/>
      </c>
      <c r="CG59" s="1219" t="str">
        <f>IF(CG19="","",IF(VLOOKUP(CG19,#REF!,10,FALSE)="","",(VLOOKUP(CG19,#REF!,10,FALSE)*-1)))</f>
        <v/>
      </c>
      <c r="CH59" s="1219" t="str">
        <f>IF(CG19="","",IF(VLOOKUP(CG19,#REF!,7,FALSE)="","",(VLOOKUP(CG19,#REF!,7,FALSE)*-1)))</f>
        <v/>
      </c>
      <c r="CI59" s="1219" t="str">
        <f>IF(CG19="","",IF(VLOOKUP(CG19,#REF!,8,FALSE)="",$FC$4,(VLOOKUP(CG19,#REF!,8,FALSE))))</f>
        <v/>
      </c>
      <c r="CJ59" s="1219" t="str">
        <f>IF(CG19="","",VLOOKUP(CG19,#REF!,9,FALSE))</f>
        <v/>
      </c>
      <c r="CK59" s="1220">
        <f t="shared" si="50"/>
        <v>0</v>
      </c>
      <c r="CL59" s="1218" t="str">
        <f>IF(CQ19="","",VLOOKUP(CQ19,#REF!,12,FALSE))</f>
        <v/>
      </c>
      <c r="CM59" s="1219" t="str">
        <f>IF(ISBLANK(CX19),IF(CQ19="","",VLOOKUP(CQ19,#REF!,13,FALSE)),CX19)</f>
        <v/>
      </c>
      <c r="CN59" s="1219" t="str">
        <f>IF(CQ19="","",IF(VLOOKUP(CQ19,#REF!,5,FALSE)="","R",UPPER(VLOOKUP(CQ19,#REF!,5,FALSE))))</f>
        <v/>
      </c>
      <c r="CO59" s="1219" t="str">
        <f>IF(ISBLANK(CZ19),IF(CQ19="","",VLOOKUP(CQ19,#REF!,6,FALSE)),CZ19)</f>
        <v/>
      </c>
      <c r="CP59" s="1219" t="str">
        <f>IF(CQ19="","",IF(VLOOKUP(CQ19,#REF!,10,FALSE)="","",(VLOOKUP(CQ19,#REF!,10,FALSE)*-1)))</f>
        <v/>
      </c>
      <c r="CQ59" s="1219" t="str">
        <f>IF(CQ19="","",IF(VLOOKUP(CQ19,#REF!,7,FALSE)="","",(VLOOKUP(CQ19,#REF!,7,FALSE)*-1)))</f>
        <v/>
      </c>
      <c r="CR59" s="1219" t="str">
        <f>IF(CQ19="","",IF(VLOOKUP(CQ19,#REF!,8,FALSE)="",$FC$4,(VLOOKUP(CQ19,#REF!,8,FALSE))))</f>
        <v/>
      </c>
      <c r="CS59" s="1219" t="str">
        <f>IF(CQ19="","",VLOOKUP(CQ19,#REF!,9,FALSE))</f>
        <v/>
      </c>
      <c r="CT59" s="1220">
        <f t="shared" si="51"/>
        <v>0</v>
      </c>
      <c r="CU59" s="1230">
        <f t="shared" si="52"/>
        <v>0</v>
      </c>
      <c r="CV59" s="1224" t="str">
        <f t="shared" si="53"/>
        <v/>
      </c>
      <c r="CW59" s="1224" t="str">
        <f t="shared" si="54"/>
        <v/>
      </c>
      <c r="CX59" s="1224" t="str">
        <f t="shared" si="55"/>
        <v/>
      </c>
      <c r="CY59" s="1226">
        <f t="shared" si="56"/>
        <v>0</v>
      </c>
      <c r="CZ59" s="1226" t="e">
        <f t="shared" si="57"/>
        <v>#REF!</v>
      </c>
      <c r="DA59" s="1226" t="str">
        <f t="shared" si="58"/>
        <v/>
      </c>
      <c r="DB59" s="1224" t="str">
        <f t="shared" si="122"/>
        <v/>
      </c>
      <c r="DC59" s="1224" t="str">
        <f t="shared" si="59"/>
        <v/>
      </c>
      <c r="DD59" s="814">
        <f t="shared" si="123"/>
        <v>0</v>
      </c>
      <c r="DE59" s="812">
        <f t="shared" si="60"/>
        <v>0</v>
      </c>
      <c r="DF59" s="813" t="e">
        <f t="shared" si="61"/>
        <v>#REF!</v>
      </c>
      <c r="DG59" s="813" t="str">
        <f t="shared" si="62"/>
        <v/>
      </c>
      <c r="DH59" s="1224" t="str">
        <f t="shared" si="124"/>
        <v/>
      </c>
      <c r="DI59" s="1224" t="str">
        <f t="shared" si="63"/>
        <v/>
      </c>
      <c r="DJ59" s="1225">
        <f t="shared" si="125"/>
        <v>0</v>
      </c>
      <c r="DK59" s="1224" t="str">
        <f t="shared" si="64"/>
        <v/>
      </c>
      <c r="DL59" s="1224" t="str">
        <f t="shared" si="65"/>
        <v/>
      </c>
      <c r="DM59" s="1224" t="str">
        <f t="shared" si="66"/>
        <v/>
      </c>
      <c r="DN59" s="1224" t="str">
        <f t="shared" si="67"/>
        <v/>
      </c>
      <c r="DO59" s="828" t="e">
        <f t="shared" si="68"/>
        <v>#REF!</v>
      </c>
      <c r="DP59" s="828" t="e">
        <f t="shared" si="69"/>
        <v>#REF!</v>
      </c>
      <c r="DQ59" s="1224" t="str">
        <f t="shared" si="70"/>
        <v/>
      </c>
      <c r="DR59" s="1224" t="str">
        <f t="shared" si="70"/>
        <v/>
      </c>
      <c r="DS59" s="1224" t="str">
        <f t="shared" si="71"/>
        <v/>
      </c>
      <c r="DT59" s="1224" t="str">
        <f t="shared" si="72"/>
        <v/>
      </c>
      <c r="DU59" s="1224" t="str">
        <f t="shared" si="73"/>
        <v/>
      </c>
      <c r="DV59" s="828" t="e">
        <f t="shared" si="74"/>
        <v>#REF!</v>
      </c>
      <c r="DW59" s="828" t="e">
        <f t="shared" si="75"/>
        <v>#REF!</v>
      </c>
      <c r="DX59" s="812" t="str">
        <f t="shared" si="76"/>
        <v/>
      </c>
      <c r="DY59" s="812" t="str">
        <f t="shared" si="76"/>
        <v/>
      </c>
      <c r="DZ59" s="812" t="str">
        <f t="shared" si="77"/>
        <v/>
      </c>
      <c r="EA59" s="812" t="str">
        <f t="shared" si="78"/>
        <v/>
      </c>
      <c r="EB59" s="815" t="str">
        <f t="shared" si="79"/>
        <v/>
      </c>
      <c r="EC59" s="816" t="str">
        <f t="shared" si="80"/>
        <v/>
      </c>
      <c r="ED59" s="815" t="str">
        <f t="shared" si="81"/>
        <v/>
      </c>
      <c r="EE59" s="815" t="str">
        <f t="shared" si="82"/>
        <v/>
      </c>
      <c r="EF59" s="815" t="str">
        <f t="shared" si="83"/>
        <v/>
      </c>
      <c r="EG59" s="815" t="str">
        <f t="shared" si="84"/>
        <v/>
      </c>
      <c r="EH59" s="815" t="str">
        <f t="shared" si="85"/>
        <v/>
      </c>
      <c r="EI59" s="815" t="str">
        <f t="shared" si="86"/>
        <v/>
      </c>
      <c r="EJ59" s="815" t="str">
        <f t="shared" si="87"/>
        <v/>
      </c>
      <c r="EK59" s="813">
        <f t="shared" si="88"/>
        <v>0</v>
      </c>
      <c r="EL59" s="813">
        <f t="shared" si="89"/>
        <v>0</v>
      </c>
      <c r="EM59" s="813">
        <f t="shared" si="90"/>
        <v>0</v>
      </c>
      <c r="EN59" s="813" t="e">
        <f t="shared" si="91"/>
        <v>#REF!</v>
      </c>
      <c r="EO59" s="812" t="str">
        <f t="shared" si="92"/>
        <v/>
      </c>
      <c r="EP59" s="813">
        <f t="shared" si="93"/>
        <v>0</v>
      </c>
      <c r="EQ59" s="813">
        <f t="shared" si="94"/>
        <v>0</v>
      </c>
      <c r="ER59" s="813">
        <f t="shared" si="95"/>
        <v>0</v>
      </c>
      <c r="ES59" s="813" t="e">
        <f t="shared" si="96"/>
        <v>#REF!</v>
      </c>
      <c r="ET59" s="812" t="str">
        <f t="shared" si="97"/>
        <v/>
      </c>
      <c r="EU59" s="812" t="e">
        <f t="shared" si="98"/>
        <v>#REF!</v>
      </c>
      <c r="EV59" s="815" t="e">
        <f t="shared" si="99"/>
        <v>#VALUE!</v>
      </c>
      <c r="EW59" s="815" t="e">
        <f t="shared" si="100"/>
        <v>#VALUE!</v>
      </c>
      <c r="EX59" s="817" t="str">
        <f t="shared" si="101"/>
        <v/>
      </c>
      <c r="EY59" s="818" t="e">
        <f t="shared" si="102"/>
        <v>#DIV/0!</v>
      </c>
      <c r="EZ59" s="893" t="e">
        <f t="shared" si="103"/>
        <v>#DIV/0!</v>
      </c>
      <c r="FA59" s="894" t="e">
        <f t="shared" si="104"/>
        <v>#DIV/0!</v>
      </c>
      <c r="FB59" s="819" t="str">
        <f t="shared" si="105"/>
        <v/>
      </c>
      <c r="FC59" s="820" t="str">
        <f t="shared" si="106"/>
        <v/>
      </c>
      <c r="FD59" s="829">
        <f t="shared" si="107"/>
        <v>0</v>
      </c>
      <c r="FE59" s="774">
        <f t="shared" si="108"/>
        <v>0</v>
      </c>
      <c r="FF59" s="703" t="b">
        <f t="shared" si="109"/>
        <v>0</v>
      </c>
      <c r="FG59" s="703" t="b">
        <f t="shared" si="110"/>
        <v>0</v>
      </c>
      <c r="FH59" s="703" t="b">
        <f t="shared" si="111"/>
        <v>0</v>
      </c>
      <c r="FI59" s="703" t="b">
        <f t="shared" si="112"/>
        <v>0</v>
      </c>
      <c r="FJ59" s="849" t="str">
        <f t="shared" si="126"/>
        <v/>
      </c>
      <c r="FK59" s="848" t="str">
        <f t="shared" si="127"/>
        <v/>
      </c>
      <c r="FL59" s="242" t="e">
        <f t="shared" si="128"/>
        <v>#N/A</v>
      </c>
      <c r="FM59" s="234" t="str">
        <f t="shared" si="113"/>
        <v/>
      </c>
      <c r="FN59" s="191" t="str">
        <f t="shared" ca="1" si="129"/>
        <v/>
      </c>
      <c r="FO59" s="192" t="str">
        <f t="shared" ca="1" si="130"/>
        <v/>
      </c>
      <c r="FP59" s="193" t="str">
        <f t="shared" ca="1" si="131"/>
        <v/>
      </c>
      <c r="FQ59" s="193" t="str">
        <f t="shared" ca="1" si="132"/>
        <v/>
      </c>
      <c r="FR59" s="243">
        <f t="shared" ca="1" si="133"/>
        <v>0</v>
      </c>
      <c r="FS59" s="244">
        <f t="shared" ca="1" si="134"/>
        <v>0</v>
      </c>
      <c r="FT59" s="191" t="str">
        <f t="shared" ca="1" si="135"/>
        <v/>
      </c>
      <c r="FU59" s="194" t="str">
        <f t="shared" ca="1" si="136"/>
        <v/>
      </c>
      <c r="FV59" s="245" t="str">
        <f t="shared" ca="1" si="114"/>
        <v/>
      </c>
      <c r="FW59" s="195" t="str">
        <f t="shared" ca="1" si="137"/>
        <v/>
      </c>
      <c r="FX59" s="195" t="str">
        <f t="shared" ca="1" si="138"/>
        <v/>
      </c>
      <c r="FY59" s="195" t="str">
        <f t="shared" ca="1" si="139"/>
        <v/>
      </c>
      <c r="FZ59" s="195" t="str">
        <f t="shared" ca="1" si="140"/>
        <v/>
      </c>
      <c r="GA59" s="195" t="str">
        <f t="shared" ca="1" si="141"/>
        <v/>
      </c>
      <c r="GB59" s="196" t="str">
        <f ca="1">IF(FY59="","",2+SUM(FO59:OFFSET(FO59,(FU59-1)*-1,0)))</f>
        <v/>
      </c>
      <c r="GC59" s="238" t="e">
        <f t="shared" si="142"/>
        <v>#N/A</v>
      </c>
      <c r="GD59" s="246" t="str">
        <f t="shared" si="115"/>
        <v/>
      </c>
      <c r="GE59" s="247" t="str">
        <f t="shared" si="116"/>
        <v/>
      </c>
      <c r="GF59" s="197" t="str">
        <f t="shared" si="117"/>
        <v/>
      </c>
      <c r="GG59" s="198" t="str">
        <f t="shared" si="118"/>
        <v/>
      </c>
      <c r="GH59" s="198" t="str">
        <f t="shared" si="119"/>
        <v/>
      </c>
      <c r="GI59" s="199" t="str">
        <f t="shared" si="120"/>
        <v/>
      </c>
      <c r="GJ59" s="473">
        <f t="shared" ca="1" si="121"/>
        <v>0</v>
      </c>
      <c r="GK59" s="834" t="str">
        <f t="shared" si="143"/>
        <v/>
      </c>
    </row>
    <row r="60" spans="1:222" ht="12.6" hidden="1" customHeight="1" x14ac:dyDescent="0.2">
      <c r="A60" s="831" t="s">
        <v>746</v>
      </c>
      <c r="BZ60" s="214"/>
      <c r="CA60" s="214"/>
      <c r="CB60" s="289" t="str">
        <f t="shared" si="49"/>
        <v/>
      </c>
      <c r="CC60" s="290" t="str">
        <f>IF(CG20="","",VLOOKUP(CG20,#REF!,12,FALSE))</f>
        <v/>
      </c>
      <c r="CD60" s="1219" t="str">
        <f>IF(ISBLANK(CN20),IF(CG20="","",VLOOKUP(CG20,#REF!,13,FALSE)),CN20)</f>
        <v/>
      </c>
      <c r="CE60" s="1219" t="str">
        <f>IF(CG20="","",IF(VLOOKUP(CG20,#REF!,5,FALSE)="","R",UPPER(VLOOKUP(CG20,#REF!,5,FALSE))))</f>
        <v/>
      </c>
      <c r="CF60" s="1219" t="str">
        <f>IF(ISBLANK(CP20),IF(CG20="","",VLOOKUP(CG20,#REF!,6,FALSE)),CP20)</f>
        <v/>
      </c>
      <c r="CG60" s="1219" t="str">
        <f>IF(CG20="","",IF(VLOOKUP(CG20,#REF!,10,FALSE)="","",(VLOOKUP(CG20,#REF!,10,FALSE)*-1)))</f>
        <v/>
      </c>
      <c r="CH60" s="1219" t="str">
        <f>IF(CG20="","",IF(VLOOKUP(CG20,#REF!,7,FALSE)="","",(VLOOKUP(CG20,#REF!,7,FALSE)*-1)))</f>
        <v/>
      </c>
      <c r="CI60" s="1219" t="str">
        <f>IF(CG20="","",IF(VLOOKUP(CG20,#REF!,8,FALSE)="",$FC$4,(VLOOKUP(CG20,#REF!,8,FALSE))))</f>
        <v/>
      </c>
      <c r="CJ60" s="1219" t="str">
        <f>IF(CG20="","",VLOOKUP(CG20,#REF!,9,FALSE))</f>
        <v/>
      </c>
      <c r="CK60" s="1220">
        <f t="shared" si="50"/>
        <v>0</v>
      </c>
      <c r="CL60" s="1218" t="str">
        <f>IF(CQ20="","",VLOOKUP(CQ20,#REF!,12,FALSE))</f>
        <v/>
      </c>
      <c r="CM60" s="1219" t="str">
        <f>IF(ISBLANK(CX20),IF(CQ20="","",VLOOKUP(CQ20,#REF!,13,FALSE)),CX20)</f>
        <v/>
      </c>
      <c r="CN60" s="1219" t="str">
        <f>IF(CQ20="","",IF(VLOOKUP(CQ20,#REF!,5,FALSE)="","R",UPPER(VLOOKUP(CQ20,#REF!,5,FALSE))))</f>
        <v/>
      </c>
      <c r="CO60" s="1219" t="str">
        <f>IF(ISBLANK(CZ20),IF(CQ20="","",VLOOKUP(CQ20,#REF!,6,FALSE)),CZ20)</f>
        <v/>
      </c>
      <c r="CP60" s="1219" t="str">
        <f>IF(CQ20="","",IF(VLOOKUP(CQ20,#REF!,10,FALSE)="","",(VLOOKUP(CQ20,#REF!,10,FALSE)*-1)))</f>
        <v/>
      </c>
      <c r="CQ60" s="1219" t="str">
        <f>IF(CQ20="","",IF(VLOOKUP(CQ20,#REF!,7,FALSE)="","",(VLOOKUP(CQ20,#REF!,7,FALSE)*-1)))</f>
        <v/>
      </c>
      <c r="CR60" s="1219" t="str">
        <f>IF(CQ20="","",IF(VLOOKUP(CQ20,#REF!,8,FALSE)="",$FC$4,(VLOOKUP(CQ20,#REF!,8,FALSE))))</f>
        <v/>
      </c>
      <c r="CS60" s="1219" t="str">
        <f>IF(CQ20="","",VLOOKUP(CQ20,#REF!,9,FALSE))</f>
        <v/>
      </c>
      <c r="CT60" s="1220">
        <f t="shared" si="51"/>
        <v>0</v>
      </c>
      <c r="CU60" s="1230">
        <f t="shared" si="52"/>
        <v>0</v>
      </c>
      <c r="CV60" s="1224" t="str">
        <f t="shared" si="53"/>
        <v/>
      </c>
      <c r="CW60" s="1224" t="str">
        <f t="shared" si="54"/>
        <v/>
      </c>
      <c r="CX60" s="1224" t="str">
        <f t="shared" si="55"/>
        <v/>
      </c>
      <c r="CY60" s="1226">
        <f t="shared" si="56"/>
        <v>0</v>
      </c>
      <c r="CZ60" s="1226" t="e">
        <f t="shared" si="57"/>
        <v>#REF!</v>
      </c>
      <c r="DA60" s="1226" t="str">
        <f t="shared" si="58"/>
        <v/>
      </c>
      <c r="DB60" s="1224" t="str">
        <f t="shared" si="122"/>
        <v/>
      </c>
      <c r="DC60" s="1224" t="str">
        <f t="shared" si="59"/>
        <v/>
      </c>
      <c r="DD60" s="814">
        <f t="shared" si="123"/>
        <v>0</v>
      </c>
      <c r="DE60" s="812">
        <f t="shared" si="60"/>
        <v>0</v>
      </c>
      <c r="DF60" s="813" t="e">
        <f t="shared" si="61"/>
        <v>#REF!</v>
      </c>
      <c r="DG60" s="813" t="str">
        <f t="shared" si="62"/>
        <v/>
      </c>
      <c r="DH60" s="1224" t="str">
        <f t="shared" si="124"/>
        <v/>
      </c>
      <c r="DI60" s="1224" t="str">
        <f t="shared" si="63"/>
        <v/>
      </c>
      <c r="DJ60" s="1225">
        <f t="shared" si="125"/>
        <v>0</v>
      </c>
      <c r="DK60" s="1224" t="str">
        <f t="shared" si="64"/>
        <v/>
      </c>
      <c r="DL60" s="1224" t="str">
        <f t="shared" si="65"/>
        <v/>
      </c>
      <c r="DM60" s="1224" t="str">
        <f t="shared" si="66"/>
        <v/>
      </c>
      <c r="DN60" s="1224" t="str">
        <f t="shared" si="67"/>
        <v/>
      </c>
      <c r="DO60" s="828" t="e">
        <f t="shared" si="68"/>
        <v>#REF!</v>
      </c>
      <c r="DP60" s="828" t="e">
        <f t="shared" si="69"/>
        <v>#REF!</v>
      </c>
      <c r="DQ60" s="1224" t="str">
        <f t="shared" si="70"/>
        <v/>
      </c>
      <c r="DR60" s="1224" t="str">
        <f t="shared" si="70"/>
        <v/>
      </c>
      <c r="DS60" s="1224" t="str">
        <f t="shared" si="71"/>
        <v/>
      </c>
      <c r="DT60" s="1224" t="str">
        <f t="shared" si="72"/>
        <v/>
      </c>
      <c r="DU60" s="1224" t="str">
        <f t="shared" si="73"/>
        <v/>
      </c>
      <c r="DV60" s="828" t="e">
        <f t="shared" si="74"/>
        <v>#REF!</v>
      </c>
      <c r="DW60" s="828" t="e">
        <f t="shared" si="75"/>
        <v>#REF!</v>
      </c>
      <c r="DX60" s="812" t="str">
        <f t="shared" si="76"/>
        <v/>
      </c>
      <c r="DY60" s="812" t="str">
        <f t="shared" si="76"/>
        <v/>
      </c>
      <c r="DZ60" s="812" t="str">
        <f t="shared" si="77"/>
        <v/>
      </c>
      <c r="EA60" s="812" t="str">
        <f t="shared" si="78"/>
        <v/>
      </c>
      <c r="EB60" s="815" t="str">
        <f t="shared" si="79"/>
        <v/>
      </c>
      <c r="EC60" s="816" t="str">
        <f t="shared" si="80"/>
        <v/>
      </c>
      <c r="ED60" s="815" t="str">
        <f t="shared" si="81"/>
        <v/>
      </c>
      <c r="EE60" s="815" t="str">
        <f t="shared" si="82"/>
        <v/>
      </c>
      <c r="EF60" s="815" t="str">
        <f t="shared" si="83"/>
        <v/>
      </c>
      <c r="EG60" s="815" t="str">
        <f t="shared" si="84"/>
        <v/>
      </c>
      <c r="EH60" s="815" t="str">
        <f t="shared" si="85"/>
        <v/>
      </c>
      <c r="EI60" s="815" t="str">
        <f t="shared" si="86"/>
        <v/>
      </c>
      <c r="EJ60" s="815" t="str">
        <f t="shared" si="87"/>
        <v/>
      </c>
      <c r="EK60" s="813">
        <f t="shared" si="88"/>
        <v>0</v>
      </c>
      <c r="EL60" s="813">
        <f t="shared" si="89"/>
        <v>0</v>
      </c>
      <c r="EM60" s="813">
        <f t="shared" si="90"/>
        <v>0</v>
      </c>
      <c r="EN60" s="813" t="e">
        <f t="shared" si="91"/>
        <v>#REF!</v>
      </c>
      <c r="EO60" s="812" t="str">
        <f t="shared" si="92"/>
        <v/>
      </c>
      <c r="EP60" s="813">
        <f t="shared" si="93"/>
        <v>0</v>
      </c>
      <c r="EQ60" s="813">
        <f t="shared" si="94"/>
        <v>0</v>
      </c>
      <c r="ER60" s="813">
        <f t="shared" si="95"/>
        <v>0</v>
      </c>
      <c r="ES60" s="813" t="e">
        <f t="shared" si="96"/>
        <v>#REF!</v>
      </c>
      <c r="ET60" s="812" t="str">
        <f t="shared" si="97"/>
        <v/>
      </c>
      <c r="EU60" s="812" t="e">
        <f t="shared" si="98"/>
        <v>#REF!</v>
      </c>
      <c r="EV60" s="815" t="e">
        <f t="shared" si="99"/>
        <v>#VALUE!</v>
      </c>
      <c r="EW60" s="815" t="e">
        <f t="shared" si="100"/>
        <v>#VALUE!</v>
      </c>
      <c r="EX60" s="817" t="str">
        <f t="shared" si="101"/>
        <v/>
      </c>
      <c r="EY60" s="818" t="e">
        <f t="shared" si="102"/>
        <v>#DIV/0!</v>
      </c>
      <c r="EZ60" s="893" t="e">
        <f t="shared" si="103"/>
        <v>#DIV/0!</v>
      </c>
      <c r="FA60" s="894" t="e">
        <f t="shared" si="104"/>
        <v>#DIV/0!</v>
      </c>
      <c r="FB60" s="819" t="str">
        <f t="shared" si="105"/>
        <v/>
      </c>
      <c r="FC60" s="820" t="str">
        <f t="shared" si="106"/>
        <v/>
      </c>
      <c r="FD60" s="829">
        <f t="shared" si="107"/>
        <v>0</v>
      </c>
      <c r="FE60" s="774">
        <f t="shared" si="108"/>
        <v>0</v>
      </c>
      <c r="FF60" s="703" t="b">
        <f t="shared" si="109"/>
        <v>0</v>
      </c>
      <c r="FG60" s="703" t="b">
        <f t="shared" si="110"/>
        <v>0</v>
      </c>
      <c r="FH60" s="703" t="b">
        <f t="shared" si="111"/>
        <v>0</v>
      </c>
      <c r="FI60" s="703" t="b">
        <f t="shared" si="112"/>
        <v>0</v>
      </c>
      <c r="FJ60" s="849" t="str">
        <f t="shared" si="126"/>
        <v/>
      </c>
      <c r="FK60" s="848" t="str">
        <f t="shared" si="127"/>
        <v/>
      </c>
      <c r="FL60" s="242" t="e">
        <f t="shared" si="128"/>
        <v>#N/A</v>
      </c>
      <c r="FM60" s="234" t="str">
        <f t="shared" si="113"/>
        <v/>
      </c>
      <c r="FN60" s="191" t="str">
        <f t="shared" ca="1" si="129"/>
        <v/>
      </c>
      <c r="FO60" s="192" t="str">
        <f t="shared" ca="1" si="130"/>
        <v/>
      </c>
      <c r="FP60" s="193" t="str">
        <f t="shared" ca="1" si="131"/>
        <v/>
      </c>
      <c r="FQ60" s="193" t="str">
        <f t="shared" ca="1" si="132"/>
        <v/>
      </c>
      <c r="FR60" s="243">
        <f t="shared" ca="1" si="133"/>
        <v>0</v>
      </c>
      <c r="FS60" s="244">
        <f t="shared" ca="1" si="134"/>
        <v>0</v>
      </c>
      <c r="FT60" s="191" t="str">
        <f t="shared" ca="1" si="135"/>
        <v/>
      </c>
      <c r="FU60" s="194" t="str">
        <f t="shared" ca="1" si="136"/>
        <v/>
      </c>
      <c r="FV60" s="245" t="str">
        <f t="shared" ca="1" si="114"/>
        <v/>
      </c>
      <c r="FW60" s="195" t="str">
        <f t="shared" ca="1" si="137"/>
        <v/>
      </c>
      <c r="FX60" s="195" t="str">
        <f t="shared" ca="1" si="138"/>
        <v/>
      </c>
      <c r="FY60" s="195" t="str">
        <f t="shared" ca="1" si="139"/>
        <v/>
      </c>
      <c r="FZ60" s="195" t="str">
        <f t="shared" ca="1" si="140"/>
        <v/>
      </c>
      <c r="GA60" s="195" t="str">
        <f t="shared" ca="1" si="141"/>
        <v/>
      </c>
      <c r="GB60" s="196" t="str">
        <f ca="1">IF(FY60="","",2+SUM(FO60:OFFSET(FO60,(FU60-1)*-1,0)))</f>
        <v/>
      </c>
      <c r="GC60" s="238" t="e">
        <f t="shared" si="142"/>
        <v>#N/A</v>
      </c>
      <c r="GD60" s="246" t="str">
        <f t="shared" si="115"/>
        <v/>
      </c>
      <c r="GE60" s="247" t="str">
        <f t="shared" si="116"/>
        <v/>
      </c>
      <c r="GF60" s="197" t="str">
        <f t="shared" si="117"/>
        <v/>
      </c>
      <c r="GG60" s="198" t="str">
        <f t="shared" si="118"/>
        <v/>
      </c>
      <c r="GH60" s="198" t="str">
        <f t="shared" si="119"/>
        <v/>
      </c>
      <c r="GI60" s="199" t="str">
        <f t="shared" si="120"/>
        <v/>
      </c>
      <c r="GJ60" s="473">
        <f t="shared" ca="1" si="121"/>
        <v>0</v>
      </c>
      <c r="GK60" s="834" t="str">
        <f t="shared" si="143"/>
        <v/>
      </c>
    </row>
    <row r="61" spans="1:222" ht="12.6" hidden="1" customHeight="1" x14ac:dyDescent="0.2">
      <c r="A61" s="833"/>
      <c r="BZ61" s="214"/>
      <c r="CA61" s="288"/>
      <c r="CB61" s="289" t="str">
        <f t="shared" si="49"/>
        <v/>
      </c>
      <c r="CC61" s="290" t="str">
        <f>IF(CG21="","",VLOOKUP(CG21,#REF!,12,FALSE))</f>
        <v/>
      </c>
      <c r="CD61" s="1219" t="str">
        <f>IF(ISBLANK(CN21),IF(CG21="","",VLOOKUP(CG21,#REF!,13,FALSE)),CN21)</f>
        <v/>
      </c>
      <c r="CE61" s="1219" t="str">
        <f>IF(CG21="","",IF(VLOOKUP(CG21,#REF!,5,FALSE)="","R",UPPER(VLOOKUP(CG21,#REF!,5,FALSE))))</f>
        <v/>
      </c>
      <c r="CF61" s="1219" t="str">
        <f>IF(ISBLANK(CP21),IF(CG21="","",VLOOKUP(CG21,#REF!,6,FALSE)),CP21)</f>
        <v/>
      </c>
      <c r="CG61" s="1219" t="str">
        <f>IF(CG21="","",IF(VLOOKUP(CG21,#REF!,10,FALSE)="","",(VLOOKUP(CG21,#REF!,10,FALSE)*-1)))</f>
        <v/>
      </c>
      <c r="CH61" s="1219" t="str">
        <f>IF(CG21="","",IF(VLOOKUP(CG21,#REF!,7,FALSE)="","",(VLOOKUP(CG21,#REF!,7,FALSE)*-1)))</f>
        <v/>
      </c>
      <c r="CI61" s="1219" t="str">
        <f>IF(CG21="","",IF(VLOOKUP(CG21,#REF!,8,FALSE)="",$FC$4,(VLOOKUP(CG21,#REF!,8,FALSE))))</f>
        <v/>
      </c>
      <c r="CJ61" s="1219" t="str">
        <f>IF(CG21="","",VLOOKUP(CG21,#REF!,9,FALSE))</f>
        <v/>
      </c>
      <c r="CK61" s="1220">
        <f t="shared" si="50"/>
        <v>0</v>
      </c>
      <c r="CL61" s="1218" t="str">
        <f>IF(CQ21="","",VLOOKUP(CQ21,#REF!,12,FALSE))</f>
        <v/>
      </c>
      <c r="CM61" s="1219" t="str">
        <f>IF(ISBLANK(CX21),IF(CQ21="","",VLOOKUP(CQ21,#REF!,13,FALSE)),CX21)</f>
        <v/>
      </c>
      <c r="CN61" s="1219" t="str">
        <f>IF(CQ21="","",IF(VLOOKUP(CQ21,#REF!,5,FALSE)="","R",UPPER(VLOOKUP(CQ21,#REF!,5,FALSE))))</f>
        <v/>
      </c>
      <c r="CO61" s="1219" t="str">
        <f>IF(ISBLANK(CZ21),IF(CQ21="","",VLOOKUP(CQ21,#REF!,6,FALSE)),CZ21)</f>
        <v/>
      </c>
      <c r="CP61" s="1219" t="str">
        <f>IF(CQ21="","",IF(VLOOKUP(CQ21,#REF!,10,FALSE)="","",(VLOOKUP(CQ21,#REF!,10,FALSE)*-1)))</f>
        <v/>
      </c>
      <c r="CQ61" s="1219" t="str">
        <f>IF(CQ21="","",IF(VLOOKUP(CQ21,#REF!,7,FALSE)="","",(VLOOKUP(CQ21,#REF!,7,FALSE)*-1)))</f>
        <v/>
      </c>
      <c r="CR61" s="1219" t="str">
        <f>IF(CQ21="","",IF(VLOOKUP(CQ21,#REF!,8,FALSE)="",$FC$4,(VLOOKUP(CQ21,#REF!,8,FALSE))))</f>
        <v/>
      </c>
      <c r="CS61" s="1219" t="str">
        <f>IF(CQ21="","",VLOOKUP(CQ21,#REF!,9,FALSE))</f>
        <v/>
      </c>
      <c r="CT61" s="1220">
        <f t="shared" si="51"/>
        <v>0</v>
      </c>
      <c r="CU61" s="1230">
        <f t="shared" si="52"/>
        <v>0</v>
      </c>
      <c r="CV61" s="1224" t="str">
        <f t="shared" si="53"/>
        <v/>
      </c>
      <c r="CW61" s="1224" t="str">
        <f t="shared" si="54"/>
        <v/>
      </c>
      <c r="CX61" s="1224" t="str">
        <f t="shared" si="55"/>
        <v/>
      </c>
      <c r="CY61" s="1226">
        <f t="shared" si="56"/>
        <v>0</v>
      </c>
      <c r="CZ61" s="1226" t="e">
        <f t="shared" si="57"/>
        <v>#REF!</v>
      </c>
      <c r="DA61" s="1226" t="str">
        <f t="shared" si="58"/>
        <v/>
      </c>
      <c r="DB61" s="1224" t="str">
        <f t="shared" si="122"/>
        <v/>
      </c>
      <c r="DC61" s="1224" t="str">
        <f t="shared" si="59"/>
        <v/>
      </c>
      <c r="DD61" s="814">
        <f t="shared" si="123"/>
        <v>0</v>
      </c>
      <c r="DE61" s="812">
        <f t="shared" si="60"/>
        <v>0</v>
      </c>
      <c r="DF61" s="813" t="e">
        <f t="shared" si="61"/>
        <v>#REF!</v>
      </c>
      <c r="DG61" s="813" t="str">
        <f t="shared" si="62"/>
        <v/>
      </c>
      <c r="DH61" s="1224" t="str">
        <f t="shared" si="124"/>
        <v/>
      </c>
      <c r="DI61" s="1224" t="str">
        <f t="shared" si="63"/>
        <v/>
      </c>
      <c r="DJ61" s="1225">
        <f t="shared" si="125"/>
        <v>0</v>
      </c>
      <c r="DK61" s="1224" t="str">
        <f t="shared" si="64"/>
        <v/>
      </c>
      <c r="DL61" s="1224" t="str">
        <f t="shared" si="65"/>
        <v/>
      </c>
      <c r="DM61" s="1224" t="str">
        <f t="shared" si="66"/>
        <v/>
      </c>
      <c r="DN61" s="1224" t="str">
        <f t="shared" si="67"/>
        <v/>
      </c>
      <c r="DO61" s="828" t="e">
        <f t="shared" si="68"/>
        <v>#REF!</v>
      </c>
      <c r="DP61" s="828" t="e">
        <f t="shared" si="69"/>
        <v>#REF!</v>
      </c>
      <c r="DQ61" s="1224" t="str">
        <f t="shared" si="70"/>
        <v/>
      </c>
      <c r="DR61" s="1224" t="str">
        <f t="shared" si="70"/>
        <v/>
      </c>
      <c r="DS61" s="1224" t="str">
        <f t="shared" si="71"/>
        <v/>
      </c>
      <c r="DT61" s="1224" t="str">
        <f t="shared" si="72"/>
        <v/>
      </c>
      <c r="DU61" s="1224" t="str">
        <f t="shared" si="73"/>
        <v/>
      </c>
      <c r="DV61" s="828" t="e">
        <f t="shared" si="74"/>
        <v>#REF!</v>
      </c>
      <c r="DW61" s="828" t="e">
        <f t="shared" si="75"/>
        <v>#REF!</v>
      </c>
      <c r="DX61" s="812" t="str">
        <f t="shared" si="76"/>
        <v/>
      </c>
      <c r="DY61" s="812" t="str">
        <f t="shared" si="76"/>
        <v/>
      </c>
      <c r="DZ61" s="812" t="str">
        <f t="shared" si="77"/>
        <v/>
      </c>
      <c r="EA61" s="812" t="str">
        <f t="shared" si="78"/>
        <v/>
      </c>
      <c r="EB61" s="815" t="str">
        <f t="shared" si="79"/>
        <v/>
      </c>
      <c r="EC61" s="816" t="str">
        <f t="shared" si="80"/>
        <v/>
      </c>
      <c r="ED61" s="815" t="str">
        <f t="shared" si="81"/>
        <v/>
      </c>
      <c r="EE61" s="815" t="str">
        <f t="shared" si="82"/>
        <v/>
      </c>
      <c r="EF61" s="815" t="str">
        <f t="shared" si="83"/>
        <v/>
      </c>
      <c r="EG61" s="815" t="str">
        <f t="shared" si="84"/>
        <v/>
      </c>
      <c r="EH61" s="815" t="str">
        <f t="shared" si="85"/>
        <v/>
      </c>
      <c r="EI61" s="815" t="str">
        <f t="shared" si="86"/>
        <v/>
      </c>
      <c r="EJ61" s="815" t="str">
        <f t="shared" si="87"/>
        <v/>
      </c>
      <c r="EK61" s="813">
        <f t="shared" si="88"/>
        <v>0</v>
      </c>
      <c r="EL61" s="813">
        <f t="shared" si="89"/>
        <v>0</v>
      </c>
      <c r="EM61" s="813">
        <f t="shared" si="90"/>
        <v>0</v>
      </c>
      <c r="EN61" s="813" t="e">
        <f t="shared" si="91"/>
        <v>#REF!</v>
      </c>
      <c r="EO61" s="812" t="str">
        <f t="shared" si="92"/>
        <v/>
      </c>
      <c r="EP61" s="813">
        <f t="shared" si="93"/>
        <v>0</v>
      </c>
      <c r="EQ61" s="813">
        <f t="shared" si="94"/>
        <v>0</v>
      </c>
      <c r="ER61" s="813">
        <f t="shared" si="95"/>
        <v>0</v>
      </c>
      <c r="ES61" s="813" t="e">
        <f t="shared" si="96"/>
        <v>#REF!</v>
      </c>
      <c r="ET61" s="812" t="str">
        <f t="shared" si="97"/>
        <v/>
      </c>
      <c r="EU61" s="812" t="e">
        <f t="shared" si="98"/>
        <v>#REF!</v>
      </c>
      <c r="EV61" s="815" t="e">
        <f t="shared" si="99"/>
        <v>#VALUE!</v>
      </c>
      <c r="EW61" s="815" t="e">
        <f t="shared" si="100"/>
        <v>#VALUE!</v>
      </c>
      <c r="EX61" s="817" t="str">
        <f t="shared" si="101"/>
        <v/>
      </c>
      <c r="EY61" s="818">
        <f t="shared" si="102"/>
        <v>25</v>
      </c>
      <c r="EZ61" s="893">
        <f t="shared" si="103"/>
        <v>0</v>
      </c>
      <c r="FA61" s="894">
        <f t="shared" si="104"/>
        <v>0</v>
      </c>
      <c r="FB61" s="819" t="str">
        <f t="shared" si="105"/>
        <v/>
      </c>
      <c r="FC61" s="820" t="str">
        <f t="shared" si="106"/>
        <v/>
      </c>
      <c r="FD61" s="829">
        <f t="shared" si="107"/>
        <v>0</v>
      </c>
      <c r="FE61" s="774">
        <f t="shared" si="108"/>
        <v>0</v>
      </c>
      <c r="FF61" s="703" t="b">
        <f t="shared" si="109"/>
        <v>0</v>
      </c>
      <c r="FG61" s="703" t="b">
        <f t="shared" si="110"/>
        <v>0</v>
      </c>
      <c r="FH61" s="703" t="b">
        <f t="shared" si="111"/>
        <v>0</v>
      </c>
      <c r="FI61" s="703" t="b">
        <f t="shared" si="112"/>
        <v>0</v>
      </c>
      <c r="FJ61" s="849" t="str">
        <f t="shared" si="126"/>
        <v/>
      </c>
      <c r="FK61" s="848" t="str">
        <f t="shared" si="127"/>
        <v/>
      </c>
      <c r="FL61" s="242" t="e">
        <f t="shared" si="128"/>
        <v>#N/A</v>
      </c>
      <c r="FM61" s="234" t="str">
        <f t="shared" si="113"/>
        <v/>
      </c>
      <c r="FN61" s="191" t="str">
        <f t="shared" ca="1" si="129"/>
        <v/>
      </c>
      <c r="FO61" s="192" t="str">
        <f t="shared" ca="1" si="130"/>
        <v/>
      </c>
      <c r="FP61" s="193" t="str">
        <f t="shared" ca="1" si="131"/>
        <v/>
      </c>
      <c r="FQ61" s="193" t="str">
        <f t="shared" ca="1" si="132"/>
        <v/>
      </c>
      <c r="FR61" s="243">
        <f t="shared" ca="1" si="133"/>
        <v>0</v>
      </c>
      <c r="FS61" s="244">
        <f t="shared" ca="1" si="134"/>
        <v>0</v>
      </c>
      <c r="FT61" s="191" t="str">
        <f t="shared" ca="1" si="135"/>
        <v/>
      </c>
      <c r="FU61" s="194" t="str">
        <f t="shared" ca="1" si="136"/>
        <v/>
      </c>
      <c r="FV61" s="245" t="str">
        <f t="shared" ca="1" si="114"/>
        <v/>
      </c>
      <c r="FW61" s="195" t="str">
        <f t="shared" ca="1" si="137"/>
        <v/>
      </c>
      <c r="FX61" s="195" t="str">
        <f t="shared" ca="1" si="138"/>
        <v/>
      </c>
      <c r="FY61" s="195" t="str">
        <f t="shared" ca="1" si="139"/>
        <v/>
      </c>
      <c r="FZ61" s="195" t="str">
        <f t="shared" ca="1" si="140"/>
        <v/>
      </c>
      <c r="GA61" s="195" t="str">
        <f t="shared" ca="1" si="141"/>
        <v/>
      </c>
      <c r="GB61" s="196" t="str">
        <f ca="1">IF(FY61="","",2+SUM(FO61:OFFSET(FO61,(FU61-1)*-1,0)))</f>
        <v/>
      </c>
      <c r="GC61" s="238" t="e">
        <f t="shared" si="142"/>
        <v>#N/A</v>
      </c>
      <c r="GD61" s="246" t="str">
        <f t="shared" si="115"/>
        <v/>
      </c>
      <c r="GE61" s="247" t="str">
        <f t="shared" si="116"/>
        <v/>
      </c>
      <c r="GF61" s="197" t="str">
        <f t="shared" si="117"/>
        <v/>
      </c>
      <c r="GG61" s="198" t="str">
        <f t="shared" si="118"/>
        <v/>
      </c>
      <c r="GH61" s="198" t="str">
        <f t="shared" si="119"/>
        <v/>
      </c>
      <c r="GI61" s="199" t="str">
        <f t="shared" si="120"/>
        <v/>
      </c>
      <c r="GJ61" s="473">
        <f t="shared" ca="1" si="121"/>
        <v>0</v>
      </c>
      <c r="GK61" s="834" t="e">
        <f t="shared" ca="1" si="143"/>
        <v>#REF!</v>
      </c>
    </row>
    <row r="62" spans="1:222" ht="12.6" hidden="1" customHeight="1" x14ac:dyDescent="0.2">
      <c r="BZ62" s="214"/>
      <c r="CA62" s="288"/>
      <c r="CB62" s="289" t="str">
        <f t="shared" si="49"/>
        <v/>
      </c>
      <c r="CC62" s="290" t="str">
        <f>IF(CG22="","",VLOOKUP(CG22,#REF!,12,FALSE))</f>
        <v/>
      </c>
      <c r="CD62" s="1219" t="str">
        <f>IF(ISBLANK(CN22),IF(CG22="","",VLOOKUP(CG22,#REF!,13,FALSE)),CN22)</f>
        <v/>
      </c>
      <c r="CE62" s="1219" t="str">
        <f>IF(CG22="","",IF(VLOOKUP(CG22,#REF!,5,FALSE)="","R",UPPER(VLOOKUP(CG22,#REF!,5,FALSE))))</f>
        <v/>
      </c>
      <c r="CF62" s="1219" t="str">
        <f>IF(ISBLANK(CP22),IF(CG22="","",VLOOKUP(CG22,#REF!,6,FALSE)),CP22)</f>
        <v/>
      </c>
      <c r="CG62" s="1219" t="str">
        <f>IF(CG22="","",IF(VLOOKUP(CG22,#REF!,10,FALSE)="","",(VLOOKUP(CG22,#REF!,10,FALSE)*-1)))</f>
        <v/>
      </c>
      <c r="CH62" s="1219" t="str">
        <f>IF(CG22="","",IF(VLOOKUP(CG22,#REF!,7,FALSE)="","",(VLOOKUP(CG22,#REF!,7,FALSE)*-1)))</f>
        <v/>
      </c>
      <c r="CI62" s="1219" t="str">
        <f>IF(CG22="","",IF(VLOOKUP(CG22,#REF!,8,FALSE)="",$FC$4,(VLOOKUP(CG22,#REF!,8,FALSE))))</f>
        <v/>
      </c>
      <c r="CJ62" s="1219" t="str">
        <f>IF(CG22="","",VLOOKUP(CG22,#REF!,9,FALSE))</f>
        <v/>
      </c>
      <c r="CK62" s="1220">
        <f t="shared" si="50"/>
        <v>0</v>
      </c>
      <c r="CL62" s="1218" t="str">
        <f>IF(CQ22="","",VLOOKUP(CQ22,#REF!,12,FALSE))</f>
        <v/>
      </c>
      <c r="CM62" s="1219" t="str">
        <f>IF(ISBLANK(CX22),IF(CQ22="","",VLOOKUP(CQ22,#REF!,13,FALSE)),CX22)</f>
        <v/>
      </c>
      <c r="CN62" s="1219" t="str">
        <f>IF(CQ22="","",IF(VLOOKUP(CQ22,#REF!,5,FALSE)="","R",UPPER(VLOOKUP(CQ22,#REF!,5,FALSE))))</f>
        <v/>
      </c>
      <c r="CO62" s="1219" t="str">
        <f>IF(ISBLANK(CZ22),IF(CQ22="","",VLOOKUP(CQ22,#REF!,6,FALSE)),CZ22)</f>
        <v/>
      </c>
      <c r="CP62" s="1219" t="str">
        <f>IF(CQ22="","",IF(VLOOKUP(CQ22,#REF!,10,FALSE)="","",(VLOOKUP(CQ22,#REF!,10,FALSE)*-1)))</f>
        <v/>
      </c>
      <c r="CQ62" s="1219" t="str">
        <f>IF(CQ22="","",IF(VLOOKUP(CQ22,#REF!,7,FALSE)="","",(VLOOKUP(CQ22,#REF!,7,FALSE)*-1)))</f>
        <v/>
      </c>
      <c r="CR62" s="1219" t="str">
        <f>IF(CQ22="","",IF(VLOOKUP(CQ22,#REF!,8,FALSE)="",$FC$4,(VLOOKUP(CQ22,#REF!,8,FALSE))))</f>
        <v/>
      </c>
      <c r="CS62" s="1219" t="str">
        <f>IF(CQ22="","",VLOOKUP(CQ22,#REF!,9,FALSE))</f>
        <v/>
      </c>
      <c r="CT62" s="1220">
        <f t="shared" si="51"/>
        <v>0</v>
      </c>
      <c r="CU62" s="1230">
        <f t="shared" si="52"/>
        <v>0</v>
      </c>
      <c r="CV62" s="1224" t="str">
        <f t="shared" si="53"/>
        <v/>
      </c>
      <c r="CW62" s="1224" t="str">
        <f t="shared" si="54"/>
        <v/>
      </c>
      <c r="CX62" s="1224" t="str">
        <f t="shared" si="55"/>
        <v/>
      </c>
      <c r="CY62" s="1226">
        <f t="shared" si="56"/>
        <v>0</v>
      </c>
      <c r="CZ62" s="1226" t="e">
        <f t="shared" si="57"/>
        <v>#REF!</v>
      </c>
      <c r="DA62" s="1226" t="str">
        <f t="shared" si="58"/>
        <v/>
      </c>
      <c r="DB62" s="1224" t="str">
        <f t="shared" si="122"/>
        <v/>
      </c>
      <c r="DC62" s="1224" t="str">
        <f t="shared" si="59"/>
        <v/>
      </c>
      <c r="DD62" s="814">
        <f t="shared" si="123"/>
        <v>0</v>
      </c>
      <c r="DE62" s="812">
        <f t="shared" si="60"/>
        <v>0</v>
      </c>
      <c r="DF62" s="813" t="e">
        <f t="shared" si="61"/>
        <v>#REF!</v>
      </c>
      <c r="DG62" s="813" t="str">
        <f t="shared" si="62"/>
        <v/>
      </c>
      <c r="DH62" s="1224" t="str">
        <f t="shared" si="124"/>
        <v/>
      </c>
      <c r="DI62" s="1224" t="str">
        <f t="shared" si="63"/>
        <v/>
      </c>
      <c r="DJ62" s="1225">
        <f t="shared" si="125"/>
        <v>0</v>
      </c>
      <c r="DK62" s="1224" t="str">
        <f t="shared" si="64"/>
        <v/>
      </c>
      <c r="DL62" s="1224" t="str">
        <f t="shared" si="65"/>
        <v/>
      </c>
      <c r="DM62" s="1224" t="str">
        <f t="shared" si="66"/>
        <v/>
      </c>
      <c r="DN62" s="1224" t="str">
        <f t="shared" si="67"/>
        <v/>
      </c>
      <c r="DO62" s="828" t="e">
        <f t="shared" si="68"/>
        <v>#REF!</v>
      </c>
      <c r="DP62" s="828" t="e">
        <f t="shared" si="69"/>
        <v>#REF!</v>
      </c>
      <c r="DQ62" s="1224" t="str">
        <f t="shared" si="70"/>
        <v/>
      </c>
      <c r="DR62" s="1224" t="str">
        <f t="shared" si="70"/>
        <v/>
      </c>
      <c r="DS62" s="1224" t="str">
        <f t="shared" si="71"/>
        <v/>
      </c>
      <c r="DT62" s="1224" t="str">
        <f t="shared" si="72"/>
        <v/>
      </c>
      <c r="DU62" s="1224" t="str">
        <f t="shared" si="73"/>
        <v/>
      </c>
      <c r="DV62" s="828" t="e">
        <f t="shared" si="74"/>
        <v>#REF!</v>
      </c>
      <c r="DW62" s="828" t="e">
        <f t="shared" si="75"/>
        <v>#REF!</v>
      </c>
      <c r="DX62" s="812" t="str">
        <f t="shared" si="76"/>
        <v/>
      </c>
      <c r="DY62" s="812" t="str">
        <f t="shared" si="76"/>
        <v/>
      </c>
      <c r="DZ62" s="812" t="str">
        <f t="shared" si="77"/>
        <v/>
      </c>
      <c r="EA62" s="812" t="str">
        <f t="shared" si="78"/>
        <v/>
      </c>
      <c r="EB62" s="815" t="str">
        <f t="shared" si="79"/>
        <v/>
      </c>
      <c r="EC62" s="816" t="str">
        <f t="shared" si="80"/>
        <v/>
      </c>
      <c r="ED62" s="815" t="str">
        <f t="shared" si="81"/>
        <v/>
      </c>
      <c r="EE62" s="815" t="str">
        <f t="shared" si="82"/>
        <v/>
      </c>
      <c r="EF62" s="815" t="str">
        <f t="shared" si="83"/>
        <v/>
      </c>
      <c r="EG62" s="815" t="str">
        <f t="shared" si="84"/>
        <v/>
      </c>
      <c r="EH62" s="815" t="str">
        <f t="shared" si="85"/>
        <v/>
      </c>
      <c r="EI62" s="815" t="str">
        <f t="shared" si="86"/>
        <v/>
      </c>
      <c r="EJ62" s="815" t="str">
        <f t="shared" si="87"/>
        <v/>
      </c>
      <c r="EK62" s="813">
        <f t="shared" si="88"/>
        <v>0</v>
      </c>
      <c r="EL62" s="813">
        <f t="shared" si="89"/>
        <v>0</v>
      </c>
      <c r="EM62" s="813">
        <f t="shared" si="90"/>
        <v>0</v>
      </c>
      <c r="EN62" s="813" t="e">
        <f t="shared" si="91"/>
        <v>#REF!</v>
      </c>
      <c r="EO62" s="812" t="str">
        <f t="shared" si="92"/>
        <v/>
      </c>
      <c r="EP62" s="813">
        <f t="shared" si="93"/>
        <v>0</v>
      </c>
      <c r="EQ62" s="813">
        <f t="shared" si="94"/>
        <v>0</v>
      </c>
      <c r="ER62" s="813">
        <f t="shared" si="95"/>
        <v>0</v>
      </c>
      <c r="ES62" s="813" t="e">
        <f t="shared" si="96"/>
        <v>#REF!</v>
      </c>
      <c r="ET62" s="812" t="str">
        <f t="shared" si="97"/>
        <v/>
      </c>
      <c r="EU62" s="812" t="e">
        <f t="shared" si="98"/>
        <v>#REF!</v>
      </c>
      <c r="EV62" s="815" t="e">
        <f t="shared" si="99"/>
        <v>#VALUE!</v>
      </c>
      <c r="EW62" s="815" t="e">
        <f t="shared" si="100"/>
        <v>#VALUE!</v>
      </c>
      <c r="EX62" s="817" t="str">
        <f t="shared" si="101"/>
        <v/>
      </c>
      <c r="EY62" s="818" t="e">
        <f t="shared" si="102"/>
        <v>#DIV/0!</v>
      </c>
      <c r="EZ62" s="893" t="e">
        <f t="shared" si="103"/>
        <v>#DIV/0!</v>
      </c>
      <c r="FA62" s="894" t="e">
        <f t="shared" si="104"/>
        <v>#DIV/0!</v>
      </c>
      <c r="FB62" s="819" t="str">
        <f t="shared" si="105"/>
        <v/>
      </c>
      <c r="FC62" s="820" t="str">
        <f t="shared" si="106"/>
        <v/>
      </c>
      <c r="FD62" s="829">
        <f t="shared" si="107"/>
        <v>0</v>
      </c>
      <c r="FE62" s="774">
        <f t="shared" si="108"/>
        <v>0</v>
      </c>
      <c r="FF62" s="703" t="b">
        <f t="shared" si="109"/>
        <v>0</v>
      </c>
      <c r="FG62" s="703" t="b">
        <f t="shared" si="110"/>
        <v>0</v>
      </c>
      <c r="FH62" s="703" t="b">
        <f t="shared" si="111"/>
        <v>0</v>
      </c>
      <c r="FI62" s="703" t="b">
        <f t="shared" si="112"/>
        <v>0</v>
      </c>
      <c r="FJ62" s="849" t="str">
        <f t="shared" si="126"/>
        <v/>
      </c>
      <c r="FK62" s="848" t="str">
        <f t="shared" si="127"/>
        <v/>
      </c>
      <c r="FL62" s="242" t="e">
        <f t="shared" si="128"/>
        <v>#N/A</v>
      </c>
      <c r="FM62" s="234" t="str">
        <f t="shared" si="113"/>
        <v/>
      </c>
      <c r="FN62" s="191" t="str">
        <f t="shared" ca="1" si="129"/>
        <v/>
      </c>
      <c r="FO62" s="192" t="str">
        <f t="shared" ca="1" si="130"/>
        <v/>
      </c>
      <c r="FP62" s="193" t="str">
        <f t="shared" ca="1" si="131"/>
        <v/>
      </c>
      <c r="FQ62" s="193" t="str">
        <f t="shared" ca="1" si="132"/>
        <v/>
      </c>
      <c r="FR62" s="243">
        <f t="shared" ca="1" si="133"/>
        <v>0</v>
      </c>
      <c r="FS62" s="244">
        <f t="shared" ca="1" si="134"/>
        <v>0</v>
      </c>
      <c r="FT62" s="191" t="str">
        <f t="shared" ca="1" si="135"/>
        <v/>
      </c>
      <c r="FU62" s="194" t="str">
        <f t="shared" ca="1" si="136"/>
        <v/>
      </c>
      <c r="FV62" s="245" t="str">
        <f t="shared" ca="1" si="114"/>
        <v/>
      </c>
      <c r="FW62" s="195" t="str">
        <f t="shared" ca="1" si="137"/>
        <v/>
      </c>
      <c r="FX62" s="195" t="str">
        <f t="shared" ca="1" si="138"/>
        <v/>
      </c>
      <c r="FY62" s="195" t="str">
        <f t="shared" ca="1" si="139"/>
        <v/>
      </c>
      <c r="FZ62" s="195" t="str">
        <f t="shared" ca="1" si="140"/>
        <v/>
      </c>
      <c r="GA62" s="195" t="str">
        <f t="shared" ca="1" si="141"/>
        <v/>
      </c>
      <c r="GB62" s="196" t="str">
        <f ca="1">IF(FY62="","",2+SUM(FO62:OFFSET(FO62,(FU62-1)*-1,0)))</f>
        <v/>
      </c>
      <c r="GC62" s="238" t="e">
        <f t="shared" si="142"/>
        <v>#N/A</v>
      </c>
      <c r="GD62" s="246" t="str">
        <f t="shared" si="115"/>
        <v/>
      </c>
      <c r="GE62" s="247" t="str">
        <f t="shared" si="116"/>
        <v/>
      </c>
      <c r="GF62" s="197" t="str">
        <f t="shared" si="117"/>
        <v/>
      </c>
      <c r="GG62" s="198" t="str">
        <f t="shared" si="118"/>
        <v/>
      </c>
      <c r="GH62" s="198" t="str">
        <f t="shared" si="119"/>
        <v/>
      </c>
      <c r="GI62" s="199" t="str">
        <f t="shared" si="120"/>
        <v/>
      </c>
      <c r="GJ62" s="473">
        <f t="shared" ca="1" si="121"/>
        <v>0</v>
      </c>
      <c r="GK62" s="834" t="str">
        <f t="shared" si="143"/>
        <v/>
      </c>
    </row>
    <row r="63" spans="1:222" ht="12.6" hidden="1" customHeight="1" x14ac:dyDescent="0.2">
      <c r="BZ63" s="214"/>
      <c r="CA63" s="288"/>
      <c r="CB63" s="289" t="str">
        <f t="shared" si="49"/>
        <v/>
      </c>
      <c r="CC63" s="290" t="str">
        <f>IF(CG23="","",VLOOKUP(CG23,#REF!,12,FALSE))</f>
        <v/>
      </c>
      <c r="CD63" s="1219" t="str">
        <f>IF(ISBLANK(CN23),IF(CG23="","",VLOOKUP(CG23,#REF!,13,FALSE)),CN23)</f>
        <v/>
      </c>
      <c r="CE63" s="1219" t="str">
        <f>IF(CG23="","",IF(VLOOKUP(CG23,#REF!,5,FALSE)="","R",UPPER(VLOOKUP(CG23,#REF!,5,FALSE))))</f>
        <v/>
      </c>
      <c r="CF63" s="1219" t="str">
        <f>IF(ISBLANK(CP23),IF(CG23="","",VLOOKUP(CG23,#REF!,6,FALSE)),CP23)</f>
        <v/>
      </c>
      <c r="CG63" s="1219" t="str">
        <f>IF(CG23="","",IF(VLOOKUP(CG23,#REF!,10,FALSE)="","",(VLOOKUP(CG23,#REF!,10,FALSE)*-1)))</f>
        <v/>
      </c>
      <c r="CH63" s="1219" t="str">
        <f>IF(CG23="","",IF(VLOOKUP(CG23,#REF!,7,FALSE)="","",(VLOOKUP(CG23,#REF!,7,FALSE)*-1)))</f>
        <v/>
      </c>
      <c r="CI63" s="1219" t="str">
        <f>IF(CG23="","",IF(VLOOKUP(CG23,#REF!,8,FALSE)="",$FC$4,(VLOOKUP(CG23,#REF!,8,FALSE))))</f>
        <v/>
      </c>
      <c r="CJ63" s="1219" t="str">
        <f>IF(CG23="","",VLOOKUP(CG23,#REF!,9,FALSE))</f>
        <v/>
      </c>
      <c r="CK63" s="1220">
        <f t="shared" si="50"/>
        <v>0</v>
      </c>
      <c r="CL63" s="1218" t="str">
        <f>IF(CQ23="","",VLOOKUP(CQ23,#REF!,12,FALSE))</f>
        <v/>
      </c>
      <c r="CM63" s="1219" t="str">
        <f>IF(ISBLANK(CX23),IF(CQ23="","",VLOOKUP(CQ23,#REF!,13,FALSE)),CX23)</f>
        <v/>
      </c>
      <c r="CN63" s="1219" t="str">
        <f>IF(CQ23="","",IF(VLOOKUP(CQ23,#REF!,5,FALSE)="","R",UPPER(VLOOKUP(CQ23,#REF!,5,FALSE))))</f>
        <v/>
      </c>
      <c r="CO63" s="1219" t="str">
        <f>IF(ISBLANK(CZ23),IF(CQ23="","",VLOOKUP(CQ23,#REF!,6,FALSE)),CZ23)</f>
        <v/>
      </c>
      <c r="CP63" s="1219" t="str">
        <f>IF(CQ23="","",IF(VLOOKUP(CQ23,#REF!,10,FALSE)="","",(VLOOKUP(CQ23,#REF!,10,FALSE)*-1)))</f>
        <v/>
      </c>
      <c r="CQ63" s="1219" t="str">
        <f>IF(CQ23="","",IF(VLOOKUP(CQ23,#REF!,7,FALSE)="","",(VLOOKUP(CQ23,#REF!,7,FALSE)*-1)))</f>
        <v/>
      </c>
      <c r="CR63" s="1219" t="str">
        <f>IF(CQ23="","",IF(VLOOKUP(CQ23,#REF!,8,FALSE)="",$FC$4,(VLOOKUP(CQ23,#REF!,8,FALSE))))</f>
        <v/>
      </c>
      <c r="CS63" s="1219" t="str">
        <f>IF(CQ23="","",VLOOKUP(CQ23,#REF!,9,FALSE))</f>
        <v/>
      </c>
      <c r="CT63" s="1220">
        <f t="shared" si="51"/>
        <v>0</v>
      </c>
      <c r="CU63" s="1230">
        <f t="shared" si="52"/>
        <v>0</v>
      </c>
      <c r="CV63" s="1224" t="str">
        <f t="shared" si="53"/>
        <v/>
      </c>
      <c r="CW63" s="1224" t="str">
        <f t="shared" si="54"/>
        <v/>
      </c>
      <c r="CX63" s="1224" t="str">
        <f t="shared" si="55"/>
        <v/>
      </c>
      <c r="CY63" s="1226">
        <f t="shared" si="56"/>
        <v>0</v>
      </c>
      <c r="CZ63" s="1226" t="e">
        <f t="shared" si="57"/>
        <v>#REF!</v>
      </c>
      <c r="DA63" s="1226" t="str">
        <f t="shared" si="58"/>
        <v/>
      </c>
      <c r="DB63" s="1224" t="str">
        <f t="shared" si="122"/>
        <v/>
      </c>
      <c r="DC63" s="1224" t="str">
        <f t="shared" si="59"/>
        <v/>
      </c>
      <c r="DD63" s="814">
        <f t="shared" si="123"/>
        <v>0</v>
      </c>
      <c r="DE63" s="812">
        <f t="shared" si="60"/>
        <v>0</v>
      </c>
      <c r="DF63" s="813" t="e">
        <f t="shared" si="61"/>
        <v>#REF!</v>
      </c>
      <c r="DG63" s="813" t="str">
        <f t="shared" si="62"/>
        <v/>
      </c>
      <c r="DH63" s="1224" t="str">
        <f t="shared" si="124"/>
        <v/>
      </c>
      <c r="DI63" s="1224" t="str">
        <f t="shared" si="63"/>
        <v/>
      </c>
      <c r="DJ63" s="1225">
        <f t="shared" si="125"/>
        <v>0</v>
      </c>
      <c r="DK63" s="1224" t="str">
        <f t="shared" si="64"/>
        <v/>
      </c>
      <c r="DL63" s="1224" t="str">
        <f t="shared" si="65"/>
        <v/>
      </c>
      <c r="DM63" s="1224" t="str">
        <f t="shared" si="66"/>
        <v/>
      </c>
      <c r="DN63" s="1224" t="str">
        <f t="shared" si="67"/>
        <v/>
      </c>
      <c r="DO63" s="828" t="e">
        <f t="shared" si="68"/>
        <v>#REF!</v>
      </c>
      <c r="DP63" s="828" t="e">
        <f t="shared" si="69"/>
        <v>#REF!</v>
      </c>
      <c r="DQ63" s="1224" t="str">
        <f t="shared" si="70"/>
        <v/>
      </c>
      <c r="DR63" s="1224" t="str">
        <f t="shared" si="70"/>
        <v/>
      </c>
      <c r="DS63" s="1224" t="str">
        <f t="shared" si="71"/>
        <v/>
      </c>
      <c r="DT63" s="1224" t="str">
        <f t="shared" si="72"/>
        <v/>
      </c>
      <c r="DU63" s="1224" t="str">
        <f t="shared" si="73"/>
        <v/>
      </c>
      <c r="DV63" s="828" t="e">
        <f t="shared" si="74"/>
        <v>#REF!</v>
      </c>
      <c r="DW63" s="828" t="e">
        <f t="shared" si="75"/>
        <v>#REF!</v>
      </c>
      <c r="DX63" s="812" t="str">
        <f t="shared" si="76"/>
        <v/>
      </c>
      <c r="DY63" s="812" t="str">
        <f t="shared" si="76"/>
        <v/>
      </c>
      <c r="DZ63" s="812" t="str">
        <f t="shared" si="77"/>
        <v/>
      </c>
      <c r="EA63" s="812" t="str">
        <f t="shared" si="78"/>
        <v/>
      </c>
      <c r="EB63" s="815" t="str">
        <f t="shared" si="79"/>
        <v/>
      </c>
      <c r="EC63" s="816" t="str">
        <f t="shared" si="80"/>
        <v/>
      </c>
      <c r="ED63" s="815" t="str">
        <f t="shared" si="81"/>
        <v/>
      </c>
      <c r="EE63" s="815" t="str">
        <f t="shared" si="82"/>
        <v/>
      </c>
      <c r="EF63" s="815" t="str">
        <f t="shared" si="83"/>
        <v/>
      </c>
      <c r="EG63" s="815" t="str">
        <f t="shared" si="84"/>
        <v/>
      </c>
      <c r="EH63" s="815" t="str">
        <f t="shared" si="85"/>
        <v/>
      </c>
      <c r="EI63" s="815" t="str">
        <f t="shared" si="86"/>
        <v/>
      </c>
      <c r="EJ63" s="815" t="str">
        <f t="shared" si="87"/>
        <v/>
      </c>
      <c r="EK63" s="813">
        <f t="shared" si="88"/>
        <v>0</v>
      </c>
      <c r="EL63" s="813">
        <f t="shared" si="89"/>
        <v>0</v>
      </c>
      <c r="EM63" s="813">
        <f t="shared" si="90"/>
        <v>0</v>
      </c>
      <c r="EN63" s="813" t="e">
        <f t="shared" si="91"/>
        <v>#REF!</v>
      </c>
      <c r="EO63" s="812" t="str">
        <f t="shared" si="92"/>
        <v/>
      </c>
      <c r="EP63" s="813">
        <f t="shared" si="93"/>
        <v>0</v>
      </c>
      <c r="EQ63" s="813">
        <f t="shared" si="94"/>
        <v>0</v>
      </c>
      <c r="ER63" s="813">
        <f t="shared" si="95"/>
        <v>0</v>
      </c>
      <c r="ES63" s="813" t="e">
        <f t="shared" si="96"/>
        <v>#REF!</v>
      </c>
      <c r="ET63" s="812" t="str">
        <f t="shared" si="97"/>
        <v/>
      </c>
      <c r="EU63" s="812" t="e">
        <f t="shared" si="98"/>
        <v>#REF!</v>
      </c>
      <c r="EV63" s="815" t="e">
        <f t="shared" si="99"/>
        <v>#VALUE!</v>
      </c>
      <c r="EW63" s="815" t="e">
        <f t="shared" si="100"/>
        <v>#VALUE!</v>
      </c>
      <c r="EX63" s="817" t="str">
        <f t="shared" si="101"/>
        <v/>
      </c>
      <c r="EY63" s="818" t="e">
        <f t="shared" si="102"/>
        <v>#DIV/0!</v>
      </c>
      <c r="EZ63" s="893" t="e">
        <f t="shared" si="103"/>
        <v>#DIV/0!</v>
      </c>
      <c r="FA63" s="894" t="e">
        <f t="shared" si="104"/>
        <v>#DIV/0!</v>
      </c>
      <c r="FB63" s="819" t="str">
        <f t="shared" si="105"/>
        <v/>
      </c>
      <c r="FC63" s="820" t="str">
        <f t="shared" si="106"/>
        <v/>
      </c>
      <c r="FD63" s="829">
        <f t="shared" si="107"/>
        <v>0</v>
      </c>
      <c r="FE63" s="774">
        <f t="shared" si="108"/>
        <v>0</v>
      </c>
      <c r="FF63" s="703" t="b">
        <f t="shared" si="109"/>
        <v>0</v>
      </c>
      <c r="FG63" s="703" t="b">
        <f t="shared" si="110"/>
        <v>0</v>
      </c>
      <c r="FH63" s="703" t="b">
        <f t="shared" si="111"/>
        <v>0</v>
      </c>
      <c r="FI63" s="703" t="b">
        <f t="shared" si="112"/>
        <v>0</v>
      </c>
      <c r="FJ63" s="849" t="str">
        <f t="shared" si="126"/>
        <v/>
      </c>
      <c r="FK63" s="848" t="str">
        <f t="shared" si="127"/>
        <v/>
      </c>
      <c r="FL63" s="242" t="e">
        <f t="shared" si="128"/>
        <v>#N/A</v>
      </c>
      <c r="FM63" s="234" t="str">
        <f t="shared" si="113"/>
        <v/>
      </c>
      <c r="FN63" s="191" t="str">
        <f t="shared" ca="1" si="129"/>
        <v/>
      </c>
      <c r="FO63" s="192" t="str">
        <f t="shared" ca="1" si="130"/>
        <v/>
      </c>
      <c r="FP63" s="193" t="str">
        <f t="shared" ca="1" si="131"/>
        <v/>
      </c>
      <c r="FQ63" s="193" t="str">
        <f t="shared" ca="1" si="132"/>
        <v/>
      </c>
      <c r="FR63" s="243">
        <f t="shared" ca="1" si="133"/>
        <v>0</v>
      </c>
      <c r="FS63" s="244">
        <f t="shared" ca="1" si="134"/>
        <v>0</v>
      </c>
      <c r="FT63" s="191" t="str">
        <f t="shared" ca="1" si="135"/>
        <v/>
      </c>
      <c r="FU63" s="194" t="str">
        <f t="shared" ca="1" si="136"/>
        <v/>
      </c>
      <c r="FV63" s="245" t="str">
        <f t="shared" ca="1" si="114"/>
        <v/>
      </c>
      <c r="FW63" s="195" t="str">
        <f t="shared" ca="1" si="137"/>
        <v/>
      </c>
      <c r="FX63" s="195" t="str">
        <f t="shared" ca="1" si="138"/>
        <v/>
      </c>
      <c r="FY63" s="195" t="str">
        <f t="shared" ca="1" si="139"/>
        <v/>
      </c>
      <c r="FZ63" s="195" t="str">
        <f t="shared" ca="1" si="140"/>
        <v/>
      </c>
      <c r="GA63" s="195" t="str">
        <f t="shared" ca="1" si="141"/>
        <v/>
      </c>
      <c r="GB63" s="196" t="str">
        <f ca="1">IF(FY63="","",2+SUM(FO63:OFFSET(FO63,(FU63-1)*-1,0)))</f>
        <v/>
      </c>
      <c r="GC63" s="238" t="e">
        <f t="shared" si="142"/>
        <v>#N/A</v>
      </c>
      <c r="GD63" s="246" t="str">
        <f t="shared" si="115"/>
        <v/>
      </c>
      <c r="GE63" s="247" t="str">
        <f t="shared" si="116"/>
        <v/>
      </c>
      <c r="GF63" s="197" t="str">
        <f t="shared" si="117"/>
        <v/>
      </c>
      <c r="GG63" s="198" t="str">
        <f t="shared" si="118"/>
        <v/>
      </c>
      <c r="GH63" s="198" t="str">
        <f t="shared" si="119"/>
        <v/>
      </c>
      <c r="GI63" s="199" t="str">
        <f t="shared" si="120"/>
        <v/>
      </c>
      <c r="GJ63" s="473">
        <f t="shared" ca="1" si="121"/>
        <v>0</v>
      </c>
      <c r="GK63" s="834" t="str">
        <f t="shared" si="143"/>
        <v/>
      </c>
    </row>
    <row r="64" spans="1:222" ht="12.6" hidden="1" customHeight="1" x14ac:dyDescent="0.2">
      <c r="BZ64" s="214"/>
      <c r="CA64" s="288"/>
      <c r="CB64" s="289" t="str">
        <f t="shared" si="49"/>
        <v/>
      </c>
      <c r="CC64" s="290" t="str">
        <f>IF(CG24="","",VLOOKUP(CG24,#REF!,12,FALSE))</f>
        <v/>
      </c>
      <c r="CD64" s="1219" t="str">
        <f>IF(ISBLANK(CN24),IF(CG24="","",VLOOKUP(CG24,#REF!,13,FALSE)),CN24)</f>
        <v/>
      </c>
      <c r="CE64" s="1219" t="str">
        <f>IF(CG24="","",IF(VLOOKUP(CG24,#REF!,5,FALSE)="","R",UPPER(VLOOKUP(CG24,#REF!,5,FALSE))))</f>
        <v/>
      </c>
      <c r="CF64" s="1219" t="str">
        <f>IF(ISBLANK(CP24),IF(CG24="","",VLOOKUP(CG24,#REF!,6,FALSE)),CP24)</f>
        <v/>
      </c>
      <c r="CG64" s="1219" t="str">
        <f>IF(CG24="","",IF(VLOOKUP(CG24,#REF!,10,FALSE)="","",(VLOOKUP(CG24,#REF!,10,FALSE)*-1)))</f>
        <v/>
      </c>
      <c r="CH64" s="1219" t="str">
        <f>IF(CG24="","",IF(VLOOKUP(CG24,#REF!,7,FALSE)="","",(VLOOKUP(CG24,#REF!,7,FALSE)*-1)))</f>
        <v/>
      </c>
      <c r="CI64" s="1219" t="str">
        <f>IF(CG24="","",IF(VLOOKUP(CG24,#REF!,8,FALSE)="",$FC$4,(VLOOKUP(CG24,#REF!,8,FALSE))))</f>
        <v/>
      </c>
      <c r="CJ64" s="1219" t="str">
        <f>IF(CG24="","",VLOOKUP(CG24,#REF!,9,FALSE))</f>
        <v/>
      </c>
      <c r="CK64" s="1220">
        <f t="shared" si="50"/>
        <v>0</v>
      </c>
      <c r="CL64" s="1218" t="str">
        <f>IF(CQ24="","",VLOOKUP(CQ24,#REF!,12,FALSE))</f>
        <v/>
      </c>
      <c r="CM64" s="1219" t="str">
        <f>IF(ISBLANK(CX24),IF(CQ24="","",VLOOKUP(CQ24,#REF!,13,FALSE)),CX24)</f>
        <v/>
      </c>
      <c r="CN64" s="1219" t="str">
        <f>IF(CQ24="","",IF(VLOOKUP(CQ24,#REF!,5,FALSE)="","R",UPPER(VLOOKUP(CQ24,#REF!,5,FALSE))))</f>
        <v/>
      </c>
      <c r="CO64" s="1219" t="str">
        <f>IF(ISBLANK(CZ24),IF(CQ24="","",VLOOKUP(CQ24,#REF!,6,FALSE)),CZ24)</f>
        <v/>
      </c>
      <c r="CP64" s="1219" t="str">
        <f>IF(CQ24="","",IF(VLOOKUP(CQ24,#REF!,10,FALSE)="","",(VLOOKUP(CQ24,#REF!,10,FALSE)*-1)))</f>
        <v/>
      </c>
      <c r="CQ64" s="1219" t="str">
        <f>IF(CQ24="","",IF(VLOOKUP(CQ24,#REF!,7,FALSE)="","",(VLOOKUP(CQ24,#REF!,7,FALSE)*-1)))</f>
        <v/>
      </c>
      <c r="CR64" s="1219" t="str">
        <f>IF(CQ24="","",IF(VLOOKUP(CQ24,#REF!,8,FALSE)="",$FC$4,(VLOOKUP(CQ24,#REF!,8,FALSE))))</f>
        <v/>
      </c>
      <c r="CS64" s="1219" t="str">
        <f>IF(CQ24="","",VLOOKUP(CQ24,#REF!,9,FALSE))</f>
        <v/>
      </c>
      <c r="CT64" s="1220">
        <f t="shared" si="51"/>
        <v>0</v>
      </c>
      <c r="CU64" s="1230">
        <f t="shared" si="52"/>
        <v>0</v>
      </c>
      <c r="CV64" s="1224" t="str">
        <f t="shared" si="53"/>
        <v/>
      </c>
      <c r="CW64" s="1224" t="str">
        <f t="shared" si="54"/>
        <v/>
      </c>
      <c r="CX64" s="1224" t="str">
        <f t="shared" si="55"/>
        <v/>
      </c>
      <c r="CY64" s="1226">
        <f t="shared" si="56"/>
        <v>0</v>
      </c>
      <c r="CZ64" s="1226" t="e">
        <f t="shared" si="57"/>
        <v>#REF!</v>
      </c>
      <c r="DA64" s="1226" t="str">
        <f t="shared" si="58"/>
        <v/>
      </c>
      <c r="DB64" s="1224" t="str">
        <f t="shared" si="122"/>
        <v/>
      </c>
      <c r="DC64" s="1224" t="str">
        <f t="shared" si="59"/>
        <v/>
      </c>
      <c r="DD64" s="814">
        <f t="shared" si="123"/>
        <v>0</v>
      </c>
      <c r="DE64" s="812">
        <f t="shared" si="60"/>
        <v>0</v>
      </c>
      <c r="DF64" s="813" t="e">
        <f t="shared" si="61"/>
        <v>#REF!</v>
      </c>
      <c r="DG64" s="813" t="str">
        <f t="shared" si="62"/>
        <v/>
      </c>
      <c r="DH64" s="1224" t="str">
        <f t="shared" si="124"/>
        <v/>
      </c>
      <c r="DI64" s="1224" t="str">
        <f t="shared" si="63"/>
        <v/>
      </c>
      <c r="DJ64" s="1225">
        <f t="shared" si="125"/>
        <v>0</v>
      </c>
      <c r="DK64" s="1224" t="str">
        <f t="shared" si="64"/>
        <v/>
      </c>
      <c r="DL64" s="1224" t="str">
        <f t="shared" si="65"/>
        <v/>
      </c>
      <c r="DM64" s="1224" t="str">
        <f t="shared" si="66"/>
        <v/>
      </c>
      <c r="DN64" s="1224" t="str">
        <f t="shared" si="67"/>
        <v/>
      </c>
      <c r="DO64" s="828" t="e">
        <f t="shared" si="68"/>
        <v>#REF!</v>
      </c>
      <c r="DP64" s="828" t="e">
        <f t="shared" si="69"/>
        <v>#REF!</v>
      </c>
      <c r="DQ64" s="1224" t="str">
        <f t="shared" si="70"/>
        <v/>
      </c>
      <c r="DR64" s="1224" t="str">
        <f t="shared" si="70"/>
        <v/>
      </c>
      <c r="DS64" s="1224" t="str">
        <f t="shared" si="71"/>
        <v/>
      </c>
      <c r="DT64" s="1224" t="str">
        <f t="shared" si="72"/>
        <v/>
      </c>
      <c r="DU64" s="1224" t="str">
        <f t="shared" si="73"/>
        <v/>
      </c>
      <c r="DV64" s="828" t="e">
        <f t="shared" si="74"/>
        <v>#REF!</v>
      </c>
      <c r="DW64" s="828" t="e">
        <f t="shared" si="75"/>
        <v>#REF!</v>
      </c>
      <c r="DX64" s="812" t="str">
        <f t="shared" si="76"/>
        <v/>
      </c>
      <c r="DY64" s="812" t="str">
        <f t="shared" si="76"/>
        <v/>
      </c>
      <c r="DZ64" s="812" t="str">
        <f t="shared" si="77"/>
        <v/>
      </c>
      <c r="EA64" s="812" t="str">
        <f t="shared" si="78"/>
        <v/>
      </c>
      <c r="EB64" s="815" t="str">
        <f t="shared" si="79"/>
        <v/>
      </c>
      <c r="EC64" s="816" t="str">
        <f t="shared" si="80"/>
        <v/>
      </c>
      <c r="ED64" s="815" t="str">
        <f t="shared" si="81"/>
        <v/>
      </c>
      <c r="EE64" s="815" t="str">
        <f t="shared" si="82"/>
        <v/>
      </c>
      <c r="EF64" s="815" t="str">
        <f t="shared" si="83"/>
        <v/>
      </c>
      <c r="EG64" s="815" t="str">
        <f t="shared" si="84"/>
        <v/>
      </c>
      <c r="EH64" s="815" t="str">
        <f t="shared" si="85"/>
        <v/>
      </c>
      <c r="EI64" s="815" t="str">
        <f t="shared" si="86"/>
        <v/>
      </c>
      <c r="EJ64" s="815" t="str">
        <f t="shared" si="87"/>
        <v/>
      </c>
      <c r="EK64" s="813">
        <f t="shared" si="88"/>
        <v>0</v>
      </c>
      <c r="EL64" s="813">
        <f t="shared" si="89"/>
        <v>0</v>
      </c>
      <c r="EM64" s="813">
        <f t="shared" si="90"/>
        <v>0</v>
      </c>
      <c r="EN64" s="813" t="e">
        <f t="shared" si="91"/>
        <v>#REF!</v>
      </c>
      <c r="EO64" s="812" t="str">
        <f t="shared" si="92"/>
        <v/>
      </c>
      <c r="EP64" s="813">
        <f t="shared" si="93"/>
        <v>0</v>
      </c>
      <c r="EQ64" s="813">
        <f t="shared" si="94"/>
        <v>0</v>
      </c>
      <c r="ER64" s="813">
        <f t="shared" si="95"/>
        <v>0</v>
      </c>
      <c r="ES64" s="813" t="e">
        <f t="shared" si="96"/>
        <v>#REF!</v>
      </c>
      <c r="ET64" s="812" t="str">
        <f t="shared" si="97"/>
        <v/>
      </c>
      <c r="EU64" s="812" t="e">
        <f t="shared" si="98"/>
        <v>#REF!</v>
      </c>
      <c r="EV64" s="815" t="e">
        <f t="shared" si="99"/>
        <v>#VALUE!</v>
      </c>
      <c r="EW64" s="815" t="e">
        <f t="shared" si="100"/>
        <v>#VALUE!</v>
      </c>
      <c r="EX64" s="817" t="str">
        <f t="shared" si="101"/>
        <v/>
      </c>
      <c r="EY64" s="818">
        <f t="shared" si="102"/>
        <v>25</v>
      </c>
      <c r="EZ64" s="893">
        <f t="shared" si="103"/>
        <v>0</v>
      </c>
      <c r="FA64" s="894">
        <f t="shared" si="104"/>
        <v>0</v>
      </c>
      <c r="FB64" s="819" t="str">
        <f t="shared" si="105"/>
        <v/>
      </c>
      <c r="FC64" s="820" t="str">
        <f t="shared" si="106"/>
        <v/>
      </c>
      <c r="FD64" s="829">
        <f t="shared" si="107"/>
        <v>0</v>
      </c>
      <c r="FE64" s="774">
        <f t="shared" si="108"/>
        <v>0</v>
      </c>
      <c r="FF64" s="703" t="b">
        <f t="shared" si="109"/>
        <v>0</v>
      </c>
      <c r="FG64" s="703" t="b">
        <f t="shared" si="110"/>
        <v>0</v>
      </c>
      <c r="FH64" s="703" t="b">
        <f t="shared" si="111"/>
        <v>0</v>
      </c>
      <c r="FI64" s="703" t="b">
        <f t="shared" si="112"/>
        <v>0</v>
      </c>
      <c r="FJ64" s="849" t="str">
        <f t="shared" si="126"/>
        <v/>
      </c>
      <c r="FK64" s="848" t="str">
        <f t="shared" si="127"/>
        <v/>
      </c>
      <c r="FL64" s="242" t="e">
        <f t="shared" si="128"/>
        <v>#N/A</v>
      </c>
      <c r="FM64" s="234" t="str">
        <f t="shared" si="113"/>
        <v/>
      </c>
      <c r="FN64" s="191" t="str">
        <f t="shared" ca="1" si="129"/>
        <v/>
      </c>
      <c r="FO64" s="192" t="str">
        <f t="shared" ca="1" si="130"/>
        <v/>
      </c>
      <c r="FP64" s="193" t="str">
        <f t="shared" ca="1" si="131"/>
        <v/>
      </c>
      <c r="FQ64" s="193" t="str">
        <f t="shared" ca="1" si="132"/>
        <v/>
      </c>
      <c r="FR64" s="243">
        <f t="shared" ca="1" si="133"/>
        <v>0</v>
      </c>
      <c r="FS64" s="244">
        <f t="shared" ca="1" si="134"/>
        <v>0</v>
      </c>
      <c r="FT64" s="191" t="str">
        <f t="shared" ca="1" si="135"/>
        <v/>
      </c>
      <c r="FU64" s="194" t="str">
        <f t="shared" ca="1" si="136"/>
        <v/>
      </c>
      <c r="FV64" s="245" t="str">
        <f t="shared" ca="1" si="114"/>
        <v/>
      </c>
      <c r="FW64" s="195" t="str">
        <f t="shared" ca="1" si="137"/>
        <v/>
      </c>
      <c r="FX64" s="195" t="str">
        <f t="shared" ca="1" si="138"/>
        <v/>
      </c>
      <c r="FY64" s="195" t="str">
        <f t="shared" ca="1" si="139"/>
        <v/>
      </c>
      <c r="FZ64" s="195" t="str">
        <f t="shared" ca="1" si="140"/>
        <v/>
      </c>
      <c r="GA64" s="195" t="str">
        <f t="shared" ca="1" si="141"/>
        <v/>
      </c>
      <c r="GB64" s="196" t="str">
        <f ca="1">IF(FY64="","",2+SUM(FO64:OFFSET(FO64,(FU64-1)*-1,0)))</f>
        <v/>
      </c>
      <c r="GC64" s="238" t="e">
        <f t="shared" si="142"/>
        <v>#N/A</v>
      </c>
      <c r="GD64" s="246" t="str">
        <f t="shared" si="115"/>
        <v/>
      </c>
      <c r="GE64" s="247" t="str">
        <f t="shared" si="116"/>
        <v/>
      </c>
      <c r="GF64" s="197" t="str">
        <f t="shared" si="117"/>
        <v/>
      </c>
      <c r="GG64" s="198" t="str">
        <f t="shared" si="118"/>
        <v/>
      </c>
      <c r="GH64" s="198" t="str">
        <f t="shared" si="119"/>
        <v/>
      </c>
      <c r="GI64" s="199" t="str">
        <f t="shared" si="120"/>
        <v/>
      </c>
      <c r="GJ64" s="473">
        <f t="shared" ca="1" si="121"/>
        <v>0</v>
      </c>
      <c r="GK64" s="834" t="e">
        <f t="shared" ca="1" si="143"/>
        <v>#REF!</v>
      </c>
    </row>
    <row r="65" spans="78:193" ht="12.6" hidden="1" customHeight="1" x14ac:dyDescent="0.2">
      <c r="BZ65" s="214"/>
      <c r="CA65" s="288"/>
      <c r="CB65" s="289" t="str">
        <f t="shared" si="49"/>
        <v/>
      </c>
      <c r="CC65" s="290" t="str">
        <f>IF(CG25="","",VLOOKUP(CG25,#REF!,12,FALSE))</f>
        <v/>
      </c>
      <c r="CD65" s="1219" t="str">
        <f>IF(ISBLANK(CN25),IF(CG25="","",VLOOKUP(CG25,#REF!,13,FALSE)),CN25)</f>
        <v/>
      </c>
      <c r="CE65" s="1219" t="str">
        <f>IF(CG25="","",IF(VLOOKUP(CG25,#REF!,5,FALSE)="","R",UPPER(VLOOKUP(CG25,#REF!,5,FALSE))))</f>
        <v/>
      </c>
      <c r="CF65" s="1219" t="str">
        <f>IF(ISBLANK(CP25),IF(CG25="","",VLOOKUP(CG25,#REF!,6,FALSE)),CP25)</f>
        <v/>
      </c>
      <c r="CG65" s="1219" t="str">
        <f>IF(CG25="","",IF(VLOOKUP(CG25,#REF!,10,FALSE)="","",(VLOOKUP(CG25,#REF!,10,FALSE)*-1)))</f>
        <v/>
      </c>
      <c r="CH65" s="1219" t="str">
        <f>IF(CG25="","",IF(VLOOKUP(CG25,#REF!,7,FALSE)="","",(VLOOKUP(CG25,#REF!,7,FALSE)*-1)))</f>
        <v/>
      </c>
      <c r="CI65" s="1219" t="str">
        <f>IF(CG25="","",IF(VLOOKUP(CG25,#REF!,8,FALSE)="",$FC$4,(VLOOKUP(CG25,#REF!,8,FALSE))))</f>
        <v/>
      </c>
      <c r="CJ65" s="1219" t="str">
        <f>IF(CG25="","",VLOOKUP(CG25,#REF!,9,FALSE))</f>
        <v/>
      </c>
      <c r="CK65" s="1220">
        <f t="shared" si="50"/>
        <v>0</v>
      </c>
      <c r="CL65" s="1218" t="str">
        <f>IF(CQ25="","",VLOOKUP(CQ25,#REF!,12,FALSE))</f>
        <v/>
      </c>
      <c r="CM65" s="1219" t="str">
        <f>IF(ISBLANK(CX25),IF(CQ25="","",VLOOKUP(CQ25,#REF!,13,FALSE)),CX25)</f>
        <v/>
      </c>
      <c r="CN65" s="1219" t="str">
        <f>IF(CQ25="","",IF(VLOOKUP(CQ25,#REF!,5,FALSE)="","R",UPPER(VLOOKUP(CQ25,#REF!,5,FALSE))))</f>
        <v/>
      </c>
      <c r="CO65" s="1219" t="str">
        <f>IF(ISBLANK(CZ25),IF(CQ25="","",VLOOKUP(CQ25,#REF!,6,FALSE)),CZ25)</f>
        <v/>
      </c>
      <c r="CP65" s="1219" t="str">
        <f>IF(CQ25="","",IF(VLOOKUP(CQ25,#REF!,10,FALSE)="","",(VLOOKUP(CQ25,#REF!,10,FALSE)*-1)))</f>
        <v/>
      </c>
      <c r="CQ65" s="1219" t="str">
        <f>IF(CQ25="","",IF(VLOOKUP(CQ25,#REF!,7,FALSE)="","",(VLOOKUP(CQ25,#REF!,7,FALSE)*-1)))</f>
        <v/>
      </c>
      <c r="CR65" s="1219" t="str">
        <f>IF(CQ25="","",IF(VLOOKUP(CQ25,#REF!,8,FALSE)="",$FC$4,(VLOOKUP(CQ25,#REF!,8,FALSE))))</f>
        <v/>
      </c>
      <c r="CS65" s="1219" t="str">
        <f>IF(CQ25="","",VLOOKUP(CQ25,#REF!,9,FALSE))</f>
        <v/>
      </c>
      <c r="CT65" s="1220">
        <f t="shared" si="51"/>
        <v>0</v>
      </c>
      <c r="CU65" s="1230">
        <f t="shared" si="52"/>
        <v>0</v>
      </c>
      <c r="CV65" s="1224" t="str">
        <f t="shared" si="53"/>
        <v/>
      </c>
      <c r="CW65" s="1224" t="str">
        <f t="shared" si="54"/>
        <v/>
      </c>
      <c r="CX65" s="1224" t="str">
        <f t="shared" si="55"/>
        <v/>
      </c>
      <c r="CY65" s="1226">
        <f t="shared" si="56"/>
        <v>0</v>
      </c>
      <c r="CZ65" s="1226" t="e">
        <f t="shared" si="57"/>
        <v>#REF!</v>
      </c>
      <c r="DA65" s="1226" t="str">
        <f t="shared" si="58"/>
        <v/>
      </c>
      <c r="DB65" s="1224" t="str">
        <f t="shared" si="122"/>
        <v/>
      </c>
      <c r="DC65" s="1224" t="str">
        <f t="shared" si="59"/>
        <v/>
      </c>
      <c r="DD65" s="814">
        <f t="shared" si="123"/>
        <v>0</v>
      </c>
      <c r="DE65" s="812">
        <f t="shared" si="60"/>
        <v>0</v>
      </c>
      <c r="DF65" s="813" t="e">
        <f t="shared" si="61"/>
        <v>#REF!</v>
      </c>
      <c r="DG65" s="813" t="str">
        <f t="shared" si="62"/>
        <v/>
      </c>
      <c r="DH65" s="1224" t="str">
        <f t="shared" si="124"/>
        <v/>
      </c>
      <c r="DI65" s="1224" t="str">
        <f t="shared" si="63"/>
        <v/>
      </c>
      <c r="DJ65" s="1225">
        <f t="shared" si="125"/>
        <v>0</v>
      </c>
      <c r="DK65" s="1224" t="str">
        <f t="shared" si="64"/>
        <v/>
      </c>
      <c r="DL65" s="1224" t="str">
        <f t="shared" si="65"/>
        <v/>
      </c>
      <c r="DM65" s="1224" t="str">
        <f t="shared" si="66"/>
        <v/>
      </c>
      <c r="DN65" s="1224" t="str">
        <f t="shared" si="67"/>
        <v/>
      </c>
      <c r="DO65" s="828" t="e">
        <f t="shared" si="68"/>
        <v>#REF!</v>
      </c>
      <c r="DP65" s="828" t="e">
        <f t="shared" si="69"/>
        <v>#REF!</v>
      </c>
      <c r="DQ65" s="1224" t="str">
        <f t="shared" si="70"/>
        <v/>
      </c>
      <c r="DR65" s="1224" t="str">
        <f t="shared" si="70"/>
        <v/>
      </c>
      <c r="DS65" s="1224" t="str">
        <f t="shared" si="71"/>
        <v/>
      </c>
      <c r="DT65" s="1224" t="str">
        <f t="shared" si="72"/>
        <v/>
      </c>
      <c r="DU65" s="1224" t="str">
        <f t="shared" si="73"/>
        <v/>
      </c>
      <c r="DV65" s="828" t="e">
        <f t="shared" si="74"/>
        <v>#REF!</v>
      </c>
      <c r="DW65" s="828" t="e">
        <f t="shared" si="75"/>
        <v>#REF!</v>
      </c>
      <c r="DX65" s="812" t="str">
        <f t="shared" si="76"/>
        <v/>
      </c>
      <c r="DY65" s="812" t="str">
        <f t="shared" si="76"/>
        <v/>
      </c>
      <c r="DZ65" s="812" t="str">
        <f t="shared" si="77"/>
        <v/>
      </c>
      <c r="EA65" s="812" t="str">
        <f t="shared" si="78"/>
        <v/>
      </c>
      <c r="EB65" s="815" t="str">
        <f t="shared" si="79"/>
        <v/>
      </c>
      <c r="EC65" s="816" t="str">
        <f t="shared" si="80"/>
        <v/>
      </c>
      <c r="ED65" s="815" t="str">
        <f t="shared" si="81"/>
        <v/>
      </c>
      <c r="EE65" s="815" t="str">
        <f t="shared" si="82"/>
        <v/>
      </c>
      <c r="EF65" s="815" t="str">
        <f t="shared" si="83"/>
        <v/>
      </c>
      <c r="EG65" s="815" t="str">
        <f t="shared" si="84"/>
        <v/>
      </c>
      <c r="EH65" s="815" t="str">
        <f t="shared" si="85"/>
        <v/>
      </c>
      <c r="EI65" s="815" t="str">
        <f t="shared" si="86"/>
        <v/>
      </c>
      <c r="EJ65" s="815" t="str">
        <f t="shared" si="87"/>
        <v/>
      </c>
      <c r="EK65" s="813">
        <f t="shared" si="88"/>
        <v>0</v>
      </c>
      <c r="EL65" s="813">
        <f t="shared" si="89"/>
        <v>0</v>
      </c>
      <c r="EM65" s="813">
        <f t="shared" si="90"/>
        <v>0</v>
      </c>
      <c r="EN65" s="813" t="e">
        <f t="shared" si="91"/>
        <v>#REF!</v>
      </c>
      <c r="EO65" s="812" t="str">
        <f t="shared" si="92"/>
        <v/>
      </c>
      <c r="EP65" s="813">
        <f t="shared" si="93"/>
        <v>0</v>
      </c>
      <c r="EQ65" s="813">
        <f t="shared" si="94"/>
        <v>0</v>
      </c>
      <c r="ER65" s="813">
        <f t="shared" si="95"/>
        <v>0</v>
      </c>
      <c r="ES65" s="813" t="e">
        <f t="shared" si="96"/>
        <v>#REF!</v>
      </c>
      <c r="ET65" s="812" t="str">
        <f t="shared" si="97"/>
        <v/>
      </c>
      <c r="EU65" s="812" t="e">
        <f t="shared" si="98"/>
        <v>#REF!</v>
      </c>
      <c r="EV65" s="815" t="e">
        <f t="shared" si="99"/>
        <v>#VALUE!</v>
      </c>
      <c r="EW65" s="815" t="e">
        <f t="shared" si="100"/>
        <v>#VALUE!</v>
      </c>
      <c r="EX65" s="817" t="str">
        <f t="shared" si="101"/>
        <v/>
      </c>
      <c r="EY65" s="818" t="e">
        <f t="shared" si="102"/>
        <v>#DIV/0!</v>
      </c>
      <c r="EZ65" s="893" t="e">
        <f t="shared" si="103"/>
        <v>#DIV/0!</v>
      </c>
      <c r="FA65" s="894" t="e">
        <f t="shared" si="104"/>
        <v>#DIV/0!</v>
      </c>
      <c r="FB65" s="819" t="str">
        <f t="shared" si="105"/>
        <v/>
      </c>
      <c r="FC65" s="820" t="str">
        <f t="shared" si="106"/>
        <v/>
      </c>
      <c r="FD65" s="829">
        <f t="shared" si="107"/>
        <v>0</v>
      </c>
      <c r="FE65" s="774">
        <f t="shared" si="108"/>
        <v>0</v>
      </c>
      <c r="FF65" s="703" t="b">
        <f t="shared" si="109"/>
        <v>0</v>
      </c>
      <c r="FG65" s="703" t="b">
        <f t="shared" si="110"/>
        <v>0</v>
      </c>
      <c r="FH65" s="703" t="b">
        <f t="shared" si="111"/>
        <v>0</v>
      </c>
      <c r="FI65" s="703" t="b">
        <f t="shared" si="112"/>
        <v>0</v>
      </c>
      <c r="FJ65" s="849" t="str">
        <f t="shared" si="126"/>
        <v/>
      </c>
      <c r="FK65" s="848" t="str">
        <f t="shared" si="127"/>
        <v/>
      </c>
      <c r="FL65" s="242" t="e">
        <f t="shared" si="128"/>
        <v>#N/A</v>
      </c>
      <c r="FM65" s="234" t="str">
        <f t="shared" si="113"/>
        <v/>
      </c>
      <c r="FN65" s="191" t="str">
        <f t="shared" ca="1" si="129"/>
        <v/>
      </c>
      <c r="FO65" s="192" t="str">
        <f t="shared" ca="1" si="130"/>
        <v/>
      </c>
      <c r="FP65" s="193" t="str">
        <f t="shared" ca="1" si="131"/>
        <v/>
      </c>
      <c r="FQ65" s="193" t="str">
        <f t="shared" ca="1" si="132"/>
        <v/>
      </c>
      <c r="FR65" s="243">
        <f t="shared" ca="1" si="133"/>
        <v>0</v>
      </c>
      <c r="FS65" s="244">
        <f t="shared" ca="1" si="134"/>
        <v>0</v>
      </c>
      <c r="FT65" s="191" t="str">
        <f t="shared" ca="1" si="135"/>
        <v/>
      </c>
      <c r="FU65" s="194" t="str">
        <f t="shared" ca="1" si="136"/>
        <v/>
      </c>
      <c r="FV65" s="245" t="str">
        <f t="shared" ca="1" si="114"/>
        <v/>
      </c>
      <c r="FW65" s="195" t="str">
        <f t="shared" ca="1" si="137"/>
        <v/>
      </c>
      <c r="FX65" s="195" t="str">
        <f t="shared" ca="1" si="138"/>
        <v/>
      </c>
      <c r="FY65" s="195" t="str">
        <f t="shared" ca="1" si="139"/>
        <v/>
      </c>
      <c r="FZ65" s="195" t="str">
        <f t="shared" ca="1" si="140"/>
        <v/>
      </c>
      <c r="GA65" s="195" t="str">
        <f t="shared" ca="1" si="141"/>
        <v/>
      </c>
      <c r="GB65" s="196" t="str">
        <f ca="1">IF(FY65="","",2+SUM(FO65:OFFSET(FO65,(FU65-1)*-1,0)))</f>
        <v/>
      </c>
      <c r="GC65" s="238" t="e">
        <f t="shared" si="142"/>
        <v>#N/A</v>
      </c>
      <c r="GD65" s="246" t="str">
        <f t="shared" si="115"/>
        <v/>
      </c>
      <c r="GE65" s="247" t="str">
        <f t="shared" si="116"/>
        <v/>
      </c>
      <c r="GF65" s="197" t="str">
        <f t="shared" si="117"/>
        <v/>
      </c>
      <c r="GG65" s="198" t="str">
        <f t="shared" si="118"/>
        <v/>
      </c>
      <c r="GH65" s="198" t="str">
        <f t="shared" si="119"/>
        <v/>
      </c>
      <c r="GI65" s="199" t="str">
        <f t="shared" si="120"/>
        <v/>
      </c>
      <c r="GJ65" s="473">
        <f t="shared" ca="1" si="121"/>
        <v>0</v>
      </c>
      <c r="GK65" s="834" t="str">
        <f t="shared" si="143"/>
        <v/>
      </c>
    </row>
    <row r="66" spans="78:193" ht="12.6" hidden="1" customHeight="1" x14ac:dyDescent="0.2">
      <c r="BZ66" s="214"/>
      <c r="CA66" s="288"/>
      <c r="CB66" s="289" t="str">
        <f t="shared" si="49"/>
        <v/>
      </c>
      <c r="CC66" s="290" t="str">
        <f>IF(CG26="","",VLOOKUP(CG26,#REF!,12,FALSE))</f>
        <v/>
      </c>
      <c r="CD66" s="1219" t="str">
        <f>IF(ISBLANK(CN26),IF(CG26="","",VLOOKUP(CG26,#REF!,13,FALSE)),CN26)</f>
        <v/>
      </c>
      <c r="CE66" s="1219" t="str">
        <f>IF(CG26="","",IF(VLOOKUP(CG26,#REF!,5,FALSE)="","R",UPPER(VLOOKUP(CG26,#REF!,5,FALSE))))</f>
        <v/>
      </c>
      <c r="CF66" s="1219" t="str">
        <f>IF(ISBLANK(CP26),IF(CG26="","",VLOOKUP(CG26,#REF!,6,FALSE)),CP26)</f>
        <v/>
      </c>
      <c r="CG66" s="1219" t="str">
        <f>IF(CG26="","",IF(VLOOKUP(CG26,#REF!,10,FALSE)="","",(VLOOKUP(CG26,#REF!,10,FALSE)*-1)))</f>
        <v/>
      </c>
      <c r="CH66" s="1219" t="str">
        <f>IF(CG26="","",IF(VLOOKUP(CG26,#REF!,7,FALSE)="","",(VLOOKUP(CG26,#REF!,7,FALSE)*-1)))</f>
        <v/>
      </c>
      <c r="CI66" s="1219" t="str">
        <f>IF(CG26="","",IF(VLOOKUP(CG26,#REF!,8,FALSE)="",$FC$4,(VLOOKUP(CG26,#REF!,8,FALSE))))</f>
        <v/>
      </c>
      <c r="CJ66" s="1219" t="str">
        <f>IF(CG26="","",VLOOKUP(CG26,#REF!,9,FALSE))</f>
        <v/>
      </c>
      <c r="CK66" s="1220">
        <f t="shared" si="50"/>
        <v>0</v>
      </c>
      <c r="CL66" s="1218" t="str">
        <f>IF(CQ26="","",VLOOKUP(CQ26,#REF!,12,FALSE))</f>
        <v/>
      </c>
      <c r="CM66" s="1219" t="str">
        <f>IF(ISBLANK(CX26),IF(CQ26="","",VLOOKUP(CQ26,#REF!,13,FALSE)),CX26)</f>
        <v/>
      </c>
      <c r="CN66" s="1219" t="str">
        <f>IF(CQ26="","",IF(VLOOKUP(CQ26,#REF!,5,FALSE)="","R",UPPER(VLOOKUP(CQ26,#REF!,5,FALSE))))</f>
        <v/>
      </c>
      <c r="CO66" s="1219" t="str">
        <f>IF(ISBLANK(CZ26),IF(CQ26="","",VLOOKUP(CQ26,#REF!,6,FALSE)),CZ26)</f>
        <v/>
      </c>
      <c r="CP66" s="1219" t="str">
        <f>IF(CQ26="","",IF(VLOOKUP(CQ26,#REF!,10,FALSE)="","",(VLOOKUP(CQ26,#REF!,10,FALSE)*-1)))</f>
        <v/>
      </c>
      <c r="CQ66" s="1219" t="str">
        <f>IF(CQ26="","",IF(VLOOKUP(CQ26,#REF!,7,FALSE)="","",(VLOOKUP(CQ26,#REF!,7,FALSE)*-1)))</f>
        <v/>
      </c>
      <c r="CR66" s="1219" t="str">
        <f>IF(CQ26="","",IF(VLOOKUP(CQ26,#REF!,8,FALSE)="",$FC$4,(VLOOKUP(CQ26,#REF!,8,FALSE))))</f>
        <v/>
      </c>
      <c r="CS66" s="1219" t="str">
        <f>IF(CQ26="","",VLOOKUP(CQ26,#REF!,9,FALSE))</f>
        <v/>
      </c>
      <c r="CT66" s="1220">
        <f t="shared" si="51"/>
        <v>0</v>
      </c>
      <c r="CU66" s="1230">
        <f t="shared" si="52"/>
        <v>0</v>
      </c>
      <c r="CV66" s="1224" t="str">
        <f t="shared" si="53"/>
        <v/>
      </c>
      <c r="CW66" s="1224" t="str">
        <f t="shared" si="54"/>
        <v/>
      </c>
      <c r="CX66" s="1224" t="str">
        <f t="shared" si="55"/>
        <v/>
      </c>
      <c r="CY66" s="1226">
        <f t="shared" si="56"/>
        <v>0</v>
      </c>
      <c r="CZ66" s="1226" t="e">
        <f t="shared" si="57"/>
        <v>#REF!</v>
      </c>
      <c r="DA66" s="1226" t="str">
        <f t="shared" si="58"/>
        <v/>
      </c>
      <c r="DB66" s="1224" t="str">
        <f t="shared" si="122"/>
        <v/>
      </c>
      <c r="DC66" s="1224" t="str">
        <f t="shared" si="59"/>
        <v/>
      </c>
      <c r="DD66" s="814">
        <f t="shared" si="123"/>
        <v>0</v>
      </c>
      <c r="DE66" s="812">
        <f t="shared" si="60"/>
        <v>0</v>
      </c>
      <c r="DF66" s="813" t="e">
        <f t="shared" si="61"/>
        <v>#REF!</v>
      </c>
      <c r="DG66" s="813" t="str">
        <f t="shared" si="62"/>
        <v/>
      </c>
      <c r="DH66" s="1224" t="str">
        <f t="shared" si="124"/>
        <v/>
      </c>
      <c r="DI66" s="1224" t="str">
        <f t="shared" si="63"/>
        <v/>
      </c>
      <c r="DJ66" s="1225">
        <f t="shared" si="125"/>
        <v>0</v>
      </c>
      <c r="DK66" s="1224" t="str">
        <f t="shared" si="64"/>
        <v/>
      </c>
      <c r="DL66" s="1224" t="str">
        <f t="shared" si="65"/>
        <v/>
      </c>
      <c r="DM66" s="1224" t="str">
        <f t="shared" si="66"/>
        <v/>
      </c>
      <c r="DN66" s="1224" t="str">
        <f t="shared" si="67"/>
        <v/>
      </c>
      <c r="DO66" s="828" t="e">
        <f t="shared" si="68"/>
        <v>#REF!</v>
      </c>
      <c r="DP66" s="828" t="e">
        <f t="shared" si="69"/>
        <v>#REF!</v>
      </c>
      <c r="DQ66" s="1224" t="str">
        <f t="shared" si="70"/>
        <v/>
      </c>
      <c r="DR66" s="1224" t="str">
        <f t="shared" si="70"/>
        <v/>
      </c>
      <c r="DS66" s="1224" t="str">
        <f t="shared" si="71"/>
        <v/>
      </c>
      <c r="DT66" s="1224" t="str">
        <f t="shared" si="72"/>
        <v/>
      </c>
      <c r="DU66" s="1224" t="str">
        <f t="shared" si="73"/>
        <v/>
      </c>
      <c r="DV66" s="828" t="e">
        <f t="shared" si="74"/>
        <v>#REF!</v>
      </c>
      <c r="DW66" s="828" t="e">
        <f t="shared" si="75"/>
        <v>#REF!</v>
      </c>
      <c r="DX66" s="812" t="str">
        <f t="shared" si="76"/>
        <v/>
      </c>
      <c r="DY66" s="812" t="str">
        <f t="shared" si="76"/>
        <v/>
      </c>
      <c r="DZ66" s="812" t="str">
        <f t="shared" si="77"/>
        <v/>
      </c>
      <c r="EA66" s="812" t="str">
        <f t="shared" si="78"/>
        <v/>
      </c>
      <c r="EB66" s="815" t="str">
        <f t="shared" si="79"/>
        <v/>
      </c>
      <c r="EC66" s="816" t="str">
        <f t="shared" si="80"/>
        <v/>
      </c>
      <c r="ED66" s="815" t="str">
        <f t="shared" si="81"/>
        <v/>
      </c>
      <c r="EE66" s="815" t="str">
        <f t="shared" si="82"/>
        <v/>
      </c>
      <c r="EF66" s="815" t="str">
        <f t="shared" si="83"/>
        <v/>
      </c>
      <c r="EG66" s="815" t="str">
        <f t="shared" si="84"/>
        <v/>
      </c>
      <c r="EH66" s="815" t="str">
        <f t="shared" si="85"/>
        <v/>
      </c>
      <c r="EI66" s="815" t="str">
        <f t="shared" si="86"/>
        <v/>
      </c>
      <c r="EJ66" s="815" t="str">
        <f t="shared" si="87"/>
        <v/>
      </c>
      <c r="EK66" s="813">
        <f t="shared" si="88"/>
        <v>0</v>
      </c>
      <c r="EL66" s="813">
        <f t="shared" si="89"/>
        <v>0</v>
      </c>
      <c r="EM66" s="813">
        <f t="shared" si="90"/>
        <v>0</v>
      </c>
      <c r="EN66" s="813" t="e">
        <f t="shared" si="91"/>
        <v>#REF!</v>
      </c>
      <c r="EO66" s="812" t="str">
        <f t="shared" si="92"/>
        <v/>
      </c>
      <c r="EP66" s="813">
        <f t="shared" si="93"/>
        <v>0</v>
      </c>
      <c r="EQ66" s="813">
        <f t="shared" si="94"/>
        <v>0</v>
      </c>
      <c r="ER66" s="813">
        <f t="shared" si="95"/>
        <v>0</v>
      </c>
      <c r="ES66" s="813" t="e">
        <f t="shared" si="96"/>
        <v>#REF!</v>
      </c>
      <c r="ET66" s="812" t="str">
        <f t="shared" si="97"/>
        <v/>
      </c>
      <c r="EU66" s="812" t="e">
        <f t="shared" si="98"/>
        <v>#REF!</v>
      </c>
      <c r="EV66" s="815" t="e">
        <f t="shared" si="99"/>
        <v>#VALUE!</v>
      </c>
      <c r="EW66" s="815" t="e">
        <f t="shared" si="100"/>
        <v>#VALUE!</v>
      </c>
      <c r="EX66" s="817" t="str">
        <f t="shared" si="101"/>
        <v/>
      </c>
      <c r="EY66" s="818" t="e">
        <f t="shared" si="102"/>
        <v>#DIV/0!</v>
      </c>
      <c r="EZ66" s="893" t="e">
        <f t="shared" si="103"/>
        <v>#DIV/0!</v>
      </c>
      <c r="FA66" s="894" t="e">
        <f t="shared" si="104"/>
        <v>#DIV/0!</v>
      </c>
      <c r="FB66" s="819" t="str">
        <f t="shared" si="105"/>
        <v/>
      </c>
      <c r="FC66" s="820" t="str">
        <f t="shared" si="106"/>
        <v/>
      </c>
      <c r="FD66" s="829">
        <f t="shared" si="107"/>
        <v>0</v>
      </c>
      <c r="FE66" s="774">
        <f t="shared" si="108"/>
        <v>0</v>
      </c>
      <c r="FF66" s="703" t="b">
        <f t="shared" si="109"/>
        <v>0</v>
      </c>
      <c r="FG66" s="703" t="b">
        <f t="shared" si="110"/>
        <v>0</v>
      </c>
      <c r="FH66" s="703" t="b">
        <f t="shared" si="111"/>
        <v>0</v>
      </c>
      <c r="FI66" s="703" t="b">
        <f t="shared" si="112"/>
        <v>0</v>
      </c>
      <c r="FJ66" s="849" t="str">
        <f t="shared" si="126"/>
        <v/>
      </c>
      <c r="FK66" s="848" t="str">
        <f t="shared" si="127"/>
        <v/>
      </c>
      <c r="FL66" s="242" t="e">
        <f t="shared" si="128"/>
        <v>#N/A</v>
      </c>
      <c r="FM66" s="234" t="str">
        <f t="shared" si="113"/>
        <v/>
      </c>
      <c r="FN66" s="191" t="str">
        <f t="shared" ca="1" si="129"/>
        <v/>
      </c>
      <c r="FO66" s="192" t="str">
        <f t="shared" ca="1" si="130"/>
        <v/>
      </c>
      <c r="FP66" s="193" t="str">
        <f t="shared" ca="1" si="131"/>
        <v/>
      </c>
      <c r="FQ66" s="193" t="str">
        <f t="shared" ca="1" si="132"/>
        <v/>
      </c>
      <c r="FR66" s="243">
        <f t="shared" ca="1" si="133"/>
        <v>0</v>
      </c>
      <c r="FS66" s="244">
        <f t="shared" ca="1" si="134"/>
        <v>0</v>
      </c>
      <c r="FT66" s="191" t="str">
        <f t="shared" ca="1" si="135"/>
        <v/>
      </c>
      <c r="FU66" s="194" t="str">
        <f t="shared" ca="1" si="136"/>
        <v/>
      </c>
      <c r="FV66" s="245" t="str">
        <f t="shared" ca="1" si="114"/>
        <v/>
      </c>
      <c r="FW66" s="195" t="str">
        <f t="shared" ca="1" si="137"/>
        <v/>
      </c>
      <c r="FX66" s="195" t="str">
        <f t="shared" ca="1" si="138"/>
        <v/>
      </c>
      <c r="FY66" s="195" t="str">
        <f t="shared" ca="1" si="139"/>
        <v/>
      </c>
      <c r="FZ66" s="195" t="str">
        <f t="shared" ca="1" si="140"/>
        <v/>
      </c>
      <c r="GA66" s="195" t="str">
        <f t="shared" ca="1" si="141"/>
        <v/>
      </c>
      <c r="GB66" s="196" t="str">
        <f ca="1">IF(FY66="","",2+SUM(FO66:OFFSET(FO66,(FU66-1)*-1,0)))</f>
        <v/>
      </c>
      <c r="GC66" s="238" t="e">
        <f t="shared" si="142"/>
        <v>#N/A</v>
      </c>
      <c r="GD66" s="246" t="str">
        <f t="shared" si="115"/>
        <v/>
      </c>
      <c r="GE66" s="247" t="str">
        <f t="shared" si="116"/>
        <v/>
      </c>
      <c r="GF66" s="197" t="str">
        <f t="shared" si="117"/>
        <v/>
      </c>
      <c r="GG66" s="198" t="str">
        <f t="shared" si="118"/>
        <v/>
      </c>
      <c r="GH66" s="198" t="str">
        <f t="shared" si="119"/>
        <v/>
      </c>
      <c r="GI66" s="199" t="str">
        <f t="shared" si="120"/>
        <v/>
      </c>
      <c r="GJ66" s="473">
        <f t="shared" ca="1" si="121"/>
        <v>0</v>
      </c>
      <c r="GK66" s="834" t="str">
        <f t="shared" si="143"/>
        <v/>
      </c>
    </row>
    <row r="67" spans="78:193" ht="12.6" hidden="1" customHeight="1" x14ac:dyDescent="0.2">
      <c r="BZ67" s="214"/>
      <c r="CA67" s="214"/>
      <c r="CB67" s="289" t="str">
        <f t="shared" si="49"/>
        <v/>
      </c>
      <c r="CC67" s="290" t="str">
        <f>IF(CG27="","",VLOOKUP(CG27,#REF!,12,FALSE))</f>
        <v/>
      </c>
      <c r="CD67" s="1219" t="str">
        <f>IF(ISBLANK(CN27),IF(CG27="","",VLOOKUP(CG27,#REF!,13,FALSE)),CN27)</f>
        <v/>
      </c>
      <c r="CE67" s="1219" t="str">
        <f>IF(CG27="","",IF(VLOOKUP(CG27,#REF!,5,FALSE)="","R",UPPER(VLOOKUP(CG27,#REF!,5,FALSE))))</f>
        <v/>
      </c>
      <c r="CF67" s="1219" t="str">
        <f>IF(ISBLANK(CP27),IF(CG27="","",VLOOKUP(CG27,#REF!,6,FALSE)),CP27)</f>
        <v/>
      </c>
      <c r="CG67" s="1219" t="str">
        <f>IF(CG27="","",IF(VLOOKUP(CG27,#REF!,10,FALSE)="","",(VLOOKUP(CG27,#REF!,10,FALSE)*-1)))</f>
        <v/>
      </c>
      <c r="CH67" s="1219" t="str">
        <f>IF(CG27="","",IF(VLOOKUP(CG27,#REF!,7,FALSE)="","",(VLOOKUP(CG27,#REF!,7,FALSE)*-1)))</f>
        <v/>
      </c>
      <c r="CI67" s="1219" t="str">
        <f>IF(CG27="","",IF(VLOOKUP(CG27,#REF!,8,FALSE)="",$FC$4,(VLOOKUP(CG27,#REF!,8,FALSE))))</f>
        <v/>
      </c>
      <c r="CJ67" s="1219" t="str">
        <f>IF(CG27="","",VLOOKUP(CG27,#REF!,9,FALSE))</f>
        <v/>
      </c>
      <c r="CK67" s="1220">
        <f t="shared" si="50"/>
        <v>0</v>
      </c>
      <c r="CL67" s="1218" t="str">
        <f>IF(CQ27="","",VLOOKUP(CQ27,#REF!,12,FALSE))</f>
        <v/>
      </c>
      <c r="CM67" s="1219" t="str">
        <f>IF(ISBLANK(CX27),IF(CQ27="","",VLOOKUP(CQ27,#REF!,13,FALSE)),CX27)</f>
        <v/>
      </c>
      <c r="CN67" s="1219" t="str">
        <f>IF(CQ27="","",IF(VLOOKUP(CQ27,#REF!,5,FALSE)="","R",UPPER(VLOOKUP(CQ27,#REF!,5,FALSE))))</f>
        <v/>
      </c>
      <c r="CO67" s="1219" t="str">
        <f>IF(ISBLANK(CZ27),IF(CQ27="","",VLOOKUP(CQ27,#REF!,6,FALSE)),CZ27)</f>
        <v/>
      </c>
      <c r="CP67" s="1219" t="str">
        <f>IF(CQ27="","",IF(VLOOKUP(CQ27,#REF!,10,FALSE)="","",(VLOOKUP(CQ27,#REF!,10,FALSE)*-1)))</f>
        <v/>
      </c>
      <c r="CQ67" s="1219" t="str">
        <f>IF(CQ27="","",IF(VLOOKUP(CQ27,#REF!,7,FALSE)="","",(VLOOKUP(CQ27,#REF!,7,FALSE)*-1)))</f>
        <v/>
      </c>
      <c r="CR67" s="1219" t="str">
        <f>IF(CQ27="","",IF(VLOOKUP(CQ27,#REF!,8,FALSE)="",$FC$4,(VLOOKUP(CQ27,#REF!,8,FALSE))))</f>
        <v/>
      </c>
      <c r="CS67" s="1219" t="str">
        <f>IF(CQ27="","",VLOOKUP(CQ27,#REF!,9,FALSE))</f>
        <v/>
      </c>
      <c r="CT67" s="1220">
        <f t="shared" si="51"/>
        <v>0</v>
      </c>
      <c r="CU67" s="1230">
        <f t="shared" si="52"/>
        <v>0</v>
      </c>
      <c r="CV67" s="1224" t="str">
        <f t="shared" si="53"/>
        <v/>
      </c>
      <c r="CW67" s="1224" t="str">
        <f t="shared" si="54"/>
        <v/>
      </c>
      <c r="CX67" s="1224" t="str">
        <f t="shared" si="55"/>
        <v/>
      </c>
      <c r="CY67" s="1226">
        <f t="shared" si="56"/>
        <v>0</v>
      </c>
      <c r="CZ67" s="1226" t="e">
        <f t="shared" si="57"/>
        <v>#REF!</v>
      </c>
      <c r="DA67" s="1226" t="str">
        <f t="shared" si="58"/>
        <v/>
      </c>
      <c r="DB67" s="1224" t="str">
        <f t="shared" si="122"/>
        <v/>
      </c>
      <c r="DC67" s="1224" t="str">
        <f t="shared" si="59"/>
        <v/>
      </c>
      <c r="DD67" s="814">
        <f t="shared" si="123"/>
        <v>0</v>
      </c>
      <c r="DE67" s="812">
        <f t="shared" si="60"/>
        <v>0</v>
      </c>
      <c r="DF67" s="813" t="e">
        <f t="shared" si="61"/>
        <v>#REF!</v>
      </c>
      <c r="DG67" s="813" t="str">
        <f t="shared" si="62"/>
        <v/>
      </c>
      <c r="DH67" s="1224" t="str">
        <f t="shared" si="124"/>
        <v/>
      </c>
      <c r="DI67" s="1224" t="str">
        <f t="shared" si="63"/>
        <v/>
      </c>
      <c r="DJ67" s="1225">
        <f t="shared" si="125"/>
        <v>0</v>
      </c>
      <c r="DK67" s="1224" t="str">
        <f t="shared" si="64"/>
        <v/>
      </c>
      <c r="DL67" s="1224" t="str">
        <f t="shared" si="65"/>
        <v/>
      </c>
      <c r="DM67" s="1224" t="str">
        <f t="shared" si="66"/>
        <v/>
      </c>
      <c r="DN67" s="1224" t="str">
        <f t="shared" si="67"/>
        <v/>
      </c>
      <c r="DO67" s="828" t="e">
        <f t="shared" si="68"/>
        <v>#REF!</v>
      </c>
      <c r="DP67" s="828" t="e">
        <f t="shared" si="69"/>
        <v>#REF!</v>
      </c>
      <c r="DQ67" s="1224" t="str">
        <f t="shared" si="70"/>
        <v/>
      </c>
      <c r="DR67" s="1224" t="str">
        <f t="shared" si="70"/>
        <v/>
      </c>
      <c r="DS67" s="1224" t="str">
        <f t="shared" si="71"/>
        <v/>
      </c>
      <c r="DT67" s="1224" t="str">
        <f t="shared" si="72"/>
        <v/>
      </c>
      <c r="DU67" s="1224" t="str">
        <f t="shared" si="73"/>
        <v/>
      </c>
      <c r="DV67" s="828" t="e">
        <f t="shared" si="74"/>
        <v>#REF!</v>
      </c>
      <c r="DW67" s="828" t="e">
        <f t="shared" si="75"/>
        <v>#REF!</v>
      </c>
      <c r="DX67" s="812" t="str">
        <f t="shared" si="76"/>
        <v/>
      </c>
      <c r="DY67" s="812" t="str">
        <f t="shared" si="76"/>
        <v/>
      </c>
      <c r="DZ67" s="812" t="str">
        <f t="shared" si="77"/>
        <v/>
      </c>
      <c r="EA67" s="812" t="str">
        <f t="shared" si="78"/>
        <v/>
      </c>
      <c r="EB67" s="815" t="str">
        <f t="shared" si="79"/>
        <v/>
      </c>
      <c r="EC67" s="816" t="str">
        <f t="shared" si="80"/>
        <v/>
      </c>
      <c r="ED67" s="815" t="str">
        <f t="shared" si="81"/>
        <v/>
      </c>
      <c r="EE67" s="815" t="str">
        <f t="shared" si="82"/>
        <v/>
      </c>
      <c r="EF67" s="815" t="str">
        <f t="shared" si="83"/>
        <v/>
      </c>
      <c r="EG67" s="815" t="str">
        <f t="shared" si="84"/>
        <v/>
      </c>
      <c r="EH67" s="815" t="str">
        <f t="shared" si="85"/>
        <v/>
      </c>
      <c r="EI67" s="815" t="str">
        <f t="shared" si="86"/>
        <v/>
      </c>
      <c r="EJ67" s="815" t="str">
        <f t="shared" si="87"/>
        <v/>
      </c>
      <c r="EK67" s="813">
        <f t="shared" si="88"/>
        <v>0</v>
      </c>
      <c r="EL67" s="813">
        <f t="shared" si="89"/>
        <v>0</v>
      </c>
      <c r="EM67" s="813">
        <f t="shared" si="90"/>
        <v>0</v>
      </c>
      <c r="EN67" s="813" t="e">
        <f t="shared" si="91"/>
        <v>#REF!</v>
      </c>
      <c r="EO67" s="812" t="str">
        <f t="shared" si="92"/>
        <v/>
      </c>
      <c r="EP67" s="813">
        <f t="shared" si="93"/>
        <v>0</v>
      </c>
      <c r="EQ67" s="813">
        <f t="shared" si="94"/>
        <v>0</v>
      </c>
      <c r="ER67" s="813">
        <f t="shared" si="95"/>
        <v>0</v>
      </c>
      <c r="ES67" s="813" t="e">
        <f t="shared" si="96"/>
        <v>#REF!</v>
      </c>
      <c r="ET67" s="812" t="str">
        <f t="shared" si="97"/>
        <v/>
      </c>
      <c r="EU67" s="812" t="e">
        <f t="shared" si="98"/>
        <v>#REF!</v>
      </c>
      <c r="EV67" s="815" t="e">
        <f t="shared" si="99"/>
        <v>#VALUE!</v>
      </c>
      <c r="EW67" s="815" t="e">
        <f t="shared" si="100"/>
        <v>#VALUE!</v>
      </c>
      <c r="EX67" s="817" t="str">
        <f t="shared" si="101"/>
        <v/>
      </c>
      <c r="EY67" s="818" t="e">
        <f t="shared" si="102"/>
        <v>#DIV/0!</v>
      </c>
      <c r="EZ67" s="893" t="e">
        <f t="shared" si="103"/>
        <v>#DIV/0!</v>
      </c>
      <c r="FA67" s="894" t="e">
        <f t="shared" si="104"/>
        <v>#DIV/0!</v>
      </c>
      <c r="FB67" s="819" t="str">
        <f t="shared" si="105"/>
        <v/>
      </c>
      <c r="FC67" s="820" t="str">
        <f t="shared" si="106"/>
        <v/>
      </c>
      <c r="FD67" s="829">
        <f t="shared" si="107"/>
        <v>0</v>
      </c>
      <c r="FE67" s="774">
        <f t="shared" si="108"/>
        <v>0</v>
      </c>
      <c r="FF67" s="703" t="b">
        <f t="shared" si="109"/>
        <v>0</v>
      </c>
      <c r="FG67" s="703" t="b">
        <f t="shared" si="110"/>
        <v>0</v>
      </c>
      <c r="FH67" s="703" t="b">
        <f t="shared" si="111"/>
        <v>0</v>
      </c>
      <c r="FI67" s="703" t="b">
        <f t="shared" si="112"/>
        <v>0</v>
      </c>
      <c r="FJ67" s="849" t="str">
        <f t="shared" si="126"/>
        <v/>
      </c>
      <c r="FK67" s="848" t="str">
        <f t="shared" si="127"/>
        <v/>
      </c>
      <c r="FL67" s="242" t="e">
        <f t="shared" si="128"/>
        <v>#N/A</v>
      </c>
      <c r="FM67" s="234" t="str">
        <f t="shared" si="113"/>
        <v/>
      </c>
      <c r="FN67" s="191" t="str">
        <f t="shared" ca="1" si="129"/>
        <v/>
      </c>
      <c r="FO67" s="192" t="str">
        <f t="shared" ca="1" si="130"/>
        <v/>
      </c>
      <c r="FP67" s="193" t="str">
        <f t="shared" ca="1" si="131"/>
        <v/>
      </c>
      <c r="FQ67" s="193" t="str">
        <f t="shared" ca="1" si="132"/>
        <v/>
      </c>
      <c r="FR67" s="243">
        <f t="shared" ca="1" si="133"/>
        <v>0</v>
      </c>
      <c r="FS67" s="244">
        <f t="shared" ca="1" si="134"/>
        <v>0</v>
      </c>
      <c r="FT67" s="191" t="str">
        <f t="shared" ca="1" si="135"/>
        <v/>
      </c>
      <c r="FU67" s="194" t="str">
        <f t="shared" ca="1" si="136"/>
        <v/>
      </c>
      <c r="FV67" s="245" t="str">
        <f t="shared" ca="1" si="114"/>
        <v/>
      </c>
      <c r="FW67" s="195" t="str">
        <f t="shared" ca="1" si="137"/>
        <v/>
      </c>
      <c r="FX67" s="195" t="str">
        <f t="shared" ca="1" si="138"/>
        <v/>
      </c>
      <c r="FY67" s="195" t="str">
        <f t="shared" ca="1" si="139"/>
        <v/>
      </c>
      <c r="FZ67" s="195" t="str">
        <f t="shared" ca="1" si="140"/>
        <v/>
      </c>
      <c r="GA67" s="195" t="str">
        <f t="shared" ca="1" si="141"/>
        <v/>
      </c>
      <c r="GB67" s="196" t="str">
        <f ca="1">IF(FY67="","",2+SUM(FO67:OFFSET(FO67,(FU67-1)*-1,0)))</f>
        <v/>
      </c>
      <c r="GC67" s="238" t="e">
        <f t="shared" si="142"/>
        <v>#N/A</v>
      </c>
      <c r="GD67" s="246" t="str">
        <f t="shared" si="115"/>
        <v/>
      </c>
      <c r="GE67" s="247" t="str">
        <f t="shared" si="116"/>
        <v/>
      </c>
      <c r="GF67" s="197" t="str">
        <f t="shared" si="117"/>
        <v/>
      </c>
      <c r="GG67" s="198" t="str">
        <f t="shared" si="118"/>
        <v/>
      </c>
      <c r="GH67" s="198" t="str">
        <f t="shared" si="119"/>
        <v/>
      </c>
      <c r="GI67" s="199" t="str">
        <f t="shared" si="120"/>
        <v/>
      </c>
      <c r="GJ67" s="473">
        <f t="shared" ca="1" si="121"/>
        <v>0</v>
      </c>
      <c r="GK67" s="834" t="str">
        <f t="shared" si="143"/>
        <v/>
      </c>
    </row>
    <row r="68" spans="78:193" ht="12.6" hidden="1" customHeight="1" x14ac:dyDescent="0.2">
      <c r="BZ68" s="214"/>
      <c r="CA68" s="214"/>
      <c r="CB68" s="289" t="str">
        <f t="shared" si="49"/>
        <v/>
      </c>
      <c r="CC68" s="290" t="str">
        <f>IF(CG28="","",VLOOKUP(CG28,#REF!,12,FALSE))</f>
        <v/>
      </c>
      <c r="CD68" s="1219" t="str">
        <f>IF(ISBLANK(CN28),IF(CG28="","",VLOOKUP(CG28,#REF!,13,FALSE)),CN28)</f>
        <v/>
      </c>
      <c r="CE68" s="1219" t="str">
        <f>IF(CG28="","",IF(VLOOKUP(CG28,#REF!,5,FALSE)="","R",UPPER(VLOOKUP(CG28,#REF!,5,FALSE))))</f>
        <v/>
      </c>
      <c r="CF68" s="1219" t="str">
        <f>IF(ISBLANK(CP28),IF(CG28="","",VLOOKUP(CG28,#REF!,6,FALSE)),CP28)</f>
        <v/>
      </c>
      <c r="CG68" s="1219" t="str">
        <f>IF(CG28="","",IF(VLOOKUP(CG28,#REF!,10,FALSE)="","",(VLOOKUP(CG28,#REF!,10,FALSE)*-1)))</f>
        <v/>
      </c>
      <c r="CH68" s="1219" t="str">
        <f>IF(CG28="","",IF(VLOOKUP(CG28,#REF!,7,FALSE)="","",(VLOOKUP(CG28,#REF!,7,FALSE)*-1)))</f>
        <v/>
      </c>
      <c r="CI68" s="1219" t="str">
        <f>IF(CG28="","",IF(VLOOKUP(CG28,#REF!,8,FALSE)="",$FC$4,(VLOOKUP(CG28,#REF!,8,FALSE))))</f>
        <v/>
      </c>
      <c r="CJ68" s="1219" t="str">
        <f>IF(CG28="","",VLOOKUP(CG28,#REF!,9,FALSE))</f>
        <v/>
      </c>
      <c r="CK68" s="1220">
        <f t="shared" si="50"/>
        <v>0</v>
      </c>
      <c r="CL68" s="1218" t="str">
        <f>IF(CQ28="","",VLOOKUP(CQ28,#REF!,12,FALSE))</f>
        <v/>
      </c>
      <c r="CM68" s="1219" t="str">
        <f>IF(ISBLANK(CX28),IF(CQ28="","",VLOOKUP(CQ28,#REF!,13,FALSE)),CX28)</f>
        <v/>
      </c>
      <c r="CN68" s="1219" t="str">
        <f>IF(CQ28="","",IF(VLOOKUP(CQ28,#REF!,5,FALSE)="","R",UPPER(VLOOKUP(CQ28,#REF!,5,FALSE))))</f>
        <v/>
      </c>
      <c r="CO68" s="1219" t="str">
        <f>IF(ISBLANK(CZ28),IF(CQ28="","",VLOOKUP(CQ28,#REF!,6,FALSE)),CZ28)</f>
        <v/>
      </c>
      <c r="CP68" s="1219" t="str">
        <f>IF(CQ28="","",IF(VLOOKUP(CQ28,#REF!,10,FALSE)="","",(VLOOKUP(CQ28,#REF!,10,FALSE)*-1)))</f>
        <v/>
      </c>
      <c r="CQ68" s="1219" t="str">
        <f>IF(CQ28="","",IF(VLOOKUP(CQ28,#REF!,7,FALSE)="","",(VLOOKUP(CQ28,#REF!,7,FALSE)*-1)))</f>
        <v/>
      </c>
      <c r="CR68" s="1219" t="str">
        <f>IF(CQ28="","",IF(VLOOKUP(CQ28,#REF!,8,FALSE)="",$FC$4,(VLOOKUP(CQ28,#REF!,8,FALSE))))</f>
        <v/>
      </c>
      <c r="CS68" s="1219" t="str">
        <f>IF(CQ28="","",VLOOKUP(CQ28,#REF!,9,FALSE))</f>
        <v/>
      </c>
      <c r="CT68" s="1220">
        <f t="shared" si="51"/>
        <v>0</v>
      </c>
      <c r="CU68" s="1230">
        <f t="shared" si="52"/>
        <v>0</v>
      </c>
      <c r="CV68" s="1224" t="str">
        <f t="shared" si="53"/>
        <v/>
      </c>
      <c r="CW68" s="1224" t="str">
        <f t="shared" si="54"/>
        <v/>
      </c>
      <c r="CX68" s="1224" t="str">
        <f t="shared" si="55"/>
        <v/>
      </c>
      <c r="CY68" s="1226">
        <f t="shared" si="56"/>
        <v>0</v>
      </c>
      <c r="CZ68" s="1226" t="e">
        <f t="shared" si="57"/>
        <v>#REF!</v>
      </c>
      <c r="DA68" s="1226" t="str">
        <f t="shared" si="58"/>
        <v/>
      </c>
      <c r="DB68" s="1224" t="str">
        <f t="shared" si="122"/>
        <v/>
      </c>
      <c r="DC68" s="1224" t="str">
        <f t="shared" si="59"/>
        <v/>
      </c>
      <c r="DD68" s="814">
        <f t="shared" si="123"/>
        <v>0</v>
      </c>
      <c r="DE68" s="812">
        <f t="shared" si="60"/>
        <v>0</v>
      </c>
      <c r="DF68" s="813" t="e">
        <f t="shared" si="61"/>
        <v>#REF!</v>
      </c>
      <c r="DG68" s="813" t="str">
        <f t="shared" si="62"/>
        <v/>
      </c>
      <c r="DH68" s="1224" t="str">
        <f t="shared" si="124"/>
        <v/>
      </c>
      <c r="DI68" s="1224" t="str">
        <f t="shared" si="63"/>
        <v/>
      </c>
      <c r="DJ68" s="1225">
        <f t="shared" si="125"/>
        <v>0</v>
      </c>
      <c r="DK68" s="1224" t="str">
        <f t="shared" si="64"/>
        <v/>
      </c>
      <c r="DL68" s="1224" t="str">
        <f t="shared" si="65"/>
        <v/>
      </c>
      <c r="DM68" s="1224" t="str">
        <f t="shared" si="66"/>
        <v/>
      </c>
      <c r="DN68" s="1224" t="str">
        <f t="shared" si="67"/>
        <v/>
      </c>
      <c r="DO68" s="828" t="e">
        <f t="shared" si="68"/>
        <v>#REF!</v>
      </c>
      <c r="DP68" s="828" t="e">
        <f t="shared" si="69"/>
        <v>#REF!</v>
      </c>
      <c r="DQ68" s="1224" t="str">
        <f t="shared" si="70"/>
        <v/>
      </c>
      <c r="DR68" s="1224" t="str">
        <f t="shared" si="70"/>
        <v/>
      </c>
      <c r="DS68" s="1224" t="str">
        <f t="shared" si="71"/>
        <v/>
      </c>
      <c r="DT68" s="1224" t="str">
        <f t="shared" si="72"/>
        <v/>
      </c>
      <c r="DU68" s="1224" t="str">
        <f t="shared" si="73"/>
        <v/>
      </c>
      <c r="DV68" s="828" t="e">
        <f t="shared" si="74"/>
        <v>#REF!</v>
      </c>
      <c r="DW68" s="828" t="e">
        <f t="shared" si="75"/>
        <v>#REF!</v>
      </c>
      <c r="DX68" s="812" t="str">
        <f t="shared" si="76"/>
        <v/>
      </c>
      <c r="DY68" s="812" t="str">
        <f t="shared" si="76"/>
        <v/>
      </c>
      <c r="DZ68" s="812" t="str">
        <f t="shared" si="77"/>
        <v/>
      </c>
      <c r="EA68" s="812" t="str">
        <f t="shared" si="78"/>
        <v/>
      </c>
      <c r="EB68" s="815" t="str">
        <f t="shared" si="79"/>
        <v/>
      </c>
      <c r="EC68" s="816" t="str">
        <f t="shared" si="80"/>
        <v/>
      </c>
      <c r="ED68" s="815" t="str">
        <f t="shared" si="81"/>
        <v/>
      </c>
      <c r="EE68" s="815" t="str">
        <f t="shared" si="82"/>
        <v/>
      </c>
      <c r="EF68" s="815" t="str">
        <f t="shared" si="83"/>
        <v/>
      </c>
      <c r="EG68" s="815" t="str">
        <f t="shared" si="84"/>
        <v/>
      </c>
      <c r="EH68" s="815" t="str">
        <f t="shared" si="85"/>
        <v/>
      </c>
      <c r="EI68" s="815" t="str">
        <f t="shared" si="86"/>
        <v/>
      </c>
      <c r="EJ68" s="815" t="str">
        <f t="shared" si="87"/>
        <v/>
      </c>
      <c r="EK68" s="813">
        <f t="shared" si="88"/>
        <v>0</v>
      </c>
      <c r="EL68" s="813">
        <f t="shared" si="89"/>
        <v>0</v>
      </c>
      <c r="EM68" s="813">
        <f t="shared" si="90"/>
        <v>0</v>
      </c>
      <c r="EN68" s="813" t="e">
        <f t="shared" si="91"/>
        <v>#REF!</v>
      </c>
      <c r="EO68" s="812" t="str">
        <f t="shared" si="92"/>
        <v/>
      </c>
      <c r="EP68" s="813">
        <f t="shared" si="93"/>
        <v>0</v>
      </c>
      <c r="EQ68" s="813">
        <f t="shared" si="94"/>
        <v>0</v>
      </c>
      <c r="ER68" s="813">
        <f t="shared" si="95"/>
        <v>0</v>
      </c>
      <c r="ES68" s="813" t="e">
        <f t="shared" si="96"/>
        <v>#REF!</v>
      </c>
      <c r="ET68" s="812" t="str">
        <f t="shared" si="97"/>
        <v/>
      </c>
      <c r="EU68" s="812" t="e">
        <f t="shared" si="98"/>
        <v>#REF!</v>
      </c>
      <c r="EV68" s="815" t="e">
        <f t="shared" si="99"/>
        <v>#VALUE!</v>
      </c>
      <c r="EW68" s="815" t="e">
        <f t="shared" si="100"/>
        <v>#VALUE!</v>
      </c>
      <c r="EX68" s="817" t="str">
        <f t="shared" si="101"/>
        <v/>
      </c>
      <c r="EY68" s="818" t="e">
        <f t="shared" si="102"/>
        <v>#DIV/0!</v>
      </c>
      <c r="EZ68" s="893" t="e">
        <f t="shared" si="103"/>
        <v>#DIV/0!</v>
      </c>
      <c r="FA68" s="894" t="e">
        <f t="shared" si="104"/>
        <v>#DIV/0!</v>
      </c>
      <c r="FB68" s="819" t="str">
        <f t="shared" si="105"/>
        <v/>
      </c>
      <c r="FC68" s="820" t="str">
        <f t="shared" si="106"/>
        <v/>
      </c>
      <c r="FD68" s="829">
        <f t="shared" si="107"/>
        <v>0</v>
      </c>
      <c r="FE68" s="774">
        <f t="shared" si="108"/>
        <v>0</v>
      </c>
      <c r="FF68" s="703" t="b">
        <f t="shared" si="109"/>
        <v>0</v>
      </c>
      <c r="FG68" s="703" t="b">
        <f t="shared" si="110"/>
        <v>0</v>
      </c>
      <c r="FH68" s="703" t="b">
        <f t="shared" si="111"/>
        <v>0</v>
      </c>
      <c r="FI68" s="703" t="b">
        <f t="shared" si="112"/>
        <v>0</v>
      </c>
      <c r="FJ68" s="849" t="str">
        <f t="shared" si="126"/>
        <v/>
      </c>
      <c r="FK68" s="848" t="str">
        <f t="shared" si="127"/>
        <v/>
      </c>
      <c r="FL68" s="242" t="e">
        <f t="shared" si="128"/>
        <v>#N/A</v>
      </c>
      <c r="FM68" s="234" t="str">
        <f t="shared" si="113"/>
        <v/>
      </c>
      <c r="FN68" s="191" t="str">
        <f t="shared" ca="1" si="129"/>
        <v/>
      </c>
      <c r="FO68" s="192" t="str">
        <f t="shared" ca="1" si="130"/>
        <v/>
      </c>
      <c r="FP68" s="193" t="str">
        <f t="shared" ca="1" si="131"/>
        <v/>
      </c>
      <c r="FQ68" s="193" t="str">
        <f t="shared" ca="1" si="132"/>
        <v/>
      </c>
      <c r="FR68" s="243">
        <f t="shared" ca="1" si="133"/>
        <v>0</v>
      </c>
      <c r="FS68" s="244">
        <f t="shared" ca="1" si="134"/>
        <v>0</v>
      </c>
      <c r="FT68" s="191" t="str">
        <f t="shared" ca="1" si="135"/>
        <v/>
      </c>
      <c r="FU68" s="194" t="str">
        <f t="shared" ca="1" si="136"/>
        <v/>
      </c>
      <c r="FV68" s="245" t="str">
        <f t="shared" ca="1" si="114"/>
        <v/>
      </c>
      <c r="FW68" s="195" t="str">
        <f t="shared" ca="1" si="137"/>
        <v/>
      </c>
      <c r="FX68" s="195" t="str">
        <f t="shared" ca="1" si="138"/>
        <v/>
      </c>
      <c r="FY68" s="195" t="str">
        <f t="shared" ca="1" si="139"/>
        <v/>
      </c>
      <c r="FZ68" s="195" t="str">
        <f t="shared" ca="1" si="140"/>
        <v/>
      </c>
      <c r="GA68" s="195" t="str">
        <f t="shared" ca="1" si="141"/>
        <v/>
      </c>
      <c r="GB68" s="196" t="str">
        <f ca="1">IF(FY68="","",2+SUM(FO68:OFFSET(FO68,(FU68-1)*-1,0)))</f>
        <v/>
      </c>
      <c r="GC68" s="238" t="e">
        <f t="shared" si="142"/>
        <v>#N/A</v>
      </c>
      <c r="GD68" s="246" t="str">
        <f t="shared" si="115"/>
        <v/>
      </c>
      <c r="GE68" s="247" t="str">
        <f t="shared" si="116"/>
        <v/>
      </c>
      <c r="GF68" s="197" t="str">
        <f t="shared" si="117"/>
        <v/>
      </c>
      <c r="GG68" s="198" t="str">
        <f t="shared" si="118"/>
        <v/>
      </c>
      <c r="GH68" s="198" t="str">
        <f t="shared" si="119"/>
        <v/>
      </c>
      <c r="GI68" s="199" t="str">
        <f t="shared" si="120"/>
        <v/>
      </c>
      <c r="GJ68" s="473">
        <f t="shared" ca="1" si="121"/>
        <v>0</v>
      </c>
      <c r="GK68" s="834" t="str">
        <f t="shared" si="143"/>
        <v/>
      </c>
    </row>
    <row r="69" spans="78:193" ht="12.6" hidden="1" customHeight="1" x14ac:dyDescent="0.2">
      <c r="BZ69" s="214"/>
      <c r="CA69" s="214"/>
      <c r="CB69" s="289" t="str">
        <f t="shared" si="49"/>
        <v/>
      </c>
      <c r="CC69" s="290" t="str">
        <f>IF(CG29="","",VLOOKUP(CG29,#REF!,12,FALSE))</f>
        <v/>
      </c>
      <c r="CD69" s="1219" t="str">
        <f>IF(ISBLANK(CN29),IF(CG29="","",VLOOKUP(CG29,#REF!,13,FALSE)),CN29)</f>
        <v/>
      </c>
      <c r="CE69" s="1219" t="str">
        <f>IF(CG29="","",IF(VLOOKUP(CG29,#REF!,5,FALSE)="","R",UPPER(VLOOKUP(CG29,#REF!,5,FALSE))))</f>
        <v/>
      </c>
      <c r="CF69" s="1219" t="str">
        <f>IF(ISBLANK(CP29),IF(CG29="","",VLOOKUP(CG29,#REF!,6,FALSE)),CP29)</f>
        <v/>
      </c>
      <c r="CG69" s="1219" t="str">
        <f>IF(CG29="","",IF(VLOOKUP(CG29,#REF!,10,FALSE)="","",(VLOOKUP(CG29,#REF!,10,FALSE)*-1)))</f>
        <v/>
      </c>
      <c r="CH69" s="1219" t="str">
        <f>IF(CG29="","",IF(VLOOKUP(CG29,#REF!,7,FALSE)="","",(VLOOKUP(CG29,#REF!,7,FALSE)*-1)))</f>
        <v/>
      </c>
      <c r="CI69" s="1219" t="str">
        <f>IF(CG29="","",IF(VLOOKUP(CG29,#REF!,8,FALSE)="",$FC$4,(VLOOKUP(CG29,#REF!,8,FALSE))))</f>
        <v/>
      </c>
      <c r="CJ69" s="1219" t="str">
        <f>IF(CG29="","",VLOOKUP(CG29,#REF!,9,FALSE))</f>
        <v/>
      </c>
      <c r="CK69" s="1220">
        <f t="shared" si="50"/>
        <v>0</v>
      </c>
      <c r="CL69" s="1218" t="str">
        <f>IF(CQ29="","",VLOOKUP(CQ29,#REF!,12,FALSE))</f>
        <v/>
      </c>
      <c r="CM69" s="1219" t="str">
        <f>IF(ISBLANK(CX29),IF(CQ29="","",VLOOKUP(CQ29,#REF!,13,FALSE)),CX29)</f>
        <v/>
      </c>
      <c r="CN69" s="1219" t="str">
        <f>IF(CQ29="","",IF(VLOOKUP(CQ29,#REF!,5,FALSE)="","R",UPPER(VLOOKUP(CQ29,#REF!,5,FALSE))))</f>
        <v/>
      </c>
      <c r="CO69" s="1219" t="str">
        <f>IF(ISBLANK(CZ29),IF(CQ29="","",VLOOKUP(CQ29,#REF!,6,FALSE)),CZ29)</f>
        <v/>
      </c>
      <c r="CP69" s="1219" t="str">
        <f>IF(CQ29="","",IF(VLOOKUP(CQ29,#REF!,10,FALSE)="","",(VLOOKUP(CQ29,#REF!,10,FALSE)*-1)))</f>
        <v/>
      </c>
      <c r="CQ69" s="1219" t="str">
        <f>IF(CQ29="","",IF(VLOOKUP(CQ29,#REF!,7,FALSE)="","",(VLOOKUP(CQ29,#REF!,7,FALSE)*-1)))</f>
        <v/>
      </c>
      <c r="CR69" s="1219" t="str">
        <f>IF(CQ29="","",IF(VLOOKUP(CQ29,#REF!,8,FALSE)="",$FC$4,(VLOOKUP(CQ29,#REF!,8,FALSE))))</f>
        <v/>
      </c>
      <c r="CS69" s="1219" t="str">
        <f>IF(CQ29="","",VLOOKUP(CQ29,#REF!,9,FALSE))</f>
        <v/>
      </c>
      <c r="CT69" s="1220">
        <f t="shared" si="51"/>
        <v>0</v>
      </c>
      <c r="CU69" s="1230">
        <f t="shared" si="52"/>
        <v>0</v>
      </c>
      <c r="CV69" s="1224" t="str">
        <f t="shared" si="53"/>
        <v/>
      </c>
      <c r="CW69" s="1224" t="str">
        <f t="shared" si="54"/>
        <v/>
      </c>
      <c r="CX69" s="1224" t="str">
        <f t="shared" si="55"/>
        <v/>
      </c>
      <c r="CY69" s="1226">
        <f t="shared" si="56"/>
        <v>0</v>
      </c>
      <c r="CZ69" s="1226" t="e">
        <f t="shared" si="57"/>
        <v>#REF!</v>
      </c>
      <c r="DA69" s="1226" t="str">
        <f t="shared" si="58"/>
        <v/>
      </c>
      <c r="DB69" s="1224" t="str">
        <f t="shared" si="122"/>
        <v/>
      </c>
      <c r="DC69" s="1224" t="str">
        <f t="shared" si="59"/>
        <v/>
      </c>
      <c r="DD69" s="814">
        <f t="shared" si="123"/>
        <v>0</v>
      </c>
      <c r="DE69" s="812">
        <f t="shared" si="60"/>
        <v>0</v>
      </c>
      <c r="DF69" s="813" t="e">
        <f t="shared" si="61"/>
        <v>#REF!</v>
      </c>
      <c r="DG69" s="813" t="str">
        <f t="shared" si="62"/>
        <v/>
      </c>
      <c r="DH69" s="1224" t="str">
        <f t="shared" si="124"/>
        <v/>
      </c>
      <c r="DI69" s="1224" t="str">
        <f t="shared" si="63"/>
        <v/>
      </c>
      <c r="DJ69" s="1225">
        <f t="shared" si="125"/>
        <v>0</v>
      </c>
      <c r="DK69" s="1224" t="str">
        <f t="shared" si="64"/>
        <v/>
      </c>
      <c r="DL69" s="1224" t="str">
        <f t="shared" si="65"/>
        <v/>
      </c>
      <c r="DM69" s="1224" t="str">
        <f t="shared" si="66"/>
        <v/>
      </c>
      <c r="DN69" s="1224" t="str">
        <f t="shared" si="67"/>
        <v/>
      </c>
      <c r="DO69" s="828" t="e">
        <f t="shared" si="68"/>
        <v>#REF!</v>
      </c>
      <c r="DP69" s="828" t="e">
        <f t="shared" si="69"/>
        <v>#REF!</v>
      </c>
      <c r="DQ69" s="1224" t="str">
        <f t="shared" si="70"/>
        <v/>
      </c>
      <c r="DR69" s="1224" t="str">
        <f t="shared" si="70"/>
        <v/>
      </c>
      <c r="DS69" s="1224" t="str">
        <f t="shared" si="71"/>
        <v/>
      </c>
      <c r="DT69" s="1224" t="str">
        <f t="shared" si="72"/>
        <v/>
      </c>
      <c r="DU69" s="1224" t="str">
        <f t="shared" si="73"/>
        <v/>
      </c>
      <c r="DV69" s="828" t="e">
        <f t="shared" si="74"/>
        <v>#REF!</v>
      </c>
      <c r="DW69" s="828" t="e">
        <f t="shared" si="75"/>
        <v>#REF!</v>
      </c>
      <c r="DX69" s="812" t="str">
        <f t="shared" si="76"/>
        <v/>
      </c>
      <c r="DY69" s="812" t="str">
        <f t="shared" si="76"/>
        <v/>
      </c>
      <c r="DZ69" s="812" t="str">
        <f t="shared" si="77"/>
        <v/>
      </c>
      <c r="EA69" s="812" t="str">
        <f t="shared" si="78"/>
        <v/>
      </c>
      <c r="EB69" s="815" t="str">
        <f t="shared" si="79"/>
        <v/>
      </c>
      <c r="EC69" s="816" t="str">
        <f t="shared" si="80"/>
        <v/>
      </c>
      <c r="ED69" s="815" t="str">
        <f t="shared" si="81"/>
        <v/>
      </c>
      <c r="EE69" s="815" t="str">
        <f t="shared" si="82"/>
        <v/>
      </c>
      <c r="EF69" s="815" t="str">
        <f t="shared" si="83"/>
        <v/>
      </c>
      <c r="EG69" s="815" t="str">
        <f t="shared" si="84"/>
        <v/>
      </c>
      <c r="EH69" s="815" t="str">
        <f t="shared" si="85"/>
        <v/>
      </c>
      <c r="EI69" s="815" t="str">
        <f t="shared" si="86"/>
        <v/>
      </c>
      <c r="EJ69" s="815" t="str">
        <f t="shared" si="87"/>
        <v/>
      </c>
      <c r="EK69" s="813">
        <f t="shared" si="88"/>
        <v>0</v>
      </c>
      <c r="EL69" s="813">
        <f t="shared" si="89"/>
        <v>0</v>
      </c>
      <c r="EM69" s="813">
        <f t="shared" si="90"/>
        <v>0</v>
      </c>
      <c r="EN69" s="813" t="e">
        <f t="shared" si="91"/>
        <v>#REF!</v>
      </c>
      <c r="EO69" s="812" t="str">
        <f t="shared" si="92"/>
        <v/>
      </c>
      <c r="EP69" s="813">
        <f t="shared" si="93"/>
        <v>0</v>
      </c>
      <c r="EQ69" s="813">
        <f t="shared" si="94"/>
        <v>0</v>
      </c>
      <c r="ER69" s="813">
        <f t="shared" si="95"/>
        <v>0</v>
      </c>
      <c r="ES69" s="813" t="e">
        <f t="shared" si="96"/>
        <v>#REF!</v>
      </c>
      <c r="ET69" s="812" t="str">
        <f t="shared" si="97"/>
        <v/>
      </c>
      <c r="EU69" s="812" t="e">
        <f t="shared" si="98"/>
        <v>#REF!</v>
      </c>
      <c r="EV69" s="815" t="e">
        <f t="shared" si="99"/>
        <v>#VALUE!</v>
      </c>
      <c r="EW69" s="815" t="e">
        <f t="shared" si="100"/>
        <v>#VALUE!</v>
      </c>
      <c r="EX69" s="817" t="str">
        <f t="shared" si="101"/>
        <v/>
      </c>
      <c r="EY69" s="818" t="e">
        <f t="shared" si="102"/>
        <v>#DIV/0!</v>
      </c>
      <c r="EZ69" s="893" t="e">
        <f t="shared" si="103"/>
        <v>#DIV/0!</v>
      </c>
      <c r="FA69" s="894" t="e">
        <f t="shared" si="104"/>
        <v>#DIV/0!</v>
      </c>
      <c r="FB69" s="819" t="str">
        <f t="shared" si="105"/>
        <v/>
      </c>
      <c r="FC69" s="820" t="str">
        <f t="shared" si="106"/>
        <v/>
      </c>
      <c r="FD69" s="829">
        <f t="shared" si="107"/>
        <v>0</v>
      </c>
      <c r="FE69" s="774">
        <f t="shared" si="108"/>
        <v>0</v>
      </c>
      <c r="FF69" s="703" t="b">
        <f t="shared" si="109"/>
        <v>0</v>
      </c>
      <c r="FG69" s="703" t="b">
        <f t="shared" si="110"/>
        <v>0</v>
      </c>
      <c r="FH69" s="703" t="b">
        <f t="shared" si="111"/>
        <v>0</v>
      </c>
      <c r="FI69" s="703" t="b">
        <f t="shared" si="112"/>
        <v>0</v>
      </c>
      <c r="FJ69" s="849" t="str">
        <f t="shared" si="126"/>
        <v/>
      </c>
      <c r="FK69" s="848" t="str">
        <f t="shared" si="127"/>
        <v/>
      </c>
      <c r="FL69" s="242" t="e">
        <f t="shared" si="128"/>
        <v>#N/A</v>
      </c>
      <c r="FM69" s="234" t="str">
        <f t="shared" si="113"/>
        <v/>
      </c>
      <c r="FN69" s="191" t="str">
        <f t="shared" ca="1" si="129"/>
        <v/>
      </c>
      <c r="FO69" s="192" t="str">
        <f t="shared" ca="1" si="130"/>
        <v/>
      </c>
      <c r="FP69" s="193" t="str">
        <f t="shared" ca="1" si="131"/>
        <v/>
      </c>
      <c r="FQ69" s="193" t="str">
        <f t="shared" ca="1" si="132"/>
        <v/>
      </c>
      <c r="FR69" s="243">
        <f t="shared" ca="1" si="133"/>
        <v>0</v>
      </c>
      <c r="FS69" s="244">
        <f t="shared" ca="1" si="134"/>
        <v>0</v>
      </c>
      <c r="FT69" s="191" t="str">
        <f t="shared" ca="1" si="135"/>
        <v/>
      </c>
      <c r="FU69" s="194" t="str">
        <f t="shared" ca="1" si="136"/>
        <v/>
      </c>
      <c r="FV69" s="245" t="str">
        <f t="shared" ca="1" si="114"/>
        <v/>
      </c>
      <c r="FW69" s="195" t="str">
        <f t="shared" ca="1" si="137"/>
        <v/>
      </c>
      <c r="FX69" s="195" t="str">
        <f t="shared" ca="1" si="138"/>
        <v/>
      </c>
      <c r="FY69" s="195" t="str">
        <f t="shared" ca="1" si="139"/>
        <v/>
      </c>
      <c r="FZ69" s="195" t="str">
        <f t="shared" ca="1" si="140"/>
        <v/>
      </c>
      <c r="GA69" s="195" t="str">
        <f t="shared" ca="1" si="141"/>
        <v/>
      </c>
      <c r="GB69" s="196" t="str">
        <f ca="1">IF(FY69="","",2+SUM(FO69:OFFSET(FO69,(FU69-1)*-1,0)))</f>
        <v/>
      </c>
      <c r="GC69" s="238" t="e">
        <f t="shared" si="142"/>
        <v>#N/A</v>
      </c>
      <c r="GD69" s="246" t="str">
        <f t="shared" si="115"/>
        <v/>
      </c>
      <c r="GE69" s="247" t="str">
        <f t="shared" si="116"/>
        <v/>
      </c>
      <c r="GF69" s="197" t="str">
        <f t="shared" si="117"/>
        <v/>
      </c>
      <c r="GG69" s="198" t="str">
        <f t="shared" si="118"/>
        <v/>
      </c>
      <c r="GH69" s="198" t="str">
        <f t="shared" si="119"/>
        <v/>
      </c>
      <c r="GI69" s="199" t="str">
        <f t="shared" si="120"/>
        <v/>
      </c>
      <c r="GJ69" s="473">
        <f t="shared" ca="1" si="121"/>
        <v>0</v>
      </c>
      <c r="GK69" s="834" t="str">
        <f t="shared" si="143"/>
        <v/>
      </c>
    </row>
    <row r="70" spans="78:193" ht="12.6" hidden="1" customHeight="1" x14ac:dyDescent="0.2">
      <c r="BZ70" s="214"/>
      <c r="CA70" s="214"/>
      <c r="CB70" s="289" t="str">
        <f t="shared" si="49"/>
        <v/>
      </c>
      <c r="CC70" s="290" t="str">
        <f>IF(CG30="","",VLOOKUP(CG30,#REF!,12,FALSE))</f>
        <v/>
      </c>
      <c r="CD70" s="1219" t="str">
        <f>IF(ISBLANK(CN30),IF(CG30="","",VLOOKUP(CG30,#REF!,13,FALSE)),CN30)</f>
        <v/>
      </c>
      <c r="CE70" s="1219" t="str">
        <f>IF(CG30="","",IF(VLOOKUP(CG30,#REF!,5,FALSE)="","R",UPPER(VLOOKUP(CG30,#REF!,5,FALSE))))</f>
        <v/>
      </c>
      <c r="CF70" s="1219" t="str">
        <f>IF(ISBLANK(CP30),IF(CG30="","",VLOOKUP(CG30,#REF!,6,FALSE)),CP30)</f>
        <v/>
      </c>
      <c r="CG70" s="1219" t="str">
        <f>IF(CG30="","",IF(VLOOKUP(CG30,#REF!,10,FALSE)="","",(VLOOKUP(CG30,#REF!,10,FALSE)*-1)))</f>
        <v/>
      </c>
      <c r="CH70" s="1219" t="str">
        <f>IF(CG30="","",IF(VLOOKUP(CG30,#REF!,7,FALSE)="","",(VLOOKUP(CG30,#REF!,7,FALSE)*-1)))</f>
        <v/>
      </c>
      <c r="CI70" s="1219" t="str">
        <f>IF(CG30="","",IF(VLOOKUP(CG30,#REF!,8,FALSE)="",$FC$4,(VLOOKUP(CG30,#REF!,8,FALSE))))</f>
        <v/>
      </c>
      <c r="CJ70" s="1219" t="str">
        <f>IF(CG30="","",VLOOKUP(CG30,#REF!,9,FALSE))</f>
        <v/>
      </c>
      <c r="CK70" s="1220">
        <f t="shared" si="50"/>
        <v>0</v>
      </c>
      <c r="CL70" s="1218" t="str">
        <f>IF(CQ30="","",VLOOKUP(CQ30,#REF!,12,FALSE))</f>
        <v/>
      </c>
      <c r="CM70" s="1219" t="str">
        <f>IF(ISBLANK(CX30),IF(CQ30="","",VLOOKUP(CQ30,#REF!,13,FALSE)),CX30)</f>
        <v/>
      </c>
      <c r="CN70" s="1219" t="str">
        <f>IF(CQ30="","",IF(VLOOKUP(CQ30,#REF!,5,FALSE)="","R",UPPER(VLOOKUP(CQ30,#REF!,5,FALSE))))</f>
        <v/>
      </c>
      <c r="CO70" s="1219" t="str">
        <f>IF(ISBLANK(CZ30),IF(CQ30="","",VLOOKUP(CQ30,#REF!,6,FALSE)),CZ30)</f>
        <v/>
      </c>
      <c r="CP70" s="1219" t="str">
        <f>IF(CQ30="","",IF(VLOOKUP(CQ30,#REF!,10,FALSE)="","",(VLOOKUP(CQ30,#REF!,10,FALSE)*-1)))</f>
        <v/>
      </c>
      <c r="CQ70" s="1219" t="str">
        <f>IF(CQ30="","",IF(VLOOKUP(CQ30,#REF!,7,FALSE)="","",(VLOOKUP(CQ30,#REF!,7,FALSE)*-1)))</f>
        <v/>
      </c>
      <c r="CR70" s="1219" t="str">
        <f>IF(CQ30="","",IF(VLOOKUP(CQ30,#REF!,8,FALSE)="",$FC$4,(VLOOKUP(CQ30,#REF!,8,FALSE))))</f>
        <v/>
      </c>
      <c r="CS70" s="1219" t="str">
        <f>IF(CQ30="","",VLOOKUP(CQ30,#REF!,9,FALSE))</f>
        <v/>
      </c>
      <c r="CT70" s="1220">
        <f t="shared" si="51"/>
        <v>0</v>
      </c>
      <c r="CU70" s="1230">
        <f t="shared" si="52"/>
        <v>0</v>
      </c>
      <c r="CV70" s="1224" t="str">
        <f t="shared" si="53"/>
        <v/>
      </c>
      <c r="CW70" s="1224" t="str">
        <f t="shared" si="54"/>
        <v/>
      </c>
      <c r="CX70" s="1224" t="str">
        <f t="shared" si="55"/>
        <v/>
      </c>
      <c r="CY70" s="1226">
        <f t="shared" si="56"/>
        <v>0</v>
      </c>
      <c r="CZ70" s="1226" t="e">
        <f t="shared" si="57"/>
        <v>#REF!</v>
      </c>
      <c r="DA70" s="1226" t="str">
        <f t="shared" si="58"/>
        <v/>
      </c>
      <c r="DB70" s="1224" t="str">
        <f t="shared" si="122"/>
        <v/>
      </c>
      <c r="DC70" s="1224" t="str">
        <f t="shared" si="59"/>
        <v/>
      </c>
      <c r="DD70" s="814">
        <f t="shared" si="123"/>
        <v>0</v>
      </c>
      <c r="DE70" s="812">
        <f t="shared" si="60"/>
        <v>0</v>
      </c>
      <c r="DF70" s="813" t="e">
        <f t="shared" si="61"/>
        <v>#REF!</v>
      </c>
      <c r="DG70" s="813" t="str">
        <f t="shared" si="62"/>
        <v/>
      </c>
      <c r="DH70" s="1224" t="str">
        <f t="shared" si="124"/>
        <v/>
      </c>
      <c r="DI70" s="1224" t="str">
        <f t="shared" si="63"/>
        <v/>
      </c>
      <c r="DJ70" s="1225">
        <f t="shared" si="125"/>
        <v>0</v>
      </c>
      <c r="DK70" s="1224" t="str">
        <f t="shared" si="64"/>
        <v/>
      </c>
      <c r="DL70" s="1224" t="str">
        <f t="shared" si="65"/>
        <v/>
      </c>
      <c r="DM70" s="1224" t="str">
        <f t="shared" si="66"/>
        <v/>
      </c>
      <c r="DN70" s="1224" t="str">
        <f t="shared" si="67"/>
        <v/>
      </c>
      <c r="DO70" s="828" t="e">
        <f t="shared" si="68"/>
        <v>#REF!</v>
      </c>
      <c r="DP70" s="828" t="e">
        <f t="shared" si="69"/>
        <v>#REF!</v>
      </c>
      <c r="DQ70" s="1224" t="str">
        <f t="shared" si="70"/>
        <v/>
      </c>
      <c r="DR70" s="1224" t="str">
        <f t="shared" si="70"/>
        <v/>
      </c>
      <c r="DS70" s="1224" t="str">
        <f t="shared" si="71"/>
        <v/>
      </c>
      <c r="DT70" s="1224" t="str">
        <f t="shared" si="72"/>
        <v/>
      </c>
      <c r="DU70" s="1224" t="str">
        <f t="shared" si="73"/>
        <v/>
      </c>
      <c r="DV70" s="828" t="e">
        <f t="shared" si="74"/>
        <v>#REF!</v>
      </c>
      <c r="DW70" s="828" t="e">
        <f t="shared" si="75"/>
        <v>#REF!</v>
      </c>
      <c r="DX70" s="812" t="str">
        <f t="shared" si="76"/>
        <v/>
      </c>
      <c r="DY70" s="812" t="str">
        <f t="shared" si="76"/>
        <v/>
      </c>
      <c r="DZ70" s="812" t="str">
        <f t="shared" si="77"/>
        <v/>
      </c>
      <c r="EA70" s="812" t="str">
        <f t="shared" si="78"/>
        <v/>
      </c>
      <c r="EB70" s="815" t="str">
        <f t="shared" si="79"/>
        <v/>
      </c>
      <c r="EC70" s="816" t="str">
        <f t="shared" si="80"/>
        <v/>
      </c>
      <c r="ED70" s="815" t="str">
        <f t="shared" si="81"/>
        <v/>
      </c>
      <c r="EE70" s="815" t="str">
        <f t="shared" si="82"/>
        <v/>
      </c>
      <c r="EF70" s="815" t="str">
        <f t="shared" si="83"/>
        <v/>
      </c>
      <c r="EG70" s="815" t="str">
        <f t="shared" si="84"/>
        <v/>
      </c>
      <c r="EH70" s="815" t="str">
        <f t="shared" si="85"/>
        <v/>
      </c>
      <c r="EI70" s="815" t="str">
        <f t="shared" si="86"/>
        <v/>
      </c>
      <c r="EJ70" s="815" t="str">
        <f t="shared" si="87"/>
        <v/>
      </c>
      <c r="EK70" s="813">
        <f t="shared" si="88"/>
        <v>0</v>
      </c>
      <c r="EL70" s="813">
        <f t="shared" si="89"/>
        <v>0</v>
      </c>
      <c r="EM70" s="813">
        <f t="shared" si="90"/>
        <v>0</v>
      </c>
      <c r="EN70" s="813" t="e">
        <f t="shared" si="91"/>
        <v>#REF!</v>
      </c>
      <c r="EO70" s="812" t="str">
        <f t="shared" si="92"/>
        <v/>
      </c>
      <c r="EP70" s="813">
        <f t="shared" si="93"/>
        <v>0</v>
      </c>
      <c r="EQ70" s="813">
        <f t="shared" si="94"/>
        <v>0</v>
      </c>
      <c r="ER70" s="813">
        <f t="shared" si="95"/>
        <v>0</v>
      </c>
      <c r="ES70" s="813" t="e">
        <f t="shared" si="96"/>
        <v>#REF!</v>
      </c>
      <c r="ET70" s="812" t="str">
        <f t="shared" si="97"/>
        <v/>
      </c>
      <c r="EU70" s="812" t="e">
        <f t="shared" si="98"/>
        <v>#REF!</v>
      </c>
      <c r="EV70" s="815" t="e">
        <f t="shared" si="99"/>
        <v>#VALUE!</v>
      </c>
      <c r="EW70" s="815" t="e">
        <f t="shared" si="100"/>
        <v>#VALUE!</v>
      </c>
      <c r="EX70" s="817" t="str">
        <f t="shared" si="101"/>
        <v/>
      </c>
      <c r="EY70" s="818" t="e">
        <f t="shared" si="102"/>
        <v>#DIV/0!</v>
      </c>
      <c r="EZ70" s="893" t="e">
        <f t="shared" si="103"/>
        <v>#DIV/0!</v>
      </c>
      <c r="FA70" s="894" t="e">
        <f t="shared" si="104"/>
        <v>#DIV/0!</v>
      </c>
      <c r="FB70" s="819" t="str">
        <f t="shared" si="105"/>
        <v/>
      </c>
      <c r="FC70" s="820" t="str">
        <f t="shared" si="106"/>
        <v/>
      </c>
      <c r="FD70" s="829">
        <f t="shared" si="107"/>
        <v>0</v>
      </c>
      <c r="FE70" s="774">
        <f t="shared" si="108"/>
        <v>0</v>
      </c>
      <c r="FF70" s="704" t="b">
        <f t="shared" si="109"/>
        <v>0</v>
      </c>
      <c r="FG70" s="704" t="b">
        <f t="shared" si="110"/>
        <v>0</v>
      </c>
      <c r="FH70" s="704" t="b">
        <f t="shared" si="111"/>
        <v>0</v>
      </c>
      <c r="FI70" s="704" t="b">
        <f t="shared" si="112"/>
        <v>0</v>
      </c>
      <c r="FJ70" s="849" t="str">
        <f t="shared" si="126"/>
        <v/>
      </c>
      <c r="FK70" s="848" t="str">
        <f t="shared" si="127"/>
        <v/>
      </c>
      <c r="FL70" s="242" t="e">
        <f t="shared" si="128"/>
        <v>#N/A</v>
      </c>
      <c r="FM70" s="234" t="str">
        <f t="shared" si="113"/>
        <v/>
      </c>
      <c r="FN70" s="191" t="str">
        <f t="shared" ca="1" si="129"/>
        <v/>
      </c>
      <c r="FO70" s="192" t="str">
        <f t="shared" ca="1" si="130"/>
        <v/>
      </c>
      <c r="FP70" s="193" t="str">
        <f t="shared" ca="1" si="131"/>
        <v/>
      </c>
      <c r="FQ70" s="193" t="str">
        <f t="shared" ca="1" si="132"/>
        <v/>
      </c>
      <c r="FR70" s="243">
        <f t="shared" ca="1" si="133"/>
        <v>0</v>
      </c>
      <c r="FS70" s="244">
        <f t="shared" ca="1" si="134"/>
        <v>0</v>
      </c>
      <c r="FT70" s="191" t="str">
        <f t="shared" ca="1" si="135"/>
        <v/>
      </c>
      <c r="FU70" s="194" t="str">
        <f t="shared" ca="1" si="136"/>
        <v/>
      </c>
      <c r="FV70" s="245" t="str">
        <f t="shared" ca="1" si="114"/>
        <v/>
      </c>
      <c r="FW70" s="195" t="str">
        <f t="shared" ca="1" si="137"/>
        <v/>
      </c>
      <c r="FX70" s="195" t="str">
        <f t="shared" ca="1" si="138"/>
        <v/>
      </c>
      <c r="FY70" s="195" t="str">
        <f t="shared" ca="1" si="139"/>
        <v/>
      </c>
      <c r="FZ70" s="195" t="str">
        <f t="shared" ca="1" si="140"/>
        <v/>
      </c>
      <c r="GA70" s="195" t="str">
        <f t="shared" ca="1" si="141"/>
        <v/>
      </c>
      <c r="GB70" s="196" t="str">
        <f ca="1">IF(FY70="","",2+SUM(FO70:OFFSET(FO70,(FU70-1)*-1,0)))</f>
        <v/>
      </c>
      <c r="GC70" s="238" t="e">
        <f t="shared" si="142"/>
        <v>#N/A</v>
      </c>
      <c r="GD70" s="246" t="str">
        <f t="shared" si="115"/>
        <v/>
      </c>
      <c r="GE70" s="247" t="str">
        <f t="shared" si="116"/>
        <v/>
      </c>
      <c r="GF70" s="197" t="str">
        <f t="shared" si="117"/>
        <v/>
      </c>
      <c r="GG70" s="198" t="str">
        <f t="shared" si="118"/>
        <v/>
      </c>
      <c r="GH70" s="198" t="str">
        <f t="shared" si="119"/>
        <v/>
      </c>
      <c r="GI70" s="199" t="str">
        <f t="shared" si="120"/>
        <v/>
      </c>
      <c r="GJ70" s="473">
        <f t="shared" ca="1" si="121"/>
        <v>0</v>
      </c>
      <c r="GK70" s="834" t="str">
        <f t="shared" si="143"/>
        <v/>
      </c>
    </row>
    <row r="71" spans="78:193" ht="12.6" hidden="1" customHeight="1" x14ac:dyDescent="0.2">
      <c r="BZ71" s="214"/>
      <c r="CA71" s="214"/>
      <c r="CB71" s="289" t="str">
        <f t="shared" si="49"/>
        <v/>
      </c>
      <c r="CC71" s="290" t="str">
        <f>IF(CG31="","",VLOOKUP(CG31,#REF!,12,FALSE))</f>
        <v/>
      </c>
      <c r="CD71" s="1219" t="str">
        <f>IF(ISBLANK(CN31),IF(CG31="","",VLOOKUP(CG31,#REF!,13,FALSE)),CN31)</f>
        <v/>
      </c>
      <c r="CE71" s="1219" t="str">
        <f>IF(CG31="","",IF(VLOOKUP(CG31,#REF!,5,FALSE)="","R",UPPER(VLOOKUP(CG31,#REF!,5,FALSE))))</f>
        <v/>
      </c>
      <c r="CF71" s="1219" t="str">
        <f>IF(ISBLANK(CP31),IF(CG31="","",VLOOKUP(CG31,#REF!,6,FALSE)),CP31)</f>
        <v/>
      </c>
      <c r="CG71" s="1219" t="str">
        <f>IF(CG31="","",IF(VLOOKUP(CG31,#REF!,10,FALSE)="","",(VLOOKUP(CG31,#REF!,10,FALSE)*-1)))</f>
        <v/>
      </c>
      <c r="CH71" s="1219" t="str">
        <f>IF(CG31="","",IF(VLOOKUP(CG31,#REF!,7,FALSE)="","",(VLOOKUP(CG31,#REF!,7,FALSE)*-1)))</f>
        <v/>
      </c>
      <c r="CI71" s="1219" t="str">
        <f>IF(CG31="","",IF(VLOOKUP(CG31,#REF!,8,FALSE)="",$FC$4,(VLOOKUP(CG31,#REF!,8,FALSE))))</f>
        <v/>
      </c>
      <c r="CJ71" s="1219" t="str">
        <f>IF(CG31="","",VLOOKUP(CG31,#REF!,9,FALSE))</f>
        <v/>
      </c>
      <c r="CK71" s="1220">
        <f t="shared" si="50"/>
        <v>0</v>
      </c>
      <c r="CL71" s="1218" t="str">
        <f>IF(CQ31="","",VLOOKUP(CQ31,#REF!,12,FALSE))</f>
        <v/>
      </c>
      <c r="CM71" s="1219" t="str">
        <f>IF(ISBLANK(CX31),IF(CQ31="","",VLOOKUP(CQ31,#REF!,13,FALSE)),CX31)</f>
        <v/>
      </c>
      <c r="CN71" s="1219" t="str">
        <f>IF(CQ31="","",IF(VLOOKUP(CQ31,#REF!,5,FALSE)="","R",UPPER(VLOOKUP(CQ31,#REF!,5,FALSE))))</f>
        <v/>
      </c>
      <c r="CO71" s="1219" t="str">
        <f>IF(ISBLANK(CZ31),IF(CQ31="","",VLOOKUP(CQ31,#REF!,6,FALSE)),CZ31)</f>
        <v/>
      </c>
      <c r="CP71" s="1219" t="str">
        <f>IF(CQ31="","",IF(VLOOKUP(CQ31,#REF!,10,FALSE)="","",(VLOOKUP(CQ31,#REF!,10,FALSE)*-1)))</f>
        <v/>
      </c>
      <c r="CQ71" s="1219" t="str">
        <f>IF(CQ31="","",IF(VLOOKUP(CQ31,#REF!,7,FALSE)="","",(VLOOKUP(CQ31,#REF!,7,FALSE)*-1)))</f>
        <v/>
      </c>
      <c r="CR71" s="1219" t="str">
        <f>IF(CQ31="","",IF(VLOOKUP(CQ31,#REF!,8,FALSE)="",$FC$4,(VLOOKUP(CQ31,#REF!,8,FALSE))))</f>
        <v/>
      </c>
      <c r="CS71" s="1219" t="str">
        <f>IF(CQ31="","",VLOOKUP(CQ31,#REF!,9,FALSE))</f>
        <v/>
      </c>
      <c r="CT71" s="1220">
        <f t="shared" si="51"/>
        <v>0</v>
      </c>
      <c r="CU71" s="1230">
        <f t="shared" si="52"/>
        <v>0</v>
      </c>
      <c r="CV71" s="1224" t="str">
        <f t="shared" si="53"/>
        <v/>
      </c>
      <c r="CW71" s="1224" t="str">
        <f t="shared" si="54"/>
        <v/>
      </c>
      <c r="CX71" s="1224" t="str">
        <f t="shared" si="55"/>
        <v/>
      </c>
      <c r="CY71" s="1226">
        <f t="shared" si="56"/>
        <v>0</v>
      </c>
      <c r="CZ71" s="1226" t="e">
        <f t="shared" si="57"/>
        <v>#REF!</v>
      </c>
      <c r="DA71" s="1226" t="str">
        <f t="shared" si="58"/>
        <v/>
      </c>
      <c r="DB71" s="1224" t="str">
        <f t="shared" si="122"/>
        <v/>
      </c>
      <c r="DC71" s="1224" t="str">
        <f t="shared" si="59"/>
        <v/>
      </c>
      <c r="DD71" s="814">
        <f t="shared" si="123"/>
        <v>0</v>
      </c>
      <c r="DE71" s="812">
        <f t="shared" si="60"/>
        <v>0</v>
      </c>
      <c r="DF71" s="813" t="e">
        <f t="shared" si="61"/>
        <v>#REF!</v>
      </c>
      <c r="DG71" s="813" t="str">
        <f t="shared" si="62"/>
        <v/>
      </c>
      <c r="DH71" s="1224" t="str">
        <f t="shared" si="124"/>
        <v/>
      </c>
      <c r="DI71" s="1224" t="str">
        <f t="shared" si="63"/>
        <v/>
      </c>
      <c r="DJ71" s="1225">
        <f t="shared" si="125"/>
        <v>0</v>
      </c>
      <c r="DK71" s="1224" t="str">
        <f t="shared" si="64"/>
        <v/>
      </c>
      <c r="DL71" s="1224" t="str">
        <f t="shared" si="65"/>
        <v/>
      </c>
      <c r="DM71" s="1224" t="str">
        <f t="shared" si="66"/>
        <v/>
      </c>
      <c r="DN71" s="1224" t="str">
        <f t="shared" si="67"/>
        <v/>
      </c>
      <c r="DO71" s="828" t="e">
        <f t="shared" si="68"/>
        <v>#REF!</v>
      </c>
      <c r="DP71" s="828" t="e">
        <f t="shared" si="69"/>
        <v>#REF!</v>
      </c>
      <c r="DQ71" s="1224" t="str">
        <f t="shared" si="70"/>
        <v/>
      </c>
      <c r="DR71" s="1224" t="str">
        <f t="shared" si="70"/>
        <v/>
      </c>
      <c r="DS71" s="1224" t="str">
        <f t="shared" si="71"/>
        <v/>
      </c>
      <c r="DT71" s="1224" t="str">
        <f t="shared" si="72"/>
        <v/>
      </c>
      <c r="DU71" s="1224" t="str">
        <f t="shared" si="73"/>
        <v/>
      </c>
      <c r="DV71" s="828" t="e">
        <f t="shared" si="74"/>
        <v>#REF!</v>
      </c>
      <c r="DW71" s="828" t="e">
        <f t="shared" si="75"/>
        <v>#REF!</v>
      </c>
      <c r="DX71" s="812" t="str">
        <f t="shared" si="76"/>
        <v/>
      </c>
      <c r="DY71" s="812" t="str">
        <f t="shared" si="76"/>
        <v/>
      </c>
      <c r="DZ71" s="812" t="str">
        <f t="shared" si="77"/>
        <v/>
      </c>
      <c r="EA71" s="812" t="str">
        <f t="shared" si="78"/>
        <v/>
      </c>
      <c r="EB71" s="815" t="str">
        <f t="shared" si="79"/>
        <v/>
      </c>
      <c r="EC71" s="816" t="str">
        <f t="shared" si="80"/>
        <v/>
      </c>
      <c r="ED71" s="815" t="str">
        <f t="shared" si="81"/>
        <v/>
      </c>
      <c r="EE71" s="815" t="str">
        <f t="shared" si="82"/>
        <v/>
      </c>
      <c r="EF71" s="815" t="str">
        <f t="shared" si="83"/>
        <v/>
      </c>
      <c r="EG71" s="815" t="str">
        <f t="shared" si="84"/>
        <v/>
      </c>
      <c r="EH71" s="815" t="str">
        <f t="shared" si="85"/>
        <v/>
      </c>
      <c r="EI71" s="815" t="str">
        <f t="shared" si="86"/>
        <v/>
      </c>
      <c r="EJ71" s="815" t="str">
        <f t="shared" si="87"/>
        <v/>
      </c>
      <c r="EK71" s="813">
        <f t="shared" si="88"/>
        <v>0</v>
      </c>
      <c r="EL71" s="813">
        <f t="shared" si="89"/>
        <v>0</v>
      </c>
      <c r="EM71" s="813">
        <f t="shared" si="90"/>
        <v>0</v>
      </c>
      <c r="EN71" s="813" t="e">
        <f t="shared" si="91"/>
        <v>#REF!</v>
      </c>
      <c r="EO71" s="812" t="str">
        <f t="shared" si="92"/>
        <v/>
      </c>
      <c r="EP71" s="813">
        <f t="shared" si="93"/>
        <v>0</v>
      </c>
      <c r="EQ71" s="813">
        <f t="shared" si="94"/>
        <v>0</v>
      </c>
      <c r="ER71" s="813">
        <f t="shared" si="95"/>
        <v>0</v>
      </c>
      <c r="ES71" s="813" t="e">
        <f t="shared" si="96"/>
        <v>#REF!</v>
      </c>
      <c r="ET71" s="812" t="str">
        <f t="shared" si="97"/>
        <v/>
      </c>
      <c r="EU71" s="812" t="e">
        <f t="shared" si="98"/>
        <v>#REF!</v>
      </c>
      <c r="EV71" s="815" t="e">
        <f t="shared" si="99"/>
        <v>#VALUE!</v>
      </c>
      <c r="EW71" s="815" t="e">
        <f t="shared" si="100"/>
        <v>#VALUE!</v>
      </c>
      <c r="EX71" s="817" t="str">
        <f t="shared" si="101"/>
        <v/>
      </c>
      <c r="EY71" s="818" t="e">
        <f t="shared" si="102"/>
        <v>#DIV/0!</v>
      </c>
      <c r="EZ71" s="893" t="e">
        <f t="shared" si="103"/>
        <v>#DIV/0!</v>
      </c>
      <c r="FA71" s="894" t="e">
        <f t="shared" si="104"/>
        <v>#DIV/0!</v>
      </c>
      <c r="FB71" s="819" t="str">
        <f t="shared" si="105"/>
        <v/>
      </c>
      <c r="FC71" s="820" t="str">
        <f t="shared" si="106"/>
        <v/>
      </c>
      <c r="FD71" s="829">
        <f t="shared" si="107"/>
        <v>0</v>
      </c>
      <c r="FE71" s="774">
        <f t="shared" si="108"/>
        <v>0</v>
      </c>
      <c r="FF71" s="704" t="b">
        <f t="shared" si="109"/>
        <v>0</v>
      </c>
      <c r="FG71" s="704" t="b">
        <f t="shared" si="110"/>
        <v>0</v>
      </c>
      <c r="FH71" s="704" t="b">
        <f t="shared" si="111"/>
        <v>0</v>
      </c>
      <c r="FI71" s="704" t="b">
        <f t="shared" si="112"/>
        <v>0</v>
      </c>
      <c r="FJ71" s="849" t="str">
        <f t="shared" si="126"/>
        <v/>
      </c>
      <c r="FK71" s="848" t="str">
        <f t="shared" si="127"/>
        <v/>
      </c>
      <c r="FL71" s="242" t="e">
        <f t="shared" si="128"/>
        <v>#N/A</v>
      </c>
      <c r="FM71" s="234" t="str">
        <f t="shared" si="113"/>
        <v/>
      </c>
      <c r="FN71" s="191" t="str">
        <f t="shared" ca="1" si="129"/>
        <v/>
      </c>
      <c r="FO71" s="192" t="str">
        <f t="shared" ca="1" si="130"/>
        <v/>
      </c>
      <c r="FP71" s="193" t="str">
        <f t="shared" ca="1" si="131"/>
        <v/>
      </c>
      <c r="FQ71" s="193" t="str">
        <f t="shared" ca="1" si="132"/>
        <v/>
      </c>
      <c r="FR71" s="243">
        <f t="shared" ca="1" si="133"/>
        <v>0</v>
      </c>
      <c r="FS71" s="244">
        <f t="shared" ca="1" si="134"/>
        <v>0</v>
      </c>
      <c r="FT71" s="191" t="str">
        <f t="shared" ca="1" si="135"/>
        <v/>
      </c>
      <c r="FU71" s="194" t="str">
        <f t="shared" ca="1" si="136"/>
        <v/>
      </c>
      <c r="FV71" s="245" t="str">
        <f t="shared" ca="1" si="114"/>
        <v/>
      </c>
      <c r="FW71" s="195" t="str">
        <f t="shared" ca="1" si="137"/>
        <v/>
      </c>
      <c r="FX71" s="195" t="str">
        <f t="shared" ca="1" si="138"/>
        <v/>
      </c>
      <c r="FY71" s="195" t="str">
        <f t="shared" ca="1" si="139"/>
        <v/>
      </c>
      <c r="FZ71" s="195" t="str">
        <f t="shared" ca="1" si="140"/>
        <v/>
      </c>
      <c r="GA71" s="195" t="str">
        <f t="shared" ca="1" si="141"/>
        <v/>
      </c>
      <c r="GB71" s="196" t="str">
        <f ca="1">IF(FY71="","",2+SUM(FO71:OFFSET(FO71,(FU71-1)*-1,0)))</f>
        <v/>
      </c>
      <c r="GC71" s="238" t="e">
        <f t="shared" si="142"/>
        <v>#N/A</v>
      </c>
      <c r="GD71" s="246" t="str">
        <f t="shared" si="115"/>
        <v/>
      </c>
      <c r="GE71" s="247" t="str">
        <f t="shared" si="116"/>
        <v/>
      </c>
      <c r="GF71" s="197" t="str">
        <f t="shared" si="117"/>
        <v/>
      </c>
      <c r="GG71" s="198" t="str">
        <f t="shared" si="118"/>
        <v/>
      </c>
      <c r="GH71" s="198" t="str">
        <f t="shared" si="119"/>
        <v/>
      </c>
      <c r="GI71" s="199" t="str">
        <f t="shared" si="120"/>
        <v/>
      </c>
      <c r="GJ71" s="473">
        <f t="shared" ca="1" si="121"/>
        <v>0</v>
      </c>
      <c r="GK71" s="834" t="str">
        <f t="shared" si="143"/>
        <v/>
      </c>
    </row>
    <row r="72" spans="78:193" ht="12.6" hidden="1" customHeight="1" x14ac:dyDescent="0.2">
      <c r="BZ72" s="214"/>
      <c r="CA72" s="214"/>
      <c r="CB72" s="289" t="str">
        <f t="shared" si="49"/>
        <v/>
      </c>
      <c r="CC72" s="290" t="str">
        <f>IF(CG32="","",VLOOKUP(CG32,#REF!,12,FALSE))</f>
        <v/>
      </c>
      <c r="CD72" s="1219" t="str">
        <f>IF(ISBLANK(CN32),IF(CG32="","",VLOOKUP(CG32,#REF!,13,FALSE)),CN32)</f>
        <v/>
      </c>
      <c r="CE72" s="1219" t="str">
        <f>IF(CG32="","",IF(VLOOKUP(CG32,#REF!,5,FALSE)="","R",UPPER(VLOOKUP(CG32,#REF!,5,FALSE))))</f>
        <v/>
      </c>
      <c r="CF72" s="1219" t="str">
        <f>IF(ISBLANK(CP32),IF(CG32="","",VLOOKUP(CG32,#REF!,6,FALSE)),CP32)</f>
        <v/>
      </c>
      <c r="CG72" s="1219" t="str">
        <f>IF(CG32="","",IF(VLOOKUP(CG32,#REF!,10,FALSE)="","",(VLOOKUP(CG32,#REF!,10,FALSE)*-1)))</f>
        <v/>
      </c>
      <c r="CH72" s="1219" t="str">
        <f>IF(CG32="","",IF(VLOOKUP(CG32,#REF!,7,FALSE)="","",(VLOOKUP(CG32,#REF!,7,FALSE)*-1)))</f>
        <v/>
      </c>
      <c r="CI72" s="1219" t="str">
        <f>IF(CG32="","",IF(VLOOKUP(CG32,#REF!,8,FALSE)="",$FC$4,(VLOOKUP(CG32,#REF!,8,FALSE))))</f>
        <v/>
      </c>
      <c r="CJ72" s="1219" t="str">
        <f>IF(CG32="","",VLOOKUP(CG32,#REF!,9,FALSE))</f>
        <v/>
      </c>
      <c r="CK72" s="1220">
        <f t="shared" si="50"/>
        <v>0</v>
      </c>
      <c r="CL72" s="1218" t="str">
        <f>IF(CQ32="","",VLOOKUP(CQ32,#REF!,12,FALSE))</f>
        <v/>
      </c>
      <c r="CM72" s="1219" t="str">
        <f>IF(ISBLANK(CX32),IF(CQ32="","",VLOOKUP(CQ32,#REF!,13,FALSE)),CX32)</f>
        <v/>
      </c>
      <c r="CN72" s="1219" t="str">
        <f>IF(CQ32="","",IF(VLOOKUP(CQ32,#REF!,5,FALSE)="","R",UPPER(VLOOKUP(CQ32,#REF!,5,FALSE))))</f>
        <v/>
      </c>
      <c r="CO72" s="1219" t="str">
        <f>IF(ISBLANK(CZ32),IF(CQ32="","",VLOOKUP(CQ32,#REF!,6,FALSE)),CZ32)</f>
        <v/>
      </c>
      <c r="CP72" s="1219" t="str">
        <f>IF(CQ32="","",IF(VLOOKUP(CQ32,#REF!,10,FALSE)="","",(VLOOKUP(CQ32,#REF!,10,FALSE)*-1)))</f>
        <v/>
      </c>
      <c r="CQ72" s="1219" t="str">
        <f>IF(CQ32="","",IF(VLOOKUP(CQ32,#REF!,7,FALSE)="","",(VLOOKUP(CQ32,#REF!,7,FALSE)*-1)))</f>
        <v/>
      </c>
      <c r="CR72" s="1219" t="str">
        <f>IF(CQ32="","",IF(VLOOKUP(CQ32,#REF!,8,FALSE)="",$FC$4,(VLOOKUP(CQ32,#REF!,8,FALSE))))</f>
        <v/>
      </c>
      <c r="CS72" s="1219" t="str">
        <f>IF(CQ32="","",VLOOKUP(CQ32,#REF!,9,FALSE))</f>
        <v/>
      </c>
      <c r="CT72" s="1220">
        <f t="shared" si="51"/>
        <v>0</v>
      </c>
      <c r="CU72" s="1230">
        <f t="shared" si="52"/>
        <v>0</v>
      </c>
      <c r="CV72" s="1224" t="str">
        <f t="shared" si="53"/>
        <v/>
      </c>
      <c r="CW72" s="1224" t="str">
        <f t="shared" si="54"/>
        <v/>
      </c>
      <c r="CX72" s="1224" t="str">
        <f t="shared" si="55"/>
        <v/>
      </c>
      <c r="CY72" s="1226">
        <f t="shared" si="56"/>
        <v>0</v>
      </c>
      <c r="CZ72" s="1226" t="e">
        <f t="shared" si="57"/>
        <v>#REF!</v>
      </c>
      <c r="DA72" s="1226" t="str">
        <f t="shared" si="58"/>
        <v/>
      </c>
      <c r="DB72" s="1224" t="str">
        <f t="shared" si="122"/>
        <v/>
      </c>
      <c r="DC72" s="1224" t="str">
        <f t="shared" si="59"/>
        <v/>
      </c>
      <c r="DD72" s="814">
        <f t="shared" si="123"/>
        <v>0</v>
      </c>
      <c r="DE72" s="812">
        <f t="shared" si="60"/>
        <v>0</v>
      </c>
      <c r="DF72" s="813" t="e">
        <f t="shared" si="61"/>
        <v>#REF!</v>
      </c>
      <c r="DG72" s="813" t="str">
        <f t="shared" si="62"/>
        <v/>
      </c>
      <c r="DH72" s="1224" t="str">
        <f t="shared" si="124"/>
        <v/>
      </c>
      <c r="DI72" s="1224" t="str">
        <f t="shared" si="63"/>
        <v/>
      </c>
      <c r="DJ72" s="1225">
        <f t="shared" si="125"/>
        <v>0</v>
      </c>
      <c r="DK72" s="1224" t="str">
        <f t="shared" si="64"/>
        <v/>
      </c>
      <c r="DL72" s="1224" t="str">
        <f t="shared" si="65"/>
        <v/>
      </c>
      <c r="DM72" s="1224" t="str">
        <f t="shared" si="66"/>
        <v/>
      </c>
      <c r="DN72" s="1224" t="str">
        <f t="shared" si="67"/>
        <v/>
      </c>
      <c r="DO72" s="828" t="e">
        <f t="shared" si="68"/>
        <v>#REF!</v>
      </c>
      <c r="DP72" s="828" t="e">
        <f t="shared" si="69"/>
        <v>#REF!</v>
      </c>
      <c r="DQ72" s="1224" t="str">
        <f t="shared" si="70"/>
        <v/>
      </c>
      <c r="DR72" s="1224" t="str">
        <f t="shared" si="70"/>
        <v/>
      </c>
      <c r="DS72" s="1224" t="str">
        <f t="shared" si="71"/>
        <v/>
      </c>
      <c r="DT72" s="1224" t="str">
        <f t="shared" si="72"/>
        <v/>
      </c>
      <c r="DU72" s="1224" t="str">
        <f t="shared" si="73"/>
        <v/>
      </c>
      <c r="DV72" s="828" t="e">
        <f t="shared" si="74"/>
        <v>#REF!</v>
      </c>
      <c r="DW72" s="828" t="e">
        <f t="shared" si="75"/>
        <v>#REF!</v>
      </c>
      <c r="DX72" s="812" t="str">
        <f t="shared" si="76"/>
        <v/>
      </c>
      <c r="DY72" s="812" t="str">
        <f t="shared" si="76"/>
        <v/>
      </c>
      <c r="DZ72" s="812" t="str">
        <f t="shared" si="77"/>
        <v/>
      </c>
      <c r="EA72" s="812" t="str">
        <f t="shared" si="78"/>
        <v/>
      </c>
      <c r="EB72" s="815" t="str">
        <f t="shared" si="79"/>
        <v/>
      </c>
      <c r="EC72" s="816" t="str">
        <f t="shared" si="80"/>
        <v/>
      </c>
      <c r="ED72" s="815" t="str">
        <f t="shared" si="81"/>
        <v/>
      </c>
      <c r="EE72" s="815" t="str">
        <f t="shared" si="82"/>
        <v/>
      </c>
      <c r="EF72" s="815" t="str">
        <f t="shared" si="83"/>
        <v/>
      </c>
      <c r="EG72" s="815" t="str">
        <f t="shared" si="84"/>
        <v/>
      </c>
      <c r="EH72" s="815" t="str">
        <f t="shared" si="85"/>
        <v/>
      </c>
      <c r="EI72" s="815" t="str">
        <f t="shared" si="86"/>
        <v/>
      </c>
      <c r="EJ72" s="815" t="str">
        <f t="shared" si="87"/>
        <v/>
      </c>
      <c r="EK72" s="813">
        <f t="shared" si="88"/>
        <v>0</v>
      </c>
      <c r="EL72" s="813">
        <f t="shared" si="89"/>
        <v>0</v>
      </c>
      <c r="EM72" s="813">
        <f t="shared" si="90"/>
        <v>0</v>
      </c>
      <c r="EN72" s="813" t="e">
        <f t="shared" si="91"/>
        <v>#REF!</v>
      </c>
      <c r="EO72" s="812" t="str">
        <f t="shared" si="92"/>
        <v/>
      </c>
      <c r="EP72" s="813">
        <f t="shared" si="93"/>
        <v>0</v>
      </c>
      <c r="EQ72" s="813">
        <f t="shared" si="94"/>
        <v>0</v>
      </c>
      <c r="ER72" s="813">
        <f t="shared" si="95"/>
        <v>0</v>
      </c>
      <c r="ES72" s="813" t="e">
        <f t="shared" si="96"/>
        <v>#REF!</v>
      </c>
      <c r="ET72" s="812" t="str">
        <f t="shared" si="97"/>
        <v/>
      </c>
      <c r="EU72" s="812" t="e">
        <f t="shared" si="98"/>
        <v>#REF!</v>
      </c>
      <c r="EV72" s="815" t="e">
        <f t="shared" si="99"/>
        <v>#VALUE!</v>
      </c>
      <c r="EW72" s="815" t="e">
        <f t="shared" si="100"/>
        <v>#VALUE!</v>
      </c>
      <c r="EX72" s="817" t="str">
        <f t="shared" si="101"/>
        <v/>
      </c>
      <c r="EY72" s="818" t="e">
        <f t="shared" si="102"/>
        <v>#DIV/0!</v>
      </c>
      <c r="EZ72" s="893" t="e">
        <f t="shared" si="103"/>
        <v>#DIV/0!</v>
      </c>
      <c r="FA72" s="894" t="e">
        <f t="shared" si="104"/>
        <v>#DIV/0!</v>
      </c>
      <c r="FB72" s="819" t="str">
        <f t="shared" si="105"/>
        <v/>
      </c>
      <c r="FC72" s="820" t="str">
        <f t="shared" si="106"/>
        <v/>
      </c>
      <c r="FD72" s="829">
        <f t="shared" si="107"/>
        <v>0</v>
      </c>
      <c r="FE72" s="774">
        <f t="shared" si="108"/>
        <v>0</v>
      </c>
      <c r="FF72" s="703" t="b">
        <f t="shared" si="109"/>
        <v>0</v>
      </c>
      <c r="FG72" s="703" t="b">
        <f t="shared" si="110"/>
        <v>0</v>
      </c>
      <c r="FH72" s="703" t="b">
        <f t="shared" si="111"/>
        <v>0</v>
      </c>
      <c r="FI72" s="703" t="b">
        <f t="shared" si="112"/>
        <v>0</v>
      </c>
      <c r="FJ72" s="849" t="str">
        <f t="shared" si="126"/>
        <v/>
      </c>
      <c r="FK72" s="848" t="str">
        <f t="shared" si="127"/>
        <v/>
      </c>
      <c r="FL72" s="242" t="e">
        <f t="shared" si="128"/>
        <v>#N/A</v>
      </c>
      <c r="FM72" s="234" t="str">
        <f t="shared" si="113"/>
        <v/>
      </c>
      <c r="FN72" s="191" t="str">
        <f t="shared" ca="1" si="129"/>
        <v/>
      </c>
      <c r="FO72" s="192" t="str">
        <f t="shared" ca="1" si="130"/>
        <v/>
      </c>
      <c r="FP72" s="193" t="str">
        <f t="shared" ca="1" si="131"/>
        <v/>
      </c>
      <c r="FQ72" s="193" t="str">
        <f t="shared" ca="1" si="132"/>
        <v/>
      </c>
      <c r="FR72" s="243">
        <f t="shared" ca="1" si="133"/>
        <v>0</v>
      </c>
      <c r="FS72" s="244">
        <f t="shared" ca="1" si="134"/>
        <v>0</v>
      </c>
      <c r="FT72" s="191" t="str">
        <f t="shared" ca="1" si="135"/>
        <v/>
      </c>
      <c r="FU72" s="194" t="str">
        <f t="shared" ca="1" si="136"/>
        <v/>
      </c>
      <c r="FV72" s="245" t="str">
        <f t="shared" ca="1" si="114"/>
        <v/>
      </c>
      <c r="FW72" s="195" t="str">
        <f t="shared" ca="1" si="137"/>
        <v/>
      </c>
      <c r="FX72" s="195" t="str">
        <f t="shared" ca="1" si="138"/>
        <v/>
      </c>
      <c r="FY72" s="195" t="str">
        <f t="shared" ca="1" si="139"/>
        <v/>
      </c>
      <c r="FZ72" s="195" t="str">
        <f t="shared" ca="1" si="140"/>
        <v/>
      </c>
      <c r="GA72" s="195" t="str">
        <f t="shared" ca="1" si="141"/>
        <v/>
      </c>
      <c r="GB72" s="196" t="str">
        <f ca="1">IF(FY72="","",2+SUM(FO72:OFFSET(FO72,(FU72-1)*-1,0)))</f>
        <v/>
      </c>
      <c r="GC72" s="238" t="e">
        <f t="shared" si="142"/>
        <v>#N/A</v>
      </c>
      <c r="GD72" s="246" t="str">
        <f t="shared" si="115"/>
        <v/>
      </c>
      <c r="GE72" s="247" t="str">
        <f t="shared" si="116"/>
        <v/>
      </c>
      <c r="GF72" s="197" t="str">
        <f t="shared" si="117"/>
        <v/>
      </c>
      <c r="GG72" s="198" t="str">
        <f t="shared" si="118"/>
        <v/>
      </c>
      <c r="GH72" s="198" t="str">
        <f t="shared" si="119"/>
        <v/>
      </c>
      <c r="GI72" s="199" t="str">
        <f t="shared" si="120"/>
        <v/>
      </c>
      <c r="GJ72" s="473">
        <f t="shared" ca="1" si="121"/>
        <v>0</v>
      </c>
      <c r="GK72" s="834" t="str">
        <f t="shared" si="143"/>
        <v/>
      </c>
    </row>
    <row r="73" spans="78:193" ht="12.6" hidden="1" customHeight="1" x14ac:dyDescent="0.2">
      <c r="BZ73" s="214"/>
      <c r="CA73" s="214"/>
      <c r="CB73" s="289" t="str">
        <f t="shared" si="49"/>
        <v/>
      </c>
      <c r="CC73" s="290" t="str">
        <f>IF(CG33="","",VLOOKUP(CG33,#REF!,12,FALSE))</f>
        <v/>
      </c>
      <c r="CD73" s="1219" t="str">
        <f>IF(ISBLANK(CN33),IF(CG33="","",VLOOKUP(CG33,#REF!,13,FALSE)),CN33)</f>
        <v/>
      </c>
      <c r="CE73" s="1219" t="str">
        <f>IF(CG33="","",IF(VLOOKUP(CG33,#REF!,5,FALSE)="","R",UPPER(VLOOKUP(CG33,#REF!,5,FALSE))))</f>
        <v/>
      </c>
      <c r="CF73" s="1219" t="str">
        <f>IF(ISBLANK(CP33),IF(CG33="","",VLOOKUP(CG33,#REF!,6,FALSE)),CP33)</f>
        <v/>
      </c>
      <c r="CG73" s="1219" t="str">
        <f>IF(CG33="","",IF(VLOOKUP(CG33,#REF!,10,FALSE)="","",(VLOOKUP(CG33,#REF!,10,FALSE)*-1)))</f>
        <v/>
      </c>
      <c r="CH73" s="1219" t="str">
        <f>IF(CG33="","",IF(VLOOKUP(CG33,#REF!,7,FALSE)="","",(VLOOKUP(CG33,#REF!,7,FALSE)*-1)))</f>
        <v/>
      </c>
      <c r="CI73" s="1219" t="str">
        <f>IF(CG33="","",IF(VLOOKUP(CG33,#REF!,8,FALSE)="",$FC$4,(VLOOKUP(CG33,#REF!,8,FALSE))))</f>
        <v/>
      </c>
      <c r="CJ73" s="1219" t="str">
        <f>IF(CG33="","",VLOOKUP(CG33,#REF!,9,FALSE))</f>
        <v/>
      </c>
      <c r="CK73" s="1220">
        <f t="shared" si="50"/>
        <v>0</v>
      </c>
      <c r="CL73" s="1218" t="str">
        <f>IF(CQ33="","",VLOOKUP(CQ33,#REF!,12,FALSE))</f>
        <v/>
      </c>
      <c r="CM73" s="1219" t="str">
        <f>IF(ISBLANK(CX33),IF(CQ33="","",VLOOKUP(CQ33,#REF!,13,FALSE)),CX33)</f>
        <v/>
      </c>
      <c r="CN73" s="1219" t="str">
        <f>IF(CQ33="","",IF(VLOOKUP(CQ33,#REF!,5,FALSE)="","R",UPPER(VLOOKUP(CQ33,#REF!,5,FALSE))))</f>
        <v/>
      </c>
      <c r="CO73" s="1219" t="str">
        <f>IF(ISBLANK(CZ33),IF(CQ33="","",VLOOKUP(CQ33,#REF!,6,FALSE)),CZ33)</f>
        <v/>
      </c>
      <c r="CP73" s="1219" t="str">
        <f>IF(CQ33="","",IF(VLOOKUP(CQ33,#REF!,10,FALSE)="","",(VLOOKUP(CQ33,#REF!,10,FALSE)*-1)))</f>
        <v/>
      </c>
      <c r="CQ73" s="1219" t="str">
        <f>IF(CQ33="","",IF(VLOOKUP(CQ33,#REF!,7,FALSE)="","",(VLOOKUP(CQ33,#REF!,7,FALSE)*-1)))</f>
        <v/>
      </c>
      <c r="CR73" s="1219" t="str">
        <f>IF(CQ33="","",IF(VLOOKUP(CQ33,#REF!,8,FALSE)="",$FC$4,(VLOOKUP(CQ33,#REF!,8,FALSE))))</f>
        <v/>
      </c>
      <c r="CS73" s="1219" t="str">
        <f>IF(CQ33="","",VLOOKUP(CQ33,#REF!,9,FALSE))</f>
        <v/>
      </c>
      <c r="CT73" s="1220">
        <f t="shared" si="51"/>
        <v>0</v>
      </c>
      <c r="CU73" s="1230">
        <f t="shared" si="52"/>
        <v>0</v>
      </c>
      <c r="CV73" s="1224" t="str">
        <f t="shared" si="53"/>
        <v/>
      </c>
      <c r="CW73" s="1224" t="str">
        <f t="shared" si="54"/>
        <v/>
      </c>
      <c r="CX73" s="1224" t="str">
        <f t="shared" si="55"/>
        <v/>
      </c>
      <c r="CY73" s="1226">
        <f t="shared" si="56"/>
        <v>0</v>
      </c>
      <c r="CZ73" s="1226" t="e">
        <f t="shared" si="57"/>
        <v>#REF!</v>
      </c>
      <c r="DA73" s="1226" t="str">
        <f t="shared" si="58"/>
        <v/>
      </c>
      <c r="DB73" s="1224" t="str">
        <f t="shared" si="122"/>
        <v/>
      </c>
      <c r="DC73" s="1224" t="str">
        <f t="shared" si="59"/>
        <v/>
      </c>
      <c r="DD73" s="814">
        <f t="shared" si="123"/>
        <v>0</v>
      </c>
      <c r="DE73" s="812">
        <f t="shared" si="60"/>
        <v>0</v>
      </c>
      <c r="DF73" s="813" t="e">
        <f t="shared" si="61"/>
        <v>#REF!</v>
      </c>
      <c r="DG73" s="813" t="str">
        <f t="shared" si="62"/>
        <v/>
      </c>
      <c r="DH73" s="1224" t="str">
        <f t="shared" si="124"/>
        <v/>
      </c>
      <c r="DI73" s="1224" t="str">
        <f t="shared" si="63"/>
        <v/>
      </c>
      <c r="DJ73" s="1225">
        <f t="shared" si="125"/>
        <v>0</v>
      </c>
      <c r="DK73" s="1224" t="str">
        <f t="shared" si="64"/>
        <v/>
      </c>
      <c r="DL73" s="1224" t="str">
        <f t="shared" si="65"/>
        <v/>
      </c>
      <c r="DM73" s="1224" t="str">
        <f t="shared" si="66"/>
        <v/>
      </c>
      <c r="DN73" s="1224" t="str">
        <f t="shared" si="67"/>
        <v/>
      </c>
      <c r="DO73" s="828" t="e">
        <f t="shared" si="68"/>
        <v>#REF!</v>
      </c>
      <c r="DP73" s="828" t="e">
        <f t="shared" si="69"/>
        <v>#REF!</v>
      </c>
      <c r="DQ73" s="1224" t="str">
        <f t="shared" si="70"/>
        <v/>
      </c>
      <c r="DR73" s="1224" t="str">
        <f t="shared" si="70"/>
        <v/>
      </c>
      <c r="DS73" s="1224" t="str">
        <f t="shared" si="71"/>
        <v/>
      </c>
      <c r="DT73" s="1224" t="str">
        <f t="shared" si="72"/>
        <v/>
      </c>
      <c r="DU73" s="1224" t="str">
        <f t="shared" si="73"/>
        <v/>
      </c>
      <c r="DV73" s="828" t="e">
        <f t="shared" si="74"/>
        <v>#REF!</v>
      </c>
      <c r="DW73" s="828" t="e">
        <f t="shared" si="75"/>
        <v>#REF!</v>
      </c>
      <c r="DX73" s="812" t="str">
        <f t="shared" si="76"/>
        <v/>
      </c>
      <c r="DY73" s="812" t="str">
        <f t="shared" si="76"/>
        <v/>
      </c>
      <c r="DZ73" s="812" t="str">
        <f t="shared" si="77"/>
        <v/>
      </c>
      <c r="EA73" s="812" t="str">
        <f t="shared" si="78"/>
        <v/>
      </c>
      <c r="EB73" s="815" t="str">
        <f t="shared" si="79"/>
        <v/>
      </c>
      <c r="EC73" s="816" t="str">
        <f t="shared" si="80"/>
        <v/>
      </c>
      <c r="ED73" s="815" t="str">
        <f t="shared" si="81"/>
        <v/>
      </c>
      <c r="EE73" s="815" t="str">
        <f t="shared" si="82"/>
        <v/>
      </c>
      <c r="EF73" s="815" t="str">
        <f t="shared" si="83"/>
        <v/>
      </c>
      <c r="EG73" s="815" t="str">
        <f t="shared" si="84"/>
        <v/>
      </c>
      <c r="EH73" s="815" t="str">
        <f t="shared" si="85"/>
        <v/>
      </c>
      <c r="EI73" s="815" t="str">
        <f t="shared" si="86"/>
        <v/>
      </c>
      <c r="EJ73" s="815" t="str">
        <f t="shared" si="87"/>
        <v/>
      </c>
      <c r="EK73" s="813">
        <f t="shared" si="88"/>
        <v>0</v>
      </c>
      <c r="EL73" s="813">
        <f t="shared" si="89"/>
        <v>0</v>
      </c>
      <c r="EM73" s="813">
        <f t="shared" si="90"/>
        <v>0</v>
      </c>
      <c r="EN73" s="813" t="e">
        <f t="shared" si="91"/>
        <v>#REF!</v>
      </c>
      <c r="EO73" s="812" t="str">
        <f t="shared" si="92"/>
        <v/>
      </c>
      <c r="EP73" s="813">
        <f t="shared" si="93"/>
        <v>0</v>
      </c>
      <c r="EQ73" s="813">
        <f t="shared" si="94"/>
        <v>0</v>
      </c>
      <c r="ER73" s="813">
        <f t="shared" si="95"/>
        <v>0</v>
      </c>
      <c r="ES73" s="813" t="e">
        <f t="shared" si="96"/>
        <v>#REF!</v>
      </c>
      <c r="ET73" s="812" t="str">
        <f t="shared" si="97"/>
        <v/>
      </c>
      <c r="EU73" s="812" t="e">
        <f t="shared" si="98"/>
        <v>#REF!</v>
      </c>
      <c r="EV73" s="815" t="e">
        <f t="shared" si="99"/>
        <v>#VALUE!</v>
      </c>
      <c r="EW73" s="815" t="e">
        <f t="shared" si="100"/>
        <v>#VALUE!</v>
      </c>
      <c r="EX73" s="817" t="str">
        <f t="shared" si="101"/>
        <v/>
      </c>
      <c r="EY73" s="818" t="e">
        <f t="shared" si="102"/>
        <v>#DIV/0!</v>
      </c>
      <c r="EZ73" s="893" t="e">
        <f t="shared" si="103"/>
        <v>#DIV/0!</v>
      </c>
      <c r="FA73" s="894" t="e">
        <f t="shared" si="104"/>
        <v>#DIV/0!</v>
      </c>
      <c r="FB73" s="819" t="str">
        <f t="shared" si="105"/>
        <v/>
      </c>
      <c r="FC73" s="820" t="str">
        <f t="shared" si="106"/>
        <v/>
      </c>
      <c r="FD73" s="829">
        <f t="shared" si="107"/>
        <v>0</v>
      </c>
      <c r="FE73" s="774">
        <f t="shared" si="108"/>
        <v>0</v>
      </c>
      <c r="FF73" s="703" t="b">
        <f t="shared" si="109"/>
        <v>0</v>
      </c>
      <c r="FG73" s="703" t="b">
        <f t="shared" si="110"/>
        <v>0</v>
      </c>
      <c r="FH73" s="703" t="b">
        <f t="shared" si="111"/>
        <v>0</v>
      </c>
      <c r="FI73" s="703" t="b">
        <f t="shared" si="112"/>
        <v>0</v>
      </c>
      <c r="FJ73" s="849" t="str">
        <f t="shared" si="126"/>
        <v/>
      </c>
      <c r="FK73" s="848" t="str">
        <f t="shared" si="127"/>
        <v/>
      </c>
      <c r="FL73" s="242" t="e">
        <f t="shared" si="128"/>
        <v>#N/A</v>
      </c>
      <c r="FM73" s="234" t="str">
        <f t="shared" si="113"/>
        <v/>
      </c>
      <c r="FN73" s="191" t="str">
        <f t="shared" ca="1" si="129"/>
        <v/>
      </c>
      <c r="FO73" s="192" t="str">
        <f t="shared" ca="1" si="130"/>
        <v/>
      </c>
      <c r="FP73" s="193" t="str">
        <f t="shared" ca="1" si="131"/>
        <v/>
      </c>
      <c r="FQ73" s="193" t="str">
        <f t="shared" ca="1" si="132"/>
        <v/>
      </c>
      <c r="FR73" s="243">
        <f t="shared" ca="1" si="133"/>
        <v>0</v>
      </c>
      <c r="FS73" s="244">
        <f t="shared" ca="1" si="134"/>
        <v>0</v>
      </c>
      <c r="FT73" s="191" t="str">
        <f t="shared" ca="1" si="135"/>
        <v/>
      </c>
      <c r="FU73" s="194" t="str">
        <f t="shared" ca="1" si="136"/>
        <v/>
      </c>
      <c r="FV73" s="245" t="str">
        <f t="shared" ca="1" si="114"/>
        <v/>
      </c>
      <c r="FW73" s="195" t="str">
        <f t="shared" ca="1" si="137"/>
        <v/>
      </c>
      <c r="FX73" s="195" t="str">
        <f t="shared" ca="1" si="138"/>
        <v/>
      </c>
      <c r="FY73" s="195" t="str">
        <f t="shared" ca="1" si="139"/>
        <v/>
      </c>
      <c r="FZ73" s="195" t="str">
        <f t="shared" ca="1" si="140"/>
        <v/>
      </c>
      <c r="GA73" s="195" t="str">
        <f t="shared" ca="1" si="141"/>
        <v/>
      </c>
      <c r="GB73" s="196" t="str">
        <f ca="1">IF(FY73="","",2+SUM(FO73:OFFSET(FO73,(FU73-1)*-1,0)))</f>
        <v/>
      </c>
      <c r="GC73" s="238" t="e">
        <f t="shared" si="142"/>
        <v>#N/A</v>
      </c>
      <c r="GD73" s="246" t="str">
        <f t="shared" si="115"/>
        <v/>
      </c>
      <c r="GE73" s="247" t="str">
        <f t="shared" si="116"/>
        <v/>
      </c>
      <c r="GF73" s="197" t="str">
        <f t="shared" si="117"/>
        <v/>
      </c>
      <c r="GG73" s="198" t="str">
        <f t="shared" si="118"/>
        <v/>
      </c>
      <c r="GH73" s="198" t="str">
        <f t="shared" si="119"/>
        <v/>
      </c>
      <c r="GI73" s="199" t="str">
        <f t="shared" si="120"/>
        <v/>
      </c>
      <c r="GJ73" s="473">
        <f t="shared" ca="1" si="121"/>
        <v>0</v>
      </c>
      <c r="GK73" s="834" t="str">
        <f t="shared" si="143"/>
        <v/>
      </c>
    </row>
    <row r="74" spans="78:193" ht="12.6" hidden="1" customHeight="1" x14ac:dyDescent="0.2">
      <c r="BZ74" s="214"/>
      <c r="CA74" s="214"/>
      <c r="CB74" s="289" t="str">
        <f t="shared" si="49"/>
        <v/>
      </c>
      <c r="CC74" s="290" t="str">
        <f>IF(CG34="","",VLOOKUP(CG34,#REF!,12,FALSE))</f>
        <v/>
      </c>
      <c r="CD74" s="1219" t="str">
        <f>IF(ISBLANK(CN34),IF(CG34="","",VLOOKUP(CG34,#REF!,13,FALSE)),CN34)</f>
        <v/>
      </c>
      <c r="CE74" s="1219" t="str">
        <f>IF(CG34="","",IF(VLOOKUP(CG34,#REF!,5,FALSE)="","R",UPPER(VLOOKUP(CG34,#REF!,5,FALSE))))</f>
        <v/>
      </c>
      <c r="CF74" s="1219" t="str">
        <f>IF(ISBLANK(CP34),IF(CG34="","",VLOOKUP(CG34,#REF!,6,FALSE)),CP34)</f>
        <v/>
      </c>
      <c r="CG74" s="1219" t="str">
        <f>IF(CG34="","",IF(VLOOKUP(CG34,#REF!,10,FALSE)="","",(VLOOKUP(CG34,#REF!,10,FALSE)*-1)))</f>
        <v/>
      </c>
      <c r="CH74" s="1219" t="str">
        <f>IF(CG34="","",IF(VLOOKUP(CG34,#REF!,7,FALSE)="","",(VLOOKUP(CG34,#REF!,7,FALSE)*-1)))</f>
        <v/>
      </c>
      <c r="CI74" s="1219" t="str">
        <f>IF(CG34="","",IF(VLOOKUP(CG34,#REF!,8,FALSE)="",$FC$4,(VLOOKUP(CG34,#REF!,8,FALSE))))</f>
        <v/>
      </c>
      <c r="CJ74" s="1219" t="str">
        <f>IF(CG34="","",VLOOKUP(CG34,#REF!,9,FALSE))</f>
        <v/>
      </c>
      <c r="CK74" s="1220">
        <f t="shared" si="50"/>
        <v>0</v>
      </c>
      <c r="CL74" s="1218" t="str">
        <f>IF(CQ34="","",VLOOKUP(CQ34,#REF!,12,FALSE))</f>
        <v/>
      </c>
      <c r="CM74" s="1219" t="str">
        <f>IF(ISBLANK(CX34),IF(CQ34="","",VLOOKUP(CQ34,#REF!,13,FALSE)),CX34)</f>
        <v/>
      </c>
      <c r="CN74" s="1219" t="str">
        <f>IF(CQ34="","",IF(VLOOKUP(CQ34,#REF!,5,FALSE)="","R",UPPER(VLOOKUP(CQ34,#REF!,5,FALSE))))</f>
        <v/>
      </c>
      <c r="CO74" s="1219" t="str">
        <f>IF(ISBLANK(CZ34),IF(CQ34="","",VLOOKUP(CQ34,#REF!,6,FALSE)),CZ34)</f>
        <v/>
      </c>
      <c r="CP74" s="1219" t="str">
        <f>IF(CQ34="","",IF(VLOOKUP(CQ34,#REF!,10,FALSE)="","",(VLOOKUP(CQ34,#REF!,10,FALSE)*-1)))</f>
        <v/>
      </c>
      <c r="CQ74" s="1219" t="str">
        <f>IF(CQ34="","",IF(VLOOKUP(CQ34,#REF!,7,FALSE)="","",(VLOOKUP(CQ34,#REF!,7,FALSE)*-1)))</f>
        <v/>
      </c>
      <c r="CR74" s="1219" t="str">
        <f>IF(CQ34="","",IF(VLOOKUP(CQ34,#REF!,8,FALSE)="",$FC$4,(VLOOKUP(CQ34,#REF!,8,FALSE))))</f>
        <v/>
      </c>
      <c r="CS74" s="1219" t="str">
        <f>IF(CQ34="","",VLOOKUP(CQ34,#REF!,9,FALSE))</f>
        <v/>
      </c>
      <c r="CT74" s="1220">
        <f t="shared" si="51"/>
        <v>0</v>
      </c>
      <c r="CU74" s="1230">
        <f t="shared" si="52"/>
        <v>0</v>
      </c>
      <c r="CV74" s="1224" t="str">
        <f t="shared" si="53"/>
        <v/>
      </c>
      <c r="CW74" s="1224" t="str">
        <f t="shared" si="54"/>
        <v/>
      </c>
      <c r="CX74" s="1224" t="str">
        <f t="shared" si="55"/>
        <v/>
      </c>
      <c r="CY74" s="1226">
        <f t="shared" si="56"/>
        <v>0</v>
      </c>
      <c r="CZ74" s="1226" t="e">
        <f t="shared" si="57"/>
        <v>#REF!</v>
      </c>
      <c r="DA74" s="1226" t="str">
        <f t="shared" si="58"/>
        <v/>
      </c>
      <c r="DB74" s="1224" t="str">
        <f t="shared" si="122"/>
        <v/>
      </c>
      <c r="DC74" s="1224" t="str">
        <f t="shared" si="59"/>
        <v/>
      </c>
      <c r="DD74" s="814">
        <f t="shared" si="123"/>
        <v>0</v>
      </c>
      <c r="DE74" s="812">
        <f t="shared" si="60"/>
        <v>0</v>
      </c>
      <c r="DF74" s="813" t="e">
        <f t="shared" si="61"/>
        <v>#REF!</v>
      </c>
      <c r="DG74" s="813" t="str">
        <f t="shared" si="62"/>
        <v/>
      </c>
      <c r="DH74" s="1224" t="str">
        <f t="shared" si="124"/>
        <v/>
      </c>
      <c r="DI74" s="1224" t="str">
        <f t="shared" si="63"/>
        <v/>
      </c>
      <c r="DJ74" s="1225">
        <f t="shared" si="125"/>
        <v>0</v>
      </c>
      <c r="DK74" s="1224" t="str">
        <f t="shared" si="64"/>
        <v/>
      </c>
      <c r="DL74" s="1224" t="str">
        <f t="shared" si="65"/>
        <v/>
      </c>
      <c r="DM74" s="1224" t="str">
        <f t="shared" si="66"/>
        <v/>
      </c>
      <c r="DN74" s="1224" t="str">
        <f t="shared" si="67"/>
        <v/>
      </c>
      <c r="DO74" s="828" t="e">
        <f t="shared" si="68"/>
        <v>#REF!</v>
      </c>
      <c r="DP74" s="828" t="e">
        <f t="shared" si="69"/>
        <v>#REF!</v>
      </c>
      <c r="DQ74" s="1224" t="str">
        <f t="shared" si="70"/>
        <v/>
      </c>
      <c r="DR74" s="1224" t="str">
        <f t="shared" si="70"/>
        <v/>
      </c>
      <c r="DS74" s="1224" t="str">
        <f t="shared" si="71"/>
        <v/>
      </c>
      <c r="DT74" s="1224" t="str">
        <f t="shared" si="72"/>
        <v/>
      </c>
      <c r="DU74" s="1224" t="str">
        <f t="shared" si="73"/>
        <v/>
      </c>
      <c r="DV74" s="828" t="e">
        <f t="shared" si="74"/>
        <v>#REF!</v>
      </c>
      <c r="DW74" s="828" t="e">
        <f t="shared" si="75"/>
        <v>#REF!</v>
      </c>
      <c r="DX74" s="812" t="str">
        <f t="shared" si="76"/>
        <v/>
      </c>
      <c r="DY74" s="812" t="str">
        <f t="shared" si="76"/>
        <v/>
      </c>
      <c r="DZ74" s="812" t="str">
        <f t="shared" si="77"/>
        <v/>
      </c>
      <c r="EA74" s="812" t="str">
        <f t="shared" si="78"/>
        <v/>
      </c>
      <c r="EB74" s="815" t="str">
        <f t="shared" si="79"/>
        <v/>
      </c>
      <c r="EC74" s="816" t="str">
        <f t="shared" si="80"/>
        <v/>
      </c>
      <c r="ED74" s="815" t="str">
        <f t="shared" si="81"/>
        <v/>
      </c>
      <c r="EE74" s="815" t="str">
        <f t="shared" si="82"/>
        <v/>
      </c>
      <c r="EF74" s="815" t="str">
        <f t="shared" si="83"/>
        <v/>
      </c>
      <c r="EG74" s="815" t="str">
        <f t="shared" si="84"/>
        <v/>
      </c>
      <c r="EH74" s="815" t="str">
        <f t="shared" si="85"/>
        <v/>
      </c>
      <c r="EI74" s="815" t="str">
        <f t="shared" si="86"/>
        <v/>
      </c>
      <c r="EJ74" s="815" t="str">
        <f t="shared" si="87"/>
        <v/>
      </c>
      <c r="EK74" s="813">
        <f t="shared" si="88"/>
        <v>0</v>
      </c>
      <c r="EL74" s="813">
        <f t="shared" si="89"/>
        <v>0</v>
      </c>
      <c r="EM74" s="813">
        <f t="shared" si="90"/>
        <v>0</v>
      </c>
      <c r="EN74" s="813" t="e">
        <f t="shared" si="91"/>
        <v>#REF!</v>
      </c>
      <c r="EO74" s="812" t="str">
        <f t="shared" si="92"/>
        <v/>
      </c>
      <c r="EP74" s="813">
        <f t="shared" si="93"/>
        <v>0</v>
      </c>
      <c r="EQ74" s="813">
        <f t="shared" si="94"/>
        <v>0</v>
      </c>
      <c r="ER74" s="813">
        <f t="shared" si="95"/>
        <v>0</v>
      </c>
      <c r="ES74" s="813" t="e">
        <f t="shared" si="96"/>
        <v>#REF!</v>
      </c>
      <c r="ET74" s="812" t="str">
        <f t="shared" si="97"/>
        <v/>
      </c>
      <c r="EU74" s="812" t="e">
        <f t="shared" si="98"/>
        <v>#REF!</v>
      </c>
      <c r="EV74" s="815" t="e">
        <f t="shared" si="99"/>
        <v>#VALUE!</v>
      </c>
      <c r="EW74" s="815" t="e">
        <f t="shared" si="100"/>
        <v>#VALUE!</v>
      </c>
      <c r="EX74" s="817" t="str">
        <f t="shared" si="101"/>
        <v/>
      </c>
      <c r="EY74" s="818" t="e">
        <f t="shared" si="102"/>
        <v>#DIV/0!</v>
      </c>
      <c r="EZ74" s="893" t="e">
        <f t="shared" si="103"/>
        <v>#DIV/0!</v>
      </c>
      <c r="FA74" s="894" t="e">
        <f t="shared" si="104"/>
        <v>#DIV/0!</v>
      </c>
      <c r="FB74" s="819" t="str">
        <f t="shared" si="105"/>
        <v/>
      </c>
      <c r="FC74" s="820" t="str">
        <f t="shared" si="106"/>
        <v/>
      </c>
      <c r="FD74" s="829">
        <f t="shared" si="107"/>
        <v>0</v>
      </c>
      <c r="FE74" s="774">
        <f t="shared" si="108"/>
        <v>0</v>
      </c>
      <c r="FF74" s="703" t="b">
        <f t="shared" si="109"/>
        <v>0</v>
      </c>
      <c r="FG74" s="703" t="b">
        <f t="shared" si="110"/>
        <v>0</v>
      </c>
      <c r="FH74" s="703" t="b">
        <f t="shared" si="111"/>
        <v>0</v>
      </c>
      <c r="FI74" s="703" t="b">
        <f t="shared" si="112"/>
        <v>0</v>
      </c>
      <c r="FJ74" s="849" t="str">
        <f t="shared" si="126"/>
        <v/>
      </c>
      <c r="FK74" s="848" t="str">
        <f t="shared" si="127"/>
        <v/>
      </c>
      <c r="FL74" s="242" t="e">
        <f t="shared" si="128"/>
        <v>#N/A</v>
      </c>
      <c r="FM74" s="234" t="str">
        <f t="shared" si="113"/>
        <v/>
      </c>
      <c r="FN74" s="191" t="str">
        <f t="shared" ca="1" si="129"/>
        <v/>
      </c>
      <c r="FO74" s="192" t="str">
        <f t="shared" ca="1" si="130"/>
        <v/>
      </c>
      <c r="FP74" s="193" t="str">
        <f t="shared" ca="1" si="131"/>
        <v/>
      </c>
      <c r="FQ74" s="193" t="str">
        <f t="shared" ca="1" si="132"/>
        <v/>
      </c>
      <c r="FR74" s="243">
        <f t="shared" ca="1" si="133"/>
        <v>0</v>
      </c>
      <c r="FS74" s="244">
        <f t="shared" ca="1" si="134"/>
        <v>0</v>
      </c>
      <c r="FT74" s="191" t="str">
        <f t="shared" ca="1" si="135"/>
        <v/>
      </c>
      <c r="FU74" s="194" t="str">
        <f t="shared" ca="1" si="136"/>
        <v/>
      </c>
      <c r="FV74" s="245" t="str">
        <f t="shared" ca="1" si="114"/>
        <v/>
      </c>
      <c r="FW74" s="195" t="str">
        <f t="shared" ca="1" si="137"/>
        <v/>
      </c>
      <c r="FX74" s="195" t="str">
        <f t="shared" ca="1" si="138"/>
        <v/>
      </c>
      <c r="FY74" s="195" t="str">
        <f t="shared" ca="1" si="139"/>
        <v/>
      </c>
      <c r="FZ74" s="195" t="str">
        <f t="shared" ca="1" si="140"/>
        <v/>
      </c>
      <c r="GA74" s="195" t="str">
        <f t="shared" ca="1" si="141"/>
        <v/>
      </c>
      <c r="GB74" s="196" t="str">
        <f ca="1">IF(FY74="","",2+SUM(FO74:OFFSET(FO74,(FU74-1)*-1,0)))</f>
        <v/>
      </c>
      <c r="GC74" s="238" t="e">
        <f t="shared" si="142"/>
        <v>#N/A</v>
      </c>
      <c r="GD74" s="246" t="str">
        <f t="shared" si="115"/>
        <v/>
      </c>
      <c r="GE74" s="247" t="str">
        <f t="shared" si="116"/>
        <v/>
      </c>
      <c r="GF74" s="197" t="str">
        <f t="shared" si="117"/>
        <v/>
      </c>
      <c r="GG74" s="198" t="str">
        <f t="shared" si="118"/>
        <v/>
      </c>
      <c r="GH74" s="198" t="str">
        <f t="shared" si="119"/>
        <v/>
      </c>
      <c r="GI74" s="199" t="str">
        <f t="shared" si="120"/>
        <v/>
      </c>
      <c r="GJ74" s="473">
        <f t="shared" ca="1" si="121"/>
        <v>0</v>
      </c>
      <c r="GK74" s="834" t="str">
        <f t="shared" si="143"/>
        <v/>
      </c>
    </row>
    <row r="75" spans="78:193" ht="12.6" hidden="1" customHeight="1" x14ac:dyDescent="0.2">
      <c r="BZ75" s="214"/>
      <c r="CA75" s="214"/>
      <c r="CB75" s="289" t="str">
        <f t="shared" si="49"/>
        <v/>
      </c>
      <c r="CC75" s="290" t="str">
        <f>IF(CG35="","",VLOOKUP(CG35,#REF!,12,FALSE))</f>
        <v/>
      </c>
      <c r="CD75" s="1219" t="str">
        <f>IF(ISBLANK(CN35),IF(CG35="","",VLOOKUP(CG35,#REF!,13,FALSE)),CN35)</f>
        <v/>
      </c>
      <c r="CE75" s="1219" t="str">
        <f>IF(CG35="","",IF(VLOOKUP(CG35,#REF!,5,FALSE)="","R",UPPER(VLOOKUP(CG35,#REF!,5,FALSE))))</f>
        <v/>
      </c>
      <c r="CF75" s="1219" t="str">
        <f>IF(ISBLANK(CP35),IF(CG35="","",VLOOKUP(CG35,#REF!,6,FALSE)),CP35)</f>
        <v/>
      </c>
      <c r="CG75" s="1219" t="str">
        <f>IF(CG35="","",IF(VLOOKUP(CG35,#REF!,10,FALSE)="","",(VLOOKUP(CG35,#REF!,10,FALSE)*-1)))</f>
        <v/>
      </c>
      <c r="CH75" s="1219" t="str">
        <f>IF(CG35="","",IF(VLOOKUP(CG35,#REF!,7,FALSE)="","",(VLOOKUP(CG35,#REF!,7,FALSE)*-1)))</f>
        <v/>
      </c>
      <c r="CI75" s="1219" t="str">
        <f>IF(CG35="","",IF(VLOOKUP(CG35,#REF!,8,FALSE)="",$FC$4,(VLOOKUP(CG35,#REF!,8,FALSE))))</f>
        <v/>
      </c>
      <c r="CJ75" s="1219" t="str">
        <f>IF(CG35="","",VLOOKUP(CG35,#REF!,9,FALSE))</f>
        <v/>
      </c>
      <c r="CK75" s="1220">
        <f t="shared" si="50"/>
        <v>0</v>
      </c>
      <c r="CL75" s="1218" t="str">
        <f>IF(CQ35="","",VLOOKUP(CQ35,#REF!,12,FALSE))</f>
        <v/>
      </c>
      <c r="CM75" s="1219" t="str">
        <f>IF(ISBLANK(CX35),IF(CQ35="","",VLOOKUP(CQ35,#REF!,13,FALSE)),CX35)</f>
        <v/>
      </c>
      <c r="CN75" s="1219" t="str">
        <f>IF(CQ35="","",IF(VLOOKUP(CQ35,#REF!,5,FALSE)="","R",UPPER(VLOOKUP(CQ35,#REF!,5,FALSE))))</f>
        <v/>
      </c>
      <c r="CO75" s="1219" t="str">
        <f>IF(ISBLANK(CZ35),IF(CQ35="","",VLOOKUP(CQ35,#REF!,6,FALSE)),CZ35)</f>
        <v/>
      </c>
      <c r="CP75" s="1219" t="str">
        <f>IF(CQ35="","",IF(VLOOKUP(CQ35,#REF!,10,FALSE)="","",(VLOOKUP(CQ35,#REF!,10,FALSE)*-1)))</f>
        <v/>
      </c>
      <c r="CQ75" s="1219" t="str">
        <f>IF(CQ35="","",IF(VLOOKUP(CQ35,#REF!,7,FALSE)="","",(VLOOKUP(CQ35,#REF!,7,FALSE)*-1)))</f>
        <v/>
      </c>
      <c r="CR75" s="1219" t="str">
        <f>IF(CQ35="","",IF(VLOOKUP(CQ35,#REF!,8,FALSE)="",$FC$4,(VLOOKUP(CQ35,#REF!,8,FALSE))))</f>
        <v/>
      </c>
      <c r="CS75" s="1219" t="str">
        <f>IF(CQ35="","",VLOOKUP(CQ35,#REF!,9,FALSE))</f>
        <v/>
      </c>
      <c r="CT75" s="1220">
        <f t="shared" si="51"/>
        <v>0</v>
      </c>
      <c r="CU75" s="1230">
        <f t="shared" si="52"/>
        <v>0</v>
      </c>
      <c r="CV75" s="1224" t="str">
        <f t="shared" si="53"/>
        <v/>
      </c>
      <c r="CW75" s="1224" t="str">
        <f t="shared" si="54"/>
        <v/>
      </c>
      <c r="CX75" s="1224" t="str">
        <f t="shared" si="55"/>
        <v/>
      </c>
      <c r="CY75" s="1226">
        <f t="shared" si="56"/>
        <v>0</v>
      </c>
      <c r="CZ75" s="1226" t="e">
        <f t="shared" si="57"/>
        <v>#REF!</v>
      </c>
      <c r="DA75" s="1226" t="str">
        <f t="shared" si="58"/>
        <v/>
      </c>
      <c r="DB75" s="1224" t="str">
        <f t="shared" si="122"/>
        <v/>
      </c>
      <c r="DC75" s="1224" t="str">
        <f t="shared" si="59"/>
        <v/>
      </c>
      <c r="DD75" s="814">
        <f t="shared" si="123"/>
        <v>0</v>
      </c>
      <c r="DE75" s="812">
        <f t="shared" si="60"/>
        <v>0</v>
      </c>
      <c r="DF75" s="813" t="e">
        <f t="shared" si="61"/>
        <v>#REF!</v>
      </c>
      <c r="DG75" s="813" t="str">
        <f t="shared" si="62"/>
        <v/>
      </c>
      <c r="DH75" s="1224" t="str">
        <f t="shared" si="124"/>
        <v/>
      </c>
      <c r="DI75" s="1224" t="str">
        <f t="shared" si="63"/>
        <v/>
      </c>
      <c r="DJ75" s="1225">
        <f t="shared" si="125"/>
        <v>0</v>
      </c>
      <c r="DK75" s="1224" t="str">
        <f t="shared" si="64"/>
        <v/>
      </c>
      <c r="DL75" s="1224" t="str">
        <f t="shared" si="65"/>
        <v/>
      </c>
      <c r="DM75" s="1224" t="str">
        <f t="shared" si="66"/>
        <v/>
      </c>
      <c r="DN75" s="1224" t="str">
        <f t="shared" si="67"/>
        <v/>
      </c>
      <c r="DO75" s="828" t="e">
        <f t="shared" si="68"/>
        <v>#REF!</v>
      </c>
      <c r="DP75" s="828" t="e">
        <f t="shared" si="69"/>
        <v>#REF!</v>
      </c>
      <c r="DQ75" s="1224" t="str">
        <f t="shared" si="70"/>
        <v/>
      </c>
      <c r="DR75" s="1224" t="str">
        <f t="shared" si="70"/>
        <v/>
      </c>
      <c r="DS75" s="1224" t="str">
        <f t="shared" si="71"/>
        <v/>
      </c>
      <c r="DT75" s="1224" t="str">
        <f t="shared" si="72"/>
        <v/>
      </c>
      <c r="DU75" s="1224" t="str">
        <f t="shared" si="73"/>
        <v/>
      </c>
      <c r="DV75" s="828" t="e">
        <f t="shared" si="74"/>
        <v>#REF!</v>
      </c>
      <c r="DW75" s="828" t="e">
        <f t="shared" si="75"/>
        <v>#REF!</v>
      </c>
      <c r="DX75" s="812" t="str">
        <f t="shared" ref="DX75:DY85" si="144">IF(ISERROR(DT75),"ERR",IF(DT75="","",IF(DV75="ERR","ERR",CEILING(DV75-0.0625,0.125))))</f>
        <v/>
      </c>
      <c r="DY75" s="812" t="str">
        <f t="shared" si="144"/>
        <v/>
      </c>
      <c r="DZ75" s="812" t="str">
        <f t="shared" si="77"/>
        <v/>
      </c>
      <c r="EA75" s="812" t="str">
        <f t="shared" si="78"/>
        <v/>
      </c>
      <c r="EB75" s="815" t="str">
        <f t="shared" si="79"/>
        <v/>
      </c>
      <c r="EC75" s="816" t="str">
        <f t="shared" si="80"/>
        <v/>
      </c>
      <c r="ED75" s="815" t="str">
        <f t="shared" si="81"/>
        <v/>
      </c>
      <c r="EE75" s="815" t="str">
        <f t="shared" si="82"/>
        <v/>
      </c>
      <c r="EF75" s="815" t="str">
        <f t="shared" si="83"/>
        <v/>
      </c>
      <c r="EG75" s="815" t="str">
        <f t="shared" si="84"/>
        <v/>
      </c>
      <c r="EH75" s="815" t="str">
        <f t="shared" si="85"/>
        <v/>
      </c>
      <c r="EI75" s="815" t="str">
        <f t="shared" si="86"/>
        <v/>
      </c>
      <c r="EJ75" s="815" t="str">
        <f t="shared" si="87"/>
        <v/>
      </c>
      <c r="EK75" s="813">
        <f t="shared" si="88"/>
        <v>0</v>
      </c>
      <c r="EL75" s="813">
        <f t="shared" si="89"/>
        <v>0</v>
      </c>
      <c r="EM75" s="813">
        <f t="shared" si="90"/>
        <v>0</v>
      </c>
      <c r="EN75" s="813" t="e">
        <f t="shared" si="91"/>
        <v>#REF!</v>
      </c>
      <c r="EO75" s="812" t="str">
        <f t="shared" si="92"/>
        <v/>
      </c>
      <c r="EP75" s="813">
        <f t="shared" si="93"/>
        <v>0</v>
      </c>
      <c r="EQ75" s="813">
        <f t="shared" si="94"/>
        <v>0</v>
      </c>
      <c r="ER75" s="813">
        <f t="shared" si="95"/>
        <v>0</v>
      </c>
      <c r="ES75" s="813" t="e">
        <f t="shared" si="96"/>
        <v>#REF!</v>
      </c>
      <c r="ET75" s="812" t="str">
        <f t="shared" si="97"/>
        <v/>
      </c>
      <c r="EU75" s="812" t="e">
        <f t="shared" si="98"/>
        <v>#REF!</v>
      </c>
      <c r="EV75" s="815" t="e">
        <f t="shared" si="99"/>
        <v>#VALUE!</v>
      </c>
      <c r="EW75" s="815" t="e">
        <f t="shared" si="100"/>
        <v>#VALUE!</v>
      </c>
      <c r="EX75" s="817" t="str">
        <f t="shared" si="101"/>
        <v/>
      </c>
      <c r="EY75" s="818" t="e">
        <f t="shared" si="102"/>
        <v>#DIV/0!</v>
      </c>
      <c r="EZ75" s="893" t="e">
        <f t="shared" si="103"/>
        <v>#DIV/0!</v>
      </c>
      <c r="FA75" s="894" t="e">
        <f t="shared" si="104"/>
        <v>#DIV/0!</v>
      </c>
      <c r="FB75" s="819" t="str">
        <f t="shared" si="105"/>
        <v/>
      </c>
      <c r="FC75" s="820" t="str">
        <f t="shared" si="106"/>
        <v/>
      </c>
      <c r="FD75" s="829">
        <f t="shared" si="107"/>
        <v>0</v>
      </c>
      <c r="FE75" s="774">
        <f t="shared" si="108"/>
        <v>0</v>
      </c>
      <c r="FF75" s="703" t="b">
        <f t="shared" si="109"/>
        <v>0</v>
      </c>
      <c r="FG75" s="703" t="b">
        <f t="shared" si="110"/>
        <v>0</v>
      </c>
      <c r="FH75" s="703" t="b">
        <f t="shared" si="111"/>
        <v>0</v>
      </c>
      <c r="FI75" s="703" t="b">
        <f t="shared" si="112"/>
        <v>0</v>
      </c>
      <c r="FJ75" s="849" t="str">
        <f t="shared" si="126"/>
        <v/>
      </c>
      <c r="FK75" s="848" t="str">
        <f t="shared" si="127"/>
        <v/>
      </c>
      <c r="FL75" s="242" t="e">
        <f t="shared" si="128"/>
        <v>#N/A</v>
      </c>
      <c r="FM75" s="234" t="str">
        <f t="shared" si="113"/>
        <v/>
      </c>
      <c r="FN75" s="191" t="str">
        <f t="shared" ca="1" si="129"/>
        <v/>
      </c>
      <c r="FO75" s="192" t="str">
        <f t="shared" ca="1" si="130"/>
        <v/>
      </c>
      <c r="FP75" s="193" t="str">
        <f t="shared" ca="1" si="131"/>
        <v/>
      </c>
      <c r="FQ75" s="193" t="str">
        <f t="shared" ca="1" si="132"/>
        <v/>
      </c>
      <c r="FR75" s="243">
        <f t="shared" ca="1" si="133"/>
        <v>0</v>
      </c>
      <c r="FS75" s="244">
        <f t="shared" ca="1" si="134"/>
        <v>0</v>
      </c>
      <c r="FT75" s="191" t="str">
        <f t="shared" ca="1" si="135"/>
        <v/>
      </c>
      <c r="FU75" s="194" t="str">
        <f t="shared" ca="1" si="136"/>
        <v/>
      </c>
      <c r="FV75" s="245" t="str">
        <f t="shared" ca="1" si="114"/>
        <v/>
      </c>
      <c r="FW75" s="195" t="str">
        <f t="shared" ca="1" si="137"/>
        <v/>
      </c>
      <c r="FX75" s="195" t="str">
        <f t="shared" ca="1" si="138"/>
        <v/>
      </c>
      <c r="FY75" s="195" t="str">
        <f t="shared" ca="1" si="139"/>
        <v/>
      </c>
      <c r="FZ75" s="195" t="str">
        <f t="shared" ca="1" si="140"/>
        <v/>
      </c>
      <c r="GA75" s="195" t="str">
        <f t="shared" ca="1" si="141"/>
        <v/>
      </c>
      <c r="GB75" s="196" t="str">
        <f ca="1">IF(FY75="","",2+SUM(FO75:OFFSET(FO75,(FU75-1)*-1,0)))</f>
        <v/>
      </c>
      <c r="GC75" s="238" t="e">
        <f t="shared" si="142"/>
        <v>#N/A</v>
      </c>
      <c r="GD75" s="246" t="str">
        <f t="shared" si="115"/>
        <v/>
      </c>
      <c r="GE75" s="247" t="str">
        <f t="shared" si="116"/>
        <v/>
      </c>
      <c r="GF75" s="197" t="str">
        <f t="shared" si="117"/>
        <v/>
      </c>
      <c r="GG75" s="198" t="str">
        <f t="shared" si="118"/>
        <v/>
      </c>
      <c r="GH75" s="198" t="str">
        <f t="shared" si="119"/>
        <v/>
      </c>
      <c r="GI75" s="199" t="str">
        <f t="shared" si="120"/>
        <v/>
      </c>
      <c r="GJ75" s="473">
        <f t="shared" ca="1" si="121"/>
        <v>0</v>
      </c>
      <c r="GK75" s="834" t="str">
        <f t="shared" si="143"/>
        <v/>
      </c>
    </row>
    <row r="76" spans="78:193" ht="12.6" hidden="1" customHeight="1" x14ac:dyDescent="0.2">
      <c r="BZ76" s="214"/>
      <c r="CA76" s="214"/>
      <c r="CB76" s="289" t="str">
        <f t="shared" si="49"/>
        <v/>
      </c>
      <c r="CC76" s="290" t="str">
        <f>IF(CG36="","",VLOOKUP(CG36,#REF!,12,FALSE))</f>
        <v/>
      </c>
      <c r="CD76" s="1219" t="str">
        <f>IF(ISBLANK(CN36),IF(CG36="","",VLOOKUP(CG36,#REF!,13,FALSE)),CN36)</f>
        <v/>
      </c>
      <c r="CE76" s="1219" t="str">
        <f>IF(CG36="","",IF(VLOOKUP(CG36,#REF!,5,FALSE)="","R",UPPER(VLOOKUP(CG36,#REF!,5,FALSE))))</f>
        <v/>
      </c>
      <c r="CF76" s="1219" t="str">
        <f>IF(ISBLANK(CP36),IF(CG36="","",VLOOKUP(CG36,#REF!,6,FALSE)),CP36)</f>
        <v/>
      </c>
      <c r="CG76" s="1219" t="str">
        <f>IF(CG36="","",IF(VLOOKUP(CG36,#REF!,10,FALSE)="","",(VLOOKUP(CG36,#REF!,10,FALSE)*-1)))</f>
        <v/>
      </c>
      <c r="CH76" s="1219" t="str">
        <f>IF(CG36="","",IF(VLOOKUP(CG36,#REF!,7,FALSE)="","",(VLOOKUP(CG36,#REF!,7,FALSE)*-1)))</f>
        <v/>
      </c>
      <c r="CI76" s="1219" t="str">
        <f>IF(CG36="","",IF(VLOOKUP(CG36,#REF!,8,FALSE)="",$FC$4,(VLOOKUP(CG36,#REF!,8,FALSE))))</f>
        <v/>
      </c>
      <c r="CJ76" s="1219" t="str">
        <f>IF(CG36="","",VLOOKUP(CG36,#REF!,9,FALSE))</f>
        <v/>
      </c>
      <c r="CK76" s="1220">
        <f t="shared" si="50"/>
        <v>0</v>
      </c>
      <c r="CL76" s="1218" t="str">
        <f>IF(CQ36="","",VLOOKUP(CQ36,#REF!,12,FALSE))</f>
        <v/>
      </c>
      <c r="CM76" s="1219" t="str">
        <f>IF(ISBLANK(CX36),IF(CQ36="","",VLOOKUP(CQ36,#REF!,13,FALSE)),CX36)</f>
        <v/>
      </c>
      <c r="CN76" s="1219" t="str">
        <f>IF(CQ36="","",IF(VLOOKUP(CQ36,#REF!,5,FALSE)="","R",UPPER(VLOOKUP(CQ36,#REF!,5,FALSE))))</f>
        <v/>
      </c>
      <c r="CO76" s="1219" t="str">
        <f>IF(ISBLANK(CZ36),IF(CQ36="","",VLOOKUP(CQ36,#REF!,6,FALSE)),CZ36)</f>
        <v/>
      </c>
      <c r="CP76" s="1219" t="str">
        <f>IF(CQ36="","",IF(VLOOKUP(CQ36,#REF!,10,FALSE)="","",(VLOOKUP(CQ36,#REF!,10,FALSE)*-1)))</f>
        <v/>
      </c>
      <c r="CQ76" s="1219" t="str">
        <f>IF(CQ36="","",IF(VLOOKUP(CQ36,#REF!,7,FALSE)="","",(VLOOKUP(CQ36,#REF!,7,FALSE)*-1)))</f>
        <v/>
      </c>
      <c r="CR76" s="1219" t="str">
        <f>IF(CQ36="","",IF(VLOOKUP(CQ36,#REF!,8,FALSE)="",$FC$4,(VLOOKUP(CQ36,#REF!,8,FALSE))))</f>
        <v/>
      </c>
      <c r="CS76" s="1219" t="str">
        <f>IF(CQ36="","",VLOOKUP(CQ36,#REF!,9,FALSE))</f>
        <v/>
      </c>
      <c r="CT76" s="1220">
        <f t="shared" si="51"/>
        <v>0</v>
      </c>
      <c r="CU76" s="1230">
        <f t="shared" si="52"/>
        <v>0</v>
      </c>
      <c r="CV76" s="1224" t="str">
        <f t="shared" si="53"/>
        <v/>
      </c>
      <c r="CW76" s="1224" t="str">
        <f t="shared" si="54"/>
        <v/>
      </c>
      <c r="CX76" s="1224" t="str">
        <f t="shared" si="55"/>
        <v/>
      </c>
      <c r="CY76" s="1226">
        <f t="shared" si="56"/>
        <v>0</v>
      </c>
      <c r="CZ76" s="1226" t="e">
        <f t="shared" si="57"/>
        <v>#REF!</v>
      </c>
      <c r="DA76" s="1226" t="str">
        <f t="shared" si="58"/>
        <v/>
      </c>
      <c r="DB76" s="1224" t="str">
        <f t="shared" si="122"/>
        <v/>
      </c>
      <c r="DC76" s="1224" t="str">
        <f t="shared" si="59"/>
        <v/>
      </c>
      <c r="DD76" s="814">
        <f t="shared" si="123"/>
        <v>0</v>
      </c>
      <c r="DE76" s="812">
        <f t="shared" si="60"/>
        <v>0</v>
      </c>
      <c r="DF76" s="813" t="e">
        <f t="shared" si="61"/>
        <v>#REF!</v>
      </c>
      <c r="DG76" s="813" t="str">
        <f t="shared" si="62"/>
        <v/>
      </c>
      <c r="DH76" s="1224" t="str">
        <f t="shared" si="124"/>
        <v/>
      </c>
      <c r="DI76" s="1224" t="str">
        <f t="shared" si="63"/>
        <v/>
      </c>
      <c r="DJ76" s="1225">
        <f t="shared" si="125"/>
        <v>0</v>
      </c>
      <c r="DK76" s="1224" t="str">
        <f t="shared" si="64"/>
        <v/>
      </c>
      <c r="DL76" s="1224" t="str">
        <f t="shared" si="65"/>
        <v/>
      </c>
      <c r="DM76" s="1224" t="str">
        <f t="shared" si="66"/>
        <v/>
      </c>
      <c r="DN76" s="1224" t="str">
        <f t="shared" si="67"/>
        <v/>
      </c>
      <c r="DO76" s="828" t="e">
        <f t="shared" si="68"/>
        <v>#REF!</v>
      </c>
      <c r="DP76" s="828" t="e">
        <f t="shared" si="69"/>
        <v>#REF!</v>
      </c>
      <c r="DQ76" s="1224" t="str">
        <f t="shared" si="70"/>
        <v/>
      </c>
      <c r="DR76" s="1224" t="str">
        <f t="shared" si="70"/>
        <v/>
      </c>
      <c r="DS76" s="1224" t="str">
        <f t="shared" si="71"/>
        <v/>
      </c>
      <c r="DT76" s="1224" t="str">
        <f t="shared" si="72"/>
        <v/>
      </c>
      <c r="DU76" s="1224" t="str">
        <f t="shared" si="73"/>
        <v/>
      </c>
      <c r="DV76" s="828" t="e">
        <f t="shared" si="74"/>
        <v>#REF!</v>
      </c>
      <c r="DW76" s="828" t="e">
        <f t="shared" si="75"/>
        <v>#REF!</v>
      </c>
      <c r="DX76" s="812" t="str">
        <f t="shared" si="144"/>
        <v/>
      </c>
      <c r="DY76" s="812" t="str">
        <f t="shared" si="144"/>
        <v/>
      </c>
      <c r="DZ76" s="812" t="str">
        <f t="shared" si="77"/>
        <v/>
      </c>
      <c r="EA76" s="812" t="str">
        <f t="shared" si="78"/>
        <v/>
      </c>
      <c r="EB76" s="815" t="str">
        <f t="shared" si="79"/>
        <v/>
      </c>
      <c r="EC76" s="816" t="str">
        <f t="shared" si="80"/>
        <v/>
      </c>
      <c r="ED76" s="815" t="str">
        <f t="shared" si="81"/>
        <v/>
      </c>
      <c r="EE76" s="815" t="str">
        <f t="shared" si="82"/>
        <v/>
      </c>
      <c r="EF76" s="815" t="str">
        <f t="shared" si="83"/>
        <v/>
      </c>
      <c r="EG76" s="815" t="str">
        <f t="shared" si="84"/>
        <v/>
      </c>
      <c r="EH76" s="815" t="str">
        <f t="shared" si="85"/>
        <v/>
      </c>
      <c r="EI76" s="815" t="str">
        <f t="shared" si="86"/>
        <v/>
      </c>
      <c r="EJ76" s="815" t="str">
        <f t="shared" si="87"/>
        <v/>
      </c>
      <c r="EK76" s="813">
        <f t="shared" si="88"/>
        <v>0</v>
      </c>
      <c r="EL76" s="813">
        <f t="shared" si="89"/>
        <v>0</v>
      </c>
      <c r="EM76" s="813">
        <f t="shared" si="90"/>
        <v>0</v>
      </c>
      <c r="EN76" s="813" t="e">
        <f t="shared" si="91"/>
        <v>#REF!</v>
      </c>
      <c r="EO76" s="812" t="str">
        <f t="shared" si="92"/>
        <v/>
      </c>
      <c r="EP76" s="813">
        <f t="shared" si="93"/>
        <v>0</v>
      </c>
      <c r="EQ76" s="813">
        <f t="shared" si="94"/>
        <v>0</v>
      </c>
      <c r="ER76" s="813">
        <f t="shared" si="95"/>
        <v>0</v>
      </c>
      <c r="ES76" s="813" t="e">
        <f t="shared" si="96"/>
        <v>#REF!</v>
      </c>
      <c r="ET76" s="812" t="str">
        <f t="shared" si="97"/>
        <v/>
      </c>
      <c r="EU76" s="812" t="e">
        <f t="shared" si="98"/>
        <v>#REF!</v>
      </c>
      <c r="EV76" s="815" t="e">
        <f t="shared" si="99"/>
        <v>#VALUE!</v>
      </c>
      <c r="EW76" s="815" t="e">
        <f t="shared" si="100"/>
        <v>#VALUE!</v>
      </c>
      <c r="EX76" s="817" t="str">
        <f t="shared" si="101"/>
        <v/>
      </c>
      <c r="EY76" s="818" t="e">
        <f t="shared" si="102"/>
        <v>#DIV/0!</v>
      </c>
      <c r="EZ76" s="893" t="e">
        <f t="shared" si="103"/>
        <v>#DIV/0!</v>
      </c>
      <c r="FA76" s="894" t="e">
        <f t="shared" si="104"/>
        <v>#DIV/0!</v>
      </c>
      <c r="FB76" s="819" t="str">
        <f t="shared" si="105"/>
        <v/>
      </c>
      <c r="FC76" s="820" t="str">
        <f t="shared" si="106"/>
        <v/>
      </c>
      <c r="FD76" s="829">
        <f t="shared" si="107"/>
        <v>0</v>
      </c>
      <c r="FE76" s="774">
        <f t="shared" si="108"/>
        <v>0</v>
      </c>
      <c r="FF76" s="703" t="b">
        <f t="shared" si="109"/>
        <v>0</v>
      </c>
      <c r="FG76" s="703" t="b">
        <f t="shared" si="110"/>
        <v>0</v>
      </c>
      <c r="FH76" s="703" t="b">
        <f t="shared" si="111"/>
        <v>0</v>
      </c>
      <c r="FI76" s="703" t="b">
        <f t="shared" si="112"/>
        <v>0</v>
      </c>
      <c r="FJ76" s="849" t="str">
        <f t="shared" si="126"/>
        <v/>
      </c>
      <c r="FK76" s="848" t="str">
        <f t="shared" si="127"/>
        <v/>
      </c>
      <c r="FL76" s="242" t="e">
        <f t="shared" si="128"/>
        <v>#N/A</v>
      </c>
      <c r="FM76" s="234" t="str">
        <f t="shared" si="113"/>
        <v/>
      </c>
      <c r="FN76" s="191" t="str">
        <f t="shared" ca="1" si="129"/>
        <v/>
      </c>
      <c r="FO76" s="192" t="str">
        <f t="shared" ca="1" si="130"/>
        <v/>
      </c>
      <c r="FP76" s="193" t="str">
        <f t="shared" ca="1" si="131"/>
        <v/>
      </c>
      <c r="FQ76" s="193" t="str">
        <f t="shared" ca="1" si="132"/>
        <v/>
      </c>
      <c r="FR76" s="243">
        <f t="shared" ca="1" si="133"/>
        <v>0</v>
      </c>
      <c r="FS76" s="244">
        <f t="shared" ca="1" si="134"/>
        <v>0</v>
      </c>
      <c r="FT76" s="191" t="str">
        <f t="shared" ca="1" si="135"/>
        <v/>
      </c>
      <c r="FU76" s="194" t="str">
        <f t="shared" ca="1" si="136"/>
        <v/>
      </c>
      <c r="FV76" s="245" t="str">
        <f t="shared" ca="1" si="114"/>
        <v/>
      </c>
      <c r="FW76" s="195" t="str">
        <f t="shared" ca="1" si="137"/>
        <v/>
      </c>
      <c r="FX76" s="195" t="str">
        <f t="shared" ca="1" si="138"/>
        <v/>
      </c>
      <c r="FY76" s="195" t="str">
        <f t="shared" ca="1" si="139"/>
        <v/>
      </c>
      <c r="FZ76" s="195" t="str">
        <f t="shared" ca="1" si="140"/>
        <v/>
      </c>
      <c r="GA76" s="195" t="str">
        <f t="shared" ca="1" si="141"/>
        <v/>
      </c>
      <c r="GB76" s="196" t="str">
        <f ca="1">IF(FY76="","",2+SUM(FO76:OFFSET(FO76,(FU76-1)*-1,0)))</f>
        <v/>
      </c>
      <c r="GC76" s="238" t="e">
        <f t="shared" si="142"/>
        <v>#N/A</v>
      </c>
      <c r="GD76" s="246" t="str">
        <f t="shared" si="115"/>
        <v/>
      </c>
      <c r="GE76" s="247" t="str">
        <f t="shared" si="116"/>
        <v/>
      </c>
      <c r="GF76" s="197" t="str">
        <f t="shared" si="117"/>
        <v/>
      </c>
      <c r="GG76" s="198" t="str">
        <f t="shared" si="118"/>
        <v/>
      </c>
      <c r="GH76" s="198" t="str">
        <f t="shared" si="119"/>
        <v/>
      </c>
      <c r="GI76" s="199" t="str">
        <f t="shared" si="120"/>
        <v/>
      </c>
      <c r="GJ76" s="473">
        <f t="shared" ca="1" si="121"/>
        <v>0</v>
      </c>
      <c r="GK76" s="834" t="str">
        <f t="shared" si="143"/>
        <v/>
      </c>
    </row>
    <row r="77" spans="78:193" ht="12.6" hidden="1" customHeight="1" x14ac:dyDescent="0.2">
      <c r="BZ77" s="214"/>
      <c r="CA77" s="214"/>
      <c r="CB77" s="289" t="str">
        <f t="shared" si="49"/>
        <v/>
      </c>
      <c r="CC77" s="290" t="str">
        <f>IF(CG37="","",VLOOKUP(CG37,#REF!,12,FALSE))</f>
        <v/>
      </c>
      <c r="CD77" s="1219" t="str">
        <f>IF(ISBLANK(CN37),IF(CG37="","",VLOOKUP(CG37,#REF!,13,FALSE)),CN37)</f>
        <v/>
      </c>
      <c r="CE77" s="1219" t="str">
        <f>IF(CG37="","",IF(VLOOKUP(CG37,#REF!,5,FALSE)="","R",UPPER(VLOOKUP(CG37,#REF!,5,FALSE))))</f>
        <v/>
      </c>
      <c r="CF77" s="1219" t="str">
        <f>IF(ISBLANK(CP37),IF(CG37="","",VLOOKUP(CG37,#REF!,6,FALSE)),CP37)</f>
        <v/>
      </c>
      <c r="CG77" s="1219" t="str">
        <f>IF(CG37="","",IF(VLOOKUP(CG37,#REF!,10,FALSE)="","",(VLOOKUP(CG37,#REF!,10,FALSE)*-1)))</f>
        <v/>
      </c>
      <c r="CH77" s="1219" t="str">
        <f>IF(CG37="","",IF(VLOOKUP(CG37,#REF!,7,FALSE)="","",(VLOOKUP(CG37,#REF!,7,FALSE)*-1)))</f>
        <v/>
      </c>
      <c r="CI77" s="1219" t="str">
        <f>IF(CG37="","",IF(VLOOKUP(CG37,#REF!,8,FALSE)="",$FC$4,(VLOOKUP(CG37,#REF!,8,FALSE))))</f>
        <v/>
      </c>
      <c r="CJ77" s="1219" t="str">
        <f>IF(CG37="","",VLOOKUP(CG37,#REF!,9,FALSE))</f>
        <v/>
      </c>
      <c r="CK77" s="1220">
        <f t="shared" si="50"/>
        <v>0</v>
      </c>
      <c r="CL77" s="1218" t="str">
        <f>IF(CQ37="","",VLOOKUP(CQ37,#REF!,12,FALSE))</f>
        <v/>
      </c>
      <c r="CM77" s="1219" t="str">
        <f>IF(ISBLANK(CX37),IF(CQ37="","",VLOOKUP(CQ37,#REF!,13,FALSE)),CX37)</f>
        <v/>
      </c>
      <c r="CN77" s="1219" t="str">
        <f>IF(CQ37="","",IF(VLOOKUP(CQ37,#REF!,5,FALSE)="","R",UPPER(VLOOKUP(CQ37,#REF!,5,FALSE))))</f>
        <v/>
      </c>
      <c r="CO77" s="1219" t="str">
        <f>IF(ISBLANK(CZ37),IF(CQ37="","",VLOOKUP(CQ37,#REF!,6,FALSE)),CZ37)</f>
        <v/>
      </c>
      <c r="CP77" s="1219" t="str">
        <f>IF(CQ37="","",IF(VLOOKUP(CQ37,#REF!,10,FALSE)="","",(VLOOKUP(CQ37,#REF!,10,FALSE)*-1)))</f>
        <v/>
      </c>
      <c r="CQ77" s="1219" t="str">
        <f>IF(CQ37="","",IF(VLOOKUP(CQ37,#REF!,7,FALSE)="","",(VLOOKUP(CQ37,#REF!,7,FALSE)*-1)))</f>
        <v/>
      </c>
      <c r="CR77" s="1219" t="str">
        <f>IF(CQ37="","",IF(VLOOKUP(CQ37,#REF!,8,FALSE)="",$FC$4,(VLOOKUP(CQ37,#REF!,8,FALSE))))</f>
        <v/>
      </c>
      <c r="CS77" s="1219" t="str">
        <f>IF(CQ37="","",VLOOKUP(CQ37,#REF!,9,FALSE))</f>
        <v/>
      </c>
      <c r="CT77" s="1220">
        <f t="shared" si="51"/>
        <v>0</v>
      </c>
      <c r="CU77" s="1230">
        <f t="shared" si="52"/>
        <v>0</v>
      </c>
      <c r="CV77" s="1224" t="str">
        <f t="shared" si="53"/>
        <v/>
      </c>
      <c r="CW77" s="1224" t="str">
        <f t="shared" si="54"/>
        <v/>
      </c>
      <c r="CX77" s="1224" t="str">
        <f t="shared" si="55"/>
        <v/>
      </c>
      <c r="CY77" s="1226">
        <f t="shared" si="56"/>
        <v>0</v>
      </c>
      <c r="CZ77" s="1226" t="e">
        <f t="shared" si="57"/>
        <v>#REF!</v>
      </c>
      <c r="DA77" s="1226" t="str">
        <f t="shared" si="58"/>
        <v/>
      </c>
      <c r="DB77" s="1224" t="str">
        <f t="shared" si="122"/>
        <v/>
      </c>
      <c r="DC77" s="1224" t="str">
        <f t="shared" si="59"/>
        <v/>
      </c>
      <c r="DD77" s="814">
        <f t="shared" si="123"/>
        <v>0</v>
      </c>
      <c r="DE77" s="812">
        <f t="shared" si="60"/>
        <v>0</v>
      </c>
      <c r="DF77" s="813" t="e">
        <f t="shared" si="61"/>
        <v>#REF!</v>
      </c>
      <c r="DG77" s="813" t="str">
        <f t="shared" si="62"/>
        <v/>
      </c>
      <c r="DH77" s="1224" t="str">
        <f t="shared" si="124"/>
        <v/>
      </c>
      <c r="DI77" s="1224" t="str">
        <f t="shared" si="63"/>
        <v/>
      </c>
      <c r="DJ77" s="1225">
        <f t="shared" si="125"/>
        <v>0</v>
      </c>
      <c r="DK77" s="1224" t="str">
        <f t="shared" si="64"/>
        <v/>
      </c>
      <c r="DL77" s="1224" t="str">
        <f t="shared" si="65"/>
        <v/>
      </c>
      <c r="DM77" s="1224" t="str">
        <f t="shared" si="66"/>
        <v/>
      </c>
      <c r="DN77" s="1224" t="str">
        <f t="shared" si="67"/>
        <v/>
      </c>
      <c r="DO77" s="828" t="e">
        <f t="shared" si="68"/>
        <v>#REF!</v>
      </c>
      <c r="DP77" s="828" t="e">
        <f t="shared" si="69"/>
        <v>#REF!</v>
      </c>
      <c r="DQ77" s="1224" t="str">
        <f t="shared" si="70"/>
        <v/>
      </c>
      <c r="DR77" s="1224" t="str">
        <f t="shared" si="70"/>
        <v/>
      </c>
      <c r="DS77" s="1224" t="str">
        <f t="shared" si="71"/>
        <v/>
      </c>
      <c r="DT77" s="1224" t="str">
        <f t="shared" si="72"/>
        <v/>
      </c>
      <c r="DU77" s="1224" t="str">
        <f t="shared" si="73"/>
        <v/>
      </c>
      <c r="DV77" s="828" t="e">
        <f t="shared" si="74"/>
        <v>#REF!</v>
      </c>
      <c r="DW77" s="828" t="e">
        <f t="shared" si="75"/>
        <v>#REF!</v>
      </c>
      <c r="DX77" s="812" t="str">
        <f t="shared" si="144"/>
        <v/>
      </c>
      <c r="DY77" s="812" t="str">
        <f t="shared" si="144"/>
        <v/>
      </c>
      <c r="DZ77" s="812" t="str">
        <f t="shared" si="77"/>
        <v/>
      </c>
      <c r="EA77" s="812" t="str">
        <f t="shared" si="78"/>
        <v/>
      </c>
      <c r="EB77" s="815" t="str">
        <f t="shared" si="79"/>
        <v/>
      </c>
      <c r="EC77" s="816" t="str">
        <f t="shared" si="80"/>
        <v/>
      </c>
      <c r="ED77" s="815" t="str">
        <f t="shared" si="81"/>
        <v/>
      </c>
      <c r="EE77" s="815" t="str">
        <f t="shared" si="82"/>
        <v/>
      </c>
      <c r="EF77" s="815" t="str">
        <f t="shared" si="83"/>
        <v/>
      </c>
      <c r="EG77" s="815" t="str">
        <f t="shared" si="84"/>
        <v/>
      </c>
      <c r="EH77" s="815" t="str">
        <f t="shared" si="85"/>
        <v/>
      </c>
      <c r="EI77" s="815" t="str">
        <f t="shared" si="86"/>
        <v/>
      </c>
      <c r="EJ77" s="815" t="str">
        <f t="shared" si="87"/>
        <v/>
      </c>
      <c r="EK77" s="813">
        <f t="shared" si="88"/>
        <v>0</v>
      </c>
      <c r="EL77" s="813">
        <f t="shared" si="89"/>
        <v>0</v>
      </c>
      <c r="EM77" s="813">
        <f t="shared" si="90"/>
        <v>0</v>
      </c>
      <c r="EN77" s="813" t="e">
        <f t="shared" si="91"/>
        <v>#REF!</v>
      </c>
      <c r="EO77" s="812" t="str">
        <f t="shared" si="92"/>
        <v/>
      </c>
      <c r="EP77" s="813">
        <f t="shared" si="93"/>
        <v>0</v>
      </c>
      <c r="EQ77" s="813">
        <f t="shared" si="94"/>
        <v>0</v>
      </c>
      <c r="ER77" s="813">
        <f t="shared" si="95"/>
        <v>0</v>
      </c>
      <c r="ES77" s="813" t="e">
        <f t="shared" si="96"/>
        <v>#REF!</v>
      </c>
      <c r="ET77" s="812" t="str">
        <f t="shared" si="97"/>
        <v/>
      </c>
      <c r="EU77" s="812" t="e">
        <f t="shared" si="98"/>
        <v>#REF!</v>
      </c>
      <c r="EV77" s="815" t="e">
        <f t="shared" si="99"/>
        <v>#VALUE!</v>
      </c>
      <c r="EW77" s="815" t="e">
        <f t="shared" si="100"/>
        <v>#VALUE!</v>
      </c>
      <c r="EX77" s="817" t="str">
        <f t="shared" si="101"/>
        <v/>
      </c>
      <c r="EY77" s="818" t="e">
        <f t="shared" si="102"/>
        <v>#DIV/0!</v>
      </c>
      <c r="EZ77" s="893" t="e">
        <f t="shared" si="103"/>
        <v>#DIV/0!</v>
      </c>
      <c r="FA77" s="894" t="e">
        <f t="shared" si="104"/>
        <v>#DIV/0!</v>
      </c>
      <c r="FB77" s="819" t="str">
        <f t="shared" si="105"/>
        <v/>
      </c>
      <c r="FC77" s="820" t="str">
        <f t="shared" si="106"/>
        <v/>
      </c>
      <c r="FD77" s="829">
        <f t="shared" si="107"/>
        <v>0</v>
      </c>
      <c r="FE77" s="774">
        <f t="shared" si="108"/>
        <v>0</v>
      </c>
      <c r="FF77" s="703" t="b">
        <f t="shared" si="109"/>
        <v>0</v>
      </c>
      <c r="FG77" s="703" t="b">
        <f t="shared" si="110"/>
        <v>0</v>
      </c>
      <c r="FH77" s="703" t="b">
        <f t="shared" si="111"/>
        <v>0</v>
      </c>
      <c r="FI77" s="703" t="b">
        <f t="shared" si="112"/>
        <v>0</v>
      </c>
      <c r="FJ77" s="849" t="str">
        <f t="shared" si="126"/>
        <v/>
      </c>
      <c r="FK77" s="848" t="str">
        <f t="shared" si="127"/>
        <v/>
      </c>
      <c r="FL77" s="242" t="e">
        <f t="shared" si="128"/>
        <v>#N/A</v>
      </c>
      <c r="FM77" s="234" t="str">
        <f t="shared" si="113"/>
        <v/>
      </c>
      <c r="FN77" s="191" t="str">
        <f t="shared" ca="1" si="129"/>
        <v/>
      </c>
      <c r="FO77" s="192" t="str">
        <f t="shared" ca="1" si="130"/>
        <v/>
      </c>
      <c r="FP77" s="193" t="str">
        <f t="shared" ca="1" si="131"/>
        <v/>
      </c>
      <c r="FQ77" s="193" t="str">
        <f t="shared" ca="1" si="132"/>
        <v/>
      </c>
      <c r="FR77" s="243">
        <f t="shared" ca="1" si="133"/>
        <v>0</v>
      </c>
      <c r="FS77" s="244">
        <f t="shared" ca="1" si="134"/>
        <v>0</v>
      </c>
      <c r="FT77" s="191" t="str">
        <f t="shared" ca="1" si="135"/>
        <v/>
      </c>
      <c r="FU77" s="194" t="str">
        <f t="shared" ca="1" si="136"/>
        <v/>
      </c>
      <c r="FV77" s="245" t="str">
        <f t="shared" ca="1" si="114"/>
        <v/>
      </c>
      <c r="FW77" s="195" t="str">
        <f t="shared" ca="1" si="137"/>
        <v/>
      </c>
      <c r="FX77" s="195" t="str">
        <f t="shared" ca="1" si="138"/>
        <v/>
      </c>
      <c r="FY77" s="195" t="str">
        <f t="shared" ca="1" si="139"/>
        <v/>
      </c>
      <c r="FZ77" s="195" t="str">
        <f t="shared" ca="1" si="140"/>
        <v/>
      </c>
      <c r="GA77" s="195" t="str">
        <f t="shared" ca="1" si="141"/>
        <v/>
      </c>
      <c r="GB77" s="196" t="str">
        <f ca="1">IF(FY77="","",2+SUM(FO77:OFFSET(FO77,(FU77-1)*-1,0)))</f>
        <v/>
      </c>
      <c r="GC77" s="238" t="e">
        <f t="shared" si="142"/>
        <v>#N/A</v>
      </c>
      <c r="GD77" s="246" t="str">
        <f t="shared" si="115"/>
        <v/>
      </c>
      <c r="GE77" s="247" t="str">
        <f t="shared" si="116"/>
        <v/>
      </c>
      <c r="GF77" s="197" t="str">
        <f t="shared" si="117"/>
        <v/>
      </c>
      <c r="GG77" s="198" t="str">
        <f t="shared" si="118"/>
        <v/>
      </c>
      <c r="GH77" s="198" t="str">
        <f t="shared" si="119"/>
        <v/>
      </c>
      <c r="GI77" s="199" t="str">
        <f t="shared" si="120"/>
        <v/>
      </c>
      <c r="GJ77" s="473">
        <f t="shared" ca="1" si="121"/>
        <v>0</v>
      </c>
      <c r="GK77" s="834" t="str">
        <f t="shared" si="143"/>
        <v/>
      </c>
    </row>
    <row r="78" spans="78:193" ht="12.6" hidden="1" customHeight="1" x14ac:dyDescent="0.2">
      <c r="BZ78" s="214"/>
      <c r="CA78" s="214"/>
      <c r="CB78" s="289" t="str">
        <f t="shared" si="49"/>
        <v/>
      </c>
      <c r="CC78" s="290" t="str">
        <f>IF(CG38="","",VLOOKUP(CG38,#REF!,12,FALSE))</f>
        <v/>
      </c>
      <c r="CD78" s="1219" t="str">
        <f>IF(ISBLANK(CN38),IF(CG38="","",VLOOKUP(CG38,#REF!,13,FALSE)),CN38)</f>
        <v/>
      </c>
      <c r="CE78" s="1219" t="str">
        <f>IF(CG38="","",IF(VLOOKUP(CG38,#REF!,5,FALSE)="","R",UPPER(VLOOKUP(CG38,#REF!,5,FALSE))))</f>
        <v/>
      </c>
      <c r="CF78" s="1219" t="str">
        <f>IF(ISBLANK(CP38),IF(CG38="","",VLOOKUP(CG38,#REF!,6,FALSE)),CP38)</f>
        <v/>
      </c>
      <c r="CG78" s="1219" t="str">
        <f>IF(CG38="","",IF(VLOOKUP(CG38,#REF!,10,FALSE)="","",(VLOOKUP(CG38,#REF!,10,FALSE)*-1)))</f>
        <v/>
      </c>
      <c r="CH78" s="1219" t="str">
        <f>IF(CG38="","",IF(VLOOKUP(CG38,#REF!,7,FALSE)="","",(VLOOKUP(CG38,#REF!,7,FALSE)*-1)))</f>
        <v/>
      </c>
      <c r="CI78" s="1219" t="str">
        <f>IF(CG38="","",IF(VLOOKUP(CG38,#REF!,8,FALSE)="",$FC$4,(VLOOKUP(CG38,#REF!,8,FALSE))))</f>
        <v/>
      </c>
      <c r="CJ78" s="1219" t="str">
        <f>IF(CG38="","",VLOOKUP(CG38,#REF!,9,FALSE))</f>
        <v/>
      </c>
      <c r="CK78" s="1220">
        <f t="shared" si="50"/>
        <v>0</v>
      </c>
      <c r="CL78" s="1218" t="str">
        <f>IF(CQ38="","",VLOOKUP(CQ38,#REF!,12,FALSE))</f>
        <v/>
      </c>
      <c r="CM78" s="1219" t="str">
        <f>IF(ISBLANK(CX38),IF(CQ38="","",VLOOKUP(CQ38,#REF!,13,FALSE)),CX38)</f>
        <v/>
      </c>
      <c r="CN78" s="1219" t="str">
        <f>IF(CQ38="","",IF(VLOOKUP(CQ38,#REF!,5,FALSE)="","R",UPPER(VLOOKUP(CQ38,#REF!,5,FALSE))))</f>
        <v/>
      </c>
      <c r="CO78" s="1219" t="str">
        <f>IF(ISBLANK(CZ38),IF(CQ38="","",VLOOKUP(CQ38,#REF!,6,FALSE)),CZ38)</f>
        <v/>
      </c>
      <c r="CP78" s="1219" t="str">
        <f>IF(CQ38="","",IF(VLOOKUP(CQ38,#REF!,10,FALSE)="","",(VLOOKUP(CQ38,#REF!,10,FALSE)*-1)))</f>
        <v/>
      </c>
      <c r="CQ78" s="1219" t="str">
        <f>IF(CQ38="","",IF(VLOOKUP(CQ38,#REF!,7,FALSE)="","",(VLOOKUP(CQ38,#REF!,7,FALSE)*-1)))</f>
        <v/>
      </c>
      <c r="CR78" s="1219" t="str">
        <f>IF(CQ38="","",IF(VLOOKUP(CQ38,#REF!,8,FALSE)="",$FC$4,(VLOOKUP(CQ38,#REF!,8,FALSE))))</f>
        <v/>
      </c>
      <c r="CS78" s="1219" t="str">
        <f>IF(CQ38="","",VLOOKUP(CQ38,#REF!,9,FALSE))</f>
        <v/>
      </c>
      <c r="CT78" s="1220">
        <f t="shared" si="51"/>
        <v>0</v>
      </c>
      <c r="CU78" s="1230">
        <f t="shared" si="52"/>
        <v>0</v>
      </c>
      <c r="CV78" s="1224" t="str">
        <f t="shared" si="53"/>
        <v/>
      </c>
      <c r="CW78" s="1224" t="str">
        <f t="shared" si="54"/>
        <v/>
      </c>
      <c r="CX78" s="1224" t="str">
        <f t="shared" si="55"/>
        <v/>
      </c>
      <c r="CY78" s="1226">
        <f t="shared" si="56"/>
        <v>0</v>
      </c>
      <c r="CZ78" s="1226" t="e">
        <f t="shared" si="57"/>
        <v>#REF!</v>
      </c>
      <c r="DA78" s="1226" t="str">
        <f t="shared" si="58"/>
        <v/>
      </c>
      <c r="DB78" s="1224" t="str">
        <f t="shared" si="122"/>
        <v/>
      </c>
      <c r="DC78" s="1224" t="str">
        <f t="shared" si="59"/>
        <v/>
      </c>
      <c r="DD78" s="814">
        <f t="shared" si="123"/>
        <v>0</v>
      </c>
      <c r="DE78" s="812">
        <f t="shared" si="60"/>
        <v>0</v>
      </c>
      <c r="DF78" s="813" t="e">
        <f t="shared" si="61"/>
        <v>#REF!</v>
      </c>
      <c r="DG78" s="813" t="str">
        <f t="shared" si="62"/>
        <v/>
      </c>
      <c r="DH78" s="1224" t="str">
        <f t="shared" si="124"/>
        <v/>
      </c>
      <c r="DI78" s="1224" t="str">
        <f t="shared" si="63"/>
        <v/>
      </c>
      <c r="DJ78" s="1225">
        <f t="shared" si="125"/>
        <v>0</v>
      </c>
      <c r="DK78" s="1224" t="str">
        <f t="shared" si="64"/>
        <v/>
      </c>
      <c r="DL78" s="1224" t="str">
        <f t="shared" si="65"/>
        <v/>
      </c>
      <c r="DM78" s="1224" t="str">
        <f t="shared" si="66"/>
        <v/>
      </c>
      <c r="DN78" s="1224" t="str">
        <f t="shared" si="67"/>
        <v/>
      </c>
      <c r="DO78" s="828" t="e">
        <f t="shared" si="68"/>
        <v>#REF!</v>
      </c>
      <c r="DP78" s="828" t="e">
        <f t="shared" si="69"/>
        <v>#REF!</v>
      </c>
      <c r="DQ78" s="1224" t="str">
        <f t="shared" si="70"/>
        <v/>
      </c>
      <c r="DR78" s="1224" t="str">
        <f t="shared" si="70"/>
        <v/>
      </c>
      <c r="DS78" s="1224" t="str">
        <f t="shared" si="71"/>
        <v/>
      </c>
      <c r="DT78" s="1224" t="str">
        <f t="shared" si="72"/>
        <v/>
      </c>
      <c r="DU78" s="1224" t="str">
        <f t="shared" si="73"/>
        <v/>
      </c>
      <c r="DV78" s="828" t="e">
        <f t="shared" si="74"/>
        <v>#REF!</v>
      </c>
      <c r="DW78" s="828" t="e">
        <f t="shared" si="75"/>
        <v>#REF!</v>
      </c>
      <c r="DX78" s="812" t="str">
        <f t="shared" si="144"/>
        <v/>
      </c>
      <c r="DY78" s="812" t="str">
        <f t="shared" si="144"/>
        <v/>
      </c>
      <c r="DZ78" s="812" t="str">
        <f t="shared" si="77"/>
        <v/>
      </c>
      <c r="EA78" s="812" t="str">
        <f t="shared" si="78"/>
        <v/>
      </c>
      <c r="EB78" s="815" t="str">
        <f t="shared" si="79"/>
        <v/>
      </c>
      <c r="EC78" s="816" t="str">
        <f t="shared" si="80"/>
        <v/>
      </c>
      <c r="ED78" s="815" t="str">
        <f t="shared" si="81"/>
        <v/>
      </c>
      <c r="EE78" s="815" t="str">
        <f t="shared" si="82"/>
        <v/>
      </c>
      <c r="EF78" s="815" t="str">
        <f t="shared" si="83"/>
        <v/>
      </c>
      <c r="EG78" s="815" t="str">
        <f t="shared" si="84"/>
        <v/>
      </c>
      <c r="EH78" s="815" t="str">
        <f t="shared" si="85"/>
        <v/>
      </c>
      <c r="EI78" s="815" t="str">
        <f t="shared" si="86"/>
        <v/>
      </c>
      <c r="EJ78" s="815" t="str">
        <f t="shared" si="87"/>
        <v/>
      </c>
      <c r="EK78" s="813">
        <f t="shared" si="88"/>
        <v>0</v>
      </c>
      <c r="EL78" s="813">
        <f t="shared" si="89"/>
        <v>0</v>
      </c>
      <c r="EM78" s="813">
        <f t="shared" si="90"/>
        <v>0</v>
      </c>
      <c r="EN78" s="813" t="e">
        <f t="shared" si="91"/>
        <v>#REF!</v>
      </c>
      <c r="EO78" s="812" t="str">
        <f t="shared" si="92"/>
        <v/>
      </c>
      <c r="EP78" s="813">
        <f t="shared" si="93"/>
        <v>0</v>
      </c>
      <c r="EQ78" s="813">
        <f t="shared" si="94"/>
        <v>0</v>
      </c>
      <c r="ER78" s="813">
        <f t="shared" si="95"/>
        <v>0</v>
      </c>
      <c r="ES78" s="813" t="e">
        <f t="shared" si="96"/>
        <v>#REF!</v>
      </c>
      <c r="ET78" s="812" t="str">
        <f t="shared" si="97"/>
        <v/>
      </c>
      <c r="EU78" s="812" t="e">
        <f t="shared" si="98"/>
        <v>#REF!</v>
      </c>
      <c r="EV78" s="815" t="e">
        <f t="shared" si="99"/>
        <v>#VALUE!</v>
      </c>
      <c r="EW78" s="815" t="e">
        <f t="shared" si="100"/>
        <v>#VALUE!</v>
      </c>
      <c r="EX78" s="817" t="str">
        <f t="shared" si="101"/>
        <v/>
      </c>
      <c r="EY78" s="818" t="e">
        <f t="shared" si="102"/>
        <v>#DIV/0!</v>
      </c>
      <c r="EZ78" s="893" t="e">
        <f t="shared" si="103"/>
        <v>#DIV/0!</v>
      </c>
      <c r="FA78" s="894" t="e">
        <f t="shared" si="104"/>
        <v>#DIV/0!</v>
      </c>
      <c r="FB78" s="819" t="str">
        <f t="shared" si="105"/>
        <v/>
      </c>
      <c r="FC78" s="820" t="str">
        <f t="shared" si="106"/>
        <v/>
      </c>
      <c r="FD78" s="829">
        <f t="shared" si="107"/>
        <v>0</v>
      </c>
      <c r="FE78" s="774">
        <f t="shared" si="108"/>
        <v>0</v>
      </c>
      <c r="FF78" s="703" t="b">
        <f t="shared" si="109"/>
        <v>0</v>
      </c>
      <c r="FG78" s="703" t="b">
        <f t="shared" si="110"/>
        <v>0</v>
      </c>
      <c r="FH78" s="703" t="b">
        <f t="shared" si="111"/>
        <v>0</v>
      </c>
      <c r="FI78" s="703" t="b">
        <f t="shared" si="112"/>
        <v>0</v>
      </c>
      <c r="FJ78" s="849" t="str">
        <f t="shared" si="126"/>
        <v/>
      </c>
      <c r="FK78" s="848" t="str">
        <f t="shared" si="127"/>
        <v/>
      </c>
      <c r="FL78" s="242" t="e">
        <f t="shared" si="128"/>
        <v>#N/A</v>
      </c>
      <c r="FM78" s="234" t="str">
        <f t="shared" si="113"/>
        <v/>
      </c>
      <c r="FN78" s="191" t="str">
        <f t="shared" ca="1" si="129"/>
        <v/>
      </c>
      <c r="FO78" s="192" t="str">
        <f t="shared" ca="1" si="130"/>
        <v/>
      </c>
      <c r="FP78" s="193" t="str">
        <f t="shared" ca="1" si="131"/>
        <v/>
      </c>
      <c r="FQ78" s="193" t="str">
        <f t="shared" ca="1" si="132"/>
        <v/>
      </c>
      <c r="FR78" s="243">
        <f t="shared" ca="1" si="133"/>
        <v>0</v>
      </c>
      <c r="FS78" s="244">
        <f t="shared" ca="1" si="134"/>
        <v>0</v>
      </c>
      <c r="FT78" s="191" t="str">
        <f t="shared" ca="1" si="135"/>
        <v/>
      </c>
      <c r="FU78" s="194" t="str">
        <f t="shared" ca="1" si="136"/>
        <v/>
      </c>
      <c r="FV78" s="245" t="str">
        <f t="shared" ca="1" si="114"/>
        <v/>
      </c>
      <c r="FW78" s="195" t="str">
        <f t="shared" ca="1" si="137"/>
        <v/>
      </c>
      <c r="FX78" s="195" t="str">
        <f t="shared" ca="1" si="138"/>
        <v/>
      </c>
      <c r="FY78" s="195" t="str">
        <f t="shared" ca="1" si="139"/>
        <v/>
      </c>
      <c r="FZ78" s="195" t="str">
        <f t="shared" ca="1" si="140"/>
        <v/>
      </c>
      <c r="GA78" s="195" t="str">
        <f t="shared" ca="1" si="141"/>
        <v/>
      </c>
      <c r="GB78" s="196" t="str">
        <f ca="1">IF(FY78="","",2+SUM(FO78:OFFSET(FO78,(FU78-1)*-1,0)))</f>
        <v/>
      </c>
      <c r="GC78" s="238" t="e">
        <f t="shared" si="142"/>
        <v>#N/A</v>
      </c>
      <c r="GD78" s="246" t="str">
        <f t="shared" si="115"/>
        <v/>
      </c>
      <c r="GE78" s="247" t="str">
        <f t="shared" si="116"/>
        <v/>
      </c>
      <c r="GF78" s="197" t="str">
        <f t="shared" si="117"/>
        <v/>
      </c>
      <c r="GG78" s="198" t="str">
        <f t="shared" si="118"/>
        <v/>
      </c>
      <c r="GH78" s="198" t="str">
        <f t="shared" si="119"/>
        <v/>
      </c>
      <c r="GI78" s="199" t="str">
        <f t="shared" si="120"/>
        <v/>
      </c>
      <c r="GJ78" s="473">
        <f t="shared" ca="1" si="121"/>
        <v>0</v>
      </c>
      <c r="GK78" s="834" t="str">
        <f t="shared" si="143"/>
        <v/>
      </c>
    </row>
    <row r="79" spans="78:193" ht="12.6" hidden="1" customHeight="1" x14ac:dyDescent="0.2">
      <c r="BZ79" s="214"/>
      <c r="CA79" s="214"/>
      <c r="CB79" s="289" t="str">
        <f t="shared" si="49"/>
        <v/>
      </c>
      <c r="CC79" s="290" t="str">
        <f>IF(CG39="","",VLOOKUP(CG39,#REF!,12,FALSE))</f>
        <v/>
      </c>
      <c r="CD79" s="1219" t="str">
        <f>IF(ISBLANK(CN39),IF(CG39="","",VLOOKUP(CG39,#REF!,13,FALSE)),CN39)</f>
        <v/>
      </c>
      <c r="CE79" s="1219" t="str">
        <f>IF(CG39="","",IF(VLOOKUP(CG39,#REF!,5,FALSE)="","R",UPPER(VLOOKUP(CG39,#REF!,5,FALSE))))</f>
        <v/>
      </c>
      <c r="CF79" s="1219" t="str">
        <f>IF(ISBLANK(CP39),IF(CG39="","",VLOOKUP(CG39,#REF!,6,FALSE)),CP39)</f>
        <v/>
      </c>
      <c r="CG79" s="1219" t="str">
        <f>IF(CG39="","",IF(VLOOKUP(CG39,#REF!,10,FALSE)="","",(VLOOKUP(CG39,#REF!,10,FALSE)*-1)))</f>
        <v/>
      </c>
      <c r="CH79" s="1219" t="str">
        <f>IF(CG39="","",IF(VLOOKUP(CG39,#REF!,7,FALSE)="","",(VLOOKUP(CG39,#REF!,7,FALSE)*-1)))</f>
        <v/>
      </c>
      <c r="CI79" s="1219" t="str">
        <f>IF(CG39="","",IF(VLOOKUP(CG39,#REF!,8,FALSE)="",$FC$4,(VLOOKUP(CG39,#REF!,8,FALSE))))</f>
        <v/>
      </c>
      <c r="CJ79" s="1219" t="str">
        <f>IF(CG39="","",VLOOKUP(CG39,#REF!,9,FALSE))</f>
        <v/>
      </c>
      <c r="CK79" s="1220">
        <f t="shared" si="50"/>
        <v>0</v>
      </c>
      <c r="CL79" s="1218" t="str">
        <f>IF(CQ39="","",VLOOKUP(CQ39,#REF!,12,FALSE))</f>
        <v/>
      </c>
      <c r="CM79" s="1219" t="str">
        <f>IF(ISBLANK(CX39),IF(CQ39="","",VLOOKUP(CQ39,#REF!,13,FALSE)),CX39)</f>
        <v/>
      </c>
      <c r="CN79" s="1219" t="str">
        <f>IF(CQ39="","",IF(VLOOKUP(CQ39,#REF!,5,FALSE)="","R",UPPER(VLOOKUP(CQ39,#REF!,5,FALSE))))</f>
        <v/>
      </c>
      <c r="CO79" s="1219" t="str">
        <f>IF(ISBLANK(CZ39),IF(CQ39="","",VLOOKUP(CQ39,#REF!,6,FALSE)),CZ39)</f>
        <v/>
      </c>
      <c r="CP79" s="1219" t="str">
        <f>IF(CQ39="","",IF(VLOOKUP(CQ39,#REF!,10,FALSE)="","",(VLOOKUP(CQ39,#REF!,10,FALSE)*-1)))</f>
        <v/>
      </c>
      <c r="CQ79" s="1219" t="str">
        <f>IF(CQ39="","",IF(VLOOKUP(CQ39,#REF!,7,FALSE)="","",(VLOOKUP(CQ39,#REF!,7,FALSE)*-1)))</f>
        <v/>
      </c>
      <c r="CR79" s="1219" t="str">
        <f>IF(CQ39="","",IF(VLOOKUP(CQ39,#REF!,8,FALSE)="",$FC$4,(VLOOKUP(CQ39,#REF!,8,FALSE))))</f>
        <v/>
      </c>
      <c r="CS79" s="1219" t="str">
        <f>IF(CQ39="","",VLOOKUP(CQ39,#REF!,9,FALSE))</f>
        <v/>
      </c>
      <c r="CT79" s="1220">
        <f t="shared" si="51"/>
        <v>0</v>
      </c>
      <c r="CU79" s="1230">
        <f t="shared" si="52"/>
        <v>0</v>
      </c>
      <c r="CV79" s="1224" t="str">
        <f t="shared" si="53"/>
        <v/>
      </c>
      <c r="CW79" s="1224" t="str">
        <f t="shared" si="54"/>
        <v/>
      </c>
      <c r="CX79" s="1224" t="str">
        <f t="shared" si="55"/>
        <v/>
      </c>
      <c r="CY79" s="1226">
        <f t="shared" si="56"/>
        <v>0</v>
      </c>
      <c r="CZ79" s="1226" t="e">
        <f t="shared" si="57"/>
        <v>#REF!</v>
      </c>
      <c r="DA79" s="1226" t="str">
        <f t="shared" si="58"/>
        <v/>
      </c>
      <c r="DB79" s="1224" t="str">
        <f t="shared" si="122"/>
        <v/>
      </c>
      <c r="DC79" s="1224" t="str">
        <f t="shared" si="59"/>
        <v/>
      </c>
      <c r="DD79" s="814">
        <f t="shared" si="123"/>
        <v>0</v>
      </c>
      <c r="DE79" s="812">
        <f t="shared" si="60"/>
        <v>0</v>
      </c>
      <c r="DF79" s="813" t="e">
        <f t="shared" si="61"/>
        <v>#REF!</v>
      </c>
      <c r="DG79" s="813" t="str">
        <f t="shared" si="62"/>
        <v/>
      </c>
      <c r="DH79" s="1224" t="str">
        <f t="shared" si="124"/>
        <v/>
      </c>
      <c r="DI79" s="1224" t="str">
        <f t="shared" si="63"/>
        <v/>
      </c>
      <c r="DJ79" s="1225">
        <f t="shared" si="125"/>
        <v>0</v>
      </c>
      <c r="DK79" s="1224" t="str">
        <f t="shared" si="64"/>
        <v/>
      </c>
      <c r="DL79" s="1224" t="str">
        <f t="shared" si="65"/>
        <v/>
      </c>
      <c r="DM79" s="1224" t="str">
        <f t="shared" si="66"/>
        <v/>
      </c>
      <c r="DN79" s="1224" t="str">
        <f t="shared" si="67"/>
        <v/>
      </c>
      <c r="DO79" s="828" t="e">
        <f t="shared" si="68"/>
        <v>#REF!</v>
      </c>
      <c r="DP79" s="828" t="e">
        <f t="shared" si="69"/>
        <v>#REF!</v>
      </c>
      <c r="DQ79" s="1224" t="str">
        <f t="shared" si="70"/>
        <v/>
      </c>
      <c r="DR79" s="1224" t="str">
        <f t="shared" si="70"/>
        <v/>
      </c>
      <c r="DS79" s="1224" t="str">
        <f t="shared" si="71"/>
        <v/>
      </c>
      <c r="DT79" s="1224" t="str">
        <f t="shared" si="72"/>
        <v/>
      </c>
      <c r="DU79" s="1224" t="str">
        <f t="shared" si="73"/>
        <v/>
      </c>
      <c r="DV79" s="828" t="e">
        <f t="shared" si="74"/>
        <v>#REF!</v>
      </c>
      <c r="DW79" s="828" t="e">
        <f t="shared" si="75"/>
        <v>#REF!</v>
      </c>
      <c r="DX79" s="812" t="str">
        <f t="shared" si="144"/>
        <v/>
      </c>
      <c r="DY79" s="812" t="str">
        <f t="shared" si="144"/>
        <v/>
      </c>
      <c r="DZ79" s="812" t="str">
        <f t="shared" si="77"/>
        <v/>
      </c>
      <c r="EA79" s="812" t="str">
        <f t="shared" si="78"/>
        <v/>
      </c>
      <c r="EB79" s="815" t="str">
        <f t="shared" si="79"/>
        <v/>
      </c>
      <c r="EC79" s="816" t="str">
        <f t="shared" si="80"/>
        <v/>
      </c>
      <c r="ED79" s="815" t="str">
        <f t="shared" si="81"/>
        <v/>
      </c>
      <c r="EE79" s="815" t="str">
        <f t="shared" si="82"/>
        <v/>
      </c>
      <c r="EF79" s="815" t="str">
        <f t="shared" si="83"/>
        <v/>
      </c>
      <c r="EG79" s="815" t="str">
        <f t="shared" si="84"/>
        <v/>
      </c>
      <c r="EH79" s="815" t="str">
        <f t="shared" si="85"/>
        <v/>
      </c>
      <c r="EI79" s="815" t="str">
        <f t="shared" si="86"/>
        <v/>
      </c>
      <c r="EJ79" s="815" t="str">
        <f t="shared" si="87"/>
        <v/>
      </c>
      <c r="EK79" s="813">
        <f t="shared" si="88"/>
        <v>0</v>
      </c>
      <c r="EL79" s="813">
        <f t="shared" si="89"/>
        <v>0</v>
      </c>
      <c r="EM79" s="813">
        <f t="shared" si="90"/>
        <v>0</v>
      </c>
      <c r="EN79" s="813" t="e">
        <f t="shared" si="91"/>
        <v>#REF!</v>
      </c>
      <c r="EO79" s="812" t="str">
        <f t="shared" si="92"/>
        <v/>
      </c>
      <c r="EP79" s="813">
        <f t="shared" si="93"/>
        <v>0</v>
      </c>
      <c r="EQ79" s="813">
        <f t="shared" si="94"/>
        <v>0</v>
      </c>
      <c r="ER79" s="813">
        <f t="shared" si="95"/>
        <v>0</v>
      </c>
      <c r="ES79" s="813" t="e">
        <f t="shared" si="96"/>
        <v>#REF!</v>
      </c>
      <c r="ET79" s="812" t="str">
        <f t="shared" si="97"/>
        <v/>
      </c>
      <c r="EU79" s="812" t="e">
        <f t="shared" si="98"/>
        <v>#REF!</v>
      </c>
      <c r="EV79" s="815" t="e">
        <f t="shared" si="99"/>
        <v>#VALUE!</v>
      </c>
      <c r="EW79" s="815" t="e">
        <f t="shared" si="100"/>
        <v>#VALUE!</v>
      </c>
      <c r="EX79" s="817" t="str">
        <f t="shared" si="101"/>
        <v/>
      </c>
      <c r="EY79" s="818" t="e">
        <f t="shared" si="102"/>
        <v>#DIV/0!</v>
      </c>
      <c r="EZ79" s="893" t="e">
        <f t="shared" si="103"/>
        <v>#DIV/0!</v>
      </c>
      <c r="FA79" s="894" t="e">
        <f t="shared" si="104"/>
        <v>#DIV/0!</v>
      </c>
      <c r="FB79" s="819" t="str">
        <f t="shared" si="105"/>
        <v/>
      </c>
      <c r="FC79" s="820" t="str">
        <f t="shared" si="106"/>
        <v/>
      </c>
      <c r="FD79" s="829">
        <f t="shared" si="107"/>
        <v>0</v>
      </c>
      <c r="FE79" s="774">
        <f t="shared" si="108"/>
        <v>0</v>
      </c>
      <c r="FF79" s="703" t="b">
        <f t="shared" si="109"/>
        <v>0</v>
      </c>
      <c r="FG79" s="703" t="b">
        <f t="shared" si="110"/>
        <v>0</v>
      </c>
      <c r="FH79" s="703" t="b">
        <f t="shared" si="111"/>
        <v>0</v>
      </c>
      <c r="FI79" s="703" t="b">
        <f t="shared" si="112"/>
        <v>0</v>
      </c>
      <c r="FJ79" s="849" t="str">
        <f t="shared" si="126"/>
        <v/>
      </c>
      <c r="FK79" s="848" t="str">
        <f t="shared" si="127"/>
        <v/>
      </c>
      <c r="FL79" s="242" t="e">
        <f t="shared" si="128"/>
        <v>#N/A</v>
      </c>
      <c r="FM79" s="234" t="str">
        <f t="shared" si="113"/>
        <v/>
      </c>
      <c r="FN79" s="191" t="str">
        <f t="shared" ca="1" si="129"/>
        <v/>
      </c>
      <c r="FO79" s="192" t="str">
        <f t="shared" ca="1" si="130"/>
        <v/>
      </c>
      <c r="FP79" s="193" t="str">
        <f t="shared" ca="1" si="131"/>
        <v/>
      </c>
      <c r="FQ79" s="193" t="str">
        <f t="shared" ca="1" si="132"/>
        <v/>
      </c>
      <c r="FR79" s="243">
        <f t="shared" ca="1" si="133"/>
        <v>0</v>
      </c>
      <c r="FS79" s="244">
        <f t="shared" ca="1" si="134"/>
        <v>0</v>
      </c>
      <c r="FT79" s="191" t="str">
        <f t="shared" ca="1" si="135"/>
        <v/>
      </c>
      <c r="FU79" s="194" t="str">
        <f t="shared" ca="1" si="136"/>
        <v/>
      </c>
      <c r="FV79" s="245" t="str">
        <f t="shared" ca="1" si="114"/>
        <v/>
      </c>
      <c r="FW79" s="195" t="str">
        <f t="shared" ca="1" si="137"/>
        <v/>
      </c>
      <c r="FX79" s="195" t="str">
        <f t="shared" ca="1" si="138"/>
        <v/>
      </c>
      <c r="FY79" s="195" t="str">
        <f t="shared" ca="1" si="139"/>
        <v/>
      </c>
      <c r="FZ79" s="195" t="str">
        <f t="shared" ca="1" si="140"/>
        <v/>
      </c>
      <c r="GA79" s="195" t="str">
        <f t="shared" ca="1" si="141"/>
        <v/>
      </c>
      <c r="GB79" s="196" t="str">
        <f ca="1">IF(FY79="","",2+SUM(FO79:OFFSET(FO79,(FU79-1)*-1,0)))</f>
        <v/>
      </c>
      <c r="GC79" s="238" t="e">
        <f t="shared" si="142"/>
        <v>#N/A</v>
      </c>
      <c r="GD79" s="246" t="str">
        <f t="shared" si="115"/>
        <v/>
      </c>
      <c r="GE79" s="247" t="str">
        <f t="shared" si="116"/>
        <v/>
      </c>
      <c r="GF79" s="197" t="str">
        <f t="shared" si="117"/>
        <v/>
      </c>
      <c r="GG79" s="198" t="str">
        <f t="shared" si="118"/>
        <v/>
      </c>
      <c r="GH79" s="198" t="str">
        <f t="shared" si="119"/>
        <v/>
      </c>
      <c r="GI79" s="199" t="str">
        <f t="shared" si="120"/>
        <v/>
      </c>
      <c r="GJ79" s="473">
        <f t="shared" ca="1" si="121"/>
        <v>0</v>
      </c>
      <c r="GK79" s="834" t="str">
        <f t="shared" si="143"/>
        <v/>
      </c>
    </row>
    <row r="80" spans="78:193" ht="12.6" hidden="1" customHeight="1" x14ac:dyDescent="0.2">
      <c r="BZ80" s="214"/>
      <c r="CA80" s="214"/>
      <c r="CB80" s="289" t="str">
        <f t="shared" si="49"/>
        <v/>
      </c>
      <c r="CC80" s="290" t="str">
        <f>IF(CG40="","",VLOOKUP(CG40,#REF!,12,FALSE))</f>
        <v/>
      </c>
      <c r="CD80" s="1219" t="str">
        <f>IF(ISBLANK(CN40),IF(CG40="","",VLOOKUP(CG40,#REF!,13,FALSE)),CN40)</f>
        <v/>
      </c>
      <c r="CE80" s="1219" t="str">
        <f>IF(CG40="","",IF(VLOOKUP(CG40,#REF!,5,FALSE)="","R",UPPER(VLOOKUP(CG40,#REF!,5,FALSE))))</f>
        <v/>
      </c>
      <c r="CF80" s="1219" t="str">
        <f>IF(ISBLANK(CP40),IF(CG40="","",VLOOKUP(CG40,#REF!,6,FALSE)),CP40)</f>
        <v/>
      </c>
      <c r="CG80" s="1219" t="str">
        <f>IF(CG40="","",IF(VLOOKUP(CG40,#REF!,10,FALSE)="","",(VLOOKUP(CG40,#REF!,10,FALSE)*-1)))</f>
        <v/>
      </c>
      <c r="CH80" s="1219" t="str">
        <f>IF(CG40="","",IF(VLOOKUP(CG40,#REF!,7,FALSE)="","",(VLOOKUP(CG40,#REF!,7,FALSE)*-1)))</f>
        <v/>
      </c>
      <c r="CI80" s="1219" t="str">
        <f>IF(CG40="","",IF(VLOOKUP(CG40,#REF!,8,FALSE)="",$FC$4,(VLOOKUP(CG40,#REF!,8,FALSE))))</f>
        <v/>
      </c>
      <c r="CJ80" s="1219" t="str">
        <f>IF(CG40="","",VLOOKUP(CG40,#REF!,9,FALSE))</f>
        <v/>
      </c>
      <c r="CK80" s="1220">
        <f t="shared" si="50"/>
        <v>0</v>
      </c>
      <c r="CL80" s="1218" t="str">
        <f>IF(CQ40="","",VLOOKUP(CQ40,#REF!,12,FALSE))</f>
        <v/>
      </c>
      <c r="CM80" s="1219" t="str">
        <f>IF(ISBLANK(CX40),IF(CQ40="","",VLOOKUP(CQ40,#REF!,13,FALSE)),CX40)</f>
        <v/>
      </c>
      <c r="CN80" s="1219" t="str">
        <f>IF(CQ40="","",IF(VLOOKUP(CQ40,#REF!,5,FALSE)="","R",UPPER(VLOOKUP(CQ40,#REF!,5,FALSE))))</f>
        <v/>
      </c>
      <c r="CO80" s="1219" t="str">
        <f>IF(ISBLANK(CZ40),IF(CQ40="","",VLOOKUP(CQ40,#REF!,6,FALSE)),CZ40)</f>
        <v/>
      </c>
      <c r="CP80" s="1219" t="str">
        <f>IF(CQ40="","",IF(VLOOKUP(CQ40,#REF!,10,FALSE)="","",(VLOOKUP(CQ40,#REF!,10,FALSE)*-1)))</f>
        <v/>
      </c>
      <c r="CQ80" s="1219" t="str">
        <f>IF(CQ40="","",IF(VLOOKUP(CQ40,#REF!,7,FALSE)="","",(VLOOKUP(CQ40,#REF!,7,FALSE)*-1)))</f>
        <v/>
      </c>
      <c r="CR80" s="1219" t="str">
        <f>IF(CQ40="","",IF(VLOOKUP(CQ40,#REF!,8,FALSE)="",$FC$4,(VLOOKUP(CQ40,#REF!,8,FALSE))))</f>
        <v/>
      </c>
      <c r="CS80" s="1219" t="str">
        <f>IF(CQ40="","",VLOOKUP(CQ40,#REF!,9,FALSE))</f>
        <v/>
      </c>
      <c r="CT80" s="1220">
        <f t="shared" si="51"/>
        <v>0</v>
      </c>
      <c r="CU80" s="1230">
        <f t="shared" si="52"/>
        <v>0</v>
      </c>
      <c r="CV80" s="1224" t="str">
        <f t="shared" si="53"/>
        <v/>
      </c>
      <c r="CW80" s="1224" t="str">
        <f t="shared" si="54"/>
        <v/>
      </c>
      <c r="CX80" s="1224" t="str">
        <f t="shared" si="55"/>
        <v/>
      </c>
      <c r="CY80" s="1226">
        <f t="shared" si="56"/>
        <v>0</v>
      </c>
      <c r="CZ80" s="1226" t="e">
        <f t="shared" si="57"/>
        <v>#REF!</v>
      </c>
      <c r="DA80" s="1226" t="str">
        <f t="shared" si="58"/>
        <v/>
      </c>
      <c r="DB80" s="1224" t="str">
        <f t="shared" si="122"/>
        <v/>
      </c>
      <c r="DC80" s="1224" t="str">
        <f t="shared" si="59"/>
        <v/>
      </c>
      <c r="DD80" s="814">
        <f t="shared" si="123"/>
        <v>0</v>
      </c>
      <c r="DE80" s="812">
        <f t="shared" si="60"/>
        <v>0</v>
      </c>
      <c r="DF80" s="813" t="e">
        <f t="shared" si="61"/>
        <v>#REF!</v>
      </c>
      <c r="DG80" s="813" t="str">
        <f t="shared" si="62"/>
        <v/>
      </c>
      <c r="DH80" s="1224" t="str">
        <f t="shared" si="124"/>
        <v/>
      </c>
      <c r="DI80" s="1224" t="str">
        <f t="shared" si="63"/>
        <v/>
      </c>
      <c r="DJ80" s="1225">
        <f t="shared" si="125"/>
        <v>0</v>
      </c>
      <c r="DK80" s="1224" t="str">
        <f t="shared" si="64"/>
        <v/>
      </c>
      <c r="DL80" s="1224" t="str">
        <f t="shared" si="65"/>
        <v/>
      </c>
      <c r="DM80" s="1224" t="str">
        <f t="shared" si="66"/>
        <v/>
      </c>
      <c r="DN80" s="1224" t="str">
        <f t="shared" si="67"/>
        <v/>
      </c>
      <c r="DO80" s="828" t="e">
        <f t="shared" si="68"/>
        <v>#REF!</v>
      </c>
      <c r="DP80" s="828" t="e">
        <f t="shared" si="69"/>
        <v>#REF!</v>
      </c>
      <c r="DQ80" s="1224" t="str">
        <f t="shared" si="70"/>
        <v/>
      </c>
      <c r="DR80" s="1224" t="str">
        <f t="shared" si="70"/>
        <v/>
      </c>
      <c r="DS80" s="1224" t="str">
        <f t="shared" si="71"/>
        <v/>
      </c>
      <c r="DT80" s="1224" t="str">
        <f t="shared" si="72"/>
        <v/>
      </c>
      <c r="DU80" s="1224" t="str">
        <f t="shared" si="73"/>
        <v/>
      </c>
      <c r="DV80" s="828" t="e">
        <f t="shared" si="74"/>
        <v>#REF!</v>
      </c>
      <c r="DW80" s="828" t="e">
        <f t="shared" si="75"/>
        <v>#REF!</v>
      </c>
      <c r="DX80" s="812" t="str">
        <f t="shared" si="144"/>
        <v/>
      </c>
      <c r="DY80" s="812" t="str">
        <f t="shared" si="144"/>
        <v/>
      </c>
      <c r="DZ80" s="812" t="str">
        <f t="shared" si="77"/>
        <v/>
      </c>
      <c r="EA80" s="812" t="str">
        <f t="shared" si="78"/>
        <v/>
      </c>
      <c r="EB80" s="815" t="str">
        <f t="shared" si="79"/>
        <v/>
      </c>
      <c r="EC80" s="816" t="str">
        <f t="shared" si="80"/>
        <v/>
      </c>
      <c r="ED80" s="815" t="str">
        <f t="shared" si="81"/>
        <v/>
      </c>
      <c r="EE80" s="815" t="str">
        <f t="shared" si="82"/>
        <v/>
      </c>
      <c r="EF80" s="815" t="str">
        <f t="shared" si="83"/>
        <v/>
      </c>
      <c r="EG80" s="815" t="str">
        <f t="shared" si="84"/>
        <v/>
      </c>
      <c r="EH80" s="815" t="str">
        <f t="shared" si="85"/>
        <v/>
      </c>
      <c r="EI80" s="815" t="str">
        <f t="shared" si="86"/>
        <v/>
      </c>
      <c r="EJ80" s="815" t="str">
        <f t="shared" si="87"/>
        <v/>
      </c>
      <c r="EK80" s="813">
        <f t="shared" si="88"/>
        <v>0</v>
      </c>
      <c r="EL80" s="813">
        <f t="shared" si="89"/>
        <v>0</v>
      </c>
      <c r="EM80" s="813">
        <f t="shared" si="90"/>
        <v>0</v>
      </c>
      <c r="EN80" s="813" t="e">
        <f t="shared" si="91"/>
        <v>#REF!</v>
      </c>
      <c r="EO80" s="812" t="str">
        <f t="shared" si="92"/>
        <v/>
      </c>
      <c r="EP80" s="813">
        <f t="shared" si="93"/>
        <v>0</v>
      </c>
      <c r="EQ80" s="813">
        <f t="shared" si="94"/>
        <v>0</v>
      </c>
      <c r="ER80" s="813">
        <f t="shared" si="95"/>
        <v>0</v>
      </c>
      <c r="ES80" s="813" t="e">
        <f t="shared" si="96"/>
        <v>#REF!</v>
      </c>
      <c r="ET80" s="812" t="str">
        <f t="shared" si="97"/>
        <v/>
      </c>
      <c r="EU80" s="812" t="e">
        <f t="shared" si="98"/>
        <v>#REF!</v>
      </c>
      <c r="EV80" s="815" t="e">
        <f t="shared" si="99"/>
        <v>#VALUE!</v>
      </c>
      <c r="EW80" s="815" t="e">
        <f t="shared" si="100"/>
        <v>#VALUE!</v>
      </c>
      <c r="EX80" s="817" t="str">
        <f t="shared" si="101"/>
        <v/>
      </c>
      <c r="EY80" s="818" t="e">
        <f t="shared" si="102"/>
        <v>#DIV/0!</v>
      </c>
      <c r="EZ80" s="893" t="e">
        <f t="shared" si="103"/>
        <v>#DIV/0!</v>
      </c>
      <c r="FA80" s="894" t="e">
        <f t="shared" si="104"/>
        <v>#DIV/0!</v>
      </c>
      <c r="FB80" s="819" t="str">
        <f t="shared" si="105"/>
        <v/>
      </c>
      <c r="FC80" s="820" t="str">
        <f t="shared" si="106"/>
        <v/>
      </c>
      <c r="FD80" s="829">
        <f t="shared" si="107"/>
        <v>0</v>
      </c>
      <c r="FE80" s="774">
        <f t="shared" si="108"/>
        <v>0</v>
      </c>
      <c r="FF80" s="703" t="b">
        <f t="shared" si="109"/>
        <v>0</v>
      </c>
      <c r="FG80" s="703" t="b">
        <f t="shared" si="110"/>
        <v>0</v>
      </c>
      <c r="FH80" s="703" t="b">
        <f t="shared" si="111"/>
        <v>0</v>
      </c>
      <c r="FI80" s="703" t="b">
        <f t="shared" si="112"/>
        <v>0</v>
      </c>
      <c r="FJ80" s="849" t="str">
        <f t="shared" si="126"/>
        <v/>
      </c>
      <c r="FK80" s="848" t="str">
        <f t="shared" si="127"/>
        <v/>
      </c>
      <c r="FL80" s="242" t="e">
        <f t="shared" si="128"/>
        <v>#N/A</v>
      </c>
      <c r="FM80" s="234" t="str">
        <f t="shared" si="113"/>
        <v/>
      </c>
      <c r="FN80" s="191" t="str">
        <f t="shared" ca="1" si="129"/>
        <v/>
      </c>
      <c r="FO80" s="192" t="str">
        <f t="shared" ca="1" si="130"/>
        <v/>
      </c>
      <c r="FP80" s="193" t="str">
        <f t="shared" ca="1" si="131"/>
        <v/>
      </c>
      <c r="FQ80" s="193" t="str">
        <f t="shared" ca="1" si="132"/>
        <v/>
      </c>
      <c r="FR80" s="243">
        <f t="shared" ca="1" si="133"/>
        <v>0</v>
      </c>
      <c r="FS80" s="244">
        <f t="shared" ca="1" si="134"/>
        <v>0</v>
      </c>
      <c r="FT80" s="191" t="str">
        <f t="shared" ca="1" si="135"/>
        <v/>
      </c>
      <c r="FU80" s="194" t="str">
        <f t="shared" ca="1" si="136"/>
        <v/>
      </c>
      <c r="FV80" s="245" t="str">
        <f t="shared" ca="1" si="114"/>
        <v/>
      </c>
      <c r="FW80" s="195" t="str">
        <f t="shared" ca="1" si="137"/>
        <v/>
      </c>
      <c r="FX80" s="195" t="str">
        <f t="shared" ca="1" si="138"/>
        <v/>
      </c>
      <c r="FY80" s="195" t="str">
        <f t="shared" ca="1" si="139"/>
        <v/>
      </c>
      <c r="FZ80" s="195" t="str">
        <f t="shared" ca="1" si="140"/>
        <v/>
      </c>
      <c r="GA80" s="195" t="str">
        <f t="shared" ca="1" si="141"/>
        <v/>
      </c>
      <c r="GB80" s="196" t="str">
        <f ca="1">IF(FY80="","",2+SUM(FO80:OFFSET(FO80,(FU80-1)*-1,0)))</f>
        <v/>
      </c>
      <c r="GC80" s="238" t="e">
        <f t="shared" si="142"/>
        <v>#N/A</v>
      </c>
      <c r="GD80" s="246" t="str">
        <f t="shared" si="115"/>
        <v/>
      </c>
      <c r="GE80" s="247" t="str">
        <f t="shared" si="116"/>
        <v/>
      </c>
      <c r="GF80" s="197" t="str">
        <f t="shared" si="117"/>
        <v/>
      </c>
      <c r="GG80" s="198" t="str">
        <f t="shared" si="118"/>
        <v/>
      </c>
      <c r="GH80" s="198" t="str">
        <f t="shared" si="119"/>
        <v/>
      </c>
      <c r="GI80" s="199" t="str">
        <f t="shared" si="120"/>
        <v/>
      </c>
      <c r="GJ80" s="473">
        <f t="shared" ca="1" si="121"/>
        <v>0</v>
      </c>
      <c r="GK80" s="834" t="str">
        <f t="shared" si="143"/>
        <v/>
      </c>
    </row>
    <row r="81" spans="1:193" ht="12.6" hidden="1" customHeight="1" x14ac:dyDescent="0.2">
      <c r="BZ81" s="214"/>
      <c r="CA81" s="214"/>
      <c r="CB81" s="289" t="str">
        <f t="shared" si="49"/>
        <v/>
      </c>
      <c r="CC81" s="290" t="str">
        <f>IF(CG41="","",VLOOKUP(CG41,#REF!,12,FALSE))</f>
        <v/>
      </c>
      <c r="CD81" s="1219" t="str">
        <f>IF(ISBLANK(CN41),IF(CG41="","",VLOOKUP(CG41,#REF!,13,FALSE)),CN41)</f>
        <v/>
      </c>
      <c r="CE81" s="1219" t="str">
        <f>IF(CG41="","",IF(VLOOKUP(CG41,#REF!,5,FALSE)="","R",UPPER(VLOOKUP(CG41,#REF!,5,FALSE))))</f>
        <v/>
      </c>
      <c r="CF81" s="1219" t="str">
        <f>IF(ISBLANK(CP41),IF(CG41="","",VLOOKUP(CG41,#REF!,6,FALSE)),CP41)</f>
        <v/>
      </c>
      <c r="CG81" s="1219" t="str">
        <f>IF(CG41="","",IF(VLOOKUP(CG41,#REF!,10,FALSE)="","",(VLOOKUP(CG41,#REF!,10,FALSE)*-1)))</f>
        <v/>
      </c>
      <c r="CH81" s="1219" t="str">
        <f>IF(CG41="","",IF(VLOOKUP(CG41,#REF!,7,FALSE)="","",(VLOOKUP(CG41,#REF!,7,FALSE)*-1)))</f>
        <v/>
      </c>
      <c r="CI81" s="1219" t="str">
        <f>IF(CG41="","",IF(VLOOKUP(CG41,#REF!,8,FALSE)="",$FC$4,(VLOOKUP(CG41,#REF!,8,FALSE))))</f>
        <v/>
      </c>
      <c r="CJ81" s="1219" t="str">
        <f>IF(CG41="","",VLOOKUP(CG41,#REF!,9,FALSE))</f>
        <v/>
      </c>
      <c r="CK81" s="1220">
        <f t="shared" si="50"/>
        <v>0</v>
      </c>
      <c r="CL81" s="1218" t="str">
        <f>IF(CQ41="","",VLOOKUP(CQ41,#REF!,12,FALSE))</f>
        <v/>
      </c>
      <c r="CM81" s="1219" t="str">
        <f>IF(ISBLANK(CX41),IF(CQ41="","",VLOOKUP(CQ41,#REF!,13,FALSE)),CX41)</f>
        <v/>
      </c>
      <c r="CN81" s="1219" t="str">
        <f>IF(CQ41="","",IF(VLOOKUP(CQ41,#REF!,5,FALSE)="","R",UPPER(VLOOKUP(CQ41,#REF!,5,FALSE))))</f>
        <v/>
      </c>
      <c r="CO81" s="1219" t="str">
        <f>IF(ISBLANK(CZ41),IF(CQ41="","",VLOOKUP(CQ41,#REF!,6,FALSE)),CZ41)</f>
        <v/>
      </c>
      <c r="CP81" s="1219" t="str">
        <f>IF(CQ41="","",IF(VLOOKUP(CQ41,#REF!,10,FALSE)="","",(VLOOKUP(CQ41,#REF!,10,FALSE)*-1)))</f>
        <v/>
      </c>
      <c r="CQ81" s="1219" t="str">
        <f>IF(CQ41="","",IF(VLOOKUP(CQ41,#REF!,7,FALSE)="","",(VLOOKUP(CQ41,#REF!,7,FALSE)*-1)))</f>
        <v/>
      </c>
      <c r="CR81" s="1219" t="str">
        <f>IF(CQ41="","",IF(VLOOKUP(CQ41,#REF!,8,FALSE)="",$FC$4,(VLOOKUP(CQ41,#REF!,8,FALSE))))</f>
        <v/>
      </c>
      <c r="CS81" s="1219" t="str">
        <f>IF(CQ41="","",VLOOKUP(CQ41,#REF!,9,FALSE))</f>
        <v/>
      </c>
      <c r="CT81" s="1220">
        <f t="shared" si="51"/>
        <v>0</v>
      </c>
      <c r="CU81" s="1230">
        <f t="shared" si="52"/>
        <v>0</v>
      </c>
      <c r="CV81" s="1224" t="str">
        <f t="shared" si="53"/>
        <v/>
      </c>
      <c r="CW81" s="1224" t="str">
        <f t="shared" si="54"/>
        <v/>
      </c>
      <c r="CX81" s="1224" t="str">
        <f t="shared" si="55"/>
        <v/>
      </c>
      <c r="CY81" s="1226">
        <f t="shared" si="56"/>
        <v>0</v>
      </c>
      <c r="CZ81" s="1226" t="e">
        <f t="shared" si="57"/>
        <v>#REF!</v>
      </c>
      <c r="DA81" s="1226" t="str">
        <f t="shared" si="58"/>
        <v/>
      </c>
      <c r="DB81" s="1224" t="str">
        <f t="shared" si="122"/>
        <v/>
      </c>
      <c r="DC81" s="1224" t="str">
        <f t="shared" si="59"/>
        <v/>
      </c>
      <c r="DD81" s="814">
        <f t="shared" si="123"/>
        <v>0</v>
      </c>
      <c r="DE81" s="812">
        <f t="shared" si="60"/>
        <v>0</v>
      </c>
      <c r="DF81" s="813" t="e">
        <f t="shared" si="61"/>
        <v>#REF!</v>
      </c>
      <c r="DG81" s="813" t="str">
        <f t="shared" si="62"/>
        <v/>
      </c>
      <c r="DH81" s="1224" t="str">
        <f t="shared" si="124"/>
        <v/>
      </c>
      <c r="DI81" s="1224" t="str">
        <f t="shared" si="63"/>
        <v/>
      </c>
      <c r="DJ81" s="1225">
        <f t="shared" si="125"/>
        <v>0</v>
      </c>
      <c r="DK81" s="1224" t="str">
        <f t="shared" si="64"/>
        <v/>
      </c>
      <c r="DL81" s="1224" t="str">
        <f t="shared" si="65"/>
        <v/>
      </c>
      <c r="DM81" s="1224" t="str">
        <f t="shared" si="66"/>
        <v/>
      </c>
      <c r="DN81" s="1224" t="str">
        <f t="shared" si="67"/>
        <v/>
      </c>
      <c r="DO81" s="828" t="e">
        <f t="shared" si="68"/>
        <v>#REF!</v>
      </c>
      <c r="DP81" s="828" t="e">
        <f t="shared" si="69"/>
        <v>#REF!</v>
      </c>
      <c r="DQ81" s="1224" t="str">
        <f t="shared" si="70"/>
        <v/>
      </c>
      <c r="DR81" s="1224" t="str">
        <f t="shared" si="70"/>
        <v/>
      </c>
      <c r="DS81" s="1224" t="str">
        <f t="shared" si="71"/>
        <v/>
      </c>
      <c r="DT81" s="1224" t="str">
        <f t="shared" si="72"/>
        <v/>
      </c>
      <c r="DU81" s="1224" t="str">
        <f t="shared" si="73"/>
        <v/>
      </c>
      <c r="DV81" s="828" t="e">
        <f t="shared" si="74"/>
        <v>#REF!</v>
      </c>
      <c r="DW81" s="828" t="e">
        <f t="shared" si="75"/>
        <v>#REF!</v>
      </c>
      <c r="DX81" s="812" t="str">
        <f t="shared" si="144"/>
        <v/>
      </c>
      <c r="DY81" s="812" t="str">
        <f t="shared" si="144"/>
        <v/>
      </c>
      <c r="DZ81" s="812" t="str">
        <f t="shared" si="77"/>
        <v/>
      </c>
      <c r="EA81" s="812" t="str">
        <f t="shared" si="78"/>
        <v/>
      </c>
      <c r="EB81" s="815" t="str">
        <f t="shared" si="79"/>
        <v/>
      </c>
      <c r="EC81" s="816" t="str">
        <f t="shared" si="80"/>
        <v/>
      </c>
      <c r="ED81" s="815" t="str">
        <f t="shared" si="81"/>
        <v/>
      </c>
      <c r="EE81" s="815" t="str">
        <f t="shared" si="82"/>
        <v/>
      </c>
      <c r="EF81" s="815" t="str">
        <f t="shared" si="83"/>
        <v/>
      </c>
      <c r="EG81" s="815" t="str">
        <f t="shared" si="84"/>
        <v/>
      </c>
      <c r="EH81" s="815" t="str">
        <f t="shared" si="85"/>
        <v/>
      </c>
      <c r="EI81" s="815" t="str">
        <f t="shared" si="86"/>
        <v/>
      </c>
      <c r="EJ81" s="815" t="str">
        <f t="shared" si="87"/>
        <v/>
      </c>
      <c r="EK81" s="813">
        <f t="shared" si="88"/>
        <v>0</v>
      </c>
      <c r="EL81" s="813">
        <f t="shared" si="89"/>
        <v>0</v>
      </c>
      <c r="EM81" s="813">
        <f t="shared" si="90"/>
        <v>0</v>
      </c>
      <c r="EN81" s="813" t="e">
        <f t="shared" si="91"/>
        <v>#REF!</v>
      </c>
      <c r="EO81" s="812" t="str">
        <f t="shared" si="92"/>
        <v/>
      </c>
      <c r="EP81" s="813">
        <f t="shared" si="93"/>
        <v>0</v>
      </c>
      <c r="EQ81" s="813">
        <f t="shared" si="94"/>
        <v>0</v>
      </c>
      <c r="ER81" s="813">
        <f t="shared" si="95"/>
        <v>0</v>
      </c>
      <c r="ES81" s="813" t="e">
        <f t="shared" si="96"/>
        <v>#REF!</v>
      </c>
      <c r="ET81" s="812" t="str">
        <f t="shared" si="97"/>
        <v/>
      </c>
      <c r="EU81" s="812" t="e">
        <f t="shared" si="98"/>
        <v>#REF!</v>
      </c>
      <c r="EV81" s="815" t="e">
        <f t="shared" si="99"/>
        <v>#VALUE!</v>
      </c>
      <c r="EW81" s="815" t="e">
        <f t="shared" si="100"/>
        <v>#VALUE!</v>
      </c>
      <c r="EX81" s="817" t="str">
        <f t="shared" si="101"/>
        <v/>
      </c>
      <c r="EY81" s="818" t="e">
        <f t="shared" si="102"/>
        <v>#DIV/0!</v>
      </c>
      <c r="EZ81" s="893" t="e">
        <f t="shared" si="103"/>
        <v>#DIV/0!</v>
      </c>
      <c r="FA81" s="894" t="e">
        <f t="shared" si="104"/>
        <v>#DIV/0!</v>
      </c>
      <c r="FB81" s="819" t="str">
        <f t="shared" si="105"/>
        <v/>
      </c>
      <c r="FC81" s="820" t="str">
        <f t="shared" si="106"/>
        <v/>
      </c>
      <c r="FD81" s="829">
        <f t="shared" si="107"/>
        <v>0</v>
      </c>
      <c r="FE81" s="774">
        <f t="shared" si="108"/>
        <v>0</v>
      </c>
      <c r="FF81" s="703" t="b">
        <f t="shared" si="109"/>
        <v>0</v>
      </c>
      <c r="FG81" s="703" t="b">
        <f t="shared" si="110"/>
        <v>0</v>
      </c>
      <c r="FH81" s="703" t="b">
        <f t="shared" si="111"/>
        <v>0</v>
      </c>
      <c r="FI81" s="703" t="b">
        <f t="shared" si="112"/>
        <v>0</v>
      </c>
      <c r="FJ81" s="849" t="str">
        <f t="shared" si="126"/>
        <v/>
      </c>
      <c r="FK81" s="848" t="str">
        <f t="shared" si="127"/>
        <v/>
      </c>
      <c r="FL81" s="242" t="e">
        <f t="shared" si="128"/>
        <v>#N/A</v>
      </c>
      <c r="FM81" s="234" t="str">
        <f t="shared" si="113"/>
        <v/>
      </c>
      <c r="FN81" s="191" t="str">
        <f t="shared" ca="1" si="129"/>
        <v/>
      </c>
      <c r="FO81" s="192" t="str">
        <f t="shared" ca="1" si="130"/>
        <v/>
      </c>
      <c r="FP81" s="193" t="str">
        <f t="shared" ca="1" si="131"/>
        <v/>
      </c>
      <c r="FQ81" s="193" t="str">
        <f t="shared" ca="1" si="132"/>
        <v/>
      </c>
      <c r="FR81" s="243">
        <f t="shared" ca="1" si="133"/>
        <v>0</v>
      </c>
      <c r="FS81" s="244">
        <f t="shared" ca="1" si="134"/>
        <v>0</v>
      </c>
      <c r="FT81" s="191" t="str">
        <f t="shared" ca="1" si="135"/>
        <v/>
      </c>
      <c r="FU81" s="194" t="str">
        <f t="shared" ca="1" si="136"/>
        <v/>
      </c>
      <c r="FV81" s="245" t="str">
        <f t="shared" ca="1" si="114"/>
        <v/>
      </c>
      <c r="FW81" s="195" t="str">
        <f t="shared" ca="1" si="137"/>
        <v/>
      </c>
      <c r="FX81" s="195" t="str">
        <f t="shared" ca="1" si="138"/>
        <v/>
      </c>
      <c r="FY81" s="195" t="str">
        <f t="shared" ca="1" si="139"/>
        <v/>
      </c>
      <c r="FZ81" s="195" t="str">
        <f t="shared" ca="1" si="140"/>
        <v/>
      </c>
      <c r="GA81" s="195" t="str">
        <f t="shared" ca="1" si="141"/>
        <v/>
      </c>
      <c r="GB81" s="196" t="str">
        <f ca="1">IF(FY81="","",2+SUM(FO81:OFFSET(FO81,(FU81-1)*-1,0)))</f>
        <v/>
      </c>
      <c r="GC81" s="238" t="e">
        <f t="shared" si="142"/>
        <v>#N/A</v>
      </c>
      <c r="GD81" s="246" t="str">
        <f t="shared" si="115"/>
        <v/>
      </c>
      <c r="GE81" s="247" t="str">
        <f t="shared" si="116"/>
        <v/>
      </c>
      <c r="GF81" s="197" t="str">
        <f t="shared" si="117"/>
        <v/>
      </c>
      <c r="GG81" s="198" t="str">
        <f t="shared" si="118"/>
        <v/>
      </c>
      <c r="GH81" s="198" t="str">
        <f t="shared" si="119"/>
        <v/>
      </c>
      <c r="GI81" s="199" t="str">
        <f t="shared" si="120"/>
        <v/>
      </c>
      <c r="GJ81" s="473">
        <f t="shared" ca="1" si="121"/>
        <v>0</v>
      </c>
      <c r="GK81" s="834" t="str">
        <f t="shared" si="143"/>
        <v/>
      </c>
    </row>
    <row r="82" spans="1:193" ht="12.6" hidden="1" customHeight="1" x14ac:dyDescent="0.2">
      <c r="BZ82" s="214"/>
      <c r="CA82" s="214"/>
      <c r="CB82" s="289" t="str">
        <f t="shared" si="49"/>
        <v/>
      </c>
      <c r="CC82" s="290" t="str">
        <f>IF(CG42="","",VLOOKUP(CG42,#REF!,12,FALSE))</f>
        <v/>
      </c>
      <c r="CD82" s="1219" t="str">
        <f>IF(ISBLANK(CN42),IF(CG42="","",VLOOKUP(CG42,#REF!,13,FALSE)),CN42)</f>
        <v/>
      </c>
      <c r="CE82" s="1219" t="str">
        <f>IF(CG42="","",IF(VLOOKUP(CG42,#REF!,5,FALSE)="","R",UPPER(VLOOKUP(CG42,#REF!,5,FALSE))))</f>
        <v/>
      </c>
      <c r="CF82" s="1219" t="str">
        <f>IF(ISBLANK(CP42),IF(CG42="","",VLOOKUP(CG42,#REF!,6,FALSE)),CP42)</f>
        <v/>
      </c>
      <c r="CG82" s="1219" t="str">
        <f>IF(CG42="","",IF(VLOOKUP(CG42,#REF!,10,FALSE)="","",(VLOOKUP(CG42,#REF!,10,FALSE)*-1)))</f>
        <v/>
      </c>
      <c r="CH82" s="1219" t="str">
        <f>IF(CG42="","",IF(VLOOKUP(CG42,#REF!,7,FALSE)="","",(VLOOKUP(CG42,#REF!,7,FALSE)*-1)))</f>
        <v/>
      </c>
      <c r="CI82" s="1219" t="str">
        <f>IF(CG42="","",IF(VLOOKUP(CG42,#REF!,8,FALSE)="",$FC$4,(VLOOKUP(CG42,#REF!,8,FALSE))))</f>
        <v/>
      </c>
      <c r="CJ82" s="1219" t="str">
        <f>IF(CG42="","",VLOOKUP(CG42,#REF!,9,FALSE))</f>
        <v/>
      </c>
      <c r="CK82" s="1220">
        <f t="shared" si="50"/>
        <v>0</v>
      </c>
      <c r="CL82" s="1218" t="str">
        <f>IF(CQ42="","",VLOOKUP(CQ42,#REF!,12,FALSE))</f>
        <v/>
      </c>
      <c r="CM82" s="1219" t="str">
        <f>IF(ISBLANK(CX42),IF(CQ42="","",VLOOKUP(CQ42,#REF!,13,FALSE)),CX42)</f>
        <v/>
      </c>
      <c r="CN82" s="1219" t="str">
        <f>IF(CQ42="","",IF(VLOOKUP(CQ42,#REF!,5,FALSE)="","R",UPPER(VLOOKUP(CQ42,#REF!,5,FALSE))))</f>
        <v/>
      </c>
      <c r="CO82" s="1219" t="str">
        <f>IF(ISBLANK(CZ42),IF(CQ42="","",VLOOKUP(CQ42,#REF!,6,FALSE)),CZ42)</f>
        <v/>
      </c>
      <c r="CP82" s="1219" t="str">
        <f>IF(CQ42="","",IF(VLOOKUP(CQ42,#REF!,10,FALSE)="","",(VLOOKUP(CQ42,#REF!,10,FALSE)*-1)))</f>
        <v/>
      </c>
      <c r="CQ82" s="1219" t="str">
        <f>IF(CQ42="","",IF(VLOOKUP(CQ42,#REF!,7,FALSE)="","",(VLOOKUP(CQ42,#REF!,7,FALSE)*-1)))</f>
        <v/>
      </c>
      <c r="CR82" s="1219" t="str">
        <f>IF(CQ42="","",IF(VLOOKUP(CQ42,#REF!,8,FALSE)="",$FC$4,(VLOOKUP(CQ42,#REF!,8,FALSE))))</f>
        <v/>
      </c>
      <c r="CS82" s="1219" t="str">
        <f>IF(CQ42="","",VLOOKUP(CQ42,#REF!,9,FALSE))</f>
        <v/>
      </c>
      <c r="CT82" s="1220">
        <f t="shared" si="51"/>
        <v>0</v>
      </c>
      <c r="CU82" s="1230">
        <f t="shared" si="52"/>
        <v>0</v>
      </c>
      <c r="CV82" s="1224" t="str">
        <f t="shared" si="53"/>
        <v/>
      </c>
      <c r="CW82" s="1224" t="str">
        <f t="shared" si="54"/>
        <v/>
      </c>
      <c r="CX82" s="1224" t="str">
        <f t="shared" si="55"/>
        <v/>
      </c>
      <c r="CY82" s="1226">
        <f t="shared" si="56"/>
        <v>0</v>
      </c>
      <c r="CZ82" s="1226" t="e">
        <f t="shared" si="57"/>
        <v>#REF!</v>
      </c>
      <c r="DA82" s="1226" t="str">
        <f t="shared" si="58"/>
        <v/>
      </c>
      <c r="DB82" s="1224" t="str">
        <f t="shared" si="122"/>
        <v/>
      </c>
      <c r="DC82" s="1224" t="str">
        <f t="shared" si="59"/>
        <v/>
      </c>
      <c r="DD82" s="814">
        <f t="shared" si="123"/>
        <v>0</v>
      </c>
      <c r="DE82" s="812">
        <f t="shared" si="60"/>
        <v>0</v>
      </c>
      <c r="DF82" s="813" t="e">
        <f t="shared" si="61"/>
        <v>#REF!</v>
      </c>
      <c r="DG82" s="813" t="str">
        <f t="shared" si="62"/>
        <v/>
      </c>
      <c r="DH82" s="1224" t="str">
        <f t="shared" si="124"/>
        <v/>
      </c>
      <c r="DI82" s="1224" t="str">
        <f t="shared" si="63"/>
        <v/>
      </c>
      <c r="DJ82" s="1225">
        <f t="shared" si="125"/>
        <v>0</v>
      </c>
      <c r="DK82" s="1224" t="str">
        <f t="shared" si="64"/>
        <v/>
      </c>
      <c r="DL82" s="1224" t="str">
        <f t="shared" si="65"/>
        <v/>
      </c>
      <c r="DM82" s="1224" t="str">
        <f t="shared" si="66"/>
        <v/>
      </c>
      <c r="DN82" s="1224" t="str">
        <f t="shared" si="67"/>
        <v/>
      </c>
      <c r="DO82" s="828" t="e">
        <f t="shared" si="68"/>
        <v>#REF!</v>
      </c>
      <c r="DP82" s="828" t="e">
        <f t="shared" si="69"/>
        <v>#REF!</v>
      </c>
      <c r="DQ82" s="1224" t="str">
        <f t="shared" si="70"/>
        <v/>
      </c>
      <c r="DR82" s="1224" t="str">
        <f t="shared" si="70"/>
        <v/>
      </c>
      <c r="DS82" s="1224" t="str">
        <f t="shared" si="71"/>
        <v/>
      </c>
      <c r="DT82" s="1224" t="str">
        <f t="shared" si="72"/>
        <v/>
      </c>
      <c r="DU82" s="1224" t="str">
        <f t="shared" si="73"/>
        <v/>
      </c>
      <c r="DV82" s="828" t="e">
        <f t="shared" si="74"/>
        <v>#REF!</v>
      </c>
      <c r="DW82" s="828" t="e">
        <f t="shared" si="75"/>
        <v>#REF!</v>
      </c>
      <c r="DX82" s="812" t="str">
        <f t="shared" si="144"/>
        <v/>
      </c>
      <c r="DY82" s="812" t="str">
        <f t="shared" si="144"/>
        <v/>
      </c>
      <c r="DZ82" s="812" t="str">
        <f t="shared" si="77"/>
        <v/>
      </c>
      <c r="EA82" s="812" t="str">
        <f t="shared" si="78"/>
        <v/>
      </c>
      <c r="EB82" s="815" t="str">
        <f t="shared" si="79"/>
        <v/>
      </c>
      <c r="EC82" s="816" t="str">
        <f t="shared" si="80"/>
        <v/>
      </c>
      <c r="ED82" s="815" t="str">
        <f t="shared" si="81"/>
        <v/>
      </c>
      <c r="EE82" s="815" t="str">
        <f t="shared" si="82"/>
        <v/>
      </c>
      <c r="EF82" s="815" t="str">
        <f t="shared" si="83"/>
        <v/>
      </c>
      <c r="EG82" s="815" t="str">
        <f t="shared" si="84"/>
        <v/>
      </c>
      <c r="EH82" s="815" t="str">
        <f t="shared" si="85"/>
        <v/>
      </c>
      <c r="EI82" s="815" t="str">
        <f t="shared" si="86"/>
        <v/>
      </c>
      <c r="EJ82" s="815" t="str">
        <f t="shared" si="87"/>
        <v/>
      </c>
      <c r="EK82" s="813">
        <f t="shared" si="88"/>
        <v>0</v>
      </c>
      <c r="EL82" s="813">
        <f t="shared" si="89"/>
        <v>0</v>
      </c>
      <c r="EM82" s="813">
        <f t="shared" si="90"/>
        <v>0</v>
      </c>
      <c r="EN82" s="813" t="e">
        <f t="shared" si="91"/>
        <v>#REF!</v>
      </c>
      <c r="EO82" s="812" t="str">
        <f t="shared" si="92"/>
        <v/>
      </c>
      <c r="EP82" s="813">
        <f t="shared" si="93"/>
        <v>0</v>
      </c>
      <c r="EQ82" s="813">
        <f t="shared" si="94"/>
        <v>0</v>
      </c>
      <c r="ER82" s="813">
        <f t="shared" si="95"/>
        <v>0</v>
      </c>
      <c r="ES82" s="813" t="e">
        <f t="shared" si="96"/>
        <v>#REF!</v>
      </c>
      <c r="ET82" s="812" t="str">
        <f t="shared" si="97"/>
        <v/>
      </c>
      <c r="EU82" s="812" t="e">
        <f t="shared" si="98"/>
        <v>#REF!</v>
      </c>
      <c r="EV82" s="815" t="e">
        <f t="shared" si="99"/>
        <v>#VALUE!</v>
      </c>
      <c r="EW82" s="815" t="e">
        <f t="shared" si="100"/>
        <v>#VALUE!</v>
      </c>
      <c r="EX82" s="817" t="str">
        <f t="shared" si="101"/>
        <v/>
      </c>
      <c r="EY82" s="818" t="e">
        <f t="shared" si="102"/>
        <v>#DIV/0!</v>
      </c>
      <c r="EZ82" s="893" t="e">
        <f t="shared" si="103"/>
        <v>#DIV/0!</v>
      </c>
      <c r="FA82" s="894" t="e">
        <f t="shared" si="104"/>
        <v>#DIV/0!</v>
      </c>
      <c r="FB82" s="819" t="str">
        <f t="shared" si="105"/>
        <v/>
      </c>
      <c r="FC82" s="820" t="str">
        <f t="shared" si="106"/>
        <v/>
      </c>
      <c r="FD82" s="829">
        <f t="shared" si="107"/>
        <v>0</v>
      </c>
      <c r="FE82" s="774">
        <f t="shared" si="108"/>
        <v>0</v>
      </c>
      <c r="FF82" s="703" t="b">
        <f t="shared" si="109"/>
        <v>0</v>
      </c>
      <c r="FG82" s="703" t="b">
        <f t="shared" si="110"/>
        <v>0</v>
      </c>
      <c r="FH82" s="703" t="b">
        <f t="shared" si="111"/>
        <v>0</v>
      </c>
      <c r="FI82" s="703" t="b">
        <f t="shared" si="112"/>
        <v>0</v>
      </c>
      <c r="FJ82" s="849" t="str">
        <f t="shared" si="126"/>
        <v/>
      </c>
      <c r="FK82" s="848" t="str">
        <f t="shared" si="127"/>
        <v/>
      </c>
      <c r="FL82" s="242" t="e">
        <f t="shared" si="128"/>
        <v>#N/A</v>
      </c>
      <c r="FM82" s="234" t="str">
        <f t="shared" si="113"/>
        <v/>
      </c>
      <c r="FN82" s="191" t="str">
        <f t="shared" ca="1" si="129"/>
        <v/>
      </c>
      <c r="FO82" s="192" t="str">
        <f t="shared" ca="1" si="130"/>
        <v/>
      </c>
      <c r="FP82" s="193" t="str">
        <f t="shared" ca="1" si="131"/>
        <v/>
      </c>
      <c r="FQ82" s="193" t="str">
        <f t="shared" ca="1" si="132"/>
        <v/>
      </c>
      <c r="FR82" s="243">
        <f t="shared" ca="1" si="133"/>
        <v>0</v>
      </c>
      <c r="FS82" s="244">
        <f t="shared" ca="1" si="134"/>
        <v>0</v>
      </c>
      <c r="FT82" s="191" t="str">
        <f t="shared" ca="1" si="135"/>
        <v/>
      </c>
      <c r="FU82" s="194" t="str">
        <f t="shared" ca="1" si="136"/>
        <v/>
      </c>
      <c r="FV82" s="245" t="str">
        <f t="shared" ca="1" si="114"/>
        <v/>
      </c>
      <c r="FW82" s="195" t="str">
        <f t="shared" ca="1" si="137"/>
        <v/>
      </c>
      <c r="FX82" s="195" t="str">
        <f t="shared" ca="1" si="138"/>
        <v/>
      </c>
      <c r="FY82" s="195" t="str">
        <f t="shared" ca="1" si="139"/>
        <v/>
      </c>
      <c r="FZ82" s="195" t="str">
        <f t="shared" ca="1" si="140"/>
        <v/>
      </c>
      <c r="GA82" s="195" t="str">
        <f t="shared" ca="1" si="141"/>
        <v/>
      </c>
      <c r="GB82" s="196" t="str">
        <f ca="1">IF(FY82="","",2+SUM(FO82:OFFSET(FO82,(FU82-1)*-1,0)))</f>
        <v/>
      </c>
      <c r="GC82" s="238" t="e">
        <f t="shared" si="142"/>
        <v>#N/A</v>
      </c>
      <c r="GD82" s="246" t="str">
        <f t="shared" si="115"/>
        <v/>
      </c>
      <c r="GE82" s="247" t="str">
        <f t="shared" si="116"/>
        <v/>
      </c>
      <c r="GF82" s="197" t="str">
        <f t="shared" si="117"/>
        <v/>
      </c>
      <c r="GG82" s="198" t="str">
        <f t="shared" si="118"/>
        <v/>
      </c>
      <c r="GH82" s="198" t="str">
        <f t="shared" si="119"/>
        <v/>
      </c>
      <c r="GI82" s="199" t="str">
        <f t="shared" si="120"/>
        <v/>
      </c>
      <c r="GJ82" s="473">
        <f t="shared" ca="1" si="121"/>
        <v>0</v>
      </c>
      <c r="GK82" s="834" t="str">
        <f t="shared" si="143"/>
        <v/>
      </c>
    </row>
    <row r="83" spans="1:193" ht="12.6" hidden="1" customHeight="1" x14ac:dyDescent="0.2">
      <c r="BZ83" s="214"/>
      <c r="CA83" s="214"/>
      <c r="CB83" s="289" t="str">
        <f t="shared" si="49"/>
        <v/>
      </c>
      <c r="CC83" s="290" t="str">
        <f>IF(CG43="","",VLOOKUP(CG43,#REF!,12,FALSE))</f>
        <v/>
      </c>
      <c r="CD83" s="1219" t="str">
        <f>IF(ISBLANK(CN43),IF(CG43="","",VLOOKUP(CG43,#REF!,13,FALSE)),CN43)</f>
        <v/>
      </c>
      <c r="CE83" s="1219" t="str">
        <f>IF(CG43="","",IF(VLOOKUP(CG43,#REF!,5,FALSE)="","R",UPPER(VLOOKUP(CG43,#REF!,5,FALSE))))</f>
        <v/>
      </c>
      <c r="CF83" s="1219" t="str">
        <f>IF(ISBLANK(CP43),IF(CG43="","",VLOOKUP(CG43,#REF!,6,FALSE)),CP43)</f>
        <v/>
      </c>
      <c r="CG83" s="1219" t="str">
        <f>IF(CG43="","",IF(VLOOKUP(CG43,#REF!,10,FALSE)="","",(VLOOKUP(CG43,#REF!,10,FALSE)*-1)))</f>
        <v/>
      </c>
      <c r="CH83" s="1219" t="str">
        <f>IF(CG43="","",IF(VLOOKUP(CG43,#REF!,7,FALSE)="","",(VLOOKUP(CG43,#REF!,7,FALSE)*-1)))</f>
        <v/>
      </c>
      <c r="CI83" s="1219" t="str">
        <f>IF(CG43="","",IF(VLOOKUP(CG43,#REF!,8,FALSE)="",$FC$4,(VLOOKUP(CG43,#REF!,8,FALSE))))</f>
        <v/>
      </c>
      <c r="CJ83" s="1219" t="str">
        <f>IF(CG43="","",VLOOKUP(CG43,#REF!,9,FALSE))</f>
        <v/>
      </c>
      <c r="CK83" s="1220">
        <f t="shared" si="50"/>
        <v>0</v>
      </c>
      <c r="CL83" s="1218" t="str">
        <f>IF(CQ43="","",VLOOKUP(CQ43,#REF!,12,FALSE))</f>
        <v/>
      </c>
      <c r="CM83" s="1219" t="str">
        <f>IF(ISBLANK(CX43),IF(CQ43="","",VLOOKUP(CQ43,#REF!,13,FALSE)),CX43)</f>
        <v/>
      </c>
      <c r="CN83" s="1219" t="str">
        <f>IF(CQ43="","",IF(VLOOKUP(CQ43,#REF!,5,FALSE)="","R",UPPER(VLOOKUP(CQ43,#REF!,5,FALSE))))</f>
        <v/>
      </c>
      <c r="CO83" s="1219" t="str">
        <f>IF(ISBLANK(CZ43),IF(CQ43="","",VLOOKUP(CQ43,#REF!,6,FALSE)),CZ43)</f>
        <v/>
      </c>
      <c r="CP83" s="1219" t="str">
        <f>IF(CQ43="","",IF(VLOOKUP(CQ43,#REF!,10,FALSE)="","",(VLOOKUP(CQ43,#REF!,10,FALSE)*-1)))</f>
        <v/>
      </c>
      <c r="CQ83" s="1219" t="str">
        <f>IF(CQ43="","",IF(VLOOKUP(CQ43,#REF!,7,FALSE)="","",(VLOOKUP(CQ43,#REF!,7,FALSE)*-1)))</f>
        <v/>
      </c>
      <c r="CR83" s="1219" t="str">
        <f>IF(CQ43="","",IF(VLOOKUP(CQ43,#REF!,8,FALSE)="",$FC$4,(VLOOKUP(CQ43,#REF!,8,FALSE))))</f>
        <v/>
      </c>
      <c r="CS83" s="1219" t="str">
        <f>IF(CQ43="","",VLOOKUP(CQ43,#REF!,9,FALSE))</f>
        <v/>
      </c>
      <c r="CT83" s="1220">
        <f t="shared" si="51"/>
        <v>0</v>
      </c>
      <c r="CU83" s="1230">
        <f t="shared" si="52"/>
        <v>0</v>
      </c>
      <c r="CV83" s="1224" t="str">
        <f t="shared" si="53"/>
        <v/>
      </c>
      <c r="CW83" s="1224" t="str">
        <f t="shared" si="54"/>
        <v/>
      </c>
      <c r="CX83" s="1224" t="str">
        <f t="shared" si="55"/>
        <v/>
      </c>
      <c r="CY83" s="1226">
        <f t="shared" si="56"/>
        <v>0</v>
      </c>
      <c r="CZ83" s="1226" t="e">
        <f t="shared" si="57"/>
        <v>#REF!</v>
      </c>
      <c r="DA83" s="1226" t="str">
        <f t="shared" si="58"/>
        <v/>
      </c>
      <c r="DB83" s="1224" t="str">
        <f t="shared" si="122"/>
        <v/>
      </c>
      <c r="DC83" s="1224" t="str">
        <f t="shared" si="59"/>
        <v/>
      </c>
      <c r="DD83" s="814">
        <f t="shared" si="123"/>
        <v>0</v>
      </c>
      <c r="DE83" s="812">
        <f t="shared" si="60"/>
        <v>0</v>
      </c>
      <c r="DF83" s="813" t="e">
        <f t="shared" si="61"/>
        <v>#REF!</v>
      </c>
      <c r="DG83" s="813" t="str">
        <f t="shared" si="62"/>
        <v/>
      </c>
      <c r="DH83" s="1224" t="str">
        <f t="shared" si="124"/>
        <v/>
      </c>
      <c r="DI83" s="1224" t="str">
        <f t="shared" si="63"/>
        <v/>
      </c>
      <c r="DJ83" s="1225">
        <f t="shared" si="125"/>
        <v>0</v>
      </c>
      <c r="DK83" s="1224" t="str">
        <f t="shared" si="64"/>
        <v/>
      </c>
      <c r="DL83" s="1224" t="str">
        <f t="shared" si="65"/>
        <v/>
      </c>
      <c r="DM83" s="1224" t="str">
        <f t="shared" si="66"/>
        <v/>
      </c>
      <c r="DN83" s="1224" t="str">
        <f t="shared" si="67"/>
        <v/>
      </c>
      <c r="DO83" s="828" t="e">
        <f t="shared" si="68"/>
        <v>#REF!</v>
      </c>
      <c r="DP83" s="828" t="e">
        <f t="shared" si="69"/>
        <v>#REF!</v>
      </c>
      <c r="DQ83" s="1224" t="str">
        <f t="shared" si="70"/>
        <v/>
      </c>
      <c r="DR83" s="1224" t="str">
        <f t="shared" si="70"/>
        <v/>
      </c>
      <c r="DS83" s="1224" t="str">
        <f t="shared" si="71"/>
        <v/>
      </c>
      <c r="DT83" s="1224" t="str">
        <f t="shared" si="72"/>
        <v/>
      </c>
      <c r="DU83" s="1224" t="str">
        <f t="shared" si="73"/>
        <v/>
      </c>
      <c r="DV83" s="828" t="e">
        <f t="shared" si="74"/>
        <v>#REF!</v>
      </c>
      <c r="DW83" s="828" t="e">
        <f t="shared" si="75"/>
        <v>#REF!</v>
      </c>
      <c r="DX83" s="812" t="str">
        <f t="shared" si="144"/>
        <v/>
      </c>
      <c r="DY83" s="812" t="str">
        <f t="shared" si="144"/>
        <v/>
      </c>
      <c r="DZ83" s="812" t="str">
        <f t="shared" si="77"/>
        <v/>
      </c>
      <c r="EA83" s="812" t="str">
        <f t="shared" si="78"/>
        <v/>
      </c>
      <c r="EB83" s="815" t="str">
        <f t="shared" si="79"/>
        <v/>
      </c>
      <c r="EC83" s="816" t="str">
        <f t="shared" si="80"/>
        <v/>
      </c>
      <c r="ED83" s="815" t="str">
        <f t="shared" si="81"/>
        <v/>
      </c>
      <c r="EE83" s="815" t="str">
        <f t="shared" si="82"/>
        <v/>
      </c>
      <c r="EF83" s="815" t="str">
        <f t="shared" si="83"/>
        <v/>
      </c>
      <c r="EG83" s="815" t="str">
        <f t="shared" si="84"/>
        <v/>
      </c>
      <c r="EH83" s="815" t="str">
        <f t="shared" si="85"/>
        <v/>
      </c>
      <c r="EI83" s="815" t="str">
        <f t="shared" si="86"/>
        <v/>
      </c>
      <c r="EJ83" s="815" t="str">
        <f t="shared" si="87"/>
        <v/>
      </c>
      <c r="EK83" s="813">
        <f t="shared" si="88"/>
        <v>0</v>
      </c>
      <c r="EL83" s="813">
        <f t="shared" si="89"/>
        <v>0</v>
      </c>
      <c r="EM83" s="813">
        <f t="shared" si="90"/>
        <v>0</v>
      </c>
      <c r="EN83" s="813" t="e">
        <f t="shared" si="91"/>
        <v>#REF!</v>
      </c>
      <c r="EO83" s="812" t="str">
        <f t="shared" si="92"/>
        <v/>
      </c>
      <c r="EP83" s="813">
        <f t="shared" si="93"/>
        <v>0</v>
      </c>
      <c r="EQ83" s="813">
        <f t="shared" si="94"/>
        <v>0</v>
      </c>
      <c r="ER83" s="813">
        <f t="shared" si="95"/>
        <v>0</v>
      </c>
      <c r="ES83" s="813" t="e">
        <f t="shared" si="96"/>
        <v>#REF!</v>
      </c>
      <c r="ET83" s="812" t="str">
        <f t="shared" si="97"/>
        <v/>
      </c>
      <c r="EU83" s="812" t="e">
        <f t="shared" si="98"/>
        <v>#REF!</v>
      </c>
      <c r="EV83" s="815" t="e">
        <f t="shared" si="99"/>
        <v>#VALUE!</v>
      </c>
      <c r="EW83" s="815" t="e">
        <f t="shared" si="100"/>
        <v>#VALUE!</v>
      </c>
      <c r="EX83" s="817" t="str">
        <f t="shared" si="101"/>
        <v/>
      </c>
      <c r="EY83" s="818" t="e">
        <f t="shared" si="102"/>
        <v>#DIV/0!</v>
      </c>
      <c r="EZ83" s="893" t="e">
        <f t="shared" si="103"/>
        <v>#DIV/0!</v>
      </c>
      <c r="FA83" s="894" t="e">
        <f t="shared" si="104"/>
        <v>#DIV/0!</v>
      </c>
      <c r="FB83" s="819" t="str">
        <f t="shared" si="105"/>
        <v/>
      </c>
      <c r="FC83" s="820" t="str">
        <f t="shared" si="106"/>
        <v/>
      </c>
      <c r="FD83" s="829">
        <f t="shared" si="107"/>
        <v>0</v>
      </c>
      <c r="FE83" s="774">
        <f t="shared" si="108"/>
        <v>0</v>
      </c>
      <c r="FF83" s="703" t="b">
        <f t="shared" si="109"/>
        <v>0</v>
      </c>
      <c r="FG83" s="703" t="b">
        <f t="shared" si="110"/>
        <v>0</v>
      </c>
      <c r="FH83" s="703" t="b">
        <f t="shared" si="111"/>
        <v>0</v>
      </c>
      <c r="FI83" s="703" t="b">
        <f t="shared" si="112"/>
        <v>0</v>
      </c>
      <c r="FJ83" s="849" t="str">
        <f t="shared" si="126"/>
        <v/>
      </c>
      <c r="FK83" s="848" t="str">
        <f t="shared" si="127"/>
        <v/>
      </c>
      <c r="FL83" s="242" t="e">
        <f t="shared" si="128"/>
        <v>#N/A</v>
      </c>
      <c r="FM83" s="234" t="str">
        <f t="shared" si="113"/>
        <v/>
      </c>
      <c r="FN83" s="191" t="str">
        <f t="shared" ca="1" si="129"/>
        <v/>
      </c>
      <c r="FO83" s="192" t="str">
        <f t="shared" ca="1" si="130"/>
        <v/>
      </c>
      <c r="FP83" s="193" t="str">
        <f t="shared" ca="1" si="131"/>
        <v/>
      </c>
      <c r="FQ83" s="193" t="str">
        <f t="shared" ca="1" si="132"/>
        <v/>
      </c>
      <c r="FR83" s="243">
        <f t="shared" ca="1" si="133"/>
        <v>0</v>
      </c>
      <c r="FS83" s="244">
        <f t="shared" ca="1" si="134"/>
        <v>0</v>
      </c>
      <c r="FT83" s="191" t="str">
        <f t="shared" ca="1" si="135"/>
        <v/>
      </c>
      <c r="FU83" s="194" t="str">
        <f t="shared" ca="1" si="136"/>
        <v/>
      </c>
      <c r="FV83" s="245" t="str">
        <f t="shared" ca="1" si="114"/>
        <v/>
      </c>
      <c r="FW83" s="195" t="str">
        <f t="shared" ca="1" si="137"/>
        <v/>
      </c>
      <c r="FX83" s="195" t="str">
        <f t="shared" ca="1" si="138"/>
        <v/>
      </c>
      <c r="FY83" s="195" t="str">
        <f t="shared" ca="1" si="139"/>
        <v/>
      </c>
      <c r="FZ83" s="195" t="str">
        <f t="shared" ca="1" si="140"/>
        <v/>
      </c>
      <c r="GA83" s="195" t="str">
        <f t="shared" ca="1" si="141"/>
        <v/>
      </c>
      <c r="GB83" s="196" t="str">
        <f ca="1">IF(FY83="","",2+SUM(FO83:OFFSET(FO83,(FU83-1)*-1,0)))</f>
        <v/>
      </c>
      <c r="GC83" s="238" t="e">
        <f t="shared" si="142"/>
        <v>#N/A</v>
      </c>
      <c r="GD83" s="246" t="str">
        <f t="shared" si="115"/>
        <v/>
      </c>
      <c r="GE83" s="247" t="str">
        <f t="shared" si="116"/>
        <v/>
      </c>
      <c r="GF83" s="197" t="str">
        <f t="shared" si="117"/>
        <v/>
      </c>
      <c r="GG83" s="198" t="str">
        <f t="shared" si="118"/>
        <v/>
      </c>
      <c r="GH83" s="198" t="str">
        <f t="shared" si="119"/>
        <v/>
      </c>
      <c r="GI83" s="199" t="str">
        <f t="shared" si="120"/>
        <v/>
      </c>
      <c r="GJ83" s="473">
        <f t="shared" ca="1" si="121"/>
        <v>0</v>
      </c>
      <c r="GK83" s="834" t="str">
        <f t="shared" si="143"/>
        <v/>
      </c>
    </row>
    <row r="84" spans="1:193" ht="12.6" hidden="1" customHeight="1" x14ac:dyDescent="0.2">
      <c r="BZ84" s="214"/>
      <c r="CA84" s="214"/>
      <c r="CB84" s="289" t="str">
        <f t="shared" si="49"/>
        <v/>
      </c>
      <c r="CC84" s="290" t="str">
        <f>IF(CG44="","",VLOOKUP(CG44,#REF!,12,FALSE))</f>
        <v/>
      </c>
      <c r="CD84" s="1219" t="str">
        <f>IF(ISBLANK(CN44),IF(CG44="","",VLOOKUP(CG44,#REF!,13,FALSE)),CN44)</f>
        <v/>
      </c>
      <c r="CE84" s="1219" t="str">
        <f>IF(CG44="","",IF(VLOOKUP(CG44,#REF!,5,FALSE)="","R",UPPER(VLOOKUP(CG44,#REF!,5,FALSE))))</f>
        <v/>
      </c>
      <c r="CF84" s="1219" t="str">
        <f>IF(ISBLANK(CP44),IF(CG44="","",VLOOKUP(CG44,#REF!,6,FALSE)),CP44)</f>
        <v/>
      </c>
      <c r="CG84" s="1219" t="str">
        <f>IF(CG44="","",IF(VLOOKUP(CG44,#REF!,10,FALSE)="","",(VLOOKUP(CG44,#REF!,10,FALSE)*-1)))</f>
        <v/>
      </c>
      <c r="CH84" s="1219" t="str">
        <f>IF(CG44="","",IF(VLOOKUP(CG44,#REF!,7,FALSE)="","",(VLOOKUP(CG44,#REF!,7,FALSE)*-1)))</f>
        <v/>
      </c>
      <c r="CI84" s="1219" t="str">
        <f>IF(CG44="","",IF(VLOOKUP(CG44,#REF!,8,FALSE)="",$FC$4,(VLOOKUP(CG44,#REF!,8,FALSE))))</f>
        <v/>
      </c>
      <c r="CJ84" s="1219" t="str">
        <f>IF(CG44="","",VLOOKUP(CG44,#REF!,9,FALSE))</f>
        <v/>
      </c>
      <c r="CK84" s="1220">
        <f t="shared" si="50"/>
        <v>0</v>
      </c>
      <c r="CL84" s="1218" t="str">
        <f>IF(CQ44="","",VLOOKUP(CQ44,#REF!,12,FALSE))</f>
        <v/>
      </c>
      <c r="CM84" s="1219" t="str">
        <f>IF(ISBLANK(CX44),IF(CQ44="","",VLOOKUP(CQ44,#REF!,13,FALSE)),CX44)</f>
        <v/>
      </c>
      <c r="CN84" s="1219" t="str">
        <f>IF(CQ44="","",IF(VLOOKUP(CQ44,#REF!,5,FALSE)="","R",UPPER(VLOOKUP(CQ44,#REF!,5,FALSE))))</f>
        <v/>
      </c>
      <c r="CO84" s="1219" t="str">
        <f>IF(ISBLANK(CZ44),IF(CQ44="","",VLOOKUP(CQ44,#REF!,6,FALSE)),CZ44)</f>
        <v/>
      </c>
      <c r="CP84" s="1219" t="str">
        <f>IF(CQ44="","",IF(VLOOKUP(CQ44,#REF!,10,FALSE)="","",(VLOOKUP(CQ44,#REF!,10,FALSE)*-1)))</f>
        <v/>
      </c>
      <c r="CQ84" s="1219" t="str">
        <f>IF(CQ44="","",IF(VLOOKUP(CQ44,#REF!,7,FALSE)="","",(VLOOKUP(CQ44,#REF!,7,FALSE)*-1)))</f>
        <v/>
      </c>
      <c r="CR84" s="1219" t="str">
        <f>IF(CQ44="","",IF(VLOOKUP(CQ44,#REF!,8,FALSE)="",$FC$4,(VLOOKUP(CQ44,#REF!,8,FALSE))))</f>
        <v/>
      </c>
      <c r="CS84" s="1219" t="str">
        <f>IF(CQ44="","",VLOOKUP(CQ44,#REF!,9,FALSE))</f>
        <v/>
      </c>
      <c r="CT84" s="1220">
        <f t="shared" si="51"/>
        <v>0</v>
      </c>
      <c r="CU84" s="1230">
        <f t="shared" si="52"/>
        <v>0</v>
      </c>
      <c r="CV84" s="1224" t="str">
        <f t="shared" si="53"/>
        <v/>
      </c>
      <c r="CW84" s="1224" t="str">
        <f t="shared" si="54"/>
        <v/>
      </c>
      <c r="CX84" s="1224" t="str">
        <f t="shared" si="55"/>
        <v/>
      </c>
      <c r="CY84" s="1226">
        <f t="shared" si="56"/>
        <v>0</v>
      </c>
      <c r="CZ84" s="1226" t="e">
        <f t="shared" si="57"/>
        <v>#REF!</v>
      </c>
      <c r="DA84" s="1226" t="str">
        <f t="shared" si="58"/>
        <v/>
      </c>
      <c r="DB84" s="1224" t="str">
        <f t="shared" si="122"/>
        <v/>
      </c>
      <c r="DC84" s="1224" t="str">
        <f t="shared" si="59"/>
        <v/>
      </c>
      <c r="DD84" s="814">
        <f t="shared" si="123"/>
        <v>0</v>
      </c>
      <c r="DE84" s="812">
        <f t="shared" si="60"/>
        <v>0</v>
      </c>
      <c r="DF84" s="813" t="e">
        <f t="shared" si="61"/>
        <v>#REF!</v>
      </c>
      <c r="DG84" s="813" t="str">
        <f t="shared" si="62"/>
        <v/>
      </c>
      <c r="DH84" s="1224" t="str">
        <f t="shared" si="124"/>
        <v/>
      </c>
      <c r="DI84" s="1224" t="str">
        <f t="shared" si="63"/>
        <v/>
      </c>
      <c r="DJ84" s="1225">
        <f t="shared" si="125"/>
        <v>0</v>
      </c>
      <c r="DK84" s="1224" t="str">
        <f t="shared" si="64"/>
        <v/>
      </c>
      <c r="DL84" s="1224" t="str">
        <f t="shared" si="65"/>
        <v/>
      </c>
      <c r="DM84" s="1224" t="str">
        <f t="shared" si="66"/>
        <v/>
      </c>
      <c r="DN84" s="1224" t="str">
        <f t="shared" si="67"/>
        <v/>
      </c>
      <c r="DO84" s="828" t="e">
        <f t="shared" si="68"/>
        <v>#REF!</v>
      </c>
      <c r="DP84" s="828" t="e">
        <f t="shared" si="69"/>
        <v>#REF!</v>
      </c>
      <c r="DQ84" s="1224" t="str">
        <f t="shared" si="70"/>
        <v/>
      </c>
      <c r="DR84" s="1224" t="str">
        <f t="shared" si="70"/>
        <v/>
      </c>
      <c r="DS84" s="1224" t="str">
        <f t="shared" si="71"/>
        <v/>
      </c>
      <c r="DT84" s="1224" t="str">
        <f t="shared" si="72"/>
        <v/>
      </c>
      <c r="DU84" s="1224" t="str">
        <f t="shared" si="73"/>
        <v/>
      </c>
      <c r="DV84" s="828" t="e">
        <f t="shared" si="74"/>
        <v>#REF!</v>
      </c>
      <c r="DW84" s="828" t="e">
        <f t="shared" si="75"/>
        <v>#REF!</v>
      </c>
      <c r="DX84" s="812" t="str">
        <f t="shared" si="144"/>
        <v/>
      </c>
      <c r="DY84" s="812" t="str">
        <f t="shared" si="144"/>
        <v/>
      </c>
      <c r="DZ84" s="812" t="str">
        <f t="shared" si="77"/>
        <v/>
      </c>
      <c r="EA84" s="812" t="str">
        <f t="shared" si="78"/>
        <v/>
      </c>
      <c r="EB84" s="815" t="str">
        <f t="shared" si="79"/>
        <v/>
      </c>
      <c r="EC84" s="816" t="str">
        <f t="shared" si="80"/>
        <v/>
      </c>
      <c r="ED84" s="815" t="str">
        <f t="shared" si="81"/>
        <v/>
      </c>
      <c r="EE84" s="815" t="str">
        <f t="shared" si="82"/>
        <v/>
      </c>
      <c r="EF84" s="815" t="str">
        <f t="shared" si="83"/>
        <v/>
      </c>
      <c r="EG84" s="815" t="str">
        <f t="shared" si="84"/>
        <v/>
      </c>
      <c r="EH84" s="815" t="str">
        <f t="shared" si="85"/>
        <v/>
      </c>
      <c r="EI84" s="815" t="str">
        <f t="shared" si="86"/>
        <v/>
      </c>
      <c r="EJ84" s="815" t="str">
        <f t="shared" si="87"/>
        <v/>
      </c>
      <c r="EK84" s="813">
        <f t="shared" si="88"/>
        <v>0</v>
      </c>
      <c r="EL84" s="813">
        <f t="shared" si="89"/>
        <v>0</v>
      </c>
      <c r="EM84" s="813">
        <f t="shared" si="90"/>
        <v>0</v>
      </c>
      <c r="EN84" s="813" t="e">
        <f t="shared" si="91"/>
        <v>#REF!</v>
      </c>
      <c r="EO84" s="812" t="str">
        <f t="shared" si="92"/>
        <v/>
      </c>
      <c r="EP84" s="813">
        <f t="shared" si="93"/>
        <v>0</v>
      </c>
      <c r="EQ84" s="813">
        <f t="shared" si="94"/>
        <v>0</v>
      </c>
      <c r="ER84" s="813">
        <f t="shared" si="95"/>
        <v>0</v>
      </c>
      <c r="ES84" s="813" t="e">
        <f t="shared" si="96"/>
        <v>#REF!</v>
      </c>
      <c r="ET84" s="812" t="str">
        <f t="shared" si="97"/>
        <v/>
      </c>
      <c r="EU84" s="812" t="e">
        <f t="shared" si="98"/>
        <v>#REF!</v>
      </c>
      <c r="EV84" s="815" t="e">
        <f t="shared" si="99"/>
        <v>#VALUE!</v>
      </c>
      <c r="EW84" s="815" t="e">
        <f t="shared" si="100"/>
        <v>#VALUE!</v>
      </c>
      <c r="EX84" s="817" t="str">
        <f t="shared" si="101"/>
        <v/>
      </c>
      <c r="EY84" s="818" t="e">
        <f t="shared" si="102"/>
        <v>#DIV/0!</v>
      </c>
      <c r="EZ84" s="893" t="e">
        <f t="shared" si="103"/>
        <v>#DIV/0!</v>
      </c>
      <c r="FA84" s="894" t="e">
        <f t="shared" si="104"/>
        <v>#DIV/0!</v>
      </c>
      <c r="FB84" s="819" t="str">
        <f t="shared" si="105"/>
        <v/>
      </c>
      <c r="FC84" s="820" t="str">
        <f t="shared" si="106"/>
        <v/>
      </c>
      <c r="FD84" s="829">
        <f t="shared" si="107"/>
        <v>0</v>
      </c>
      <c r="FE84" s="774">
        <f t="shared" si="108"/>
        <v>0</v>
      </c>
      <c r="FF84" s="703" t="b">
        <f t="shared" si="109"/>
        <v>0</v>
      </c>
      <c r="FG84" s="703" t="b">
        <f t="shared" si="110"/>
        <v>0</v>
      </c>
      <c r="FH84" s="703" t="b">
        <f t="shared" si="111"/>
        <v>0</v>
      </c>
      <c r="FI84" s="703" t="b">
        <f t="shared" si="112"/>
        <v>0</v>
      </c>
      <c r="FJ84" s="849" t="str">
        <f t="shared" si="126"/>
        <v/>
      </c>
      <c r="FK84" s="848" t="str">
        <f t="shared" si="127"/>
        <v/>
      </c>
      <c r="FL84" s="242" t="e">
        <f t="shared" si="128"/>
        <v>#N/A</v>
      </c>
      <c r="FM84" s="234" t="str">
        <f t="shared" si="113"/>
        <v/>
      </c>
      <c r="FN84" s="191" t="str">
        <f t="shared" ca="1" si="129"/>
        <v/>
      </c>
      <c r="FO84" s="192" t="str">
        <f t="shared" ca="1" si="130"/>
        <v/>
      </c>
      <c r="FP84" s="193" t="str">
        <f t="shared" ca="1" si="131"/>
        <v/>
      </c>
      <c r="FQ84" s="193" t="str">
        <f t="shared" ca="1" si="132"/>
        <v/>
      </c>
      <c r="FR84" s="243">
        <f t="shared" ca="1" si="133"/>
        <v>0</v>
      </c>
      <c r="FS84" s="244">
        <f t="shared" ca="1" si="134"/>
        <v>0</v>
      </c>
      <c r="FT84" s="191" t="str">
        <f t="shared" ca="1" si="135"/>
        <v/>
      </c>
      <c r="FU84" s="194" t="str">
        <f t="shared" ca="1" si="136"/>
        <v/>
      </c>
      <c r="FV84" s="245" t="str">
        <f t="shared" ca="1" si="114"/>
        <v/>
      </c>
      <c r="FW84" s="195" t="str">
        <f t="shared" ca="1" si="137"/>
        <v/>
      </c>
      <c r="FX84" s="195" t="str">
        <f t="shared" ca="1" si="138"/>
        <v/>
      </c>
      <c r="FY84" s="195" t="str">
        <f t="shared" ca="1" si="139"/>
        <v/>
      </c>
      <c r="FZ84" s="195" t="str">
        <f t="shared" ca="1" si="140"/>
        <v/>
      </c>
      <c r="GA84" s="195" t="str">
        <f t="shared" ca="1" si="141"/>
        <v/>
      </c>
      <c r="GB84" s="196" t="str">
        <f ca="1">IF(FY84="","",2+SUM(FO84:OFFSET(FO84,(FU84-1)*-1,0)))</f>
        <v/>
      </c>
      <c r="GC84" s="238" t="e">
        <f t="shared" si="142"/>
        <v>#N/A</v>
      </c>
      <c r="GD84" s="246" t="str">
        <f t="shared" si="115"/>
        <v/>
      </c>
      <c r="GE84" s="247" t="str">
        <f t="shared" si="116"/>
        <v/>
      </c>
      <c r="GF84" s="197" t="str">
        <f t="shared" si="117"/>
        <v/>
      </c>
      <c r="GG84" s="198" t="str">
        <f t="shared" si="118"/>
        <v/>
      </c>
      <c r="GH84" s="198" t="str">
        <f t="shared" si="119"/>
        <v/>
      </c>
      <c r="GI84" s="199" t="str">
        <f t="shared" si="120"/>
        <v/>
      </c>
      <c r="GJ84" s="473">
        <f t="shared" ca="1" si="121"/>
        <v>0</v>
      </c>
      <c r="GK84" s="834" t="str">
        <f t="shared" si="143"/>
        <v/>
      </c>
    </row>
    <row r="85" spans="1:193" ht="12.6" hidden="1" customHeight="1" thickBot="1" x14ac:dyDescent="0.25">
      <c r="BZ85" s="214"/>
      <c r="CA85" s="214"/>
      <c r="CB85" s="289" t="str">
        <f t="shared" si="49"/>
        <v/>
      </c>
      <c r="CC85" s="290" t="str">
        <f>IF(CG45="","",VLOOKUP(CG45,#REF!,12,FALSE))</f>
        <v/>
      </c>
      <c r="CD85" s="1219" t="str">
        <f>IF(ISBLANK(CN45),IF(CG45="","",VLOOKUP(CG45,#REF!,13,FALSE)),CN45)</f>
        <v/>
      </c>
      <c r="CE85" s="1219" t="str">
        <f>IF(CG45="","",IF(VLOOKUP(CG45,#REF!,5,FALSE)="","R",UPPER(VLOOKUP(CG45,#REF!,5,FALSE))))</f>
        <v/>
      </c>
      <c r="CF85" s="1219" t="str">
        <f>IF(ISBLANK(CP45),IF(CG45="","",VLOOKUP(CG45,#REF!,6,FALSE)),CP45)</f>
        <v/>
      </c>
      <c r="CG85" s="1219" t="str">
        <f>IF(CG45="","",IF(VLOOKUP(CG45,#REF!,10,FALSE)="","",(VLOOKUP(CG45,#REF!,10,FALSE)*-1)))</f>
        <v/>
      </c>
      <c r="CH85" s="1219" t="str">
        <f>IF(CG45="","",IF(VLOOKUP(CG45,#REF!,7,FALSE)="","",(VLOOKUP(CG45,#REF!,7,FALSE)*-1)))</f>
        <v/>
      </c>
      <c r="CI85" s="1219" t="str">
        <f>IF(CG45="","",IF(VLOOKUP(CG45,#REF!,8,FALSE)="",$FC$4,(VLOOKUP(CG45,#REF!,8,FALSE))))</f>
        <v/>
      </c>
      <c r="CJ85" s="1219" t="str">
        <f>IF(CG45="","",VLOOKUP(CG45,#REF!,9,FALSE))</f>
        <v/>
      </c>
      <c r="CK85" s="1220">
        <f t="shared" si="50"/>
        <v>0</v>
      </c>
      <c r="CL85" s="1218" t="str">
        <f>IF(CQ45="","",VLOOKUP(CQ45,#REF!,12,FALSE))</f>
        <v/>
      </c>
      <c r="CM85" s="1219" t="str">
        <f>IF(ISBLANK(CX45),IF(CQ45="","",VLOOKUP(CQ45,#REF!,13,FALSE)),CX45)</f>
        <v/>
      </c>
      <c r="CN85" s="1219" t="str">
        <f>IF(CQ45="","",IF(VLOOKUP(CQ45,#REF!,5,FALSE)="","R",UPPER(VLOOKUP(CQ45,#REF!,5,FALSE))))</f>
        <v/>
      </c>
      <c r="CO85" s="1219" t="str">
        <f>IF(ISBLANK(CZ45),IF(CQ45="","",VLOOKUP(CQ45,#REF!,6,FALSE)),CZ45)</f>
        <v/>
      </c>
      <c r="CP85" s="1219" t="str">
        <f>IF(CQ45="","",IF(VLOOKUP(CQ45,#REF!,10,FALSE)="","",(VLOOKUP(CQ45,#REF!,10,FALSE)*-1)))</f>
        <v/>
      </c>
      <c r="CQ85" s="1219" t="str">
        <f>IF(CQ45="","",IF(VLOOKUP(CQ45,#REF!,7,FALSE)="","",(VLOOKUP(CQ45,#REF!,7,FALSE)*-1)))</f>
        <v/>
      </c>
      <c r="CR85" s="1219" t="str">
        <f>IF(CQ45="","",IF(VLOOKUP(CQ45,#REF!,8,FALSE)="",$FC$4,(VLOOKUP(CQ45,#REF!,8,FALSE))))</f>
        <v/>
      </c>
      <c r="CS85" s="1219" t="str">
        <f>IF(CQ45="","",VLOOKUP(CQ45,#REF!,9,FALSE))</f>
        <v/>
      </c>
      <c r="CT85" s="1220">
        <f t="shared" si="51"/>
        <v>0</v>
      </c>
      <c r="CU85" s="1230">
        <f t="shared" si="52"/>
        <v>0</v>
      </c>
      <c r="CV85" s="1224" t="str">
        <f t="shared" si="53"/>
        <v/>
      </c>
      <c r="CW85" s="1224" t="str">
        <f t="shared" si="54"/>
        <v/>
      </c>
      <c r="CX85" s="1224" t="str">
        <f t="shared" si="55"/>
        <v/>
      </c>
      <c r="CY85" s="1226">
        <f t="shared" si="56"/>
        <v>0</v>
      </c>
      <c r="CZ85" s="1226" t="e">
        <f t="shared" si="57"/>
        <v>#REF!</v>
      </c>
      <c r="DA85" s="1226" t="str">
        <f t="shared" si="58"/>
        <v/>
      </c>
      <c r="DB85" s="1224" t="str">
        <f t="shared" si="122"/>
        <v/>
      </c>
      <c r="DC85" s="1224" t="str">
        <f t="shared" si="59"/>
        <v/>
      </c>
      <c r="DD85" s="814">
        <f t="shared" si="123"/>
        <v>0</v>
      </c>
      <c r="DE85" s="812">
        <f t="shared" si="60"/>
        <v>0</v>
      </c>
      <c r="DF85" s="813" t="e">
        <f t="shared" si="61"/>
        <v>#REF!</v>
      </c>
      <c r="DG85" s="813" t="str">
        <f t="shared" si="62"/>
        <v/>
      </c>
      <c r="DH85" s="1224" t="str">
        <f t="shared" si="124"/>
        <v/>
      </c>
      <c r="DI85" s="1224" t="str">
        <f t="shared" si="63"/>
        <v/>
      </c>
      <c r="DJ85" s="1225">
        <f t="shared" si="125"/>
        <v>0</v>
      </c>
      <c r="DK85" s="1224" t="str">
        <f t="shared" si="64"/>
        <v/>
      </c>
      <c r="DL85" s="1224" t="str">
        <f t="shared" si="65"/>
        <v/>
      </c>
      <c r="DM85" s="1224" t="str">
        <f t="shared" si="66"/>
        <v/>
      </c>
      <c r="DN85" s="1224" t="str">
        <f t="shared" si="67"/>
        <v/>
      </c>
      <c r="DO85" s="828" t="e">
        <f t="shared" si="68"/>
        <v>#REF!</v>
      </c>
      <c r="DP85" s="828" t="e">
        <f t="shared" si="69"/>
        <v>#REF!</v>
      </c>
      <c r="DQ85" s="1224" t="str">
        <f t="shared" si="70"/>
        <v/>
      </c>
      <c r="DR85" s="1224" t="str">
        <f t="shared" si="70"/>
        <v/>
      </c>
      <c r="DS85" s="1224" t="str">
        <f t="shared" si="71"/>
        <v/>
      </c>
      <c r="DT85" s="1224" t="str">
        <f t="shared" si="72"/>
        <v/>
      </c>
      <c r="DU85" s="1224" t="str">
        <f t="shared" si="73"/>
        <v/>
      </c>
      <c r="DV85" s="828" t="e">
        <f t="shared" si="74"/>
        <v>#REF!</v>
      </c>
      <c r="DW85" s="828" t="e">
        <f t="shared" si="75"/>
        <v>#REF!</v>
      </c>
      <c r="DX85" s="812" t="str">
        <f t="shared" si="144"/>
        <v/>
      </c>
      <c r="DY85" s="812" t="str">
        <f t="shared" si="144"/>
        <v/>
      </c>
      <c r="DZ85" s="812" t="str">
        <f>IF(CG85="","",IF((CD85-CG85)/COS(CU85)-FB85&lt;=-0.0625,CEILING((CD85-CG85)/COS(CU85)-FB85+0.0625,-0.125),IF((CD85-CG85)/COS(CU85)-FB85&gt;=0.0625,CEILING((CD85-CG85)/COS(CU85)-FB85-0.0625,0.125),0)))</f>
        <v/>
      </c>
      <c r="EA85" s="812" t="str">
        <f>IF(CP85="","",IF((CM85-CP85)/COS(CU85)-FC85&lt;=-0.0625,CEILING((CM85-CP85)/COS(CU85)-FC85+0.0625,-0.125),IF((CM85-CP85)/COS(CU85)-FC85&gt;=0.0625,CEILING((CM85-CP85)/COS(CU85)-FC85-0.0625,0.125),0)))</f>
        <v/>
      </c>
      <c r="EB85" s="815" t="str">
        <f t="shared" si="79"/>
        <v/>
      </c>
      <c r="EC85" s="816" t="str">
        <f t="shared" si="80"/>
        <v/>
      </c>
      <c r="ED85" s="815" t="str">
        <f t="shared" si="81"/>
        <v/>
      </c>
      <c r="EE85" s="815" t="str">
        <f t="shared" si="82"/>
        <v/>
      </c>
      <c r="EF85" s="815" t="str">
        <f t="shared" si="83"/>
        <v/>
      </c>
      <c r="EG85" s="815" t="str">
        <f t="shared" si="84"/>
        <v/>
      </c>
      <c r="EH85" s="815" t="str">
        <f t="shared" si="85"/>
        <v/>
      </c>
      <c r="EI85" s="815" t="str">
        <f t="shared" si="86"/>
        <v/>
      </c>
      <c r="EJ85" s="815" t="str">
        <f t="shared" si="87"/>
        <v/>
      </c>
      <c r="EK85" s="813">
        <f t="shared" si="88"/>
        <v>0</v>
      </c>
      <c r="EL85" s="813">
        <f t="shared" si="89"/>
        <v>0</v>
      </c>
      <c r="EM85" s="813">
        <f t="shared" si="90"/>
        <v>0</v>
      </c>
      <c r="EN85" s="813" t="e">
        <f t="shared" si="91"/>
        <v>#REF!</v>
      </c>
      <c r="EO85" s="812" t="str">
        <f t="shared" si="92"/>
        <v/>
      </c>
      <c r="EP85" s="813">
        <f t="shared" si="93"/>
        <v>0</v>
      </c>
      <c r="EQ85" s="813">
        <f t="shared" si="94"/>
        <v>0</v>
      </c>
      <c r="ER85" s="813">
        <f t="shared" si="95"/>
        <v>0</v>
      </c>
      <c r="ES85" s="813" t="e">
        <f t="shared" si="96"/>
        <v>#REF!</v>
      </c>
      <c r="ET85" s="812" t="str">
        <f t="shared" si="97"/>
        <v/>
      </c>
      <c r="EU85" s="812" t="e">
        <f t="shared" si="98"/>
        <v>#REF!</v>
      </c>
      <c r="EV85" s="815" t="e">
        <f t="shared" si="99"/>
        <v>#VALUE!</v>
      </c>
      <c r="EW85" s="815" t="e">
        <f t="shared" si="100"/>
        <v>#VALUE!</v>
      </c>
      <c r="EX85" s="817" t="str">
        <f t="shared" si="101"/>
        <v/>
      </c>
      <c r="EY85" s="818" t="e">
        <f t="shared" si="102"/>
        <v>#DIV/0!</v>
      </c>
      <c r="EZ85" s="893" t="e">
        <f t="shared" si="103"/>
        <v>#DIV/0!</v>
      </c>
      <c r="FA85" s="894" t="e">
        <f t="shared" si="104"/>
        <v>#DIV/0!</v>
      </c>
      <c r="FB85" s="819" t="str">
        <f t="shared" si="105"/>
        <v/>
      </c>
      <c r="FC85" s="820" t="str">
        <f t="shared" si="106"/>
        <v/>
      </c>
      <c r="FD85" s="829">
        <f t="shared" si="107"/>
        <v>0</v>
      </c>
      <c r="FE85" s="774">
        <f t="shared" si="108"/>
        <v>0</v>
      </c>
      <c r="FF85" s="703" t="b">
        <f t="shared" si="109"/>
        <v>0</v>
      </c>
      <c r="FG85" s="703" t="b">
        <f t="shared" si="110"/>
        <v>0</v>
      </c>
      <c r="FH85" s="703" t="b">
        <f t="shared" si="111"/>
        <v>0</v>
      </c>
      <c r="FI85" s="703" t="b">
        <f t="shared" si="112"/>
        <v>0</v>
      </c>
      <c r="FJ85" s="849" t="str">
        <f t="shared" si="126"/>
        <v/>
      </c>
      <c r="FK85" s="851" t="str">
        <f t="shared" si="127"/>
        <v/>
      </c>
      <c r="FL85" s="249" t="e">
        <f t="shared" si="128"/>
        <v>#N/A</v>
      </c>
      <c r="FM85" s="250" t="str">
        <f t="shared" si="113"/>
        <v/>
      </c>
      <c r="FN85" s="200" t="str">
        <f t="shared" ca="1" si="129"/>
        <v/>
      </c>
      <c r="FO85" s="201" t="str">
        <f t="shared" ca="1" si="130"/>
        <v/>
      </c>
      <c r="FP85" s="202" t="str">
        <f t="shared" ca="1" si="131"/>
        <v/>
      </c>
      <c r="FQ85" s="202" t="str">
        <f t="shared" ca="1" si="132"/>
        <v/>
      </c>
      <c r="FR85" s="251">
        <f t="shared" ca="1" si="133"/>
        <v>0</v>
      </c>
      <c r="FS85" s="252">
        <f t="shared" ca="1" si="134"/>
        <v>0</v>
      </c>
      <c r="FT85" s="200" t="str">
        <f t="shared" ca="1" si="135"/>
        <v/>
      </c>
      <c r="FU85" s="203" t="str">
        <f t="shared" ca="1" si="136"/>
        <v/>
      </c>
      <c r="FV85" s="253" t="str">
        <f t="shared" ca="1" si="114"/>
        <v/>
      </c>
      <c r="FW85" s="204" t="str">
        <f t="shared" ca="1" si="137"/>
        <v/>
      </c>
      <c r="FX85" s="204" t="str">
        <f t="shared" ca="1" si="138"/>
        <v/>
      </c>
      <c r="FY85" s="204" t="str">
        <f t="shared" ca="1" si="139"/>
        <v/>
      </c>
      <c r="FZ85" s="204" t="str">
        <f t="shared" ca="1" si="140"/>
        <v/>
      </c>
      <c r="GA85" s="204" t="str">
        <f t="shared" ca="1" si="141"/>
        <v/>
      </c>
      <c r="GB85" s="205" t="str">
        <f ca="1">IF(FY85="","",2+SUM(FO85:OFFSET(FO85,(FU85-1)*-1,0)))</f>
        <v/>
      </c>
      <c r="GC85" s="254" t="e">
        <f t="shared" si="142"/>
        <v>#N/A</v>
      </c>
      <c r="GD85" s="255" t="str">
        <f t="shared" si="115"/>
        <v/>
      </c>
      <c r="GE85" s="256" t="str">
        <f t="shared" si="116"/>
        <v/>
      </c>
      <c r="GF85" s="206" t="str">
        <f t="shared" si="117"/>
        <v/>
      </c>
      <c r="GG85" s="207" t="str">
        <f t="shared" si="118"/>
        <v/>
      </c>
      <c r="GH85" s="207" t="str">
        <f t="shared" si="119"/>
        <v/>
      </c>
      <c r="GI85" s="208" t="str">
        <f t="shared" si="120"/>
        <v/>
      </c>
      <c r="GJ85" s="474">
        <f ca="1">IF(FY85="",FM46,(FY85-(FQ85+VLOOKUP(FK85,$CB$54:$EU$85,12,FALSE)-VLOOKUP(FK85,$CB$54:$EU$85,34,FALSE))/COS(VLOOKUP(FK85,$CB$54:$EU$85,72,FALSE)))/2)</f>
        <v>0</v>
      </c>
      <c r="GK85" s="834" t="str">
        <f t="shared" si="143"/>
        <v/>
      </c>
    </row>
    <row r="86" spans="1:193" ht="15" hidden="1" customHeight="1" x14ac:dyDescent="0.2">
      <c r="Z86" s="1063"/>
      <c r="AA86" s="879"/>
      <c r="AB86" s="880"/>
    </row>
    <row r="87" spans="1:193" ht="15" hidden="1" customHeight="1" x14ac:dyDescent="0.25">
      <c r="A87" s="1132" t="str">
        <f>IF(ISBLANK(CB87),"",CB87)</f>
        <v/>
      </c>
      <c r="B87" s="1561" t="str">
        <f t="shared" ref="B87" si="145">IF(ISBLANK(CC87),"",CC87)</f>
        <v/>
      </c>
      <c r="C87" s="1133" t="str">
        <f>IF(ISBLANK(CD87),"",CD87)</f>
        <v/>
      </c>
      <c r="D87" s="1134" t="e">
        <f>IF(#REF!="","",TRUNC(#REF!/12))</f>
        <v>#REF!</v>
      </c>
      <c r="E87" s="1135" t="e">
        <f>IF(#REF!="","",#REF!-(D87*12))</f>
        <v>#REF!</v>
      </c>
      <c r="F87" s="1136" t="str">
        <f>IF(ISBLANK(CY87),"",CY87)</f>
        <v/>
      </c>
      <c r="G87" s="1137" t="e">
        <f>IF(#REF!=0,"",TRUNC(#REF!/12))</f>
        <v>#REF!</v>
      </c>
      <c r="H87" s="1138" t="e">
        <f>IF(#REF!=0,"",#REF!-(G87*12))</f>
        <v>#REF!</v>
      </c>
      <c r="I87" s="1139" t="e">
        <f>IF(#REF!=0,"",#REF!)</f>
        <v>#REF!</v>
      </c>
      <c r="J87" s="1134" t="str">
        <f>IF(DJ127=0,"",TRUNC(DJ127/12))</f>
        <v/>
      </c>
      <c r="K87" s="1138" t="str">
        <f>IF(DJ127=0,"",DJ127-(J87*12))</f>
        <v/>
      </c>
      <c r="L87" s="1140" t="str">
        <f>IF(DJ127=0,"",#REF!)</f>
        <v/>
      </c>
      <c r="M87" s="1141" t="e">
        <f>IF(#REF!="","",#REF!)</f>
        <v>#REF!</v>
      </c>
      <c r="N87" s="1142" t="e">
        <f>IF(#REF!="","",#REF!)</f>
        <v>#REF!</v>
      </c>
      <c r="O87" s="1137" t="str">
        <f>IF(DZ127="","",IF(AND(DZ127&gt;-12,DZ127&lt;0),-0.000001,TRUNC(DZ127/12)))</f>
        <v/>
      </c>
      <c r="P87" s="1138" t="str">
        <f>IF(DZ127="","",IF(AND(DZ127&lt;0,DZ127-(O87*12)=0),-0.00001,DZ127-(O87*12)))</f>
        <v/>
      </c>
      <c r="Q87" s="1134" t="str">
        <f>IF(EA127="","",IF(AND(EA127&gt;-12,EA127&lt;0),-0.000001,TRUNC(EA127/12)))</f>
        <v/>
      </c>
      <c r="R87" s="1135" t="str">
        <f>IF(EA127="","",IF(AND(EA127&lt;0,EA127-(Q87*12)=0),-0.00001,EA127-(Q87*12)))</f>
        <v/>
      </c>
      <c r="S87" s="1143" t="str">
        <f>IF(DR127="","",IF(DR127="ERR",TRUNC(DQ127/12),TRUNC(DR127/12)))</f>
        <v/>
      </c>
      <c r="T87" s="1138" t="str">
        <f>IF(DR127="","",IF(DR127="ERR",DQ127-(S87*12),DR127-(S87*12)))</f>
        <v/>
      </c>
      <c r="U87" s="1134" t="str">
        <f>IF(DY127="","",IF(DY127="ERR",TRUNC(DX127/12),TRUNC(DY127/12)))</f>
        <v/>
      </c>
      <c r="V87" s="1138" t="str">
        <f>IF(DY127="","",IF(DY127="ERR",DX127-(U87*12),DY127-(U87*12)))</f>
        <v/>
      </c>
      <c r="W87" s="1142">
        <f>IF(EC127="",0,EC127)</f>
        <v>0</v>
      </c>
      <c r="X87" s="1144" t="str">
        <f>IF(EN127="","",EN127)</f>
        <v/>
      </c>
      <c r="Y87" s="1145" t="str">
        <f>IF(ES127="","",ES127)</f>
        <v/>
      </c>
      <c r="Z87" s="1151" t="str">
        <f>CONCATENATE(IF(CW87="","",CONCATENATE("[",SUBSTITUTE(CW87," ",""),"] ")),IF(CV87="","",CONCATENATE("(",SUBSTITUTE(CV87," ",""),")")))</f>
        <v/>
      </c>
      <c r="AA87" s="1152" t="str">
        <f>IF(ISBLANK(CX87),"",CX87)</f>
        <v/>
      </c>
      <c r="AB87" s="921" t="str">
        <f>IF(ISBLANK(DH87),"",DH87)</f>
        <v/>
      </c>
      <c r="AC87" s="917" t="str">
        <f>IF(ISBLANK(DI87),"",DI87)</f>
        <v/>
      </c>
      <c r="AD87" s="918" t="str">
        <f>IF(FV127="","",TRUNC(FV127/12))</f>
        <v/>
      </c>
      <c r="AE87" s="919" t="str">
        <f>IF(FV127="","",FV127-(AD87*12))</f>
        <v/>
      </c>
      <c r="AF87" s="917" t="str">
        <f>IF(FO127="","",FO127)</f>
        <v/>
      </c>
      <c r="AG87" s="918" t="str">
        <f>IF(FX127="","",TRUNC(FX127/12))</f>
        <v/>
      </c>
      <c r="AH87" s="919" t="str">
        <f>IF(FX127="","",FX127-(AG87*12))</f>
        <v/>
      </c>
      <c r="AI87" s="918" t="str">
        <f>IF(FZ127="","",TRUNC(FZ127/12))</f>
        <v/>
      </c>
      <c r="AJ87" s="919" t="str">
        <f>IF(FZ127="","",FZ127-(AI87*12))</f>
        <v/>
      </c>
      <c r="AK87" s="1146" t="str">
        <f>IF(ISBLANK(DO87),"",DO87)</f>
        <v/>
      </c>
      <c r="AL87" s="1147" t="str">
        <f>IF(ISBLANK(DP87),"",DP87)</f>
        <v/>
      </c>
      <c r="AM87" s="1148" t="str">
        <f>IF(ISBLANK(DQ87),"",DQ87)</f>
        <v/>
      </c>
      <c r="AN87" s="917" t="str">
        <f>IF(ISBLANK(DR87),"",DR87)</f>
        <v/>
      </c>
      <c r="AO87" s="955" t="str">
        <f>IF(ISBLANK(DS87),"",DS87)</f>
        <v/>
      </c>
      <c r="AP87" s="953" t="str">
        <f>IF(OR(GD127="",GD127=0),"",GD127)</f>
        <v/>
      </c>
      <c r="AQ87" s="1149" t="str">
        <f>IF(OR(GE127="",GE127=0),"",GE127)</f>
        <v/>
      </c>
      <c r="AR87" s="920" t="str">
        <f>IF(GF127="","",IF(ISTEXT(GF127),"P",TRUNC(GF127/12)))</f>
        <v/>
      </c>
      <c r="AS87" s="919" t="str">
        <f>IF(GF127="","",IF(AR87="P",GF127,GF127-(AR87*12)))</f>
        <v/>
      </c>
      <c r="AT87" s="1150" t="str">
        <f>IF(ISBLANK(DX87),"",DX87)</f>
        <v/>
      </c>
      <c r="AU87" s="1009" t="str">
        <f>IF(ISBLANK(DY87),"",DY87)</f>
        <v/>
      </c>
      <c r="AV87" s="954" t="str">
        <f>IF(GG127="","",IF(ISTEXT(GG127),"P",TRUNC(GG127/12)))</f>
        <v/>
      </c>
      <c r="AW87" s="919" t="str">
        <f>IF(GG127="","",IF(AV87="P",GG127,GG127-(AV87*12)))</f>
        <v/>
      </c>
      <c r="AX87" s="1150" t="str">
        <f>IF(ISBLANK(EB87),"",EB87)</f>
        <v/>
      </c>
      <c r="AY87" s="1009" t="str">
        <f>IF(ISBLANK(EC87),"",EC87)</f>
        <v/>
      </c>
      <c r="AZ87" s="954" t="str">
        <f>IF(GH127="","",IF(ISTEXT(GH127),"P",TRUNC(GH127/12)))</f>
        <v/>
      </c>
      <c r="BA87" s="919" t="str">
        <f>IF(GH127="","",IF(AZ87="P",GH127,GH127-(AZ87*12)))</f>
        <v/>
      </c>
      <c r="BB87" s="1150" t="str">
        <f>IF(ISBLANK(EF87),"",EF87)</f>
        <v/>
      </c>
      <c r="BC87" s="1009" t="str">
        <f>IF(ISBLANK(EG87),"",EG87)</f>
        <v/>
      </c>
      <c r="BD87" s="954" t="str">
        <f>IF(GI127="","",IF(ISTEXT(GI127),"P",TRUNC(GI127/12)))</f>
        <v/>
      </c>
      <c r="BE87" s="919" t="str">
        <f>IF(GI127="","",IF(BD87="P",GI127,GI127-(BD87*12)))</f>
        <v/>
      </c>
      <c r="BF87" s="1150" t="str">
        <f>IF(ISBLANK(EJ87),"",EJ87)</f>
        <v/>
      </c>
      <c r="BG87" s="1009" t="str">
        <f>IF(ISBLANK(EK87),"",EK87)</f>
        <v/>
      </c>
    </row>
    <row r="88" spans="1:193" ht="12.75" hidden="1" customHeight="1" x14ac:dyDescent="0.2">
      <c r="Z88" s="1064"/>
    </row>
    <row r="89" spans="1:193" ht="12.75" customHeight="1" x14ac:dyDescent="0.2">
      <c r="B89" s="476" t="s">
        <v>374</v>
      </c>
    </row>
    <row r="111" ht="14.25" customHeight="1" x14ac:dyDescent="0.2"/>
  </sheetData>
  <sheetProtection selectLockedCells="1"/>
  <mergeCells count="314">
    <mergeCell ref="GA52:GA53"/>
    <mergeCell ref="GB52:GB53"/>
    <mergeCell ref="GC52:GC53"/>
    <mergeCell ref="GJ52:GJ53"/>
    <mergeCell ref="FU52:FU53"/>
    <mergeCell ref="FV52:FV53"/>
    <mergeCell ref="FW52:FW53"/>
    <mergeCell ref="FX52:FX53"/>
    <mergeCell ref="FY52:FY53"/>
    <mergeCell ref="FZ52:FZ53"/>
    <mergeCell ref="FO52:FO53"/>
    <mergeCell ref="FP52:FP53"/>
    <mergeCell ref="FQ52:FQ53"/>
    <mergeCell ref="FR52:FR53"/>
    <mergeCell ref="FS52:FS53"/>
    <mergeCell ref="FT52:FT53"/>
    <mergeCell ref="FC52:FC53"/>
    <mergeCell ref="FD52:FE52"/>
    <mergeCell ref="FK52:FK53"/>
    <mergeCell ref="FL52:FL53"/>
    <mergeCell ref="FM52:FM53"/>
    <mergeCell ref="FN52:FN53"/>
    <mergeCell ref="EC52:EC53"/>
    <mergeCell ref="EV52:EV53"/>
    <mergeCell ref="EW52:EW53"/>
    <mergeCell ref="EZ52:EZ53"/>
    <mergeCell ref="FA52:FA53"/>
    <mergeCell ref="FB52:FB53"/>
    <mergeCell ref="DT52:DU52"/>
    <mergeCell ref="DV52:DW52"/>
    <mergeCell ref="DX52:DY52"/>
    <mergeCell ref="DZ52:DZ53"/>
    <mergeCell ref="EA52:EA53"/>
    <mergeCell ref="EB52:EB53"/>
    <mergeCell ref="EF50:EF53"/>
    <mergeCell ref="EG50:EG53"/>
    <mergeCell ref="EH50:EH53"/>
    <mergeCell ref="EI50:EI53"/>
    <mergeCell ref="DK52:DK53"/>
    <mergeCell ref="DL52:DL53"/>
    <mergeCell ref="DM52:DN52"/>
    <mergeCell ref="DO52:DP52"/>
    <mergeCell ref="DQ52:DR52"/>
    <mergeCell ref="DS52:DS53"/>
    <mergeCell ref="DD52:DD53"/>
    <mergeCell ref="DE52:DE53"/>
    <mergeCell ref="DF52:DG52"/>
    <mergeCell ref="DH52:DH53"/>
    <mergeCell ref="DI52:DI53"/>
    <mergeCell ref="DJ52:DJ53"/>
    <mergeCell ref="CW52:CW53"/>
    <mergeCell ref="CX52:CX53"/>
    <mergeCell ref="CY52:CY53"/>
    <mergeCell ref="CZ52:DA52"/>
    <mergeCell ref="DB52:DB53"/>
    <mergeCell ref="DC52:DC53"/>
    <mergeCell ref="CQ52:CQ53"/>
    <mergeCell ref="CR52:CR53"/>
    <mergeCell ref="CS52:CS53"/>
    <mergeCell ref="CT52:CT53"/>
    <mergeCell ref="CU52:CU53"/>
    <mergeCell ref="CV52:CV53"/>
    <mergeCell ref="CK52:CK53"/>
    <mergeCell ref="CL52:CL53"/>
    <mergeCell ref="CM52:CM53"/>
    <mergeCell ref="CN52:CN53"/>
    <mergeCell ref="CO52:CO53"/>
    <mergeCell ref="CP52:CP53"/>
    <mergeCell ref="CB52:CB53"/>
    <mergeCell ref="CC52:CC53"/>
    <mergeCell ref="CD52:CD53"/>
    <mergeCell ref="CE52:CE53"/>
    <mergeCell ref="CF52:CF53"/>
    <mergeCell ref="CG52:CG53"/>
    <mergeCell ref="FN50:FS51"/>
    <mergeCell ref="FT50:FZ51"/>
    <mergeCell ref="CC51:CK51"/>
    <mergeCell ref="CL51:CT51"/>
    <mergeCell ref="EX51:EX53"/>
    <mergeCell ref="EY51:EY53"/>
    <mergeCell ref="FF51:FI51"/>
    <mergeCell ref="CH52:CH53"/>
    <mergeCell ref="CI52:CI53"/>
    <mergeCell ref="CJ52:CJ53"/>
    <mergeCell ref="EP50:EP53"/>
    <mergeCell ref="EQ50:EQ53"/>
    <mergeCell ref="ER50:ER53"/>
    <mergeCell ref="ES50:ES53"/>
    <mergeCell ref="ET50:ET53"/>
    <mergeCell ref="EU50:EU53"/>
    <mergeCell ref="EJ50:EJ53"/>
    <mergeCell ref="EK50:EK53"/>
    <mergeCell ref="EL50:EL53"/>
    <mergeCell ref="EM50:EM53"/>
    <mergeCell ref="EN50:EN53"/>
    <mergeCell ref="EO50:EO53"/>
    <mergeCell ref="ED50:ED53"/>
    <mergeCell ref="EE50:EE53"/>
    <mergeCell ref="JJ12:JJ13"/>
    <mergeCell ref="JK12:JK13"/>
    <mergeCell ref="JL12:JL13"/>
    <mergeCell ref="G13:H13"/>
    <mergeCell ref="J13:K13"/>
    <mergeCell ref="S13:T13"/>
    <mergeCell ref="U13:V13"/>
    <mergeCell ref="AG13:AH13"/>
    <mergeCell ref="AR13:AS13"/>
    <mergeCell ref="AV13:AW13"/>
    <mergeCell ref="JD12:JD13"/>
    <mergeCell ref="JE12:JE13"/>
    <mergeCell ref="JF12:JF13"/>
    <mergeCell ref="JG12:JG13"/>
    <mergeCell ref="JH12:JH13"/>
    <mergeCell ref="JI12:JI13"/>
    <mergeCell ref="IX12:IX13"/>
    <mergeCell ref="IY12:IY13"/>
    <mergeCell ref="IZ12:IZ13"/>
    <mergeCell ref="JA12:JA13"/>
    <mergeCell ref="JB12:JB13"/>
    <mergeCell ref="JC12:JC13"/>
    <mergeCell ref="IR12:IR13"/>
    <mergeCell ref="IS12:IS13"/>
    <mergeCell ref="IT12:IT13"/>
    <mergeCell ref="IU12:IU13"/>
    <mergeCell ref="IV12:IV13"/>
    <mergeCell ref="IW12:IW13"/>
    <mergeCell ref="IL12:IL13"/>
    <mergeCell ref="IM12:IM13"/>
    <mergeCell ref="IN12:IN13"/>
    <mergeCell ref="IO12:IO13"/>
    <mergeCell ref="IP12:IP13"/>
    <mergeCell ref="IQ12:IQ13"/>
    <mergeCell ref="IF12:IF13"/>
    <mergeCell ref="IG12:IG13"/>
    <mergeCell ref="IH12:IH13"/>
    <mergeCell ref="II12:II13"/>
    <mergeCell ref="IJ12:IJ13"/>
    <mergeCell ref="IK12:IK13"/>
    <mergeCell ref="HZ12:HZ13"/>
    <mergeCell ref="IA12:IA13"/>
    <mergeCell ref="IB12:IB13"/>
    <mergeCell ref="IC12:IC13"/>
    <mergeCell ref="ID12:ID13"/>
    <mergeCell ref="IE12:IE13"/>
    <mergeCell ref="HT12:HT13"/>
    <mergeCell ref="HU12:HU13"/>
    <mergeCell ref="HV12:HV13"/>
    <mergeCell ref="HW12:HW13"/>
    <mergeCell ref="HX12:HX13"/>
    <mergeCell ref="HY12:HY13"/>
    <mergeCell ref="HN12:HN13"/>
    <mergeCell ref="HO12:HO13"/>
    <mergeCell ref="HP12:HP13"/>
    <mergeCell ref="HQ12:HQ13"/>
    <mergeCell ref="HR12:HR13"/>
    <mergeCell ref="HS12:HS13"/>
    <mergeCell ref="HH12:HH13"/>
    <mergeCell ref="HI12:HI13"/>
    <mergeCell ref="HJ12:HJ13"/>
    <mergeCell ref="HK12:HK13"/>
    <mergeCell ref="HL12:HL13"/>
    <mergeCell ref="HM12:HM13"/>
    <mergeCell ref="HA12:HA13"/>
    <mergeCell ref="HB12:HB13"/>
    <mergeCell ref="HC12:HC13"/>
    <mergeCell ref="HD12:HE13"/>
    <mergeCell ref="HF12:HF13"/>
    <mergeCell ref="HG12:HG13"/>
    <mergeCell ref="GF12:GF13"/>
    <mergeCell ref="GG12:GH12"/>
    <mergeCell ref="GI12:GJ12"/>
    <mergeCell ref="GK12:GK13"/>
    <mergeCell ref="GL12:GL13"/>
    <mergeCell ref="GM12:GM13"/>
    <mergeCell ref="EN12:EP12"/>
    <mergeCell ref="EQ12:EQ13"/>
    <mergeCell ref="ER12:ES12"/>
    <mergeCell ref="GA12:GB12"/>
    <mergeCell ref="GC12:GD12"/>
    <mergeCell ref="GE12:GE13"/>
    <mergeCell ref="EF12:EF13"/>
    <mergeCell ref="EG12:EG13"/>
    <mergeCell ref="EH12:EI12"/>
    <mergeCell ref="EJ12:EJ13"/>
    <mergeCell ref="EK12:EK13"/>
    <mergeCell ref="EM12:EM13"/>
    <mergeCell ref="DX12:DX13"/>
    <mergeCell ref="DY12:DY13"/>
    <mergeCell ref="DZ12:EA12"/>
    <mergeCell ref="EB12:EB13"/>
    <mergeCell ref="EC12:EC13"/>
    <mergeCell ref="ED12:EE12"/>
    <mergeCell ref="DL12:DL13"/>
    <mergeCell ref="DM12:DN13"/>
    <mergeCell ref="DQ12:DQ13"/>
    <mergeCell ref="DS12:DS13"/>
    <mergeCell ref="DT12:DU12"/>
    <mergeCell ref="DV12:DW12"/>
    <mergeCell ref="CX12:CZ12"/>
    <mergeCell ref="DA12:DA13"/>
    <mergeCell ref="DD12:DD13"/>
    <mergeCell ref="DE12:DE13"/>
    <mergeCell ref="DI12:DI13"/>
    <mergeCell ref="DJ12:DK13"/>
    <mergeCell ref="CN12:CP12"/>
    <mergeCell ref="CQ12:CQ13"/>
    <mergeCell ref="CR12:CS13"/>
    <mergeCell ref="CT12:CU13"/>
    <mergeCell ref="CV12:CV13"/>
    <mergeCell ref="CW12:CW13"/>
    <mergeCell ref="CE12:CF13"/>
    <mergeCell ref="CG12:CG13"/>
    <mergeCell ref="CH12:CI13"/>
    <mergeCell ref="CJ12:CK13"/>
    <mergeCell ref="CL12:CL13"/>
    <mergeCell ref="CM12:CM13"/>
    <mergeCell ref="AL12:AQ12"/>
    <mergeCell ref="AR12:BG12"/>
    <mergeCell ref="BW12:BZ12"/>
    <mergeCell ref="CB12:CB13"/>
    <mergeCell ref="CC12:CC13"/>
    <mergeCell ref="CD12:CD13"/>
    <mergeCell ref="AZ13:BA13"/>
    <mergeCell ref="BD13:BE13"/>
    <mergeCell ref="AB12:AB13"/>
    <mergeCell ref="AC12:AC13"/>
    <mergeCell ref="AD12:AE13"/>
    <mergeCell ref="AF12:AH12"/>
    <mergeCell ref="AI12:AJ13"/>
    <mergeCell ref="AK12:AK13"/>
    <mergeCell ref="S12:W12"/>
    <mergeCell ref="X12:Y12"/>
    <mergeCell ref="AA12:AA13"/>
    <mergeCell ref="B12:B13"/>
    <mergeCell ref="C12:C13"/>
    <mergeCell ref="D12:E13"/>
    <mergeCell ref="F12:F13"/>
    <mergeCell ref="G12:I12"/>
    <mergeCell ref="J12:L12"/>
    <mergeCell ref="GA10:GJ11"/>
    <mergeCell ref="A11:AA11"/>
    <mergeCell ref="DB11:DC12"/>
    <mergeCell ref="DD11:DE11"/>
    <mergeCell ref="DP11:DP13"/>
    <mergeCell ref="DR11:DR13"/>
    <mergeCell ref="A12:A13"/>
    <mergeCell ref="ET9:EU12"/>
    <mergeCell ref="A10:B10"/>
    <mergeCell ref="C10:P10"/>
    <mergeCell ref="Q10:S10"/>
    <mergeCell ref="T10:W10"/>
    <mergeCell ref="X10:Y10"/>
    <mergeCell ref="Z10:AA10"/>
    <mergeCell ref="AB10:AD10"/>
    <mergeCell ref="AE10:AT10"/>
    <mergeCell ref="AU10:AW10"/>
    <mergeCell ref="AX9:BG9"/>
    <mergeCell ref="DH9:DH13"/>
    <mergeCell ref="DI9:DN11"/>
    <mergeCell ref="DO9:DO13"/>
    <mergeCell ref="M12:N12"/>
    <mergeCell ref="O12:P13"/>
    <mergeCell ref="Q12:R13"/>
    <mergeCell ref="DH6:EK8"/>
    <mergeCell ref="K7:L7"/>
    <mergeCell ref="M7:S7"/>
    <mergeCell ref="V7:W7"/>
    <mergeCell ref="AZ7:BA7"/>
    <mergeCell ref="CB7:DE9"/>
    <mergeCell ref="A8:AA8"/>
    <mergeCell ref="AB8:BG8"/>
    <mergeCell ref="A9:B9"/>
    <mergeCell ref="DP9:DU10"/>
    <mergeCell ref="DV9:EK11"/>
    <mergeCell ref="AX10:BA10"/>
    <mergeCell ref="BB10:BD10"/>
    <mergeCell ref="BE10:BG10"/>
    <mergeCell ref="CB10:CF11"/>
    <mergeCell ref="C9:P9"/>
    <mergeCell ref="Q9:S9"/>
    <mergeCell ref="T9:AA9"/>
    <mergeCell ref="AB9:AD9"/>
    <mergeCell ref="AE9:AT9"/>
    <mergeCell ref="AU9:AW9"/>
    <mergeCell ref="CG10:CP11"/>
    <mergeCell ref="CQ10:CZ11"/>
    <mergeCell ref="DA10:DE10"/>
    <mergeCell ref="A5:L5"/>
    <mergeCell ref="AB5:AQ5"/>
    <mergeCell ref="M6:T6"/>
    <mergeCell ref="V6:W6"/>
    <mergeCell ref="X6:Y6"/>
    <mergeCell ref="AZ6:BA6"/>
    <mergeCell ref="W3:Y3"/>
    <mergeCell ref="BA3:BC3"/>
    <mergeCell ref="BD3:BF3"/>
    <mergeCell ref="BB6:BD6"/>
    <mergeCell ref="FG3:FI3"/>
    <mergeCell ref="Q4:T4"/>
    <mergeCell ref="W4:Y4"/>
    <mergeCell ref="AU4:AX4"/>
    <mergeCell ref="BA4:BC4"/>
    <mergeCell ref="BD4:BF4"/>
    <mergeCell ref="DA4:DB4"/>
    <mergeCell ref="Q1:T1"/>
    <mergeCell ref="W1:Y1"/>
    <mergeCell ref="AU1:AX1"/>
    <mergeCell ref="BA1:BC1"/>
    <mergeCell ref="BD1:BF1"/>
    <mergeCell ref="Q2:T3"/>
    <mergeCell ref="W2:Y2"/>
    <mergeCell ref="AU2:AX3"/>
    <mergeCell ref="BA2:BC2"/>
    <mergeCell ref="BD2:BF2"/>
  </mergeCells>
  <conditionalFormatting sqref="FQ54:FR85">
    <cfRule type="cellIs" dxfId="204" priority="59" stopIfTrue="1" operator="lessThan">
      <formula>0</formula>
    </cfRule>
  </conditionalFormatting>
  <conditionalFormatting sqref="DI14">
    <cfRule type="expression" dxfId="203" priority="49">
      <formula>UPPER(#REF!)="X"</formula>
    </cfRule>
  </conditionalFormatting>
  <conditionalFormatting sqref="DJ14">
    <cfRule type="expression" dxfId="202" priority="60">
      <formula>OR(UPPER(#REF!)="X",UPPER(#REF!="X"))</formula>
    </cfRule>
  </conditionalFormatting>
  <conditionalFormatting sqref="DK14">
    <cfRule type="expression" dxfId="201" priority="61">
      <formula>OR(UPPER(#REF!)="X",UPPER(#REF!="X"))</formula>
    </cfRule>
  </conditionalFormatting>
  <conditionalFormatting sqref="Q2:T4 AU2:AX4">
    <cfRule type="cellIs" dxfId="200" priority="63" stopIfTrue="1" operator="equal">
      <formula>""</formula>
    </cfRule>
  </conditionalFormatting>
  <conditionalFormatting sqref="DM54:DM85">
    <cfRule type="cellIs" dxfId="199" priority="58" stopIfTrue="1" operator="notEqual">
      <formula>DN54</formula>
    </cfRule>
  </conditionalFormatting>
  <conditionalFormatting sqref="DT54:DT85">
    <cfRule type="cellIs" dxfId="198" priority="57" stopIfTrue="1" operator="notEqual">
      <formula>DU54</formula>
    </cfRule>
  </conditionalFormatting>
  <conditionalFormatting sqref="DA4">
    <cfRule type="expression" dxfId="197" priority="56" stopIfTrue="1">
      <formula>NOT(ISBLANK($DA$4))</formula>
    </cfRule>
  </conditionalFormatting>
  <conditionalFormatting sqref="M7">
    <cfRule type="expression" dxfId="196" priority="54" stopIfTrue="1">
      <formula>OR(ISBLANK($M$7),$M$7="")</formula>
    </cfRule>
    <cfRule type="expression" dxfId="195" priority="55" stopIfTrue="1">
      <formula>AND(LOWER($M$7)&lt;&gt;"std gray primer: one shop coat",LOWER($M$7)&lt;&gt;"gray",$M$7&lt;&gt;"")</formula>
    </cfRule>
  </conditionalFormatting>
  <conditionalFormatting sqref="A14:B45 A87:B87">
    <cfRule type="expression" dxfId="194" priority="41" stopIfTrue="1">
      <formula>AND(NOT($BK$1),$B14=0,OR($BJ$1="",$BJ$1="M"))</formula>
    </cfRule>
  </conditionalFormatting>
  <conditionalFormatting sqref="C14:C45">
    <cfRule type="expression" dxfId="193" priority="47">
      <formula>AND(NOT($BK14),NOT(BR14))</formula>
    </cfRule>
  </conditionalFormatting>
  <conditionalFormatting sqref="U14:U45">
    <cfRule type="expression" dxfId="192" priority="52">
      <formula>AND(NOT($BK14),BV14="No")</formula>
    </cfRule>
  </conditionalFormatting>
  <conditionalFormatting sqref="V14:V45">
    <cfRule type="expression" dxfId="191" priority="53">
      <formula>AND(NOT($BK14),BV14="No")</formula>
    </cfRule>
  </conditionalFormatting>
  <conditionalFormatting sqref="S14:S45">
    <cfRule type="expression" dxfId="190" priority="50">
      <formula>AND(NOT($BK14),BT14="No")</formula>
    </cfRule>
  </conditionalFormatting>
  <conditionalFormatting sqref="T14:T45">
    <cfRule type="expression" dxfId="189" priority="51">
      <formula>AND(NOT($BK14),BT14="No")</formula>
    </cfRule>
  </conditionalFormatting>
  <conditionalFormatting sqref="W14:W45">
    <cfRule type="expression" dxfId="188" priority="37">
      <formula>$W14=0</formula>
    </cfRule>
  </conditionalFormatting>
  <conditionalFormatting sqref="DI15:DI45">
    <cfRule type="expression" dxfId="187" priority="62">
      <formula>FM54="X"</formula>
    </cfRule>
  </conditionalFormatting>
  <conditionalFormatting sqref="DJ15:DJ45">
    <cfRule type="expression" dxfId="186" priority="64">
      <formula>FM54="X"</formula>
    </cfRule>
  </conditionalFormatting>
  <conditionalFormatting sqref="DK15:DK45">
    <cfRule type="expression" dxfId="185" priority="65">
      <formula>FM54="X"</formula>
    </cfRule>
  </conditionalFormatting>
  <conditionalFormatting sqref="DT14:DU45">
    <cfRule type="expression" dxfId="184" priority="66">
      <formula>GD54=0</formula>
    </cfRule>
  </conditionalFormatting>
  <conditionalFormatting sqref="DH14:DH45">
    <cfRule type="expression" dxfId="183" priority="16">
      <formula>NOT($FQ14)</formula>
    </cfRule>
    <cfRule type="expression" dxfId="182" priority="67">
      <formula>FJ54="G"</formula>
    </cfRule>
  </conditionalFormatting>
  <conditionalFormatting sqref="DM14:DN45">
    <cfRule type="expression" dxfId="181" priority="68">
      <formula>FIND("B",$GK54)</formula>
    </cfRule>
  </conditionalFormatting>
  <conditionalFormatting sqref="DJ14:DK45">
    <cfRule type="expression" dxfId="180" priority="69">
      <formula>FIND("A",$GK54)</formula>
    </cfRule>
  </conditionalFormatting>
  <conditionalFormatting sqref="DL14:DL45">
    <cfRule type="expression" dxfId="179" priority="3">
      <formula>AND(NOT(ISBLANK($DH14)),ISBLANK($DL14))</formula>
    </cfRule>
    <cfRule type="expression" dxfId="178" priority="48">
      <formula>FIND("B",$GK54)</formula>
    </cfRule>
  </conditionalFormatting>
  <conditionalFormatting sqref="DI14:DI45">
    <cfRule type="expression" dxfId="177" priority="70">
      <formula>NOT($EY14)</formula>
    </cfRule>
  </conditionalFormatting>
  <conditionalFormatting sqref="DQ14:DQ45">
    <cfRule type="expression" dxfId="176" priority="40">
      <formula>DQ14&lt;&gt;EZ14</formula>
    </cfRule>
  </conditionalFormatting>
  <conditionalFormatting sqref="AD87:AE87 AD14:AE45">
    <cfRule type="expression" dxfId="175" priority="44">
      <formula>AND(NOT($BZ14),FIND("A",$GK54))</formula>
    </cfRule>
  </conditionalFormatting>
  <conditionalFormatting sqref="AI87:AJ87 AI14:AJ45">
    <cfRule type="expression" dxfId="174" priority="45">
      <formula>AND(NOT($BZ14),FIND("B",$GK54))</formula>
    </cfRule>
  </conditionalFormatting>
  <conditionalFormatting sqref="AC14:AC45">
    <cfRule type="expression" dxfId="173" priority="46">
      <formula>AND(NOT($BZ14),NOT($EY14))</formula>
    </cfRule>
  </conditionalFormatting>
  <conditionalFormatting sqref="AM14:AM45">
    <cfRule type="expression" dxfId="172" priority="42">
      <formula>AND(NOT($BZ14),AM14&lt;&gt;EZ14)</formula>
    </cfRule>
  </conditionalFormatting>
  <conditionalFormatting sqref="FF14:FF45">
    <cfRule type="expression" dxfId="171" priority="43">
      <formula>$FC14=0</formula>
    </cfRule>
  </conditionalFormatting>
  <conditionalFormatting sqref="AD14:AJ45">
    <cfRule type="expression" dxfId="170" priority="39">
      <formula>AND(NOT($BZ14),NOT($FA14))</formula>
    </cfRule>
  </conditionalFormatting>
  <conditionalFormatting sqref="DB14:DC45">
    <cfRule type="expression" dxfId="169" priority="38">
      <formula>AND(NOT($BK14),LEN($Z14)&gt;27)</formula>
    </cfRule>
  </conditionalFormatting>
  <conditionalFormatting sqref="C87">
    <cfRule type="expression" dxfId="168" priority="31" stopIfTrue="1">
      <formula>AND(NOT($BK87),NOT(BR87))</formula>
    </cfRule>
  </conditionalFormatting>
  <conditionalFormatting sqref="U87">
    <cfRule type="expression" dxfId="167" priority="35" stopIfTrue="1">
      <formula>AND(NOT($BK87),BV87="No")</formula>
    </cfRule>
  </conditionalFormatting>
  <conditionalFormatting sqref="V87">
    <cfRule type="expression" dxfId="166" priority="36" stopIfTrue="1">
      <formula>AND(NOT($BK87),BV87="No")</formula>
    </cfRule>
  </conditionalFormatting>
  <conditionalFormatting sqref="S87">
    <cfRule type="expression" dxfId="165" priority="33" stopIfTrue="1">
      <formula>AND(NOT($BK87),BT87="No")</formula>
    </cfRule>
  </conditionalFormatting>
  <conditionalFormatting sqref="T87">
    <cfRule type="expression" dxfId="164" priority="34" stopIfTrue="1">
      <formula>AND(NOT($BK87),BT87="No")</formula>
    </cfRule>
  </conditionalFormatting>
  <conditionalFormatting sqref="W87">
    <cfRule type="expression" dxfId="163" priority="23">
      <formula>$W87=0</formula>
    </cfRule>
  </conditionalFormatting>
  <conditionalFormatting sqref="AR87:AS87 AR14:AS45">
    <cfRule type="expression" dxfId="162" priority="26">
      <formula>AND(NOT($BZ14),$FF54)</formula>
    </cfRule>
  </conditionalFormatting>
  <conditionalFormatting sqref="AV87:AW87 AV14:AW45">
    <cfRule type="expression" dxfId="161" priority="27">
      <formula>AND(NOT($BZ14),$FG54)</formula>
    </cfRule>
  </conditionalFormatting>
  <conditionalFormatting sqref="AZ87:BA87 AZ14:BA45">
    <cfRule type="expression" dxfId="160" priority="28">
      <formula>AND(NOT($BZ14),$FH54)</formula>
    </cfRule>
  </conditionalFormatting>
  <conditionalFormatting sqref="BD87:BE87 BD14:BE45">
    <cfRule type="expression" dxfId="159" priority="29">
      <formula>AND(NOT($BZ14),$FI54)</formula>
    </cfRule>
  </conditionalFormatting>
  <conditionalFormatting sqref="AC87">
    <cfRule type="expression" dxfId="158" priority="30">
      <formula>AND(NOT($BZ87),NOT($EY87))</formula>
    </cfRule>
  </conditionalFormatting>
  <conditionalFormatting sqref="AM87">
    <cfRule type="expression" dxfId="157" priority="25">
      <formula>AND(NOT($BZ87),AM87&lt;&gt;EZ87)</formula>
    </cfRule>
  </conditionalFormatting>
  <conditionalFormatting sqref="AD87:AJ87">
    <cfRule type="expression" dxfId="156" priority="24">
      <formula>AND(NOT($BZ87),NOT($FA87))</formula>
    </cfRule>
  </conditionalFormatting>
  <conditionalFormatting sqref="AA87 A87:Y87">
    <cfRule type="expression" dxfId="155" priority="32">
      <formula>$BI87</formula>
    </cfRule>
  </conditionalFormatting>
  <conditionalFormatting sqref="AB87:BG87">
    <cfRule type="expression" dxfId="154" priority="22">
      <formula>$CA87</formula>
    </cfRule>
  </conditionalFormatting>
  <conditionalFormatting sqref="CD14:CD45">
    <cfRule type="expression" dxfId="153" priority="17">
      <formula>AND(NOT($BK14),NOT($BR14))</formula>
    </cfRule>
  </conditionalFormatting>
  <conditionalFormatting sqref="DD14:DD45">
    <cfRule type="cellIs" dxfId="152" priority="18" operator="greaterThan">
      <formula>EY54</formula>
    </cfRule>
    <cfRule type="expression" dxfId="151" priority="19">
      <formula>AND(ISBLANK(DD14),EY54&gt;0)</formula>
    </cfRule>
  </conditionalFormatting>
  <conditionalFormatting sqref="DE14:DE45">
    <cfRule type="cellIs" dxfId="150" priority="20" operator="lessThan">
      <formula>EX54</formula>
    </cfRule>
    <cfRule type="expression" dxfId="149" priority="21">
      <formula>AND(ISBLANK(DE14),EX54&lt;&gt;"")</formula>
    </cfRule>
  </conditionalFormatting>
  <conditionalFormatting sqref="AB14:AO45 DH14:EK45 BF14:BG45">
    <cfRule type="expression" dxfId="148" priority="71">
      <formula>$FP14</formula>
    </cfRule>
  </conditionalFormatting>
  <conditionalFormatting sqref="A14:Y45 AA14:AA45 DA14:DE45 CB14:CY45">
    <cfRule type="expression" dxfId="147" priority="72">
      <formula>$FN14</formula>
    </cfRule>
  </conditionalFormatting>
  <conditionalFormatting sqref="AB14:AB45">
    <cfRule type="expression" dxfId="146" priority="15">
      <formula>NOT($FQ14)</formula>
    </cfRule>
  </conditionalFormatting>
  <conditionalFormatting sqref="CB14:CB45">
    <cfRule type="expression" dxfId="145" priority="4">
      <formula>NOT($FO14)</formula>
    </cfRule>
  </conditionalFormatting>
  <conditionalFormatting sqref="A14:A45">
    <cfRule type="expression" dxfId="144" priority="13">
      <formula>NOT($FO14)</formula>
    </cfRule>
  </conditionalFormatting>
  <conditionalFormatting sqref="CZ14:CZ45">
    <cfRule type="expression" dxfId="143" priority="12">
      <formula>$FN14</formula>
    </cfRule>
  </conditionalFormatting>
  <conditionalFormatting sqref="Z87">
    <cfRule type="expression" dxfId="142" priority="10">
      <formula>$FN87</formula>
    </cfRule>
  </conditionalFormatting>
  <conditionalFormatting sqref="Z87">
    <cfRule type="expression" dxfId="141" priority="11">
      <formula>AND(NOT($BK87),LEN($Z87)&gt;27)</formula>
    </cfRule>
  </conditionalFormatting>
  <conditionalFormatting sqref="Z14:Z45">
    <cfRule type="expression" dxfId="140" priority="8">
      <formula>$FN14</formula>
    </cfRule>
  </conditionalFormatting>
  <conditionalFormatting sqref="Z14:Z45">
    <cfRule type="expression" dxfId="139" priority="9">
      <formula>AND(NOT($BK14),LEN($Z14)&gt;27)</formula>
    </cfRule>
  </conditionalFormatting>
  <conditionalFormatting sqref="GA14:GB45">
    <cfRule type="expression" dxfId="138" priority="7" stopIfTrue="1">
      <formula>$GM16&gt;=0.125</formula>
    </cfRule>
  </conditionalFormatting>
  <conditionalFormatting sqref="AP14:AQ45">
    <cfRule type="expression" dxfId="137" priority="6">
      <formula>$FP14</formula>
    </cfRule>
  </conditionalFormatting>
  <conditionalFormatting sqref="AR14:BE45">
    <cfRule type="expression" dxfId="136" priority="5">
      <formula>$FP14</formula>
    </cfRule>
  </conditionalFormatting>
  <conditionalFormatting sqref="CB14:CC45">
    <cfRule type="expression" dxfId="135" priority="14">
      <formula>AND(NOT($BK$1),$B14=0,OR($BJ$1="",$BJ$1="M"))</formula>
    </cfRule>
  </conditionalFormatting>
  <conditionalFormatting sqref="CJ14:CJ45">
    <cfRule type="expression" dxfId="134" priority="73">
      <formula>AND(NOT($BK14),OR($CC54="M",$CC54="C",$CC54="G"))</formula>
    </cfRule>
    <cfRule type="expression" dxfId="133" priority="74">
      <formula>AND(NOT($BK14),AND(OR($CC54="B",$CC54="G"),CJ14="",CK14=""))</formula>
    </cfRule>
    <cfRule type="expression" dxfId="132" priority="75">
      <formula>AND(NOT($BK14),EG54="ERR")</formula>
    </cfRule>
  </conditionalFormatting>
  <conditionalFormatting sqref="CK14:CK45">
    <cfRule type="expression" dxfId="131" priority="76">
      <formula>AND(NOT($BK14),OR($CC54="M",$CC54="C",$CC54="G"))</formula>
    </cfRule>
    <cfRule type="expression" dxfId="130" priority="77">
      <formula>AND(NOT($BK14),AND(OR($CC54="B",$CC54="G"),CJ14="",CK14=""))</formula>
    </cfRule>
    <cfRule type="expression" dxfId="129" priority="78">
      <formula>AND(NOT($BK14),EG54="ERR")</formula>
    </cfRule>
  </conditionalFormatting>
  <conditionalFormatting sqref="CH14:CH45">
    <cfRule type="expression" dxfId="128" priority="79">
      <formula>AND(NOT($BK14),OR($CC54="M",$CC54="C"))</formula>
    </cfRule>
    <cfRule type="expression" dxfId="127" priority="80">
      <formula>AND(NOT($BK14),AND(CH14="",CI14="",OR($CC54="B",$CC54="G")))</formula>
    </cfRule>
    <cfRule type="expression" dxfId="126" priority="81">
      <formula>AND(NOT($BK14),(CH14/2)/COS(RADIANS(CL14))+CD54-DC54&lt;$FB$4)</formula>
    </cfRule>
  </conditionalFormatting>
  <conditionalFormatting sqref="CI14:CI45">
    <cfRule type="expression" dxfId="125" priority="82">
      <formula>AND(NOT($BK14),OR($CC54="M",$CC54="C"))</formula>
    </cfRule>
    <cfRule type="expression" dxfId="124" priority="83">
      <formula>AND(NOT($BK14),AND(CH14="",CI14="",OR($CC54="B",$CC54="G")))</formula>
    </cfRule>
    <cfRule type="expression" dxfId="123" priority="84">
      <formula>AND(NOT($BK14),(CI14/2)/COS(RADIANS(CL14))+CD54-DC54&lt;$FB$4)</formula>
    </cfRule>
  </conditionalFormatting>
  <conditionalFormatting sqref="CT14:CT45">
    <cfRule type="expression" dxfId="122" priority="85">
      <formula>AND(NOT($BK14),OR($CL54="M",$CL54="C",$CL54="G"))</formula>
    </cfRule>
    <cfRule type="expression" dxfId="121" priority="86">
      <formula>AND(NOT($BK14),AND(OR($CL54="B",$CL54="G"),CT14="",CU14=""))</formula>
    </cfRule>
    <cfRule type="expression" dxfId="120" priority="87">
      <formula>AND(NOT($BK14),EJ54="ERR")</formula>
    </cfRule>
  </conditionalFormatting>
  <conditionalFormatting sqref="CU14:CU45">
    <cfRule type="expression" dxfId="119" priority="88">
      <formula>AND(NOT($BK14),OR($CL54="M",$CL54="C",$CL54="G"))</formula>
    </cfRule>
    <cfRule type="expression" dxfId="118" priority="89">
      <formula>AND(NOT($BK14),AND(OR($CL54="B",$CL54="G"),CT14="",CU14=""))</formula>
    </cfRule>
    <cfRule type="expression" dxfId="117" priority="90">
      <formula>AND(NOT($BK14),EJ54="ERR")</formula>
    </cfRule>
  </conditionalFormatting>
  <conditionalFormatting sqref="CR14:CR45">
    <cfRule type="expression" dxfId="116" priority="91">
      <formula>AND(NOT($BK14),OR($CL54="M",$CL54="C"))</formula>
    </cfRule>
    <cfRule type="expression" dxfId="115" priority="92">
      <formula>AND(NOT($BK14),AND(CR14="",CS14="",OR($CL54="B",$CL54="G")))</formula>
    </cfRule>
    <cfRule type="expression" dxfId="114" priority="93">
      <formula>AND(NOT($BK14),(CR14/2)/COS(RADIANS(CV14))+CM54-DI54&lt;$FB$4)</formula>
    </cfRule>
  </conditionalFormatting>
  <conditionalFormatting sqref="CS14:CS45">
    <cfRule type="expression" dxfId="113" priority="94">
      <formula>AND(NOT($BK14),OR($CL54="M",$CL54="C"))</formula>
    </cfRule>
    <cfRule type="expression" dxfId="112" priority="95">
      <formula>AND(NOT($BK14),AND(CR14="",CS14="",OR($CL54="B",$CL54="G")))</formula>
    </cfRule>
    <cfRule type="expression" dxfId="111" priority="96">
      <formula>AND(NOT($BK14),(CS14/2)/COS(RADIANS(CV14))+CM54-DI54&lt;$FB$4)</formula>
    </cfRule>
  </conditionalFormatting>
  <conditionalFormatting sqref="CW14:CW45 CM14:CM45">
    <cfRule type="expression" dxfId="110" priority="97">
      <formula>AND(NOT($BK14),AND(ISBLANK(CM14),AND(NOT(ISBLANK(CL14)),$DA14&lt;&gt;0)))</formula>
    </cfRule>
  </conditionalFormatting>
  <conditionalFormatting sqref="GA48:GB48">
    <cfRule type="expression" dxfId="109" priority="2" stopIfTrue="1">
      <formula>$GM50&gt;=0.125</formula>
    </cfRule>
  </conditionalFormatting>
  <conditionalFormatting sqref="CO14:CO45">
    <cfRule type="expression" dxfId="108" priority="98">
      <formula>ET14&lt;&gt;""</formula>
    </cfRule>
  </conditionalFormatting>
  <conditionalFormatting sqref="CY14:CY45">
    <cfRule type="expression" dxfId="107" priority="99">
      <formula>EU14&lt;&gt;""</formula>
    </cfRule>
  </conditionalFormatting>
  <conditionalFormatting sqref="CG14:CG45">
    <cfRule type="expression" dxfId="106" priority="100">
      <formula>AND(NOT($BK14),ISERROR(CC54))</formula>
    </cfRule>
    <cfRule type="expression" dxfId="105" priority="101">
      <formula>AND(NOT($BK14),OR(ISERROR(CC54),CC54="", ET14&lt;&gt;""))</formula>
    </cfRule>
  </conditionalFormatting>
  <conditionalFormatting sqref="CQ14:CQ45">
    <cfRule type="expression" dxfId="104" priority="102">
      <formula>AND(NOT($BK14),ISERROR(CL54))</formula>
    </cfRule>
    <cfRule type="expression" dxfId="103" priority="103">
      <formula>AND(NOT($BK14),OR(CL54="", EU14&lt;&gt;""))</formula>
    </cfRule>
  </conditionalFormatting>
  <conditionalFormatting sqref="DC14:DC45">
    <cfRule type="expression" dxfId="102" priority="104">
      <formula>OR(EN14&lt;&gt;"",EO14&lt;&gt;"",EP14&lt;&gt;"",EQ14&lt;&gt;"",ER14&lt;&gt;"",ES14&lt;&gt;"",ET14&lt;&gt;"",EU14&lt;&gt;"")</formula>
    </cfRule>
  </conditionalFormatting>
  <conditionalFormatting sqref="B87">
    <cfRule type="expression" dxfId="101" priority="1">
      <formula>$FN87</formula>
    </cfRule>
  </conditionalFormatting>
  <dataValidations count="20">
    <dataValidation type="whole" operator="greaterThan" allowBlank="1" showInputMessage="1" showErrorMessage="1" errorTitle="Quantity Error" error="Value must be an integer greater than -1000." sqref="B14:B45 CC14:CC45" xr:uid="{9EFE52F8-E6A3-4261-B8C3-69922B6D1794}">
      <formula1>-1001</formula1>
    </dataValidation>
    <dataValidation type="whole" operator="notBetween" allowBlank="1" showInputMessage="1" showErrorMessage="1" sqref="B87" xr:uid="{C4C1CB7B-2BF3-4995-90B4-EAA8E1C320F6}">
      <formula1>-10001</formula1>
      <formula2>-10000</formula2>
    </dataValidation>
    <dataValidation type="decimal" operator="greaterThan" allowBlank="1" showInputMessage="1" showErrorMessage="1" errorTitle="Input Error" error="Positive Numeric Values Only!" sqref="CP14:CP45 CZ14:CZ45" xr:uid="{97955ADB-AE93-4F79-96FB-3C92D638531E}">
      <formula1>0</formula1>
    </dataValidation>
    <dataValidation type="decimal" allowBlank="1" showInputMessage="1" showErrorMessage="1" errorTitle="Input Error" error="Numbers from 0&quot; to 11 7/8&quot; only!" sqref="GB15" xr:uid="{8CB7CAB8-2435-460F-ADDA-3CBBDBD78A7E}">
      <formula1>0</formula1>
      <formula2>11.875</formula2>
    </dataValidation>
    <dataValidation type="decimal" allowBlank="1" showInputMessage="1" showErrorMessage="1" errorTitle="Input Error" error="Positive numbers from 0&quot; to 11 7/8&quot; only!" sqref="GB14 GB16:GB45 GB48" xr:uid="{09CEBAD7-AA2E-4BF1-923D-4415826FF15E}">
      <formula1>0</formula1>
      <formula2>11.875</formula2>
    </dataValidation>
    <dataValidation type="whole" operator="greaterThanOrEqual" allowBlank="1" showInputMessage="1" showErrorMessage="1" errorTitle="Input Error" error="Positive Integers Only!" sqref="GA14:GA45 GA48" xr:uid="{0098BD42-75FF-4A31-B7DC-6F9EDBAA0C7B}">
      <formula1>0</formula1>
    </dataValidation>
    <dataValidation type="decimal" allowBlank="1" showInputMessage="1" showErrorMessage="1" errorTitle="Input Error" error="Numeric Values Only!" sqref="GC14:GD45 GC48:GD48 CN14:CN45 CX14:CX45" xr:uid="{58917D61-673A-4597-B1D5-983A97598985}">
      <formula1>-1200</formula1>
      <formula2>1200</formula2>
    </dataValidation>
    <dataValidation type="list" allowBlank="1" showInputMessage="1" showErrorMessage="1" errorTitle="Input Error" error="The Only Valid Entries For This Column is &quot;N&quot;, &quot;F&quot; or &quot;B&quot;." sqref="AL14:AL45 AC14:AC45 AY14:AY45 BC14:BC45 AU14:AU45" xr:uid="{3D985FD4-A1E9-424A-A8BD-011E9765C65B}">
      <formula1>"N,F,B"</formula1>
    </dataValidation>
    <dataValidation type="whole" allowBlank="1" showInputMessage="1" showErrorMessage="1" errorTitle="Input Error:" error="Enter Number of &quot;Sixteenths&quot; of an Inch for the Hole Diameter._x000a_Ex: &quot;9&quot; = 9/16&quot; Hole._x000a_    &quot;13&quot; = 13/16&quot; Hole." sqref="AN14:AN45" xr:uid="{AA4D1066-D350-4316-96DF-46685A4AF8E6}">
      <formula1>9</formula1>
      <formula2>17</formula2>
    </dataValidation>
    <dataValidation type="decimal" operator="greaterThanOrEqual" allowBlank="1" showInputMessage="1" showErrorMessage="1" errorTitle="Input Error" error="Enter a numeric value greater than 1/2&quot;." sqref="AP14:AQ45" xr:uid="{BD93E67E-CABA-4FF7-9EC0-C37C0AE806D9}">
      <formula1>0.75</formula1>
    </dataValidation>
    <dataValidation type="decimal" operator="lessThanOrEqual" allowBlank="1" showInputMessage="1" showErrorMessage="1" errorTitle="BL Over-Ride Error!" error="Base Length can't be past Girder Overall Length!  See section for Maximum Over-Ride Dimension." sqref="CO14:CO45" xr:uid="{22ABF488-682B-4AEC-BC11-03F933BBE7A4}">
      <formula1>$CD54</formula1>
    </dataValidation>
    <dataValidation type="decimal" operator="lessThanOrEqual" allowBlank="1" showInputMessage="1" showErrorMessage="1" errorTitle="BL Over-Ride Error!" error="Base Length can't be past Girder Overall Length!  See section for Maximum Over-Ride Dimension." sqref="CY14:CY45" xr:uid="{257FD3B7-043B-4474-A755-31259457E918}">
      <formula1>$CM54</formula1>
    </dataValidation>
    <dataValidation type="decimal" operator="greaterThan" allowBlank="1" showInputMessage="1" showErrorMessage="1" errorTitle="Dimensional Error" error="Only positive numeric values permitted here." sqref="M14:N45 M87:N87" xr:uid="{9EF76C42-C343-4A36-B09D-2AA865194D8A}">
      <formula1>0</formula1>
    </dataValidation>
    <dataValidation type="decimal" operator="notEqual" allowBlank="1" showInputMessage="1" showErrorMessage="1" errorTitle="Input Error" error="Enter + or - Numbers Only._x000a_Do NOT use &quot;&lt;&quot; or &quot;&gt;&quot;." sqref="X14:Y45 X87:Y87" xr:uid="{E149CE99-5C4E-4DE6-8660-83671E585BF7}">
      <formula1>0</formula1>
    </dataValidation>
    <dataValidation type="decimal" operator="greaterThanOrEqual" allowBlank="1" showInputMessage="1" showErrorMessage="1" errorTitle="Dimensional Error" error="&quot;Inches&quot; must be a number." sqref="CH14:CK45 CR14:CU45" xr:uid="{CE7F8DDA-37CD-45E3-982D-D1217369B32A}">
      <formula1>0</formula1>
    </dataValidation>
    <dataValidation type="decimal" allowBlank="1" showInputMessage="1" showErrorMessage="1" errorTitle="Dimensional Error" error="&quot;Inches&quot; must be a number from 0 to 11.875." sqref="AJ87 E14:E45 H14:H45 K14:K45 T14:T45 V14:V45 AE87 AH87 CF14:CF45 E87 H87 K87 T87 V87 AE14:AE45 AH14:AH45 AJ14:AJ45 DK14:DK45 DN14:DN45 DT14:DU45" xr:uid="{1ED494C3-86C7-4B33-8817-F31B03AA3A90}">
      <formula1>0</formula1>
      <formula2>11.875</formula2>
    </dataValidation>
    <dataValidation type="custom" allowBlank="1" showErrorMessage="1" errorTitle="Error" error="Value must  be either a whole number OR the string &quot;P&quot;." sqref="DV14:DV45 DZ14:DZ45 ED14:ED45 EH14:EH45 BD87 AR87 AV87 AZ87 AV14:AV45 AR14:AR45 BD14:BD45 AZ14:AZ45" xr:uid="{3B583E7A-540A-44CD-9340-ECE99F9CF274}">
      <formula1>IF(ISERROR(INT(AR14)),AR14="P",INT(AR14)=AR14)</formula1>
    </dataValidation>
    <dataValidation type="whole" operator="greaterThanOrEqual" allowBlank="1" showErrorMessage="1" errorTitle="Error" error="&quot;Number of Panels&quot; can only be whole numbers." sqref="DL14:DL45 AF87 AF14:AF45" xr:uid="{D9F34D66-1E65-4E3F-8B1F-AF83202B2B67}">
      <formula1>0</formula1>
    </dataValidation>
    <dataValidation type="whole" operator="greaterThanOrEqual" allowBlank="1" showErrorMessage="1" errorTitle="Dimensional Error" error="&quot;Feet&quot; can only be whole numbers." sqref="D14:D45 G14:G45 J14:J45 S14:S45 U14:U45 AG87 AI87 CE14:CE45 AD87 DJ14:DJ45 DM14:DM45 D87 G87 J87 S87 U87 AD14:AD45 AG14:AG45 AI14:AI45" xr:uid="{A6AF5EB2-0A50-4F47-B00C-04C393BA7DE0}">
      <formula1>0</formula1>
    </dataValidation>
    <dataValidation type="list" allowBlank="1" showInputMessage="1" sqref="M7:S7 DA4" xr:uid="{D3D0AA91-71F1-429A-AF3F-B4771A3D50FF}">
      <formula1>"Std Gray Primer: One Shop Coat,NO Shop Primer,NO Shop Primer - GALV,Std Gray Primer: xx Shop Coats"</formula1>
    </dataValidation>
  </dataValidations>
  <printOptions horizontalCentered="1"/>
  <pageMargins left="0.3" right="0.3" top="0.5" bottom="0.5" header="0" footer="0.25"/>
  <pageSetup pageOrder="overThenDown" orientation="landscape" r:id="rId1"/>
  <headerFooter alignWithMargins="0">
    <oddFooter>&amp;R&amp;7Printed: &amp;D &amp;T&amp;L&amp;7Version: 21.0428
File: &amp;F</oddFooter>
  </headerFooter>
  <colBreaks count="1" manualBreakCount="1">
    <brk id="27" max="44" man="1"/>
  </colBreaks>
  <drawing r:id="rId2"/>
  <legacyDrawing r:id="rId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183621-8975-493B-B143-FCAA20A6AC54}">
  <sheetPr codeName="Sheet23">
    <tabColor indexed="43"/>
  </sheetPr>
  <dimension ref="A1:IG104"/>
  <sheetViews>
    <sheetView showGridLines="0" zoomScaleNormal="100" zoomScaleSheetLayoutView="75" workbookViewId="0">
      <selection activeCell="A16" sqref="A16"/>
    </sheetView>
  </sheetViews>
  <sheetFormatPr defaultColWidth="4.7109375" defaultRowHeight="11.25" x14ac:dyDescent="0.2"/>
  <cols>
    <col min="1" max="1" width="5.7109375" style="154" customWidth="1"/>
    <col min="2" max="2" width="4.28515625" style="154" customWidth="1"/>
    <col min="3" max="3" width="15.7109375" style="154" customWidth="1"/>
    <col min="4" max="4" width="3.7109375" style="154" customWidth="1"/>
    <col min="5" max="5" width="4.42578125" style="154" customWidth="1"/>
    <col min="6" max="6" width="3" style="154" customWidth="1"/>
    <col min="7" max="7" width="4.42578125" style="154" customWidth="1"/>
    <col min="8" max="9" width="3" style="154" customWidth="1"/>
    <col min="10" max="10" width="4.42578125" style="154" customWidth="1"/>
    <col min="11" max="11" width="3" style="154" customWidth="1"/>
    <col min="12" max="13" width="4.42578125" style="154" customWidth="1"/>
    <col min="14" max="14" width="3.28515625" style="154" customWidth="1"/>
    <col min="15" max="15" width="5" style="154" customWidth="1"/>
    <col min="16" max="16" width="2.7109375" style="154" customWidth="1"/>
    <col min="17" max="17" width="3.28515625" style="154" customWidth="1"/>
    <col min="18" max="18" width="5" style="154" customWidth="1"/>
    <col min="19" max="19" width="2.7109375" style="154" customWidth="1"/>
    <col min="20" max="20" width="2.85546875" style="154" customWidth="1"/>
    <col min="21" max="21" width="4.42578125" style="154" customWidth="1"/>
    <col min="22" max="22" width="2.85546875" style="154" customWidth="1"/>
    <col min="23" max="23" width="4.42578125" style="154" customWidth="1"/>
    <col min="24" max="24" width="4.28515625" style="154" customWidth="1"/>
    <col min="25" max="26" width="4.7109375" style="154" customWidth="1"/>
    <col min="27" max="27" width="21" style="154" customWidth="1"/>
    <col min="28" max="28" width="3.7109375" style="154" customWidth="1"/>
    <col min="29" max="29" width="5.7109375" style="154" hidden="1" customWidth="1"/>
    <col min="30" max="30" width="3.7109375" style="154" hidden="1" customWidth="1"/>
    <col min="31" max="31" width="6.7109375" style="154" hidden="1" customWidth="1"/>
    <col min="32" max="34" width="3.7109375" style="154" hidden="1" customWidth="1"/>
    <col min="35" max="35" width="3.7109375" style="324" hidden="1" customWidth="1"/>
    <col min="36" max="43" width="3.7109375" style="154" hidden="1" customWidth="1"/>
    <col min="44" max="44" width="6.7109375" style="154" hidden="1" customWidth="1"/>
    <col min="45" max="45" width="3.7109375" style="154" hidden="1" customWidth="1"/>
    <col min="46" max="46" width="6.7109375" style="154" hidden="1" customWidth="1"/>
    <col min="47" max="49" width="4.7109375" style="154" hidden="1" customWidth="1"/>
    <col min="50" max="51" width="5.7109375" style="154" hidden="1" customWidth="1"/>
    <col min="52" max="52" width="10.7109375" style="154" hidden="1" customWidth="1"/>
    <col min="53" max="53" width="3.7109375" style="154" customWidth="1"/>
    <col min="54" max="54" width="6.7109375" style="154" customWidth="1"/>
    <col min="55" max="55" width="4.7109375" style="154" customWidth="1"/>
    <col min="56" max="56" width="13.7109375" style="154" customWidth="1"/>
    <col min="57" max="57" width="4.7109375" style="154" customWidth="1"/>
    <col min="58" max="58" width="5.7109375" style="154" customWidth="1"/>
    <col min="59" max="59" width="3.7109375" style="154" customWidth="1"/>
    <col min="60" max="61" width="5.28515625" style="154" customWidth="1"/>
    <col min="62" max="62" width="3.42578125" style="154" customWidth="1"/>
    <col min="63" max="64" width="5.28515625" style="154" customWidth="1"/>
    <col min="65" max="65" width="4.7109375" style="154" customWidth="1"/>
    <col min="66" max="66" width="5.7109375" style="154" customWidth="1"/>
    <col min="67" max="67" width="3.42578125" style="154" customWidth="1"/>
    <col min="68" max="69" width="6" style="154" customWidth="1"/>
    <col min="70" max="70" width="4.7109375" style="154" customWidth="1"/>
    <col min="71" max="71" width="3.7109375" style="154" customWidth="1"/>
    <col min="72" max="73" width="5.28515625" style="154" customWidth="1"/>
    <col min="74" max="74" width="3.42578125" style="154" customWidth="1"/>
    <col min="75" max="76" width="5.28515625" style="154" customWidth="1"/>
    <col min="77" max="77" width="4.7109375" style="154" customWidth="1"/>
    <col min="78" max="78" width="5.7109375" style="154" customWidth="1"/>
    <col min="79" max="79" width="3.42578125" style="154" customWidth="1"/>
    <col min="80" max="81" width="6" style="154" customWidth="1"/>
    <col min="82" max="82" width="4.7109375" style="154" customWidth="1"/>
    <col min="83" max="83" width="5.7109375" style="154" customWidth="1"/>
    <col min="84" max="85" width="17.85546875" style="154" customWidth="1"/>
    <col min="86" max="88" width="10.7109375" style="154" customWidth="1"/>
    <col min="89" max="89" width="8.7109375" style="154" customWidth="1"/>
    <col min="90" max="93" width="8.28515625" style="154" customWidth="1"/>
    <col min="94" max="95" width="4.7109375" style="154" customWidth="1"/>
    <col min="96" max="97" width="6.42578125" style="154" customWidth="1"/>
    <col min="98" max="98" width="4.7109375" style="154" customWidth="1"/>
    <col min="99" max="117" width="6.7109375" style="154" hidden="1" customWidth="1"/>
    <col min="118" max="118" width="8.7109375" style="154" hidden="1" customWidth="1"/>
    <col min="119" max="133" width="6.7109375" style="154" hidden="1" customWidth="1"/>
    <col min="134" max="135" width="8.7109375" style="154" hidden="1" customWidth="1"/>
    <col min="136" max="141" width="6.7109375" style="154" hidden="1" customWidth="1"/>
    <col min="142" max="142" width="8.7109375" style="154" hidden="1" customWidth="1"/>
    <col min="143" max="178" width="6.7109375" style="154" hidden="1" customWidth="1"/>
    <col min="179" max="179" width="4.7109375" style="154" customWidth="1"/>
    <col min="180" max="180" width="6.7109375" style="154" hidden="1" customWidth="1"/>
    <col min="181" max="181" width="8.7109375" style="154" hidden="1" customWidth="1"/>
    <col min="182" max="182" width="4.7109375" style="154" customWidth="1"/>
    <col min="183" max="183" width="5.28515625" style="154" customWidth="1"/>
    <col min="184" max="184" width="6.28515625" style="154" customWidth="1"/>
    <col min="185" max="187" width="8.7109375" style="154" customWidth="1"/>
    <col min="188" max="188" width="5.7109375" style="154" customWidth="1"/>
    <col min="189" max="189" width="5.28515625" style="154" customWidth="1"/>
    <col min="190" max="190" width="6.28515625" style="154" customWidth="1"/>
    <col min="191" max="191" width="5.28515625" style="154" hidden="1" customWidth="1"/>
    <col min="192" max="192" width="6.28515625" style="154" hidden="1" customWidth="1"/>
    <col min="193" max="195" width="8.7109375" style="154" hidden="1" customWidth="1"/>
    <col min="196" max="196" width="4.7109375" style="154" customWidth="1"/>
    <col min="197" max="206" width="8.7109375" style="154" hidden="1" customWidth="1"/>
    <col min="207" max="207" width="8.7109375" style="154" customWidth="1"/>
    <col min="208" max="208" width="8.7109375" style="154" hidden="1" customWidth="1"/>
    <col min="209" max="211" width="6.7109375" style="154" hidden="1" customWidth="1"/>
    <col min="212" max="212" width="6.7109375" style="156" hidden="1" customWidth="1"/>
    <col min="213" max="213" width="6.7109375" style="307" hidden="1" customWidth="1"/>
    <col min="214" max="236" width="6.7109375" style="154" hidden="1" customWidth="1"/>
    <col min="237" max="237" width="4.7109375" style="154" hidden="1" customWidth="1"/>
    <col min="238" max="240" width="6.7109375" style="154" hidden="1" customWidth="1"/>
    <col min="241" max="241" width="8.7109375" style="154" customWidth="1"/>
    <col min="242" max="16384" width="4.7109375" style="154"/>
  </cols>
  <sheetData>
    <row r="1" spans="1:241" s="303" customFormat="1" ht="14.45" customHeight="1" thickBot="1" x14ac:dyDescent="0.25">
      <c r="A1" s="297"/>
      <c r="B1" s="297"/>
      <c r="C1" s="297"/>
      <c r="D1" s="297"/>
      <c r="E1" s="297"/>
      <c r="F1" s="297"/>
      <c r="G1" s="297"/>
      <c r="H1" s="297"/>
      <c r="I1" s="298"/>
      <c r="J1" s="298"/>
      <c r="K1" s="298"/>
      <c r="L1" s="298"/>
      <c r="M1" s="298"/>
      <c r="N1" s="297"/>
      <c r="O1" s="298"/>
      <c r="P1" s="1705"/>
      <c r="Q1" s="1705"/>
      <c r="R1" s="1705"/>
      <c r="S1" s="1705"/>
      <c r="T1" s="298"/>
      <c r="U1" s="298"/>
      <c r="V1" s="299"/>
      <c r="W1" s="299"/>
      <c r="X1" s="1683" t="s">
        <v>77</v>
      </c>
      <c r="Y1" s="299"/>
      <c r="Z1" s="299"/>
      <c r="AA1" s="1669"/>
      <c r="AB1" s="432" t="s">
        <v>375</v>
      </c>
      <c r="AD1" s="302" t="e">
        <f>#REF!</f>
        <v>#REF!</v>
      </c>
      <c r="AE1" s="303" t="e">
        <f>#REF!</f>
        <v>#REF!</v>
      </c>
      <c r="AF1" s="708" t="s">
        <v>559</v>
      </c>
      <c r="AI1" s="302"/>
      <c r="AW1" s="160"/>
      <c r="AX1" s="160"/>
      <c r="BA1" s="433" t="s">
        <v>376</v>
      </c>
      <c r="BB1" s="152"/>
      <c r="BC1" s="152"/>
      <c r="BD1" s="152"/>
      <c r="BE1" s="152"/>
      <c r="BF1" s="152"/>
      <c r="BG1" s="152"/>
      <c r="BH1" s="152"/>
      <c r="BI1" s="152"/>
      <c r="BJ1" s="152"/>
      <c r="BK1" s="152"/>
      <c r="BL1" s="152"/>
      <c r="BM1" s="152"/>
      <c r="BN1" s="152"/>
      <c r="BO1" s="152"/>
      <c r="BP1" s="152"/>
      <c r="BQ1" s="152"/>
      <c r="BR1" s="152"/>
      <c r="BS1" s="152"/>
      <c r="BT1" s="152"/>
      <c r="BU1" s="152"/>
      <c r="BV1" s="152"/>
      <c r="BW1" s="152"/>
      <c r="BX1" s="152"/>
      <c r="BY1" s="152"/>
      <c r="BZ1" s="152"/>
      <c r="CA1" s="152"/>
      <c r="CB1" s="152"/>
      <c r="CC1" s="110"/>
      <c r="CD1" s="152"/>
      <c r="CE1" s="152"/>
      <c r="CF1" s="298"/>
      <c r="CG1" s="151"/>
      <c r="CH1" s="151"/>
      <c r="CI1" s="151"/>
      <c r="CJ1" s="151"/>
      <c r="CK1" s="151"/>
      <c r="CL1" s="151"/>
      <c r="CM1" s="151"/>
      <c r="CN1" s="151"/>
      <c r="CO1" s="151"/>
      <c r="CP1" s="151"/>
      <c r="CQ1" s="298"/>
      <c r="CR1" s="298"/>
      <c r="CS1" s="298"/>
      <c r="CT1" s="432" t="s">
        <v>372</v>
      </c>
      <c r="CW1" s="301" t="s">
        <v>164</v>
      </c>
      <c r="CX1" s="305" t="e">
        <f>#REF!</f>
        <v>#REF!</v>
      </c>
      <c r="CY1" s="306" t="e">
        <f>IF(CX1=1,"Joist BL @ CL of Steel Support (if possible), minimize BL",IF(CX1=2,"Minimize Joist Base Length",IF(CX1=3,"Minimize TCX (Maximize Joist BL)",IF(CX1=4,"Joist BL @ CL of Steel Support (if possible), minimize TCX"))))</f>
        <v>#REF!</v>
      </c>
      <c r="CZ1" s="306"/>
      <c r="DA1" s="155"/>
      <c r="DB1" s="155"/>
      <c r="DC1" s="155" t="s">
        <v>549</v>
      </c>
      <c r="DD1" s="303" t="e">
        <f>#REF!</f>
        <v>#REF!</v>
      </c>
      <c r="DE1" s="155"/>
      <c r="DF1" s="155"/>
      <c r="DG1" s="899" t="s">
        <v>690</v>
      </c>
      <c r="DH1" s="312" t="s">
        <v>139</v>
      </c>
      <c r="DI1" s="313" t="s">
        <v>159</v>
      </c>
      <c r="DJ1" s="314" t="s">
        <v>160</v>
      </c>
      <c r="DK1" s="313" t="s">
        <v>161</v>
      </c>
      <c r="DL1" s="313" t="s">
        <v>162</v>
      </c>
      <c r="DM1" s="313" t="s">
        <v>163</v>
      </c>
      <c r="DN1" s="315" t="s">
        <v>350</v>
      </c>
      <c r="DO1" s="155"/>
      <c r="DP1" s="301" t="s">
        <v>696</v>
      </c>
      <c r="DQ1" s="900" t="e">
        <f>#REF!</f>
        <v>#REF!</v>
      </c>
      <c r="DR1" s="155"/>
      <c r="DS1" s="155"/>
      <c r="DT1" s="155"/>
      <c r="DX1" s="155"/>
      <c r="DY1" s="155"/>
      <c r="DZ1" s="155"/>
      <c r="EA1" s="155"/>
      <c r="EB1" s="155"/>
      <c r="EC1" s="155"/>
      <c r="ED1" s="155"/>
      <c r="EE1" s="155"/>
      <c r="EF1" s="155"/>
      <c r="EG1" s="155"/>
      <c r="EH1" s="155"/>
      <c r="EI1" s="155"/>
      <c r="EJ1" s="155"/>
      <c r="EK1" s="155"/>
      <c r="EL1" s="155"/>
      <c r="EM1" s="155"/>
      <c r="EN1" s="155"/>
      <c r="EO1" s="155"/>
      <c r="EP1" s="155"/>
      <c r="EQ1" s="155"/>
      <c r="ER1" s="155"/>
      <c r="ES1" s="155"/>
      <c r="ET1" s="155"/>
      <c r="EU1" s="155"/>
      <c r="EV1" s="155"/>
      <c r="EW1" s="155"/>
      <c r="EX1" s="162"/>
      <c r="EY1" s="162"/>
      <c r="EZ1" s="162"/>
      <c r="FA1" s="162"/>
      <c r="FB1" s="155"/>
      <c r="FC1" s="155"/>
      <c r="FD1" s="155"/>
      <c r="FE1" s="155"/>
      <c r="FF1" s="155"/>
      <c r="FG1" s="155"/>
      <c r="FH1" s="155"/>
      <c r="FI1" s="155"/>
      <c r="FJ1" s="154"/>
      <c r="FK1" s="154"/>
      <c r="FL1" s="154"/>
      <c r="FM1" s="154"/>
      <c r="FN1" s="154"/>
      <c r="FO1" s="154"/>
      <c r="FP1" s="154"/>
      <c r="FQ1" s="154"/>
      <c r="FT1" s="154"/>
      <c r="FW1" s="435" t="s">
        <v>368</v>
      </c>
      <c r="FX1" s="154"/>
      <c r="GA1" s="322"/>
      <c r="GB1" s="322"/>
      <c r="GC1" s="322"/>
      <c r="GD1" s="322"/>
      <c r="GE1" s="322"/>
      <c r="GF1" s="322"/>
      <c r="GG1" s="322"/>
      <c r="GH1" s="322"/>
      <c r="GI1" s="322"/>
      <c r="GJ1" s="322"/>
      <c r="GL1" s="154"/>
      <c r="GM1" s="154"/>
      <c r="GN1" s="154"/>
      <c r="GO1" s="154"/>
      <c r="GP1" s="154"/>
      <c r="GQ1" s="154"/>
      <c r="GR1" s="154"/>
      <c r="GS1" s="154"/>
      <c r="GT1" s="154"/>
      <c r="GU1" s="154"/>
      <c r="GV1" s="154"/>
      <c r="GW1" s="154"/>
      <c r="GX1" s="154"/>
      <c r="GY1" s="436" t="s">
        <v>371</v>
      </c>
      <c r="GZ1" s="716" t="s">
        <v>731</v>
      </c>
      <c r="HA1" s="154" t="e">
        <f>#REF!</f>
        <v>#REF!</v>
      </c>
      <c r="HB1" s="154"/>
      <c r="HC1" s="154"/>
      <c r="HD1" s="156"/>
      <c r="HE1" s="307"/>
      <c r="HF1" s="154"/>
      <c r="HG1" s="154"/>
      <c r="HH1" s="154"/>
      <c r="HI1" s="154"/>
      <c r="HJ1" s="154"/>
      <c r="HK1" s="154"/>
      <c r="HL1" s="154"/>
      <c r="HM1" s="154"/>
      <c r="HN1" s="154"/>
      <c r="HO1" s="154"/>
      <c r="HP1" s="154"/>
      <c r="HQ1" s="154"/>
      <c r="HR1" s="154"/>
      <c r="HS1" s="154"/>
      <c r="HT1" s="154"/>
      <c r="HU1" s="154"/>
      <c r="HV1" s="154"/>
      <c r="HW1" s="154"/>
      <c r="HX1" s="154"/>
      <c r="IG1" s="424" t="s">
        <v>716</v>
      </c>
    </row>
    <row r="2" spans="1:241" s="303" customFormat="1" ht="12.95" customHeight="1" thickTop="1" thickBot="1" x14ac:dyDescent="0.3">
      <c r="A2" s="308"/>
      <c r="B2" s="308"/>
      <c r="C2" s="308"/>
      <c r="D2" s="308"/>
      <c r="E2" s="308"/>
      <c r="F2" s="308"/>
      <c r="G2" s="308"/>
      <c r="H2" s="308"/>
      <c r="I2" s="298"/>
      <c r="J2" s="298"/>
      <c r="K2" s="298"/>
      <c r="L2" s="298"/>
      <c r="M2" s="298"/>
      <c r="N2" s="308"/>
      <c r="O2" s="298"/>
      <c r="P2" s="1711"/>
      <c r="Q2" s="1750"/>
      <c r="R2" s="1750"/>
      <c r="S2" s="1751"/>
      <c r="T2" s="298"/>
      <c r="U2" s="298"/>
      <c r="V2" s="299"/>
      <c r="W2" s="299"/>
      <c r="X2" s="1683" t="s">
        <v>78</v>
      </c>
      <c r="Y2" s="299"/>
      <c r="Z2" s="299"/>
      <c r="AA2" s="1669"/>
      <c r="AB2" s="309"/>
      <c r="AI2" s="302"/>
      <c r="BA2" s="210" t="s">
        <v>383</v>
      </c>
      <c r="BB2" s="152"/>
      <c r="BC2" s="152"/>
      <c r="BD2" s="152"/>
      <c r="BE2" s="152"/>
      <c r="BF2" s="152"/>
      <c r="BG2" s="152"/>
      <c r="BH2" s="152"/>
      <c r="BI2" s="152"/>
      <c r="BJ2" s="152"/>
      <c r="BK2" s="152"/>
      <c r="BL2" s="152"/>
      <c r="BM2" s="152"/>
      <c r="BN2" s="152"/>
      <c r="BO2" s="152"/>
      <c r="BP2" s="152"/>
      <c r="BQ2" s="152"/>
      <c r="BR2" s="152"/>
      <c r="BS2" s="152"/>
      <c r="BT2" s="152"/>
      <c r="BU2" s="152"/>
      <c r="BV2" s="152"/>
      <c r="BW2" s="152"/>
      <c r="BX2" s="152"/>
      <c r="BY2" s="152"/>
      <c r="BZ2" s="152"/>
      <c r="CA2" s="152"/>
      <c r="CB2" s="152"/>
      <c r="CC2" s="110"/>
      <c r="CD2" s="152"/>
      <c r="CE2" s="152"/>
      <c r="CF2" s="151"/>
      <c r="CG2" s="151"/>
      <c r="CH2" s="151"/>
      <c r="CI2" s="298"/>
      <c r="CJ2" s="298"/>
      <c r="CK2" s="298"/>
      <c r="CL2" s="298"/>
      <c r="CM2" s="298"/>
      <c r="CN2" s="298"/>
      <c r="CO2" s="298"/>
      <c r="CP2" s="151"/>
      <c r="CQ2" s="151"/>
      <c r="CR2" s="298"/>
      <c r="CS2" s="298"/>
      <c r="CT2" s="434" t="s">
        <v>384</v>
      </c>
      <c r="CU2" s="155"/>
      <c r="CW2" s="301" t="s">
        <v>165</v>
      </c>
      <c r="CX2" s="310" t="e">
        <f>#REF!</f>
        <v>#REF!</v>
      </c>
      <c r="CY2" s="301" t="s">
        <v>322</v>
      </c>
      <c r="CZ2" s="310" t="e">
        <f>#REF!</f>
        <v>#REF!</v>
      </c>
      <c r="DA2" s="301" t="s">
        <v>323</v>
      </c>
      <c r="DB2" s="310" t="e">
        <f>#REF!</f>
        <v>#REF!</v>
      </c>
      <c r="DC2" s="155" t="s">
        <v>220</v>
      </c>
      <c r="DD2" s="311" t="e">
        <f>#REF!</f>
        <v>#REF!</v>
      </c>
      <c r="DE2" s="155"/>
      <c r="DF2" s="318" t="s">
        <v>64</v>
      </c>
      <c r="DG2" s="1531" t="e">
        <f>#REF!/2</f>
        <v>#REF!</v>
      </c>
      <c r="DH2" s="1532" t="e">
        <f>#REF!</f>
        <v>#REF!</v>
      </c>
      <c r="DI2" s="1533" t="e">
        <f>#REF!</f>
        <v>#REF!</v>
      </c>
      <c r="DJ2" s="1533" t="e">
        <f>#REF!</f>
        <v>#REF!</v>
      </c>
      <c r="DK2" s="1533" t="e">
        <f>#REF!</f>
        <v>#REF!</v>
      </c>
      <c r="DL2" s="1534" t="e">
        <f>#REF!</f>
        <v>#REF!</v>
      </c>
      <c r="DM2" s="1533" t="e">
        <f>#REF!</f>
        <v>#REF!</v>
      </c>
      <c r="DN2" s="1536" t="e">
        <f>#REF!</f>
        <v>#REF!</v>
      </c>
      <c r="DO2" s="155"/>
      <c r="DP2" s="301" t="s">
        <v>751</v>
      </c>
      <c r="DQ2" s="900">
        <v>0.25</v>
      </c>
      <c r="DR2" s="155"/>
      <c r="DS2" s="155"/>
      <c r="DT2" s="155"/>
      <c r="DX2" s="155"/>
      <c r="DY2" s="155"/>
      <c r="DZ2" s="155"/>
      <c r="EA2" s="155"/>
      <c r="EB2" s="155"/>
      <c r="EC2" s="155"/>
      <c r="ED2" s="155"/>
      <c r="EE2" s="155"/>
      <c r="EF2" s="155"/>
      <c r="EG2" s="155"/>
      <c r="EH2" s="155"/>
      <c r="EI2" s="155"/>
      <c r="EJ2" s="155"/>
      <c r="EK2" s="155"/>
      <c r="EL2" s="155"/>
      <c r="EM2" s="155"/>
      <c r="EN2" s="155"/>
      <c r="EO2" s="155"/>
      <c r="EP2" s="155"/>
      <c r="EQ2" s="155"/>
      <c r="ER2" s="155"/>
      <c r="ES2" s="155"/>
      <c r="ET2" s="155"/>
      <c r="EU2" s="155"/>
      <c r="EV2" s="155"/>
      <c r="EW2" s="155"/>
      <c r="EX2" s="162"/>
      <c r="EY2" s="162"/>
      <c r="EZ2" s="162"/>
      <c r="FA2" s="162"/>
      <c r="FB2" s="155"/>
      <c r="FC2" s="155"/>
      <c r="FD2" s="155"/>
      <c r="FE2" s="155"/>
      <c r="FF2" s="155"/>
      <c r="FG2" s="155"/>
      <c r="FH2" s="155"/>
      <c r="FI2" s="155"/>
      <c r="FJ2" s="154"/>
      <c r="FK2" s="154"/>
      <c r="FL2" s="154"/>
      <c r="FM2" s="154"/>
      <c r="FN2" s="154"/>
      <c r="FO2" s="154"/>
      <c r="FP2" s="154"/>
      <c r="FQ2" s="154"/>
      <c r="FR2" s="154"/>
      <c r="FS2" s="154"/>
      <c r="FT2" s="154"/>
      <c r="FU2" s="154"/>
      <c r="FV2" s="154"/>
      <c r="FX2" s="154"/>
      <c r="FY2" s="154"/>
      <c r="FZ2" s="436" t="s">
        <v>369</v>
      </c>
      <c r="GA2" s="322"/>
      <c r="GB2" s="322"/>
      <c r="GC2" s="322"/>
      <c r="GD2" s="322"/>
      <c r="GE2" s="322"/>
      <c r="GF2" s="322"/>
      <c r="GG2" s="322"/>
      <c r="GH2" s="322"/>
      <c r="GI2" s="322"/>
      <c r="GJ2" s="322"/>
      <c r="GM2" s="154"/>
      <c r="GN2" s="437" t="s">
        <v>370</v>
      </c>
      <c r="GO2" s="154"/>
      <c r="GP2" s="154"/>
      <c r="GQ2" s="154"/>
      <c r="GR2" s="154"/>
      <c r="GS2" s="154"/>
      <c r="GT2" s="154"/>
      <c r="GU2" s="154"/>
      <c r="GV2" s="154"/>
      <c r="GW2" s="154"/>
      <c r="GX2" s="154"/>
      <c r="GY2" s="154"/>
      <c r="HA2" s="154"/>
      <c r="HB2" s="154"/>
      <c r="HC2" s="154"/>
      <c r="HD2" s="156"/>
      <c r="HE2" s="307"/>
      <c r="HF2" s="154"/>
      <c r="HG2" s="154"/>
      <c r="HH2" s="154"/>
      <c r="HI2" s="154"/>
      <c r="HJ2" s="154"/>
      <c r="HK2" s="154"/>
      <c r="HL2" s="154"/>
      <c r="HM2" s="154"/>
      <c r="HN2" s="154"/>
      <c r="HO2" s="154"/>
      <c r="HP2" s="154"/>
      <c r="HQ2" s="154"/>
      <c r="HR2" s="154"/>
      <c r="HS2" s="154"/>
      <c r="HT2" s="154"/>
      <c r="HU2" s="154"/>
      <c r="HV2" s="154"/>
      <c r="HW2" s="154"/>
      <c r="HX2" s="154"/>
    </row>
    <row r="3" spans="1:241" s="303" customFormat="1" ht="12.95" customHeight="1" thickBot="1" x14ac:dyDescent="0.3">
      <c r="A3" s="298"/>
      <c r="B3" s="298"/>
      <c r="C3" s="298"/>
      <c r="D3" s="298"/>
      <c r="E3" s="298"/>
      <c r="F3" s="298"/>
      <c r="G3" s="298"/>
      <c r="H3" s="298"/>
      <c r="I3" s="298"/>
      <c r="J3" s="298"/>
      <c r="K3" s="298"/>
      <c r="L3" s="298"/>
      <c r="M3" s="298"/>
      <c r="N3" s="298"/>
      <c r="O3" s="298"/>
      <c r="P3" s="1752"/>
      <c r="Q3" s="1753"/>
      <c r="R3" s="1753"/>
      <c r="S3" s="1754"/>
      <c r="T3" s="298"/>
      <c r="U3" s="298"/>
      <c r="V3" s="299"/>
      <c r="W3" s="299"/>
      <c r="X3" s="1683" t="s">
        <v>80</v>
      </c>
      <c r="Y3" s="299"/>
      <c r="Z3" s="299"/>
      <c r="AA3" s="1669"/>
      <c r="AB3" s="309"/>
      <c r="AI3" s="302"/>
      <c r="BA3" s="166"/>
      <c r="BB3" s="152"/>
      <c r="BC3" s="152"/>
      <c r="BD3" s="152"/>
      <c r="BE3" s="152"/>
      <c r="BF3" s="152"/>
      <c r="BG3" s="152"/>
      <c r="BH3" s="152"/>
      <c r="BI3" s="152"/>
      <c r="BJ3" s="152"/>
      <c r="BK3" s="152"/>
      <c r="BL3" s="152"/>
      <c r="BM3" s="152"/>
      <c r="BN3" s="152"/>
      <c r="BO3" s="152"/>
      <c r="BP3" s="152"/>
      <c r="BQ3" s="152"/>
      <c r="BR3" s="152"/>
      <c r="BS3" s="152"/>
      <c r="BT3" s="152"/>
      <c r="BU3" s="152"/>
      <c r="BV3" s="152"/>
      <c r="BW3" s="152"/>
      <c r="BX3" s="152"/>
      <c r="BY3" s="152"/>
      <c r="BZ3" s="152"/>
      <c r="CA3" s="152"/>
      <c r="CB3" s="152"/>
      <c r="CC3" s="110"/>
      <c r="CD3" s="152"/>
      <c r="CE3" s="152"/>
      <c r="CF3" s="151"/>
      <c r="CG3" s="151"/>
      <c r="CH3" s="151"/>
      <c r="CI3" s="298"/>
      <c r="CJ3" s="298"/>
      <c r="CK3" s="298"/>
      <c r="CL3" s="298"/>
      <c r="CM3" s="298"/>
      <c r="CN3" s="298"/>
      <c r="CO3" s="298"/>
      <c r="CP3" s="151"/>
      <c r="CQ3" s="151"/>
      <c r="CR3" s="298"/>
      <c r="CS3" s="298"/>
      <c r="CU3" s="514"/>
      <c r="CV3" s="515" t="s">
        <v>220</v>
      </c>
      <c r="CW3" s="516" t="s">
        <v>139</v>
      </c>
      <c r="CX3" s="517" t="s">
        <v>159</v>
      </c>
      <c r="CY3" s="518" t="s">
        <v>160</v>
      </c>
      <c r="CZ3" s="517" t="s">
        <v>161</v>
      </c>
      <c r="DA3" s="517" t="s">
        <v>162</v>
      </c>
      <c r="DB3" s="517" t="s">
        <v>163</v>
      </c>
      <c r="DC3" s="519" t="s">
        <v>350</v>
      </c>
      <c r="DE3" s="155"/>
      <c r="DF3" s="448" t="s">
        <v>147</v>
      </c>
      <c r="DG3" s="1537" t="e">
        <f>#REF!/2</f>
        <v>#REF!</v>
      </c>
      <c r="DH3" s="1538" t="e">
        <f>#REF!</f>
        <v>#REF!</v>
      </c>
      <c r="DI3" s="1539" t="e">
        <f>#REF!</f>
        <v>#REF!</v>
      </c>
      <c r="DJ3" s="1539" t="e">
        <f>#REF!</f>
        <v>#REF!</v>
      </c>
      <c r="DK3" s="1539" t="e">
        <f>#REF!</f>
        <v>#REF!</v>
      </c>
      <c r="DL3" s="1540" t="e">
        <f>#REF!</f>
        <v>#REF!</v>
      </c>
      <c r="DM3" s="1539" t="e">
        <f>#REF!</f>
        <v>#REF!</v>
      </c>
      <c r="DN3" s="1542" t="e">
        <f>#REF!</f>
        <v>#REF!</v>
      </c>
      <c r="DO3" s="155"/>
      <c r="DP3" s="155"/>
      <c r="DQ3" s="155"/>
      <c r="DR3" s="155"/>
      <c r="DS3" s="155"/>
      <c r="DT3" s="155"/>
      <c r="DU3" s="155"/>
      <c r="DV3" s="155"/>
      <c r="DW3" s="155"/>
      <c r="DX3" s="155"/>
      <c r="DY3" s="155"/>
      <c r="DZ3" s="155"/>
      <c r="EA3" s="155"/>
      <c r="EB3" s="155"/>
      <c r="EC3" s="155"/>
      <c r="ED3" s="155"/>
      <c r="EE3" s="155"/>
      <c r="EF3" s="155"/>
      <c r="EG3" s="155"/>
      <c r="EH3" s="155"/>
      <c r="EI3" s="155"/>
      <c r="EJ3" s="155"/>
      <c r="EK3" s="155"/>
      <c r="EL3" s="155"/>
      <c r="EM3" s="155"/>
      <c r="EN3" s="155"/>
      <c r="EO3" s="155"/>
      <c r="EP3" s="155"/>
      <c r="EQ3" s="155"/>
      <c r="ER3" s="155"/>
      <c r="ES3" s="155"/>
      <c r="ET3" s="155"/>
      <c r="EU3" s="155"/>
      <c r="EV3" s="155"/>
      <c r="EW3" s="155"/>
      <c r="EX3" s="162"/>
      <c r="EY3" s="162"/>
      <c r="EZ3" s="162"/>
      <c r="FA3" s="162"/>
      <c r="FB3" s="155"/>
      <c r="FC3" s="155"/>
      <c r="FD3" s="155"/>
      <c r="FE3" s="155"/>
      <c r="FF3" s="155"/>
      <c r="FG3" s="155"/>
      <c r="FH3" s="155"/>
      <c r="FI3" s="155"/>
      <c r="FJ3" s="154"/>
      <c r="FK3" s="154"/>
      <c r="FL3" s="154"/>
      <c r="FM3" s="154"/>
      <c r="FN3" s="154"/>
      <c r="FO3" s="154"/>
      <c r="FP3" s="154"/>
      <c r="FQ3" s="154"/>
      <c r="FR3" s="154"/>
      <c r="FS3" s="154"/>
      <c r="FT3" s="154"/>
      <c r="FU3" s="154"/>
      <c r="FV3" s="154"/>
      <c r="FW3" s="154"/>
      <c r="FX3" s="154"/>
      <c r="FY3" s="154"/>
      <c r="FZ3" s="154"/>
      <c r="GA3" s="322"/>
      <c r="GB3" s="322"/>
      <c r="GC3" s="322"/>
      <c r="GD3" s="322"/>
      <c r="GE3" s="322"/>
      <c r="GF3" s="322"/>
      <c r="GG3" s="322"/>
      <c r="GH3" s="322"/>
      <c r="GI3" s="322"/>
      <c r="GJ3" s="322"/>
      <c r="GK3" s="154"/>
      <c r="GL3" s="154"/>
      <c r="GM3" s="154"/>
      <c r="GN3" s="154"/>
      <c r="GO3" s="154"/>
      <c r="GP3" s="154"/>
      <c r="GQ3" s="154"/>
      <c r="GR3" s="154"/>
      <c r="GS3" s="154"/>
      <c r="GT3" s="154"/>
      <c r="GU3" s="154"/>
      <c r="GV3" s="154"/>
      <c r="GW3" s="154"/>
      <c r="GX3" s="154"/>
      <c r="GY3" s="154"/>
      <c r="GZ3" s="154"/>
      <c r="HA3" s="154"/>
      <c r="HB3" s="154"/>
      <c r="HC3" s="154"/>
      <c r="HD3" s="156"/>
      <c r="HE3" s="307"/>
      <c r="HF3" s="154"/>
      <c r="HG3" s="154"/>
      <c r="HH3" s="154"/>
      <c r="HI3" s="154"/>
      <c r="HJ3" s="154"/>
      <c r="HK3" s="154"/>
      <c r="HL3" s="154"/>
      <c r="HM3" s="154"/>
      <c r="HN3" s="154"/>
      <c r="HO3" s="154"/>
      <c r="HP3" s="154"/>
      <c r="HQ3" s="154"/>
      <c r="HR3" s="154"/>
      <c r="HS3" s="154"/>
      <c r="HT3" s="154"/>
      <c r="HU3" s="154"/>
      <c r="HV3" s="154"/>
      <c r="HW3" s="154"/>
      <c r="HX3" s="154"/>
    </row>
    <row r="4" spans="1:241" s="303" customFormat="1" ht="12.95" customHeight="1" thickTop="1" thickBot="1" x14ac:dyDescent="0.3">
      <c r="A4" s="298"/>
      <c r="B4" s="298"/>
      <c r="C4" s="298"/>
      <c r="D4" s="298"/>
      <c r="E4" s="298"/>
      <c r="F4" s="298"/>
      <c r="G4" s="298"/>
      <c r="H4" s="298"/>
      <c r="I4" s="298"/>
      <c r="J4" s="298"/>
      <c r="K4" s="298"/>
      <c r="L4" s="298"/>
      <c r="M4" s="298"/>
      <c r="N4" s="298"/>
      <c r="O4" s="298"/>
      <c r="P4" s="1717"/>
      <c r="Q4" s="1755"/>
      <c r="R4" s="1755"/>
      <c r="S4" s="1756"/>
      <c r="T4" s="298"/>
      <c r="U4" s="298"/>
      <c r="V4" s="299"/>
      <c r="W4" s="299"/>
      <c r="X4" s="1683" t="s">
        <v>79</v>
      </c>
      <c r="Y4" s="299"/>
      <c r="Z4" s="299"/>
      <c r="AA4" s="1669"/>
      <c r="AB4" s="309"/>
      <c r="AI4" s="302"/>
      <c r="BA4" s="166"/>
      <c r="BB4" s="152"/>
      <c r="BC4" s="152"/>
      <c r="BD4" s="152"/>
      <c r="BE4" s="152"/>
      <c r="BF4" s="152"/>
      <c r="BG4" s="152"/>
      <c r="BH4" s="152"/>
      <c r="BI4" s="152"/>
      <c r="BJ4" s="152"/>
      <c r="BK4" s="152"/>
      <c r="BL4" s="152"/>
      <c r="BM4" s="164"/>
      <c r="BN4" s="152"/>
      <c r="BO4" s="152"/>
      <c r="BP4" s="152"/>
      <c r="BQ4" s="152"/>
      <c r="BR4" s="152"/>
      <c r="BS4" s="152"/>
      <c r="BT4" s="152"/>
      <c r="BU4" s="152"/>
      <c r="BV4" s="152"/>
      <c r="BW4" s="152"/>
      <c r="BX4" s="152"/>
      <c r="BY4" s="152"/>
      <c r="BZ4" s="152"/>
      <c r="CA4" s="152"/>
      <c r="CB4" s="152"/>
      <c r="CC4" s="110"/>
      <c r="CD4" s="316"/>
      <c r="CE4" s="317"/>
      <c r="CF4" s="151"/>
      <c r="CG4" s="151"/>
      <c r="CH4" s="151"/>
      <c r="CI4" s="151"/>
      <c r="CJ4" s="153"/>
      <c r="CK4" s="298"/>
      <c r="CL4" s="298"/>
      <c r="CM4" s="298"/>
      <c r="CN4" s="298"/>
      <c r="CO4" s="298"/>
      <c r="CP4" s="151"/>
      <c r="CQ4" s="151"/>
      <c r="CR4" s="298"/>
      <c r="CS4" s="298"/>
      <c r="CU4" s="520" t="s">
        <v>64</v>
      </c>
      <c r="CV4" s="1543" t="e">
        <f>#REF!</f>
        <v>#REF!</v>
      </c>
      <c r="CW4" s="1544" t="e">
        <f>#REF!</f>
        <v>#REF!</v>
      </c>
      <c r="CX4" s="1545" t="e">
        <f>#REF!</f>
        <v>#REF!</v>
      </c>
      <c r="CY4" s="1545" t="e">
        <f>#REF!</f>
        <v>#REF!</v>
      </c>
      <c r="CZ4" s="1545" t="e">
        <f>#REF!</f>
        <v>#REF!</v>
      </c>
      <c r="DA4" s="1546" t="e">
        <f>#REF!</f>
        <v>#REF!</v>
      </c>
      <c r="DB4" s="1545" t="e">
        <f>#REF!</f>
        <v>#REF!</v>
      </c>
      <c r="DC4" s="1547" t="e">
        <f>#REF!</f>
        <v>#REF!</v>
      </c>
      <c r="DE4" s="155"/>
      <c r="DF4" s="448" t="s">
        <v>66</v>
      </c>
      <c r="DG4" s="1537" t="e">
        <f>#REF!/2</f>
        <v>#REF!</v>
      </c>
      <c r="DH4" s="1538" t="e">
        <f>#REF!</f>
        <v>#REF!</v>
      </c>
      <c r="DI4" s="1539" t="e">
        <f>#REF!</f>
        <v>#REF!</v>
      </c>
      <c r="DJ4" s="1539" t="e">
        <f>#REF!</f>
        <v>#REF!</v>
      </c>
      <c r="DK4" s="1539" t="e">
        <f>#REF!</f>
        <v>#REF!</v>
      </c>
      <c r="DL4" s="1540" t="e">
        <f>#REF!</f>
        <v>#REF!</v>
      </c>
      <c r="DM4" s="1539" t="e">
        <f>#REF!</f>
        <v>#REF!</v>
      </c>
      <c r="DN4" s="1542" t="e">
        <f>#REF!</f>
        <v>#REF!</v>
      </c>
      <c r="DO4" s="155"/>
      <c r="DP4" s="155"/>
      <c r="DQ4" s="155"/>
      <c r="DR4" s="155"/>
      <c r="DS4" s="155"/>
      <c r="DT4" s="155"/>
      <c r="DU4" s="155"/>
      <c r="DV4" s="155"/>
      <c r="DW4" s="155"/>
      <c r="DX4" s="155"/>
      <c r="DY4" s="155"/>
      <c r="DZ4" s="155"/>
      <c r="EA4" s="155"/>
      <c r="EB4" s="155"/>
      <c r="EC4" s="155"/>
      <c r="ED4" s="155"/>
      <c r="EE4" s="155"/>
      <c r="EF4" s="155"/>
      <c r="EG4" s="155"/>
      <c r="EH4" s="155"/>
      <c r="EI4" s="155"/>
      <c r="EJ4" s="155"/>
      <c r="EK4" s="155"/>
      <c r="EL4" s="155"/>
      <c r="EM4" s="155"/>
      <c r="EN4" s="155"/>
      <c r="EO4" s="155"/>
      <c r="EP4" s="155"/>
      <c r="EQ4" s="155"/>
      <c r="ER4" s="155"/>
      <c r="ES4" s="155"/>
      <c r="ET4" s="155"/>
      <c r="EU4" s="155"/>
      <c r="EV4" s="155"/>
      <c r="EW4" s="155"/>
      <c r="EX4" s="162"/>
      <c r="EY4" s="162"/>
      <c r="EZ4" s="162"/>
      <c r="FA4" s="162"/>
      <c r="FB4" s="155"/>
      <c r="FC4" s="155"/>
      <c r="FD4" s="155"/>
      <c r="FE4" s="155"/>
      <c r="FF4" s="155"/>
      <c r="FG4" s="155"/>
      <c r="FH4" s="155"/>
      <c r="FI4" s="155"/>
      <c r="FJ4" s="154"/>
      <c r="FK4" s="154"/>
      <c r="FL4" s="154"/>
      <c r="FM4" s="154"/>
      <c r="FN4" s="154"/>
      <c r="FO4" s="154"/>
      <c r="FP4" s="154"/>
      <c r="FQ4" s="154"/>
      <c r="FR4" s="154"/>
      <c r="FS4" s="154"/>
      <c r="FT4" s="154"/>
      <c r="FU4" s="154"/>
      <c r="FV4" s="154"/>
      <c r="FW4" s="154"/>
      <c r="FX4" s="154"/>
      <c r="FY4" s="154"/>
      <c r="FZ4" s="154"/>
      <c r="GA4" s="322"/>
      <c r="GB4" s="322"/>
      <c r="GC4" s="322"/>
      <c r="GD4" s="322"/>
      <c r="GE4" s="322"/>
      <c r="GF4" s="322"/>
      <c r="GG4" s="322"/>
      <c r="GH4" s="322"/>
      <c r="GI4" s="322"/>
      <c r="GJ4" s="322"/>
      <c r="GK4" s="154"/>
      <c r="GL4" s="154"/>
      <c r="GM4" s="154"/>
      <c r="GN4" s="154"/>
      <c r="GO4" s="154"/>
      <c r="GP4" s="154"/>
      <c r="GQ4" s="154"/>
      <c r="GR4" s="154"/>
      <c r="GS4" s="154"/>
      <c r="GT4" s="154"/>
      <c r="GU4" s="154"/>
      <c r="GV4" s="154"/>
      <c r="GW4" s="154"/>
      <c r="GX4" s="154"/>
      <c r="GY4" s="154"/>
      <c r="GZ4" s="154"/>
      <c r="HA4" s="154"/>
      <c r="HB4" s="154"/>
      <c r="HC4" s="154"/>
      <c r="HD4" s="156"/>
      <c r="HE4" s="307"/>
      <c r="HF4" s="154"/>
      <c r="HG4" s="154"/>
      <c r="HH4" s="154"/>
      <c r="HI4" s="154"/>
      <c r="HJ4" s="154"/>
      <c r="HK4" s="154"/>
      <c r="HL4" s="154"/>
      <c r="HM4" s="154"/>
      <c r="HN4" s="154"/>
      <c r="HO4" s="154"/>
      <c r="HP4" s="154"/>
      <c r="HQ4" s="154"/>
      <c r="HR4" s="154"/>
      <c r="HS4" s="154"/>
      <c r="HT4" s="154"/>
      <c r="HU4" s="154"/>
      <c r="HV4" s="154"/>
      <c r="HW4" s="154"/>
      <c r="HX4" s="154"/>
    </row>
    <row r="5" spans="1:241" s="303" customFormat="1" ht="12.95" customHeight="1" thickTop="1" x14ac:dyDescent="0.25">
      <c r="A5" s="2033"/>
      <c r="B5" s="2280"/>
      <c r="C5" s="2280"/>
      <c r="D5" s="2280"/>
      <c r="E5" s="2280"/>
      <c r="F5" s="2280"/>
      <c r="G5" s="2280"/>
      <c r="H5" s="2280"/>
      <c r="I5" s="2280"/>
      <c r="J5" s="2280"/>
      <c r="K5" s="2280"/>
      <c r="L5" s="2280"/>
      <c r="M5" s="2280"/>
      <c r="N5" s="298"/>
      <c r="O5" s="298"/>
      <c r="P5" s="298"/>
      <c r="Q5" s="298"/>
      <c r="R5" s="298"/>
      <c r="S5" s="298"/>
      <c r="T5" s="298"/>
      <c r="U5" s="298"/>
      <c r="V5" s="298"/>
      <c r="W5" s="298"/>
      <c r="X5" s="298"/>
      <c r="Y5" s="298"/>
      <c r="Z5" s="298"/>
      <c r="AA5" s="298"/>
      <c r="AI5" s="302"/>
      <c r="BA5" s="166"/>
      <c r="BB5" s="152"/>
      <c r="BC5" s="152"/>
      <c r="BD5" s="152"/>
      <c r="BE5" s="152"/>
      <c r="BF5" s="152"/>
      <c r="BG5" s="152"/>
      <c r="BH5" s="152"/>
      <c r="BI5" s="152"/>
      <c r="BJ5" s="152"/>
      <c r="BK5" s="152"/>
      <c r="BL5" s="152"/>
      <c r="BM5" s="165"/>
      <c r="BN5" s="152"/>
      <c r="BO5" s="152"/>
      <c r="BP5" s="152"/>
      <c r="BQ5" s="152"/>
      <c r="BR5" s="152"/>
      <c r="BS5" s="152"/>
      <c r="BT5" s="152"/>
      <c r="BU5" s="152"/>
      <c r="BV5" s="152"/>
      <c r="BW5" s="152"/>
      <c r="BX5" s="152"/>
      <c r="BY5" s="152"/>
      <c r="BZ5" s="152"/>
      <c r="CA5" s="152"/>
      <c r="CB5" s="152"/>
      <c r="CC5" s="110"/>
      <c r="CD5" s="152"/>
      <c r="CE5" s="152"/>
      <c r="CF5" s="151"/>
      <c r="CG5" s="151"/>
      <c r="CH5" s="151"/>
      <c r="CI5" s="151"/>
      <c r="CJ5" s="153"/>
      <c r="CK5" s="153"/>
      <c r="CL5" s="153"/>
      <c r="CM5" s="153"/>
      <c r="CN5" s="153"/>
      <c r="CO5" s="153"/>
      <c r="CP5" s="151"/>
      <c r="CQ5" s="151"/>
      <c r="CR5" s="298"/>
      <c r="CS5" s="298"/>
      <c r="CU5" s="521" t="s">
        <v>65</v>
      </c>
      <c r="CV5" s="1548" t="e">
        <f>#REF!</f>
        <v>#REF!</v>
      </c>
      <c r="CW5" s="1549" t="e">
        <f>#REF!</f>
        <v>#REF!</v>
      </c>
      <c r="CX5" s="1549" t="e">
        <f>#REF!</f>
        <v>#REF!</v>
      </c>
      <c r="CY5" s="1549" t="e">
        <f>#REF!</f>
        <v>#REF!</v>
      </c>
      <c r="CZ5" s="1549" t="e">
        <f>#REF!</f>
        <v>#REF!</v>
      </c>
      <c r="DA5" s="1550" t="e">
        <f>#REF!</f>
        <v>#REF!</v>
      </c>
      <c r="DB5" s="1549" t="e">
        <f>#REF!</f>
        <v>#REF!</v>
      </c>
      <c r="DC5" s="1551" t="e">
        <f>#REF!</f>
        <v>#REF!</v>
      </c>
      <c r="DE5" s="155"/>
      <c r="DF5" s="448" t="s">
        <v>697</v>
      </c>
      <c r="DG5" s="1537" t="e">
        <f>#REF!/2</f>
        <v>#REF!</v>
      </c>
      <c r="DH5" s="1539" t="e">
        <f>#REF!</f>
        <v>#REF!</v>
      </c>
      <c r="DI5" s="1539" t="e">
        <f>#REF!</f>
        <v>#REF!</v>
      </c>
      <c r="DJ5" s="1539" t="e">
        <f>#REF!</f>
        <v>#REF!</v>
      </c>
      <c r="DK5" s="1539" t="e">
        <f>#REF!</f>
        <v>#REF!</v>
      </c>
      <c r="DL5" s="1540" t="e">
        <f>#REF!</f>
        <v>#REF!</v>
      </c>
      <c r="DM5" s="1539" t="e">
        <f>#REF!</f>
        <v>#REF!</v>
      </c>
      <c r="DN5" s="1542" t="e">
        <f>#REF!</f>
        <v>#REF!</v>
      </c>
      <c r="DO5" s="155"/>
      <c r="DP5" s="155"/>
      <c r="DQ5" s="155"/>
      <c r="DR5" s="155"/>
      <c r="DS5" s="155"/>
      <c r="DT5" s="155"/>
      <c r="DU5" s="155"/>
      <c r="DV5" s="155"/>
      <c r="DW5" s="155"/>
      <c r="DX5" s="155"/>
      <c r="DY5" s="155"/>
      <c r="DZ5" s="155"/>
      <c r="EA5" s="155"/>
      <c r="EB5" s="155"/>
      <c r="EC5" s="155"/>
      <c r="ED5" s="155"/>
      <c r="EE5" s="155"/>
      <c r="EF5" s="155"/>
      <c r="EG5" s="155"/>
      <c r="EH5" s="155"/>
      <c r="EI5" s="155"/>
      <c r="EJ5" s="155"/>
      <c r="EK5" s="155"/>
      <c r="EL5" s="155"/>
      <c r="EM5" s="155"/>
      <c r="EN5" s="155"/>
      <c r="EO5" s="155"/>
      <c r="EP5" s="155"/>
      <c r="EQ5" s="155"/>
      <c r="ER5" s="155"/>
      <c r="ES5" s="155"/>
      <c r="ET5" s="155"/>
      <c r="EU5" s="155"/>
      <c r="EV5" s="155"/>
      <c r="EW5" s="155"/>
      <c r="EX5" s="162"/>
      <c r="EY5" s="162"/>
      <c r="EZ5" s="162"/>
      <c r="FA5" s="162"/>
      <c r="FB5" s="155"/>
      <c r="FC5" s="155"/>
      <c r="FD5" s="155"/>
      <c r="FE5" s="155"/>
      <c r="FF5" s="155"/>
      <c r="FG5" s="155"/>
      <c r="FH5" s="155"/>
      <c r="FI5" s="155"/>
      <c r="FJ5" s="154"/>
      <c r="FK5" s="154"/>
      <c r="FL5" s="154"/>
      <c r="FM5" s="154"/>
      <c r="FN5" s="154"/>
      <c r="FO5" s="154"/>
      <c r="FP5" s="154"/>
      <c r="FQ5" s="154"/>
      <c r="FR5" s="154"/>
      <c r="FS5" s="154"/>
      <c r="FT5" s="154"/>
      <c r="FU5" s="154"/>
      <c r="FV5" s="154"/>
      <c r="FW5" s="154"/>
      <c r="FX5" s="154"/>
      <c r="FY5" s="154"/>
      <c r="FZ5" s="154"/>
      <c r="GA5" s="322"/>
      <c r="GB5" s="322"/>
      <c r="GC5" s="322"/>
      <c r="GD5" s="322"/>
      <c r="GE5" s="322"/>
      <c r="GF5" s="322"/>
      <c r="GG5" s="322"/>
      <c r="GH5" s="322"/>
      <c r="GI5" s="322"/>
      <c r="GJ5" s="322"/>
      <c r="GK5" s="154"/>
      <c r="GL5" s="154"/>
      <c r="GM5" s="154"/>
      <c r="GN5" s="154"/>
      <c r="GO5" s="154"/>
      <c r="GP5" s="154"/>
      <c r="GQ5" s="154"/>
      <c r="GR5" s="154"/>
      <c r="GS5" s="154"/>
      <c r="GT5" s="154"/>
      <c r="GU5" s="154"/>
      <c r="GV5" s="154"/>
      <c r="GW5" s="154"/>
      <c r="GX5" s="154"/>
      <c r="GY5" s="154"/>
      <c r="GZ5" s="154"/>
      <c r="HA5" s="154"/>
      <c r="HB5" s="154"/>
      <c r="HC5" s="154"/>
      <c r="HD5" s="156"/>
      <c r="HE5" s="307"/>
      <c r="HF5" s="154"/>
      <c r="HG5" s="154"/>
      <c r="HH5" s="154"/>
      <c r="HI5" s="154"/>
      <c r="HJ5" s="154"/>
      <c r="HK5" s="154"/>
      <c r="HL5" s="154"/>
      <c r="HM5" s="154"/>
      <c r="HN5" s="154"/>
      <c r="HO5" s="154"/>
      <c r="HP5" s="154"/>
      <c r="HQ5" s="154"/>
      <c r="HR5" s="154"/>
      <c r="HS5" s="154"/>
      <c r="HT5" s="154"/>
      <c r="HU5" s="154"/>
      <c r="HV5" s="154"/>
      <c r="HW5" s="154"/>
      <c r="HX5" s="154"/>
    </row>
    <row r="6" spans="1:241" s="303" customFormat="1" ht="12.95" customHeight="1" thickBot="1" x14ac:dyDescent="0.3">
      <c r="A6" s="298"/>
      <c r="B6" s="298"/>
      <c r="C6" s="298"/>
      <c r="D6" s="298"/>
      <c r="E6" s="298"/>
      <c r="F6" s="298"/>
      <c r="G6" s="298"/>
      <c r="H6" s="298"/>
      <c r="I6" s="298"/>
      <c r="J6" s="298"/>
      <c r="K6" s="298"/>
      <c r="L6" s="298"/>
      <c r="M6" s="2044" t="str">
        <f>IF(NOT(ISERROR(FIND("galv",LOWER($M$7)))),"**USE STEEL TAGS**  **NO A490 BOLTS**","")</f>
        <v/>
      </c>
      <c r="N6" s="1885"/>
      <c r="O6" s="1885"/>
      <c r="P6" s="1885"/>
      <c r="Q6" s="1885"/>
      <c r="R6" s="1885"/>
      <c r="S6" s="1885"/>
      <c r="T6" s="1885"/>
      <c r="U6" s="1005"/>
      <c r="V6" s="298"/>
      <c r="W6" s="298"/>
      <c r="X6" s="1680" t="s">
        <v>20</v>
      </c>
      <c r="Y6" s="1702"/>
      <c r="Z6" s="1702"/>
      <c r="AA6" s="320"/>
      <c r="AB6" s="300"/>
      <c r="AC6" s="995" t="s">
        <v>705</v>
      </c>
      <c r="AI6" s="302"/>
      <c r="AZ6" s="304"/>
      <c r="BA6" s="166"/>
      <c r="BB6" s="152"/>
      <c r="BC6" s="152"/>
      <c r="BD6" s="152"/>
      <c r="BE6" s="152"/>
      <c r="BF6" s="152"/>
      <c r="BG6" s="152"/>
      <c r="BH6" s="152"/>
      <c r="BI6" s="152"/>
      <c r="BJ6" s="152"/>
      <c r="BK6" s="152"/>
      <c r="BL6" s="152"/>
      <c r="BM6" s="152"/>
      <c r="BN6" s="152"/>
      <c r="BO6" s="152"/>
      <c r="BP6" s="152"/>
      <c r="BQ6" s="152"/>
      <c r="BR6" s="152"/>
      <c r="BS6" s="152"/>
      <c r="BT6" s="152"/>
      <c r="BU6" s="152"/>
      <c r="BV6" s="152"/>
      <c r="BW6" s="152"/>
      <c r="BX6" s="152"/>
      <c r="BY6" s="152"/>
      <c r="BZ6" s="152"/>
      <c r="CA6" s="152"/>
      <c r="CB6" s="319" t="s">
        <v>348</v>
      </c>
      <c r="CC6" s="2310"/>
      <c r="CD6" s="2132"/>
      <c r="CE6" s="2132"/>
      <c r="CF6" s="2132"/>
      <c r="CG6" s="151"/>
      <c r="CH6" s="151"/>
      <c r="CI6" s="151"/>
      <c r="CJ6" s="490"/>
      <c r="CK6" s="490"/>
      <c r="CL6" s="490"/>
      <c r="CM6" s="490"/>
      <c r="CN6" s="490"/>
      <c r="CO6" s="490"/>
      <c r="CP6" s="151"/>
      <c r="CQ6" s="151"/>
      <c r="CR6" s="298"/>
      <c r="CS6" s="151"/>
      <c r="CU6" s="522" t="s">
        <v>148</v>
      </c>
      <c r="CV6" s="1552" t="e">
        <f>#REF!</f>
        <v>#REF!</v>
      </c>
      <c r="CW6" s="1553" t="e">
        <f>#REF!</f>
        <v>#REF!</v>
      </c>
      <c r="CX6" s="1553" t="e">
        <f>#REF!</f>
        <v>#REF!</v>
      </c>
      <c r="CY6" s="1553" t="e">
        <f>#REF!</f>
        <v>#REF!</v>
      </c>
      <c r="CZ6" s="1553" t="e">
        <f>#REF!</f>
        <v>#REF!</v>
      </c>
      <c r="DA6" s="1554" t="e">
        <f>#REF!</f>
        <v>#REF!</v>
      </c>
      <c r="DB6" s="1553" t="e">
        <f>#REF!</f>
        <v>#REF!</v>
      </c>
      <c r="DC6" s="1555" t="e">
        <f>#REF!</f>
        <v>#REF!</v>
      </c>
      <c r="DD6" s="155"/>
      <c r="DE6" s="155"/>
      <c r="DF6" s="448" t="s">
        <v>65</v>
      </c>
      <c r="DG6" s="1537" t="e">
        <f>#REF!/2</f>
        <v>#REF!</v>
      </c>
      <c r="DH6" s="1539" t="e">
        <f>#REF!</f>
        <v>#REF!</v>
      </c>
      <c r="DI6" s="1539" t="e">
        <f>#REF!</f>
        <v>#REF!</v>
      </c>
      <c r="DJ6" s="1539" t="e">
        <f>#REF!</f>
        <v>#REF!</v>
      </c>
      <c r="DK6" s="1539" t="e">
        <f>#REF!</f>
        <v>#REF!</v>
      </c>
      <c r="DL6" s="1540" t="e">
        <f>#REF!</f>
        <v>#REF!</v>
      </c>
      <c r="DM6" s="1539" t="e">
        <f>#REF!</f>
        <v>#REF!</v>
      </c>
      <c r="DN6" s="1542" t="e">
        <f>#REF!</f>
        <v>#REF!</v>
      </c>
      <c r="DO6" s="155"/>
      <c r="DP6" s="155"/>
      <c r="DQ6" s="155"/>
      <c r="DR6" s="155"/>
      <c r="DS6" s="155"/>
      <c r="DT6" s="155"/>
      <c r="DU6" s="155"/>
      <c r="DV6" s="155"/>
      <c r="DW6" s="155"/>
      <c r="DX6" s="155"/>
      <c r="DY6" s="155"/>
      <c r="DZ6" s="155"/>
      <c r="EA6" s="155"/>
      <c r="EB6" s="155"/>
      <c r="EC6" s="155"/>
      <c r="ED6" s="155"/>
      <c r="EE6" s="155"/>
      <c r="EF6" s="155"/>
      <c r="EG6" s="155"/>
      <c r="EH6" s="155"/>
      <c r="EI6" s="155"/>
      <c r="EJ6" s="155"/>
      <c r="EK6" s="155"/>
      <c r="EL6" s="155"/>
      <c r="EM6" s="155"/>
      <c r="EN6" s="155"/>
      <c r="EO6" s="155"/>
      <c r="EP6" s="155"/>
      <c r="EQ6" s="155"/>
      <c r="ER6" s="155"/>
      <c r="ES6" s="155"/>
      <c r="ET6" s="155"/>
      <c r="EU6" s="155"/>
      <c r="EV6" s="155"/>
      <c r="EW6" s="155"/>
      <c r="EX6" s="570"/>
      <c r="EY6" s="162"/>
      <c r="EZ6" s="162"/>
      <c r="FA6" s="162"/>
      <c r="FB6" s="155"/>
      <c r="FC6" s="155"/>
      <c r="FD6" s="155"/>
      <c r="FE6" s="155"/>
      <c r="FF6" s="155"/>
      <c r="FG6" s="155"/>
      <c r="FH6" s="155"/>
      <c r="FI6" s="155"/>
      <c r="FJ6" s="154"/>
      <c r="FK6" s="154"/>
      <c r="FL6" s="154"/>
      <c r="FM6" s="154"/>
      <c r="FN6" s="154"/>
      <c r="FO6" s="154"/>
      <c r="FP6" s="154"/>
      <c r="FQ6" s="154"/>
      <c r="FR6" s="154"/>
      <c r="FS6" s="154"/>
      <c r="FT6" s="154"/>
      <c r="FU6" s="154"/>
      <c r="FV6" s="154"/>
      <c r="FW6" s="154"/>
      <c r="FX6" s="154"/>
      <c r="FY6" s="154"/>
      <c r="FZ6" s="154"/>
      <c r="GA6" s="322"/>
      <c r="GB6" s="322"/>
      <c r="GC6" s="322"/>
      <c r="GD6" s="322"/>
      <c r="GE6" s="322"/>
      <c r="GF6" s="322"/>
      <c r="GG6" s="322"/>
      <c r="GH6" s="322"/>
      <c r="GI6" s="322"/>
      <c r="GJ6" s="322"/>
      <c r="GK6" s="154"/>
      <c r="GL6" s="154"/>
      <c r="GM6" s="154"/>
      <c r="GN6" s="154"/>
      <c r="GO6" s="154"/>
      <c r="GP6" s="154"/>
      <c r="GQ6" s="154"/>
      <c r="GR6" s="154"/>
      <c r="GS6" s="154"/>
      <c r="GT6" s="154"/>
      <c r="GU6" s="154"/>
      <c r="GV6" s="154"/>
      <c r="GW6" s="154"/>
      <c r="GX6" s="154"/>
      <c r="GY6" s="154"/>
      <c r="GZ6" s="154"/>
      <c r="HA6" s="154"/>
      <c r="HB6" s="154"/>
      <c r="HC6" s="154"/>
      <c r="HD6" s="156"/>
      <c r="HE6" s="307"/>
      <c r="HF6" s="154"/>
      <c r="HG6" s="154"/>
      <c r="HH6" s="154"/>
      <c r="HI6" s="154"/>
      <c r="HJ6" s="154"/>
      <c r="HK6" s="154"/>
      <c r="HL6" s="154"/>
      <c r="HM6" s="154"/>
      <c r="HN6" s="154"/>
      <c r="HO6" s="154"/>
      <c r="HP6" s="154"/>
      <c r="HQ6" s="154"/>
      <c r="HR6" s="154"/>
      <c r="HS6" s="154"/>
      <c r="HT6" s="154"/>
      <c r="HU6" s="154"/>
      <c r="HV6" s="154"/>
      <c r="HW6" s="154"/>
      <c r="HX6" s="154"/>
    </row>
    <row r="7" spans="1:241" ht="12.95" customHeight="1" x14ac:dyDescent="0.25">
      <c r="A7" s="321" t="s">
        <v>0</v>
      </c>
      <c r="B7" s="322"/>
      <c r="C7" s="322"/>
      <c r="D7" s="322"/>
      <c r="E7" s="322"/>
      <c r="F7" s="322"/>
      <c r="G7" s="322"/>
      <c r="H7" s="322"/>
      <c r="I7" s="322"/>
      <c r="J7" s="322"/>
      <c r="K7" s="298"/>
      <c r="L7" s="1680" t="s">
        <v>26</v>
      </c>
      <c r="M7" s="2263" t="str">
        <f>IF(ISBLANK(CC6),"",CC6)</f>
        <v/>
      </c>
      <c r="N7" s="1885"/>
      <c r="O7" s="1885"/>
      <c r="P7" s="1885"/>
      <c r="Q7" s="1885"/>
      <c r="R7" s="1885"/>
      <c r="S7" s="1885"/>
      <c r="T7" s="1682"/>
      <c r="U7" s="1005"/>
      <c r="V7" s="298"/>
      <c r="W7" s="298"/>
      <c r="X7" s="1679" t="s">
        <v>21</v>
      </c>
      <c r="Y7" s="1107"/>
      <c r="Z7" s="601"/>
      <c r="AA7" s="298"/>
      <c r="AB7" s="303"/>
      <c r="AC7" s="996"/>
      <c r="AL7" s="303"/>
      <c r="AM7" s="303"/>
      <c r="AN7" s="303"/>
      <c r="AO7" s="303"/>
      <c r="AP7" s="303"/>
      <c r="AQ7" s="303"/>
      <c r="AR7" s="303"/>
      <c r="BA7" s="166"/>
      <c r="BB7" s="152"/>
      <c r="BC7" s="152"/>
      <c r="BD7" s="152"/>
      <c r="BE7" s="152"/>
      <c r="BF7" s="152"/>
      <c r="BG7" s="152"/>
      <c r="BH7" s="152"/>
      <c r="BI7" s="152"/>
      <c r="BJ7" s="152"/>
      <c r="BK7" s="152"/>
      <c r="BL7" s="152"/>
      <c r="BM7" s="152"/>
      <c r="BN7" s="152"/>
      <c r="BO7" s="152"/>
      <c r="BP7" s="152"/>
      <c r="BQ7" s="152"/>
      <c r="BR7" s="152"/>
      <c r="BS7" s="152"/>
      <c r="BT7" s="152"/>
      <c r="BU7" s="152"/>
      <c r="BV7" s="152"/>
      <c r="BW7" s="152"/>
      <c r="BX7" s="152"/>
      <c r="BY7" s="152"/>
      <c r="BZ7" s="152"/>
      <c r="CA7" s="152"/>
      <c r="CB7" s="323" t="s">
        <v>327</v>
      </c>
      <c r="CC7" s="721"/>
      <c r="CD7" s="316"/>
      <c r="CE7" s="152"/>
      <c r="CF7" s="151"/>
      <c r="CG7" s="151"/>
      <c r="CH7" s="151"/>
      <c r="CI7" s="151"/>
      <c r="CJ7" s="151"/>
      <c r="CK7" s="151"/>
      <c r="CL7" s="151"/>
      <c r="CM7" s="151"/>
      <c r="CN7" s="151"/>
      <c r="CO7" s="151"/>
      <c r="CP7" s="151"/>
      <c r="CQ7" s="151"/>
      <c r="CR7" s="151"/>
      <c r="CS7" s="151"/>
      <c r="CT7" s="155"/>
      <c r="CU7" s="155"/>
      <c r="CV7" s="155"/>
      <c r="CW7" s="155"/>
      <c r="CX7" s="155"/>
      <c r="CY7" s="155"/>
      <c r="CZ7" s="155"/>
      <c r="DA7" s="155"/>
      <c r="DB7" s="155"/>
      <c r="DC7" s="155"/>
      <c r="DD7" s="155"/>
      <c r="DE7" s="155"/>
      <c r="DF7" s="448" t="s">
        <v>88</v>
      </c>
      <c r="DG7" s="1537" t="e">
        <f>#REF!/2</f>
        <v>#REF!</v>
      </c>
      <c r="DH7" s="1539" t="e">
        <f>#REF!</f>
        <v>#REF!</v>
      </c>
      <c r="DI7" s="1539" t="e">
        <f>#REF!</f>
        <v>#REF!</v>
      </c>
      <c r="DJ7" s="1539" t="e">
        <f>#REF!</f>
        <v>#REF!</v>
      </c>
      <c r="DK7" s="1539" t="e">
        <f>#REF!</f>
        <v>#REF!</v>
      </c>
      <c r="DL7" s="1540" t="e">
        <f>#REF!</f>
        <v>#REF!</v>
      </c>
      <c r="DM7" s="1539" t="e">
        <f>#REF!</f>
        <v>#REF!</v>
      </c>
      <c r="DN7" s="1542" t="e">
        <f>#REF!</f>
        <v>#REF!</v>
      </c>
      <c r="DO7" s="155"/>
      <c r="DP7" s="155"/>
      <c r="DQ7" s="155"/>
      <c r="DR7" s="155"/>
      <c r="DS7" s="155"/>
      <c r="DT7" s="155"/>
      <c r="DU7" s="155"/>
      <c r="DV7" s="155"/>
      <c r="DW7" s="155"/>
      <c r="DX7" s="155"/>
      <c r="DY7" s="155"/>
      <c r="DZ7" s="155"/>
      <c r="EA7" s="155"/>
      <c r="EB7" s="155"/>
      <c r="EC7" s="155"/>
      <c r="ED7" s="155"/>
      <c r="EE7" s="155"/>
      <c r="EF7" s="155"/>
      <c r="EG7" s="155"/>
      <c r="EH7" s="155"/>
      <c r="EI7" s="155"/>
      <c r="EJ7" s="155"/>
      <c r="EK7" s="155"/>
      <c r="EL7" s="155"/>
      <c r="EM7" s="155"/>
      <c r="EN7" s="155"/>
      <c r="EO7" s="155"/>
      <c r="EP7" s="155"/>
      <c r="EQ7" s="155"/>
      <c r="ER7" s="155"/>
      <c r="ES7" s="155"/>
      <c r="ET7" s="155"/>
      <c r="EU7" s="155"/>
      <c r="EV7" s="155"/>
      <c r="EW7" s="155"/>
      <c r="EX7" s="162"/>
      <c r="EY7" s="162"/>
      <c r="EZ7" s="162"/>
      <c r="FA7" s="162"/>
      <c r="FB7" s="155"/>
      <c r="FC7" s="155"/>
      <c r="FD7" s="155"/>
      <c r="FE7" s="155"/>
      <c r="FF7" s="155"/>
      <c r="FG7" s="155"/>
      <c r="FH7" s="155"/>
      <c r="FI7" s="155"/>
      <c r="GA7" s="322"/>
      <c r="GB7" s="322"/>
      <c r="GC7" s="322"/>
      <c r="GD7" s="322"/>
      <c r="GE7" s="322"/>
      <c r="GF7" s="322"/>
      <c r="GG7" s="322"/>
      <c r="GH7" s="322"/>
      <c r="GI7" s="322"/>
      <c r="GJ7" s="322"/>
    </row>
    <row r="8" spans="1:241" ht="2.85" customHeight="1" x14ac:dyDescent="0.25">
      <c r="A8" s="322"/>
      <c r="B8" s="322"/>
      <c r="C8" s="322"/>
      <c r="D8" s="322"/>
      <c r="E8" s="322"/>
      <c r="F8" s="322"/>
      <c r="G8" s="322"/>
      <c r="H8" s="322"/>
      <c r="I8" s="322"/>
      <c r="J8" s="322"/>
      <c r="K8" s="322"/>
      <c r="L8" s="322"/>
      <c r="M8" s="322"/>
      <c r="N8" s="322"/>
      <c r="O8" s="298"/>
      <c r="P8" s="298"/>
      <c r="Q8" s="322"/>
      <c r="R8" s="298"/>
      <c r="S8" s="298"/>
      <c r="T8" s="322"/>
      <c r="U8" s="298"/>
      <c r="V8" s="298"/>
      <c r="W8" s="298"/>
      <c r="X8" s="298"/>
      <c r="Y8" s="298"/>
      <c r="Z8" s="298"/>
      <c r="AA8" s="298"/>
      <c r="AB8" s="303"/>
      <c r="AL8" s="303"/>
      <c r="AM8" s="303"/>
      <c r="AN8" s="303"/>
      <c r="AO8" s="303"/>
      <c r="AP8" s="303"/>
      <c r="AQ8" s="303"/>
      <c r="AR8" s="303"/>
      <c r="BA8" s="166"/>
      <c r="BB8" s="152"/>
      <c r="BC8" s="152"/>
      <c r="BD8" s="152"/>
      <c r="BE8" s="152"/>
      <c r="BF8" s="152"/>
      <c r="BG8" s="152"/>
      <c r="BH8" s="152"/>
      <c r="BI8" s="152"/>
      <c r="BJ8" s="152"/>
      <c r="BK8" s="152"/>
      <c r="BL8" s="152"/>
      <c r="BM8" s="152"/>
      <c r="BN8" s="152"/>
      <c r="BO8" s="152"/>
      <c r="BP8" s="152"/>
      <c r="BQ8" s="152"/>
      <c r="BR8" s="152"/>
      <c r="BS8" s="152"/>
      <c r="BT8" s="152"/>
      <c r="BU8" s="152"/>
      <c r="BV8" s="152"/>
      <c r="BW8" s="152"/>
      <c r="BX8" s="152"/>
      <c r="BY8" s="152"/>
      <c r="BZ8" s="152"/>
      <c r="CA8" s="152"/>
      <c r="CB8" s="152"/>
      <c r="CC8" s="152"/>
      <c r="CD8" s="152"/>
      <c r="CE8" s="152"/>
      <c r="CF8" s="151"/>
      <c r="CG8" s="151"/>
      <c r="CH8" s="151"/>
      <c r="CI8" s="151"/>
      <c r="CJ8" s="151"/>
      <c r="CK8" s="151"/>
      <c r="CL8" s="151"/>
      <c r="CM8" s="151"/>
      <c r="CN8" s="151"/>
      <c r="CO8" s="151"/>
      <c r="CP8" s="151"/>
      <c r="CQ8" s="151"/>
      <c r="CR8" s="151"/>
      <c r="CS8" s="151"/>
      <c r="CT8" s="155"/>
      <c r="CU8" s="155"/>
      <c r="CV8" s="155"/>
      <c r="CW8" s="155"/>
      <c r="CX8" s="155"/>
      <c r="CY8" s="155"/>
      <c r="CZ8" s="155"/>
      <c r="DA8" s="155"/>
      <c r="DB8" s="155"/>
      <c r="DC8" s="155"/>
      <c r="DD8" s="155"/>
      <c r="DE8" s="155"/>
      <c r="DF8" s="448" t="s">
        <v>148</v>
      </c>
      <c r="DG8" s="1537" t="e">
        <f>#REF!/2</f>
        <v>#REF!</v>
      </c>
      <c r="DH8" s="1539" t="e">
        <f>#REF!</f>
        <v>#REF!</v>
      </c>
      <c r="DI8" s="1539" t="e">
        <f>#REF!</f>
        <v>#REF!</v>
      </c>
      <c r="DJ8" s="1539" t="e">
        <f>#REF!</f>
        <v>#REF!</v>
      </c>
      <c r="DK8" s="1539" t="e">
        <f>#REF!</f>
        <v>#REF!</v>
      </c>
      <c r="DL8" s="1540" t="e">
        <f>#REF!</f>
        <v>#REF!</v>
      </c>
      <c r="DM8" s="1539" t="e">
        <f>#REF!</f>
        <v>#REF!</v>
      </c>
      <c r="DN8" s="1542" t="e">
        <f>#REF!</f>
        <v>#REF!</v>
      </c>
      <c r="DO8" s="155"/>
      <c r="DP8" s="155"/>
      <c r="DQ8" s="155"/>
      <c r="DR8" s="155"/>
      <c r="DS8" s="155"/>
      <c r="DT8" s="155"/>
      <c r="DU8" s="155"/>
      <c r="DV8" s="155"/>
      <c r="DW8" s="155"/>
      <c r="DX8" s="155"/>
      <c r="DY8" s="155"/>
      <c r="DZ8" s="155"/>
      <c r="EA8" s="155"/>
      <c r="EB8" s="155"/>
      <c r="EC8" s="155"/>
      <c r="ED8" s="155"/>
      <c r="EE8" s="155"/>
      <c r="EF8" s="155"/>
      <c r="EG8" s="155"/>
      <c r="EH8" s="155"/>
      <c r="EI8" s="155"/>
      <c r="EJ8" s="155"/>
      <c r="EK8" s="155"/>
      <c r="EL8" s="155"/>
      <c r="EM8" s="155"/>
      <c r="EN8" s="155"/>
      <c r="EO8" s="155"/>
      <c r="EP8" s="155"/>
      <c r="EQ8" s="155"/>
      <c r="ER8" s="155"/>
      <c r="ES8" s="155"/>
      <c r="ET8" s="155"/>
      <c r="EU8" s="155"/>
      <c r="EV8" s="155"/>
      <c r="EW8" s="155"/>
      <c r="EX8" s="162"/>
      <c r="EY8" s="162"/>
      <c r="EZ8" s="162"/>
      <c r="FA8" s="162"/>
      <c r="FB8" s="155"/>
      <c r="FC8" s="155"/>
      <c r="FD8" s="155"/>
      <c r="FE8" s="155"/>
      <c r="FF8" s="155"/>
      <c r="FG8" s="155"/>
      <c r="FH8" s="155"/>
      <c r="FI8" s="155"/>
      <c r="GA8" s="322"/>
      <c r="GB8" s="322"/>
      <c r="GC8" s="322"/>
      <c r="GD8" s="322"/>
      <c r="GE8" s="322"/>
      <c r="GF8" s="322"/>
      <c r="GG8" s="322"/>
      <c r="GH8" s="322"/>
      <c r="GI8" s="322"/>
      <c r="GJ8" s="322"/>
    </row>
    <row r="9" spans="1:241" ht="12.2" customHeight="1" thickBot="1" x14ac:dyDescent="0.3">
      <c r="A9" s="325"/>
      <c r="B9" s="1672" t="s">
        <v>1</v>
      </c>
      <c r="C9" s="1699"/>
      <c r="D9" s="1699"/>
      <c r="E9" s="1699"/>
      <c r="F9" s="1699"/>
      <c r="G9" s="1699"/>
      <c r="H9" s="1699"/>
      <c r="I9" s="1699"/>
      <c r="J9" s="1699"/>
      <c r="K9" s="1699"/>
      <c r="L9" s="1699"/>
      <c r="M9" s="1699"/>
      <c r="N9" s="1699"/>
      <c r="O9" s="1700"/>
      <c r="P9" s="326"/>
      <c r="Q9" s="327"/>
      <c r="R9" s="1672" t="s">
        <v>2</v>
      </c>
      <c r="S9" s="1700"/>
      <c r="T9" s="2034"/>
      <c r="U9" s="2034"/>
      <c r="V9" s="2034"/>
      <c r="W9" s="2034"/>
      <c r="X9" s="2034"/>
      <c r="Y9" s="2034"/>
      <c r="Z9" s="2034"/>
      <c r="AA9" s="2034"/>
      <c r="AB9" s="328"/>
      <c r="AL9" s="303"/>
      <c r="AM9" s="303"/>
      <c r="AN9" s="303"/>
      <c r="AO9" s="303"/>
      <c r="AP9" s="303"/>
      <c r="AQ9" s="303"/>
      <c r="AR9" s="303"/>
      <c r="BA9" s="166"/>
      <c r="BB9" s="329"/>
      <c r="BC9" s="152"/>
      <c r="BD9" s="152"/>
      <c r="BE9" s="881">
        <v>4.5</v>
      </c>
      <c r="BF9" s="881">
        <v>5.5</v>
      </c>
      <c r="BG9" s="882">
        <v>5</v>
      </c>
      <c r="BH9" s="882">
        <v>5</v>
      </c>
      <c r="BI9" s="882">
        <v>5</v>
      </c>
      <c r="BJ9" s="882">
        <v>3</v>
      </c>
      <c r="BK9" s="882">
        <v>5</v>
      </c>
      <c r="BL9" s="882">
        <v>5</v>
      </c>
      <c r="BM9" s="882">
        <v>5</v>
      </c>
      <c r="BN9" s="882">
        <v>6</v>
      </c>
      <c r="BO9" s="882">
        <v>5</v>
      </c>
      <c r="BP9" s="882">
        <v>5</v>
      </c>
      <c r="BQ9" s="882">
        <v>5</v>
      </c>
      <c r="BR9" s="882">
        <v>3</v>
      </c>
      <c r="BS9" s="882">
        <v>5</v>
      </c>
      <c r="BT9" s="882">
        <v>5</v>
      </c>
      <c r="BU9" s="882">
        <v>5</v>
      </c>
      <c r="BV9" s="882">
        <v>6</v>
      </c>
      <c r="BW9" s="883"/>
      <c r="BX9" s="881">
        <v>24</v>
      </c>
      <c r="BY9" s="881">
        <v>24</v>
      </c>
      <c r="BZ9" s="152"/>
      <c r="CA9" s="152"/>
      <c r="CB9" s="152"/>
      <c r="CC9" s="152"/>
      <c r="CD9" s="152"/>
      <c r="CE9" s="152"/>
      <c r="CF9" s="151"/>
      <c r="CG9" s="151"/>
      <c r="CH9" s="151"/>
      <c r="CI9" s="151"/>
      <c r="CJ9" s="151"/>
      <c r="CK9" s="151"/>
      <c r="CL9" s="151"/>
      <c r="CM9" s="151"/>
      <c r="CN9" s="151"/>
      <c r="CO9" s="151"/>
      <c r="CP9" s="151"/>
      <c r="CQ9" s="151"/>
      <c r="CR9" s="151"/>
      <c r="CS9" s="151"/>
      <c r="CT9" s="155"/>
      <c r="CU9" s="155"/>
      <c r="CV9" s="155"/>
      <c r="CW9" s="155"/>
      <c r="CX9" s="155"/>
      <c r="CY9" s="155"/>
      <c r="CZ9" s="155"/>
      <c r="DA9" s="155"/>
      <c r="DB9" s="155"/>
      <c r="DC9" s="155"/>
      <c r="DD9" s="155"/>
      <c r="DE9" s="155"/>
      <c r="DF9" s="449" t="s">
        <v>149</v>
      </c>
      <c r="DG9" s="1556" t="e">
        <f>#REF!/2</f>
        <v>#REF!</v>
      </c>
      <c r="DH9" s="1557" t="e">
        <f>#REF!</f>
        <v>#REF!</v>
      </c>
      <c r="DI9" s="1557" t="e">
        <f>#REF!</f>
        <v>#REF!</v>
      </c>
      <c r="DJ9" s="1557" t="e">
        <f>#REF!</f>
        <v>#REF!</v>
      </c>
      <c r="DK9" s="1557" t="e">
        <f>#REF!</f>
        <v>#REF!</v>
      </c>
      <c r="DL9" s="1558" t="e">
        <f>#REF!</f>
        <v>#REF!</v>
      </c>
      <c r="DM9" s="1557" t="e">
        <f>#REF!</f>
        <v>#REF!</v>
      </c>
      <c r="DN9" s="1560" t="e">
        <f>#REF!</f>
        <v>#REF!</v>
      </c>
      <c r="DO9" s="155"/>
      <c r="DP9" s="155"/>
      <c r="DQ9" s="155"/>
      <c r="DR9" s="155"/>
      <c r="DS9" s="155"/>
      <c r="DT9" s="155"/>
      <c r="DU9" s="155"/>
      <c r="DV9" s="155"/>
      <c r="DW9" s="155"/>
      <c r="DX9" s="155"/>
      <c r="DY9" s="155"/>
      <c r="DZ9" s="155"/>
      <c r="EA9" s="155"/>
      <c r="EB9" s="155"/>
      <c r="EC9" s="155"/>
      <c r="ED9" s="155"/>
      <c r="EE9" s="155"/>
      <c r="EF9" s="155"/>
      <c r="EG9" s="155"/>
      <c r="EH9" s="155"/>
      <c r="EI9" s="155"/>
      <c r="EJ9" s="155"/>
      <c r="EK9" s="155"/>
      <c r="EL9" s="155"/>
      <c r="EM9" s="155"/>
      <c r="EN9" s="155"/>
      <c r="EO9" s="155"/>
      <c r="EP9" s="155"/>
      <c r="EQ9" s="155"/>
      <c r="ER9" s="155"/>
      <c r="ES9" s="155"/>
      <c r="ET9" s="155"/>
      <c r="EU9" s="155"/>
      <c r="EV9" s="155"/>
      <c r="EW9" s="155"/>
      <c r="EX9" s="162"/>
      <c r="EY9" s="162"/>
      <c r="EZ9" s="162"/>
      <c r="FA9" s="162"/>
      <c r="FB9" s="155"/>
      <c r="FC9" s="155"/>
      <c r="FD9" s="155"/>
      <c r="FE9" s="155"/>
      <c r="FF9" s="155"/>
      <c r="FG9" s="155"/>
      <c r="FH9" s="155"/>
      <c r="FI9" s="155"/>
      <c r="GA9" s="322"/>
      <c r="GB9" s="322"/>
      <c r="GC9" s="322"/>
      <c r="GD9" s="322"/>
      <c r="GE9" s="322"/>
      <c r="GF9" s="322"/>
      <c r="GG9" s="322"/>
      <c r="GH9" s="322"/>
      <c r="GI9" s="322"/>
      <c r="GJ9" s="322"/>
    </row>
    <row r="10" spans="1:241" ht="12.2" customHeight="1" thickBot="1" x14ac:dyDescent="0.25">
      <c r="A10" s="330"/>
      <c r="B10" s="392" t="s">
        <v>3</v>
      </c>
      <c r="C10" s="1699"/>
      <c r="D10" s="1699"/>
      <c r="E10" s="1699"/>
      <c r="F10" s="1699"/>
      <c r="G10" s="1699"/>
      <c r="H10" s="1699"/>
      <c r="I10" s="1699"/>
      <c r="J10" s="1699"/>
      <c r="K10" s="1699"/>
      <c r="L10" s="1699"/>
      <c r="M10" s="1699"/>
      <c r="N10" s="1699"/>
      <c r="O10" s="1700"/>
      <c r="P10" s="331"/>
      <c r="Q10" s="332"/>
      <c r="R10" s="392" t="s">
        <v>22</v>
      </c>
      <c r="S10" s="1699"/>
      <c r="T10" s="1699"/>
      <c r="U10" s="1699"/>
      <c r="V10" s="1699"/>
      <c r="W10" s="1700"/>
      <c r="X10" s="332"/>
      <c r="Y10" s="392" t="s">
        <v>23</v>
      </c>
      <c r="Z10" s="1700"/>
      <c r="AA10" s="2034"/>
      <c r="AB10" s="328"/>
      <c r="AL10" s="303"/>
      <c r="AM10" s="303"/>
      <c r="AN10" s="303"/>
      <c r="AO10" s="303"/>
      <c r="AP10" s="303"/>
      <c r="AQ10" s="303"/>
      <c r="AR10" s="303"/>
      <c r="BA10" s="166"/>
      <c r="BB10" s="1502">
        <f>J_A!BB17</f>
        <v>6</v>
      </c>
      <c r="BC10" s="1502">
        <f>J_A!BC17</f>
        <v>4</v>
      </c>
      <c r="BD10" s="1502">
        <f>J_A!BD17</f>
        <v>13</v>
      </c>
      <c r="BE10" s="1502">
        <f>J_A!BE17</f>
        <v>4</v>
      </c>
      <c r="BF10" s="1502">
        <f>J_A!BF17</f>
        <v>5</v>
      </c>
      <c r="BG10" s="1503">
        <f>J_A!BG17</f>
        <v>3</v>
      </c>
      <c r="BH10" s="1503">
        <f>J_A!BH17</f>
        <v>4.57</v>
      </c>
      <c r="BI10" s="1503">
        <f>J_A!BI17</f>
        <v>4.57</v>
      </c>
      <c r="BJ10" s="1503">
        <f>J_A!BJ17</f>
        <v>2.71</v>
      </c>
      <c r="BK10" s="1503">
        <f>J_A!BK17</f>
        <v>4.57</v>
      </c>
      <c r="BL10" s="1503">
        <f>J_A!BL17</f>
        <v>4.57</v>
      </c>
      <c r="BM10" s="1503">
        <f>J_A!BM17</f>
        <v>4</v>
      </c>
      <c r="BN10" s="1503">
        <f>J_A!BN17</f>
        <v>5</v>
      </c>
      <c r="BO10" s="1503">
        <f>J_A!BO17</f>
        <v>2.71</v>
      </c>
      <c r="BP10" s="1503">
        <f>J_A!BP17</f>
        <v>5.29</v>
      </c>
      <c r="BQ10" s="1503">
        <f>J_A!BQ17</f>
        <v>5.29</v>
      </c>
      <c r="BR10" s="1503">
        <f>J_A!BR17</f>
        <v>4</v>
      </c>
      <c r="BS10" s="1503">
        <f>J_A!BS17</f>
        <v>3</v>
      </c>
      <c r="BT10" s="1503">
        <f>J_A!BT17</f>
        <v>4.57</v>
      </c>
      <c r="BU10" s="1503">
        <f>J_A!BU17</f>
        <v>4.57</v>
      </c>
      <c r="BV10" s="1503">
        <f>J_A!BV17</f>
        <v>2.71</v>
      </c>
      <c r="BW10" s="1502">
        <f>J_A!BW17</f>
        <v>4.57</v>
      </c>
      <c r="BX10" s="1502">
        <f>J_A!BX17</f>
        <v>4.57</v>
      </c>
      <c r="BY10" s="1502">
        <f>J_A!BY17</f>
        <v>4</v>
      </c>
      <c r="BZ10" s="1502">
        <f>J_A!BZ17</f>
        <v>5</v>
      </c>
      <c r="CA10" s="1502">
        <f>J_A!CA17</f>
        <v>2.71</v>
      </c>
      <c r="CB10" s="1506">
        <f>J_A!CB17</f>
        <v>5.29</v>
      </c>
      <c r="CC10" s="1502">
        <f>J_A!CC17</f>
        <v>5.29</v>
      </c>
      <c r="CD10" s="1502">
        <f>J_A!CD17</f>
        <v>4</v>
      </c>
      <c r="CE10" s="1502">
        <f>J_A!CE17</f>
        <v>5</v>
      </c>
      <c r="CF10" s="1504">
        <f>J_A!CF17</f>
        <v>17.14</v>
      </c>
      <c r="CG10" s="1503">
        <f>J_A!CG17</f>
        <v>17.14</v>
      </c>
      <c r="CH10" s="151"/>
      <c r="CI10" s="151"/>
      <c r="CJ10" s="151"/>
      <c r="CK10" s="151"/>
      <c r="CL10" s="151"/>
      <c r="CM10" s="151"/>
      <c r="CN10" s="151"/>
      <c r="CO10" s="151"/>
      <c r="CP10" s="151"/>
      <c r="CQ10" s="151"/>
      <c r="CR10" s="151"/>
      <c r="CS10" s="151"/>
      <c r="CT10" s="155"/>
      <c r="CU10" s="155"/>
      <c r="CV10" s="155"/>
      <c r="CW10" s="155"/>
      <c r="CX10" s="155"/>
      <c r="CY10" s="155"/>
      <c r="CZ10" s="155"/>
      <c r="DU10" s="333"/>
      <c r="DV10" s="333"/>
      <c r="DW10" s="333"/>
      <c r="DX10" s="333"/>
      <c r="DY10" s="333"/>
      <c r="DZ10" s="333"/>
      <c r="EA10" s="333"/>
      <c r="EB10" s="333"/>
      <c r="EC10" s="333"/>
      <c r="ED10" s="333"/>
      <c r="EE10" s="334"/>
      <c r="EF10" s="334"/>
      <c r="EG10" s="334"/>
      <c r="EH10" s="334"/>
      <c r="EI10" s="334"/>
      <c r="EJ10" s="334"/>
      <c r="EK10" s="334"/>
      <c r="EL10" s="334"/>
      <c r="EM10" s="334"/>
      <c r="EN10" s="334"/>
      <c r="EO10" s="334"/>
      <c r="EP10" s="334"/>
      <c r="EQ10" s="166"/>
      <c r="ER10" s="155"/>
      <c r="ES10" s="155"/>
      <c r="ET10" s="155"/>
      <c r="EU10" s="155"/>
      <c r="EV10" s="155"/>
      <c r="EW10" s="155"/>
      <c r="EX10" s="162"/>
      <c r="EY10" s="162"/>
      <c r="EZ10" s="162"/>
      <c r="FA10" s="162"/>
      <c r="FB10" s="155"/>
      <c r="FC10" s="155"/>
      <c r="FD10" s="155"/>
      <c r="FE10" s="155"/>
      <c r="FF10" s="155"/>
      <c r="FG10" s="155"/>
      <c r="FH10" s="155"/>
      <c r="FI10" s="155"/>
      <c r="GA10" s="322"/>
      <c r="GB10" s="322"/>
      <c r="GC10" s="322"/>
      <c r="GD10" s="322"/>
      <c r="GE10" s="322"/>
      <c r="GF10" s="322"/>
      <c r="GG10" s="322"/>
      <c r="GH10" s="322"/>
      <c r="GI10" s="322"/>
      <c r="GJ10" s="322"/>
    </row>
    <row r="11" spans="1:241" ht="12.6" customHeight="1" thickTop="1" thickBot="1" x14ac:dyDescent="0.25">
      <c r="A11" s="322"/>
      <c r="B11" s="322"/>
      <c r="C11" s="322"/>
      <c r="D11" s="322"/>
      <c r="E11" s="322"/>
      <c r="F11" s="322"/>
      <c r="G11" s="322"/>
      <c r="H11" s="322"/>
      <c r="I11" s="322"/>
      <c r="J11" s="322"/>
      <c r="K11" s="322"/>
      <c r="L11" s="322"/>
      <c r="M11" s="322"/>
      <c r="N11" s="322"/>
      <c r="O11" s="322"/>
      <c r="P11" s="322"/>
      <c r="Q11" s="322"/>
      <c r="R11" s="322"/>
      <c r="S11" s="322"/>
      <c r="T11" s="322"/>
      <c r="U11" s="322"/>
      <c r="V11" s="322"/>
      <c r="W11" s="322"/>
      <c r="X11" s="322"/>
      <c r="Y11" s="322"/>
      <c r="Z11" s="322"/>
      <c r="AA11" s="322"/>
      <c r="BA11" s="166"/>
      <c r="BB11" s="2311" t="s">
        <v>270</v>
      </c>
      <c r="BC11" s="2312"/>
      <c r="BD11" s="2312"/>
      <c r="BE11" s="2312"/>
      <c r="BF11" s="2312"/>
      <c r="BG11" s="2312"/>
      <c r="BH11" s="2312"/>
      <c r="BI11" s="2312"/>
      <c r="BJ11" s="2312"/>
      <c r="BK11" s="2312"/>
      <c r="BL11" s="2312"/>
      <c r="BM11" s="2312"/>
      <c r="BN11" s="2312"/>
      <c r="BO11" s="2312"/>
      <c r="BP11" s="2312"/>
      <c r="BQ11" s="2312"/>
      <c r="BR11" s="2312"/>
      <c r="BS11" s="2312"/>
      <c r="BT11" s="2312"/>
      <c r="BU11" s="2312"/>
      <c r="BV11" s="2312"/>
      <c r="BW11" s="2312"/>
      <c r="BX11" s="2312"/>
      <c r="BY11" s="2312"/>
      <c r="BZ11" s="2312"/>
      <c r="CA11" s="2312"/>
      <c r="CB11" s="2312"/>
      <c r="CC11" s="1436"/>
      <c r="CD11" s="2315"/>
      <c r="CE11" s="2315"/>
      <c r="CF11" s="2315"/>
      <c r="CG11" s="2316"/>
      <c r="CH11" s="151"/>
      <c r="CI11" s="151"/>
      <c r="CJ11" s="151"/>
      <c r="CK11" s="151"/>
      <c r="CL11" s="151"/>
      <c r="CM11" s="151"/>
      <c r="CN11" s="151"/>
      <c r="CO11" s="151"/>
      <c r="CP11" s="151"/>
      <c r="CQ11" s="151"/>
      <c r="CR11" s="151"/>
      <c r="CS11" s="151"/>
      <c r="CT11" s="155"/>
      <c r="CU11" s="155"/>
      <c r="CV11" s="155"/>
      <c r="CW11" s="155"/>
      <c r="CX11" s="155"/>
      <c r="CY11" s="155"/>
      <c r="CZ11" s="155"/>
      <c r="DU11" s="333"/>
      <c r="DV11" s="333"/>
      <c r="DW11" s="333"/>
      <c r="DX11" s="333"/>
      <c r="DY11" s="333"/>
      <c r="DZ11" s="333"/>
      <c r="EA11" s="333"/>
      <c r="EB11" s="333"/>
      <c r="EC11" s="333"/>
      <c r="ED11" s="333"/>
      <c r="EE11" s="334"/>
      <c r="EF11" s="334"/>
      <c r="EG11" s="334"/>
      <c r="EH11" s="334"/>
      <c r="EI11" s="334"/>
      <c r="EJ11" s="334"/>
      <c r="EK11" s="334"/>
      <c r="EL11" s="334"/>
      <c r="EM11" s="334"/>
      <c r="EN11" s="334"/>
      <c r="EO11" s="334"/>
      <c r="EP11" s="334"/>
      <c r="EQ11" s="166"/>
      <c r="ER11" s="155"/>
      <c r="ES11" s="155"/>
      <c r="ET11" s="155"/>
      <c r="EU11" s="155"/>
      <c r="EV11" s="155"/>
      <c r="EW11" s="155"/>
      <c r="EX11" s="162"/>
      <c r="EY11" s="162"/>
      <c r="EZ11" s="162"/>
      <c r="FA11" s="162"/>
      <c r="FB11" s="155"/>
      <c r="FC11" s="155"/>
      <c r="FD11" s="155"/>
      <c r="FE11" s="155"/>
      <c r="FF11" s="155"/>
      <c r="FG11" s="155"/>
      <c r="FH11" s="155"/>
      <c r="FI11" s="155"/>
      <c r="GA11" s="322"/>
      <c r="GB11" s="322"/>
      <c r="GC11" s="322"/>
      <c r="GD11" s="322"/>
      <c r="GE11" s="322"/>
      <c r="GF11" s="322"/>
      <c r="GG11" s="322"/>
      <c r="GH11" s="322"/>
      <c r="GI11" s="322"/>
      <c r="GJ11" s="322"/>
      <c r="HA11" s="174">
        <v>1</v>
      </c>
      <c r="HB11" s="174">
        <f>HA11+1</f>
        <v>2</v>
      </c>
      <c r="HC11" s="174">
        <f t="shared" ref="HC11:IF11" si="0">HB11+1</f>
        <v>3</v>
      </c>
      <c r="HD11" s="174">
        <f t="shared" si="0"/>
        <v>4</v>
      </c>
      <c r="HE11" s="174">
        <f t="shared" si="0"/>
        <v>5</v>
      </c>
      <c r="HF11" s="174">
        <f t="shared" si="0"/>
        <v>6</v>
      </c>
      <c r="HG11" s="174">
        <f t="shared" si="0"/>
        <v>7</v>
      </c>
      <c r="HH11" s="174">
        <f t="shared" si="0"/>
        <v>8</v>
      </c>
      <c r="HI11" s="174">
        <f t="shared" si="0"/>
        <v>9</v>
      </c>
      <c r="HJ11" s="174">
        <f t="shared" si="0"/>
        <v>10</v>
      </c>
      <c r="HK11" s="174">
        <f t="shared" si="0"/>
        <v>11</v>
      </c>
      <c r="HL11" s="174">
        <f t="shared" si="0"/>
        <v>12</v>
      </c>
      <c r="HM11" s="174">
        <f t="shared" si="0"/>
        <v>13</v>
      </c>
      <c r="HN11" s="174">
        <f t="shared" si="0"/>
        <v>14</v>
      </c>
      <c r="HO11" s="174">
        <f t="shared" si="0"/>
        <v>15</v>
      </c>
      <c r="HP11" s="174">
        <f t="shared" si="0"/>
        <v>16</v>
      </c>
      <c r="HQ11" s="174">
        <f t="shared" si="0"/>
        <v>17</v>
      </c>
      <c r="HR11" s="174">
        <f t="shared" si="0"/>
        <v>18</v>
      </c>
      <c r="HS11" s="174">
        <f t="shared" si="0"/>
        <v>19</v>
      </c>
      <c r="HT11" s="174">
        <f t="shared" si="0"/>
        <v>20</v>
      </c>
      <c r="HU11" s="174">
        <f t="shared" si="0"/>
        <v>21</v>
      </c>
      <c r="HV11" s="174">
        <f t="shared" si="0"/>
        <v>22</v>
      </c>
      <c r="HW11" s="174">
        <f t="shared" si="0"/>
        <v>23</v>
      </c>
      <c r="HX11" s="174">
        <f t="shared" si="0"/>
        <v>24</v>
      </c>
      <c r="HY11" s="174">
        <f t="shared" si="0"/>
        <v>25</v>
      </c>
      <c r="HZ11" s="174">
        <f t="shared" si="0"/>
        <v>26</v>
      </c>
      <c r="IA11" s="174">
        <f t="shared" si="0"/>
        <v>27</v>
      </c>
      <c r="IB11" s="174">
        <f t="shared" si="0"/>
        <v>28</v>
      </c>
      <c r="IC11" s="174">
        <f t="shared" si="0"/>
        <v>29</v>
      </c>
      <c r="ID11" s="174">
        <f t="shared" si="0"/>
        <v>30</v>
      </c>
      <c r="IE11" s="174">
        <f t="shared" si="0"/>
        <v>31</v>
      </c>
      <c r="IF11" s="174">
        <f t="shared" si="0"/>
        <v>32</v>
      </c>
    </row>
    <row r="12" spans="1:241" ht="12.6" customHeight="1" thickBot="1" x14ac:dyDescent="0.25">
      <c r="A12" s="322"/>
      <c r="B12" s="322"/>
      <c r="C12" s="322"/>
      <c r="D12" s="322"/>
      <c r="E12" s="322"/>
      <c r="F12" s="322"/>
      <c r="G12" s="322"/>
      <c r="H12" s="322"/>
      <c r="I12" s="322"/>
      <c r="J12" s="322"/>
      <c r="K12" s="322"/>
      <c r="L12" s="322"/>
      <c r="M12" s="322"/>
      <c r="N12" s="322"/>
      <c r="O12" s="322"/>
      <c r="P12" s="322"/>
      <c r="Q12" s="322"/>
      <c r="R12" s="322"/>
      <c r="S12" s="322"/>
      <c r="T12" s="322"/>
      <c r="U12" s="322"/>
      <c r="V12" s="322"/>
      <c r="W12" s="322"/>
      <c r="X12" s="322"/>
      <c r="Y12" s="322"/>
      <c r="Z12" s="319" t="s">
        <v>4</v>
      </c>
      <c r="AA12" s="1656" t="str">
        <f>IF(ISBLANK(CC7),"",CC7)</f>
        <v/>
      </c>
      <c r="AB12" s="335" t="str">
        <f>AA12</f>
        <v/>
      </c>
      <c r="BA12" s="166"/>
      <c r="BB12" s="2313"/>
      <c r="BC12" s="2314"/>
      <c r="BD12" s="2314"/>
      <c r="BE12" s="2314"/>
      <c r="BF12" s="2314"/>
      <c r="BG12" s="2314"/>
      <c r="BH12" s="2314"/>
      <c r="BI12" s="2314"/>
      <c r="BJ12" s="2314"/>
      <c r="BK12" s="2314"/>
      <c r="BL12" s="2314"/>
      <c r="BM12" s="2314"/>
      <c r="BN12" s="2314"/>
      <c r="BO12" s="2314"/>
      <c r="BP12" s="2314"/>
      <c r="BQ12" s="2314"/>
      <c r="BR12" s="2314"/>
      <c r="BS12" s="2314"/>
      <c r="BT12" s="2314"/>
      <c r="BU12" s="2314"/>
      <c r="BV12" s="2314"/>
      <c r="BW12" s="2314"/>
      <c r="BX12" s="2314"/>
      <c r="BY12" s="2314"/>
      <c r="BZ12" s="2314"/>
      <c r="CA12" s="2314"/>
      <c r="CB12" s="2314"/>
      <c r="CC12" s="1435"/>
      <c r="CD12" s="2317"/>
      <c r="CE12" s="2318"/>
      <c r="CF12" s="2318"/>
      <c r="CG12" s="2319"/>
      <c r="CH12" s="151"/>
      <c r="CI12" s="151"/>
      <c r="CJ12" s="151"/>
      <c r="CK12" s="151"/>
      <c r="CL12" s="152"/>
      <c r="CM12" s="864"/>
      <c r="CN12" s="2275" t="s">
        <v>349</v>
      </c>
      <c r="CO12" s="2276"/>
      <c r="CP12" s="2013" t="s">
        <v>291</v>
      </c>
      <c r="CQ12" s="2270"/>
      <c r="CR12" s="2301" t="s">
        <v>179</v>
      </c>
      <c r="CS12" s="2287" t="s">
        <v>180</v>
      </c>
      <c r="CU12" s="155"/>
      <c r="CV12" s="155"/>
      <c r="CW12" s="155"/>
      <c r="CX12" s="155"/>
      <c r="CY12" s="155"/>
      <c r="CZ12" s="155"/>
      <c r="DA12" s="155"/>
      <c r="DB12" s="155"/>
      <c r="DC12" s="155"/>
      <c r="DD12" s="155"/>
      <c r="DE12" s="155"/>
      <c r="DF12" s="155"/>
      <c r="DG12" s="155"/>
      <c r="DH12" s="155"/>
      <c r="DI12" s="155"/>
      <c r="DJ12" s="155"/>
      <c r="DK12" s="155"/>
      <c r="DL12" s="155"/>
      <c r="DM12" s="155"/>
      <c r="DN12" s="155"/>
      <c r="DO12" s="162"/>
      <c r="DQ12" s="350"/>
      <c r="DR12" s="155"/>
      <c r="DS12" s="155"/>
      <c r="DT12" s="155"/>
      <c r="DU12" s="155"/>
      <c r="DV12" s="155"/>
      <c r="DW12" s="348"/>
      <c r="DX12" s="348"/>
      <c r="DY12" s="348"/>
      <c r="DZ12" s="348"/>
      <c r="EA12" s="155"/>
      <c r="EB12" s="162"/>
      <c r="EC12" s="155"/>
      <c r="ED12" s="155"/>
      <c r="EE12" s="155"/>
      <c r="EF12" s="155"/>
      <c r="EG12" s="155"/>
      <c r="EH12" s="155"/>
      <c r="EI12" s="155"/>
      <c r="EJ12" s="155"/>
      <c r="EK12" s="155"/>
      <c r="EL12" s="155"/>
      <c r="EM12" s="155"/>
      <c r="EN12" s="155"/>
      <c r="EO12" s="155"/>
      <c r="EP12" s="155"/>
      <c r="EQ12" s="155"/>
      <c r="ER12" s="155"/>
      <c r="ES12" s="155"/>
      <c r="ET12" s="155"/>
      <c r="EU12" s="166"/>
      <c r="EV12" s="2333" t="s">
        <v>259</v>
      </c>
      <c r="EW12" s="2211" t="s">
        <v>169</v>
      </c>
      <c r="EX12" s="2211" t="s">
        <v>222</v>
      </c>
      <c r="EY12" s="2211" t="s">
        <v>223</v>
      </c>
      <c r="EZ12" s="2211" t="s">
        <v>224</v>
      </c>
      <c r="FA12" s="2211" t="s">
        <v>225</v>
      </c>
      <c r="FB12" s="2211" t="s">
        <v>226</v>
      </c>
      <c r="FC12" s="2211" t="s">
        <v>227</v>
      </c>
      <c r="FD12" s="2211" t="s">
        <v>228</v>
      </c>
      <c r="FE12" s="2211" t="s">
        <v>170</v>
      </c>
      <c r="FF12" s="2211" t="s">
        <v>229</v>
      </c>
      <c r="FG12" s="2211" t="s">
        <v>261</v>
      </c>
      <c r="FH12" s="2211" t="s">
        <v>171</v>
      </c>
      <c r="FI12" s="2211" t="s">
        <v>230</v>
      </c>
      <c r="FJ12" s="2211" t="s">
        <v>172</v>
      </c>
      <c r="FK12" s="2211" t="s">
        <v>231</v>
      </c>
      <c r="FL12" s="2211" t="s">
        <v>262</v>
      </c>
      <c r="FM12" s="2211" t="s">
        <v>173</v>
      </c>
      <c r="FN12" s="2211" t="s">
        <v>174</v>
      </c>
      <c r="FQ12" s="2295" t="s">
        <v>326</v>
      </c>
      <c r="FR12" s="2296"/>
      <c r="GA12" s="322"/>
      <c r="GB12" s="322"/>
      <c r="GC12" s="322"/>
      <c r="GD12" s="322"/>
      <c r="GE12" s="322"/>
      <c r="GF12" s="322"/>
      <c r="GG12" s="322"/>
      <c r="GH12" s="322"/>
      <c r="GI12" s="322"/>
      <c r="GJ12" s="322"/>
      <c r="HA12" s="2216" t="s">
        <v>297</v>
      </c>
      <c r="HB12" s="2217"/>
      <c r="HC12" s="2217"/>
      <c r="HD12" s="2217"/>
      <c r="HE12" s="2217"/>
      <c r="HF12" s="2217"/>
      <c r="HG12" s="2217"/>
      <c r="HH12" s="2217"/>
      <c r="HI12" s="2217"/>
      <c r="HJ12" s="2217"/>
      <c r="HK12" s="2217"/>
      <c r="HL12" s="2217"/>
      <c r="HM12" s="2217"/>
      <c r="HN12" s="2217"/>
      <c r="HO12" s="2217"/>
      <c r="HP12" s="2217"/>
      <c r="HQ12" s="2217"/>
      <c r="HR12" s="2217"/>
      <c r="HS12" s="2217"/>
      <c r="HT12" s="2217"/>
      <c r="HU12" s="2217"/>
      <c r="HV12" s="2218"/>
      <c r="HW12" s="2218"/>
      <c r="HX12" s="2218"/>
      <c r="HY12" s="2219"/>
      <c r="HZ12" s="2219"/>
      <c r="IA12" s="2219"/>
      <c r="IB12" s="2219"/>
      <c r="IC12" s="2219"/>
      <c r="ID12" s="2219"/>
      <c r="IE12" s="2219"/>
      <c r="IF12" s="2220"/>
    </row>
    <row r="13" spans="1:241" ht="12.2" customHeight="1" thickTop="1" thickBot="1" x14ac:dyDescent="0.25">
      <c r="A13" s="322"/>
      <c r="B13" s="322"/>
      <c r="C13" s="322"/>
      <c r="D13" s="322"/>
      <c r="E13" s="322"/>
      <c r="F13" s="322"/>
      <c r="G13" s="322"/>
      <c r="H13" s="322"/>
      <c r="I13" s="322"/>
      <c r="J13" s="322"/>
      <c r="K13" s="322"/>
      <c r="L13" s="322"/>
      <c r="M13" s="322"/>
      <c r="N13" s="322"/>
      <c r="O13" s="322"/>
      <c r="P13" s="322"/>
      <c r="Q13" s="322"/>
      <c r="R13" s="322"/>
      <c r="S13" s="322"/>
      <c r="T13" s="322"/>
      <c r="U13" s="322"/>
      <c r="V13" s="322"/>
      <c r="W13" s="322"/>
      <c r="X13" s="322"/>
      <c r="Y13" s="322"/>
      <c r="Z13" s="322"/>
      <c r="AA13" s="340" t="s">
        <v>582</v>
      </c>
      <c r="AB13" s="341"/>
      <c r="AU13" s="2398" t="s">
        <v>155</v>
      </c>
      <c r="AV13" s="2295" t="s">
        <v>156</v>
      </c>
      <c r="AW13" s="2296"/>
      <c r="AX13" s="400"/>
      <c r="BA13" s="166"/>
      <c r="BB13" s="2396"/>
      <c r="BC13" s="2397"/>
      <c r="BD13" s="2397"/>
      <c r="BE13" s="2397"/>
      <c r="BF13" s="2155"/>
      <c r="BG13" s="2256" t="s">
        <v>166</v>
      </c>
      <c r="BH13" s="2257"/>
      <c r="BI13" s="2257"/>
      <c r="BJ13" s="2257"/>
      <c r="BK13" s="2257"/>
      <c r="BL13" s="2258"/>
      <c r="BM13" s="2259"/>
      <c r="BN13" s="2259"/>
      <c r="BO13" s="2260"/>
      <c r="BP13" s="2260"/>
      <c r="BQ13" s="2260"/>
      <c r="BR13" s="2261"/>
      <c r="BS13" s="2256" t="s">
        <v>167</v>
      </c>
      <c r="BT13" s="2258"/>
      <c r="BU13" s="2258"/>
      <c r="BV13" s="2258"/>
      <c r="BW13" s="2258"/>
      <c r="BX13" s="2258"/>
      <c r="BY13" s="2259"/>
      <c r="BZ13" s="2259"/>
      <c r="CA13" s="2260"/>
      <c r="CB13" s="2260"/>
      <c r="CC13" s="2260"/>
      <c r="CD13" s="2261"/>
      <c r="CE13" s="2391" t="s">
        <v>414</v>
      </c>
      <c r="CF13" s="2243"/>
      <c r="CG13" s="2244"/>
      <c r="CH13" s="151"/>
      <c r="CI13" s="151"/>
      <c r="CJ13" s="151"/>
      <c r="CK13" s="151"/>
      <c r="CL13" s="865"/>
      <c r="CM13" s="866"/>
      <c r="CN13" s="2277"/>
      <c r="CO13" s="2278"/>
      <c r="CP13" s="2271"/>
      <c r="CQ13" s="2272"/>
      <c r="CR13" s="2302"/>
      <c r="CS13" s="2288"/>
      <c r="CU13" s="2251" t="s">
        <v>168</v>
      </c>
      <c r="CV13" s="2252"/>
      <c r="CW13" s="2252"/>
      <c r="CX13" s="2252"/>
      <c r="CY13" s="2252"/>
      <c r="CZ13" s="2252"/>
      <c r="DA13" s="2252"/>
      <c r="DB13" s="2252"/>
      <c r="DC13" s="2252"/>
      <c r="DD13" s="2253"/>
      <c r="DE13" s="2251" t="s">
        <v>167</v>
      </c>
      <c r="DF13" s="2252"/>
      <c r="DG13" s="2252"/>
      <c r="DH13" s="2252"/>
      <c r="DI13" s="2252"/>
      <c r="DJ13" s="2252"/>
      <c r="DK13" s="2252"/>
      <c r="DL13" s="2252"/>
      <c r="DM13" s="2252"/>
      <c r="DN13" s="2253"/>
      <c r="DQ13" s="357"/>
      <c r="DR13" s="155"/>
      <c r="DS13" s="351"/>
      <c r="DT13" s="351"/>
      <c r="DU13" s="351"/>
      <c r="DV13" s="351"/>
      <c r="DW13" s="155"/>
      <c r="DX13" s="155"/>
      <c r="DY13" s="155"/>
      <c r="DZ13" s="155"/>
      <c r="EA13" s="155"/>
      <c r="EB13" s="155"/>
      <c r="EC13" s="155"/>
      <c r="ED13" s="352"/>
      <c r="EE13" s="357"/>
      <c r="EF13" s="357"/>
      <c r="EG13" s="357"/>
      <c r="EH13" s="357"/>
      <c r="EI13" s="357"/>
      <c r="EJ13" s="357"/>
      <c r="EK13" s="357"/>
      <c r="EL13" s="357"/>
      <c r="EM13" s="357"/>
      <c r="EN13" s="357"/>
      <c r="EO13" s="357"/>
      <c r="EP13" s="357"/>
      <c r="EQ13" s="357"/>
      <c r="ER13" s="357"/>
      <c r="ES13" s="357"/>
      <c r="ET13" s="357"/>
      <c r="EU13" s="358"/>
      <c r="EV13" s="2334"/>
      <c r="EW13" s="2337"/>
      <c r="EX13" s="2212"/>
      <c r="EY13" s="2212"/>
      <c r="EZ13" s="2264"/>
      <c r="FA13" s="2212"/>
      <c r="FB13" s="2212"/>
      <c r="FC13" s="2212"/>
      <c r="FD13" s="2213"/>
      <c r="FE13" s="2213"/>
      <c r="FF13" s="2213"/>
      <c r="FG13" s="2213"/>
      <c r="FH13" s="2213"/>
      <c r="FI13" s="2213"/>
      <c r="FJ13" s="2213"/>
      <c r="FK13" s="2213"/>
      <c r="FL13" s="2213"/>
      <c r="FM13" s="2213"/>
      <c r="FN13" s="2213"/>
      <c r="FQ13" s="2297"/>
      <c r="FR13" s="2298"/>
      <c r="GA13" s="2372" t="s">
        <v>713</v>
      </c>
      <c r="GB13" s="2372"/>
      <c r="GC13" s="2372"/>
      <c r="GD13" s="2372"/>
      <c r="GE13" s="2372"/>
      <c r="GF13" s="2372"/>
      <c r="GG13" s="2140"/>
      <c r="GH13" s="2140"/>
      <c r="GI13" s="2140"/>
      <c r="GJ13" s="2140"/>
      <c r="HA13" s="2221"/>
      <c r="HB13" s="2222"/>
      <c r="HC13" s="2222"/>
      <c r="HD13" s="2222"/>
      <c r="HE13" s="2222"/>
      <c r="HF13" s="2222"/>
      <c r="HG13" s="2222"/>
      <c r="HH13" s="2222"/>
      <c r="HI13" s="2222"/>
      <c r="HJ13" s="2222"/>
      <c r="HK13" s="2222"/>
      <c r="HL13" s="2222"/>
      <c r="HM13" s="2222"/>
      <c r="HN13" s="2222"/>
      <c r="HO13" s="2222"/>
      <c r="HP13" s="2222"/>
      <c r="HQ13" s="2222"/>
      <c r="HR13" s="2222"/>
      <c r="HS13" s="2222"/>
      <c r="HT13" s="2222"/>
      <c r="HU13" s="2222"/>
      <c r="HV13" s="2223"/>
      <c r="HW13" s="2223"/>
      <c r="HX13" s="2223"/>
      <c r="HY13" s="2224"/>
      <c r="HZ13" s="2224"/>
      <c r="IA13" s="2224"/>
      <c r="IB13" s="2224"/>
      <c r="IC13" s="2224"/>
      <c r="ID13" s="2224"/>
      <c r="IE13" s="2224"/>
      <c r="IF13" s="2225"/>
    </row>
    <row r="14" spans="1:241" ht="12.6" customHeight="1" thickTop="1" thickBot="1" x14ac:dyDescent="0.25">
      <c r="A14" s="2285" t="s">
        <v>40</v>
      </c>
      <c r="B14" s="2281" t="s">
        <v>28</v>
      </c>
      <c r="C14" s="2281" t="s">
        <v>24</v>
      </c>
      <c r="D14" s="2281" t="s">
        <v>25</v>
      </c>
      <c r="E14" s="2399"/>
      <c r="F14" s="1821" t="s">
        <v>9</v>
      </c>
      <c r="G14" s="1822"/>
      <c r="H14" s="1822"/>
      <c r="I14" s="1822" t="s">
        <v>10</v>
      </c>
      <c r="J14" s="1822"/>
      <c r="K14" s="1823"/>
      <c r="L14" s="1821" t="s">
        <v>11</v>
      </c>
      <c r="M14" s="1823"/>
      <c r="N14" s="1824" t="s">
        <v>12</v>
      </c>
      <c r="O14" s="1822"/>
      <c r="P14" s="1822"/>
      <c r="Q14" s="1822" t="s">
        <v>13</v>
      </c>
      <c r="R14" s="1822"/>
      <c r="S14" s="1825"/>
      <c r="T14" s="1821" t="s">
        <v>14</v>
      </c>
      <c r="U14" s="1822"/>
      <c r="V14" s="1822"/>
      <c r="W14" s="1822"/>
      <c r="X14" s="1823"/>
      <c r="Y14" s="1852" t="s">
        <v>85</v>
      </c>
      <c r="Z14" s="1853"/>
      <c r="AA14" s="970" t="s">
        <v>15</v>
      </c>
      <c r="AB14" s="1286"/>
      <c r="AD14" s="1691"/>
      <c r="AE14" s="1691"/>
      <c r="AF14" s="1691"/>
      <c r="AG14" s="1691"/>
      <c r="AH14" s="1691"/>
      <c r="AI14" s="1691"/>
      <c r="AJ14" s="1691"/>
      <c r="AK14" s="1691"/>
      <c r="AL14" s="1691"/>
      <c r="AM14" s="1691"/>
      <c r="AN14" s="1691"/>
      <c r="AO14" s="1691"/>
      <c r="AP14" s="1691"/>
      <c r="AQ14" s="1691"/>
      <c r="AR14" s="1691"/>
      <c r="AS14" s="1691"/>
      <c r="AT14" s="1691"/>
      <c r="AU14" s="1788"/>
      <c r="AV14" s="2297"/>
      <c r="AW14" s="2298"/>
      <c r="AX14" s="445"/>
      <c r="AY14" s="1691"/>
      <c r="AZ14" s="2356" t="s">
        <v>654</v>
      </c>
      <c r="BA14" s="166"/>
      <c r="BB14" s="2262" t="s">
        <v>236</v>
      </c>
      <c r="BC14" s="2304" t="s">
        <v>102</v>
      </c>
      <c r="BD14" s="2305" t="s">
        <v>237</v>
      </c>
      <c r="BE14" s="2306" t="s">
        <v>816</v>
      </c>
      <c r="BF14" s="2307"/>
      <c r="BG14" s="1863" t="s">
        <v>808</v>
      </c>
      <c r="BH14" s="2305" t="s">
        <v>413</v>
      </c>
      <c r="BI14" s="1866"/>
      <c r="BJ14" s="2233" t="s">
        <v>238</v>
      </c>
      <c r="BK14" s="2305" t="s">
        <v>660</v>
      </c>
      <c r="BL14" s="1866"/>
      <c r="BM14" s="2304" t="s">
        <v>185</v>
      </c>
      <c r="BN14" s="2373" t="s">
        <v>405</v>
      </c>
      <c r="BO14" s="2375" t="s">
        <v>801</v>
      </c>
      <c r="BP14" s="2142" t="s">
        <v>802</v>
      </c>
      <c r="BQ14" s="2143"/>
      <c r="BR14" s="2144"/>
      <c r="BS14" s="1863" t="s">
        <v>808</v>
      </c>
      <c r="BT14" s="2305" t="s">
        <v>413</v>
      </c>
      <c r="BU14" s="1866"/>
      <c r="BV14" s="2233" t="s">
        <v>238</v>
      </c>
      <c r="BW14" s="2305" t="s">
        <v>660</v>
      </c>
      <c r="BX14" s="1866"/>
      <c r="BY14" s="2304" t="s">
        <v>185</v>
      </c>
      <c r="BZ14" s="2394" t="s">
        <v>405</v>
      </c>
      <c r="CA14" s="2375" t="s">
        <v>801</v>
      </c>
      <c r="CB14" s="2142" t="s">
        <v>802</v>
      </c>
      <c r="CC14" s="2143"/>
      <c r="CD14" s="2144"/>
      <c r="CE14" s="2392"/>
      <c r="CF14" s="2245"/>
      <c r="CG14" s="2244"/>
      <c r="CH14" s="2292" t="s">
        <v>266</v>
      </c>
      <c r="CI14" s="2293"/>
      <c r="CJ14" s="2293"/>
      <c r="CK14" s="2292" t="s">
        <v>267</v>
      </c>
      <c r="CL14" s="2279" t="s">
        <v>400</v>
      </c>
      <c r="CM14" s="2279"/>
      <c r="CN14" s="2277"/>
      <c r="CO14" s="2278"/>
      <c r="CP14" s="2273"/>
      <c r="CQ14" s="2274"/>
      <c r="CR14" s="2302"/>
      <c r="CS14" s="2288"/>
      <c r="CT14" s="1691"/>
      <c r="CU14" s="2290" t="s">
        <v>195</v>
      </c>
      <c r="CV14" s="2249" t="s">
        <v>196</v>
      </c>
      <c r="CW14" s="2249" t="s">
        <v>197</v>
      </c>
      <c r="CX14" s="2249" t="s">
        <v>198</v>
      </c>
      <c r="CY14" s="2249" t="s">
        <v>254</v>
      </c>
      <c r="CZ14" s="2249" t="s">
        <v>257</v>
      </c>
      <c r="DA14" s="2249" t="s">
        <v>199</v>
      </c>
      <c r="DB14" s="2249" t="s">
        <v>258</v>
      </c>
      <c r="DC14" s="2249" t="s">
        <v>200</v>
      </c>
      <c r="DD14" s="2249" t="s">
        <v>201</v>
      </c>
      <c r="DE14" s="2290" t="s">
        <v>195</v>
      </c>
      <c r="DF14" s="2249" t="s">
        <v>196</v>
      </c>
      <c r="DG14" s="2249" t="s">
        <v>202</v>
      </c>
      <c r="DH14" s="2249" t="s">
        <v>198</v>
      </c>
      <c r="DI14" s="2249" t="s">
        <v>254</v>
      </c>
      <c r="DJ14" s="2249" t="s">
        <v>257</v>
      </c>
      <c r="DK14" s="2249" t="s">
        <v>199</v>
      </c>
      <c r="DL14" s="2249" t="s">
        <v>258</v>
      </c>
      <c r="DM14" s="2249" t="s">
        <v>200</v>
      </c>
      <c r="DN14" s="2360" t="s">
        <v>201</v>
      </c>
      <c r="DO14" s="2358" t="s">
        <v>188</v>
      </c>
      <c r="DP14" s="2226" t="s">
        <v>203</v>
      </c>
      <c r="DQ14" s="2214" t="s">
        <v>204</v>
      </c>
      <c r="DR14" s="2344" t="s">
        <v>205</v>
      </c>
      <c r="DS14" s="2336" t="s">
        <v>240</v>
      </c>
      <c r="DT14" s="2338" t="s">
        <v>206</v>
      </c>
      <c r="DU14" s="2339"/>
      <c r="DV14" s="2365" t="s">
        <v>691</v>
      </c>
      <c r="DW14" s="2331" t="s">
        <v>692</v>
      </c>
      <c r="DX14" s="2356" t="s">
        <v>211</v>
      </c>
      <c r="DY14" s="2336" t="s">
        <v>241</v>
      </c>
      <c r="DZ14" s="2338" t="s">
        <v>208</v>
      </c>
      <c r="EA14" s="2339"/>
      <c r="EB14" s="2331" t="s">
        <v>693</v>
      </c>
      <c r="EC14" s="2331" t="s">
        <v>694</v>
      </c>
      <c r="ED14" s="2356" t="s">
        <v>213</v>
      </c>
      <c r="EE14" s="2214" t="s">
        <v>242</v>
      </c>
      <c r="EF14" s="2340" t="s">
        <v>243</v>
      </c>
      <c r="EG14" s="2341"/>
      <c r="EH14" s="2340" t="s">
        <v>244</v>
      </c>
      <c r="EI14" s="2342"/>
      <c r="EJ14" s="2344" t="s">
        <v>245</v>
      </c>
      <c r="EK14" s="2345"/>
      <c r="EL14" s="2214" t="s">
        <v>255</v>
      </c>
      <c r="EM14" s="2340" t="s">
        <v>246</v>
      </c>
      <c r="EN14" s="2341"/>
      <c r="EO14" s="2340" t="s">
        <v>247</v>
      </c>
      <c r="EP14" s="2342"/>
      <c r="EQ14" s="2344" t="s">
        <v>248</v>
      </c>
      <c r="ER14" s="2345"/>
      <c r="ES14" s="2214" t="s">
        <v>12</v>
      </c>
      <c r="ET14" s="2214" t="s">
        <v>13</v>
      </c>
      <c r="EU14" s="2344" t="s">
        <v>260</v>
      </c>
      <c r="EV14" s="2334"/>
      <c r="EW14" s="2337"/>
      <c r="EX14" s="2212"/>
      <c r="EY14" s="2212"/>
      <c r="EZ14" s="2264"/>
      <c r="FA14" s="2212"/>
      <c r="FB14" s="2212"/>
      <c r="FC14" s="2212"/>
      <c r="FD14" s="2213"/>
      <c r="FE14" s="2213"/>
      <c r="FF14" s="2213"/>
      <c r="FG14" s="2213"/>
      <c r="FH14" s="2213"/>
      <c r="FI14" s="2213"/>
      <c r="FJ14" s="2213"/>
      <c r="FK14" s="2213"/>
      <c r="FL14" s="2213"/>
      <c r="FM14" s="2213"/>
      <c r="FN14" s="2213"/>
      <c r="FO14" s="2214" t="s">
        <v>268</v>
      </c>
      <c r="FP14" s="2214" t="s">
        <v>269</v>
      </c>
      <c r="FQ14" s="2228" t="s">
        <v>324</v>
      </c>
      <c r="FR14" s="2237" t="s">
        <v>325</v>
      </c>
      <c r="FS14" s="2226" t="s">
        <v>351</v>
      </c>
      <c r="FT14" s="2247" t="s">
        <v>352</v>
      </c>
      <c r="FU14" s="1977" t="s">
        <v>401</v>
      </c>
      <c r="FV14" s="1978"/>
      <c r="FW14" s="1691"/>
      <c r="FX14" s="1691"/>
      <c r="FY14" s="1691"/>
      <c r="FZ14" s="1691"/>
      <c r="GA14" s="1943" t="s">
        <v>361</v>
      </c>
      <c r="GB14" s="1944"/>
      <c r="GC14" s="1943" t="s">
        <v>253</v>
      </c>
      <c r="GD14" s="1944"/>
      <c r="GE14" s="1987" t="s">
        <v>364</v>
      </c>
      <c r="GF14" s="1989" t="s">
        <v>40</v>
      </c>
      <c r="GG14" s="2388" t="s">
        <v>715</v>
      </c>
      <c r="GH14" s="2389"/>
      <c r="GI14" s="2388" t="s">
        <v>714</v>
      </c>
      <c r="GJ14" s="2389"/>
      <c r="GK14" s="2239" t="s">
        <v>365</v>
      </c>
      <c r="GL14" s="2239" t="s">
        <v>366</v>
      </c>
      <c r="GM14" s="2239" t="s">
        <v>367</v>
      </c>
      <c r="HA14" s="2235" t="s">
        <v>236</v>
      </c>
      <c r="HB14" s="2369" t="s">
        <v>102</v>
      </c>
      <c r="HC14" s="2369" t="s">
        <v>237</v>
      </c>
      <c r="HD14" s="2265" t="e">
        <f>IF($HA$1,"Joist ""BayLength""","Overall Length")</f>
        <v>#REF!</v>
      </c>
      <c r="HE14" s="2266"/>
      <c r="HF14" s="2207" t="e">
        <f>IF($HA$1,"Left Sect. #","TCXL Feet")</f>
        <v>#REF!</v>
      </c>
      <c r="HG14" s="2207" t="e">
        <f>IF($HA$1,"L Min Sup Width","TCXL Inch")</f>
        <v>#REF!</v>
      </c>
      <c r="HH14" s="2207" t="e">
        <f>IF($HA$1,"L Max Sup Width","TCXL Type")</f>
        <v>#REF!</v>
      </c>
      <c r="HI14" s="2207" t="e">
        <f>IF($HA$1,"Left Bolt ""X""","TCXR Feet")</f>
        <v>#REF!</v>
      </c>
      <c r="HJ14" s="2207" t="e">
        <f>IF($HA$1,"L Min Flg Ga","TCXR Inch")</f>
        <v>#REF!</v>
      </c>
      <c r="HK14" s="2207" t="e">
        <f>IF($HA$1,"L Max Flg Ga","TCXR Type")</f>
        <v>#REF!</v>
      </c>
      <c r="HL14" s="2207" t="e">
        <f>IF($HA$1,"Left Skew","BDL")</f>
        <v>#REF!</v>
      </c>
      <c r="HM14" s="2207" t="e">
        <f>IF($HA$1,"Left Brg Slp","BDR")</f>
        <v>#REF!</v>
      </c>
      <c r="HN14" s="2207" t="e">
        <f>IF($HA$1,"Right Sect. #","BCXL Feet")</f>
        <v>#REF!</v>
      </c>
      <c r="HO14" s="2207" t="e">
        <f>IF($HA$1,"R Min Sup Width","BCXL Inch")</f>
        <v>#REF!</v>
      </c>
      <c r="HP14" s="2207" t="e">
        <f>IF($HA$1,"R Max Sup Width","BCXL Type")</f>
        <v>#REF!</v>
      </c>
      <c r="HQ14" s="2207" t="e">
        <f>IF($HA$1,"Right Bolt ""X""","BCXR Feet")</f>
        <v>#REF!</v>
      </c>
      <c r="HR14" s="2207" t="e">
        <f>IF($HA$1,"R Min Flg Ga","BCXR Inch")</f>
        <v>#REF!</v>
      </c>
      <c r="HS14" s="2207" t="e">
        <f>IF($HA$1,"R Max Flg Ga","BCXR Type")</f>
        <v>#REF!</v>
      </c>
      <c r="HT14" s="2207" t="e">
        <f>IF($HA$1,"Right Skew","HL Feet")</f>
        <v>#REF!</v>
      </c>
      <c r="HU14" s="2207" t="e">
        <f>IF($HA$1,"Right Brg Slp","HL Inch")</f>
        <v>#REF!</v>
      </c>
      <c r="HV14" s="2207" t="e">
        <f>IF($HA$1,"TC Slope","HR Feet")</f>
        <v>#REF!</v>
      </c>
      <c r="HW14" s="2207" t="e">
        <f>IF($HA$1,"Load Notes","HR Inch")</f>
        <v>#REF!</v>
      </c>
      <c r="HX14" s="2207" t="e">
        <f>IF($HA$1,"Spcl Notes","Slot Ga")</f>
        <v>#REF!</v>
      </c>
      <c r="HY14" s="2207" t="e">
        <f>IF($HA$1,"TC L Override","L Seat Slp")</f>
        <v>#REF!</v>
      </c>
      <c r="HZ14" s="2207" t="e">
        <f>IF($HA$1,"TCR Override","R Seat Slp")</f>
        <v>#REF!</v>
      </c>
      <c r="IA14" s="2207" t="e">
        <f>IF($HA$1,"L-BL Override","Sp Notes")</f>
        <v>#REF!</v>
      </c>
      <c r="IB14" s="2207" t="e">
        <f>IF($HA$1,"R-BL Override","Ld Notes")</f>
        <v>#REF!</v>
      </c>
      <c r="IC14" s="2207" t="e">
        <f>IF($HA$1,"BCXL ""X""","-")</f>
        <v>#REF!</v>
      </c>
      <c r="ID14" s="2207" t="e">
        <f>IF($HA$1,"BCXR ""X""","-")</f>
        <v>#REF!</v>
      </c>
      <c r="IE14" s="2207" t="e">
        <f>IF($HA$1,"BDL Override","-")</f>
        <v>#REF!</v>
      </c>
      <c r="IF14" s="2209" t="e">
        <f>IF($HA$1,"BDR Override","-")</f>
        <v>#REF!</v>
      </c>
    </row>
    <row r="15" spans="1:241" ht="12.6" customHeight="1" thickTop="1" thickBot="1" x14ac:dyDescent="0.25">
      <c r="A15" s="2286"/>
      <c r="B15" s="2283"/>
      <c r="C15" s="2283"/>
      <c r="D15" s="2283"/>
      <c r="E15" s="2400"/>
      <c r="F15" s="1830" t="s">
        <v>16</v>
      </c>
      <c r="G15" s="1829"/>
      <c r="H15" s="1685" t="s">
        <v>385</v>
      </c>
      <c r="I15" s="1829" t="s">
        <v>16</v>
      </c>
      <c r="J15" s="1829"/>
      <c r="K15" s="395" t="s">
        <v>385</v>
      </c>
      <c r="L15" s="1678" t="s">
        <v>18</v>
      </c>
      <c r="M15" s="395" t="s">
        <v>19</v>
      </c>
      <c r="N15" s="1828" t="s">
        <v>16</v>
      </c>
      <c r="O15" s="1829"/>
      <c r="P15" s="1685" t="s">
        <v>385</v>
      </c>
      <c r="Q15" s="1829" t="s">
        <v>16</v>
      </c>
      <c r="R15" s="1829"/>
      <c r="S15" s="1676" t="s">
        <v>385</v>
      </c>
      <c r="T15" s="1830" t="s">
        <v>71</v>
      </c>
      <c r="U15" s="1829"/>
      <c r="V15" s="1829" t="s">
        <v>72</v>
      </c>
      <c r="W15" s="1829"/>
      <c r="X15" s="395" t="s">
        <v>27</v>
      </c>
      <c r="Y15" s="1678" t="s">
        <v>86</v>
      </c>
      <c r="Z15" s="395" t="s">
        <v>87</v>
      </c>
      <c r="AA15" s="971" t="s">
        <v>57</v>
      </c>
      <c r="AB15" s="1287"/>
      <c r="AC15" s="897" t="s">
        <v>689</v>
      </c>
      <c r="AD15" s="360" t="s">
        <v>64</v>
      </c>
      <c r="AE15" s="361" t="s">
        <v>65</v>
      </c>
      <c r="AF15" s="361" t="s">
        <v>66</v>
      </c>
      <c r="AG15" s="361" t="s">
        <v>67</v>
      </c>
      <c r="AH15" s="362" t="s">
        <v>88</v>
      </c>
      <c r="AI15" s="363" t="s">
        <v>138</v>
      </c>
      <c r="AJ15" s="296" t="s">
        <v>139</v>
      </c>
      <c r="AK15" s="296" t="s">
        <v>140</v>
      </c>
      <c r="AL15" s="296" t="s">
        <v>141</v>
      </c>
      <c r="AM15" s="296" t="s">
        <v>117</v>
      </c>
      <c r="AN15" s="296" t="s">
        <v>398</v>
      </c>
      <c r="AO15" s="296" t="s">
        <v>399</v>
      </c>
      <c r="AP15" s="296" t="s">
        <v>146</v>
      </c>
      <c r="AQ15" s="296" t="s">
        <v>143</v>
      </c>
      <c r="AR15" s="296" t="s">
        <v>142</v>
      </c>
      <c r="AS15" s="296" t="s">
        <v>144</v>
      </c>
      <c r="AT15" s="296" t="s">
        <v>145</v>
      </c>
      <c r="AU15" s="1789"/>
      <c r="AV15" s="2299"/>
      <c r="AW15" s="2300"/>
      <c r="AX15" s="446" t="s">
        <v>308</v>
      </c>
      <c r="AY15" s="446" t="s">
        <v>103</v>
      </c>
      <c r="AZ15" s="2390"/>
      <c r="BA15" s="166"/>
      <c r="BB15" s="1995"/>
      <c r="BC15" s="2068"/>
      <c r="BD15" s="1867"/>
      <c r="BE15" s="2308"/>
      <c r="BF15" s="2309"/>
      <c r="BG15" s="1864"/>
      <c r="BH15" s="2377"/>
      <c r="BI15" s="2378"/>
      <c r="BJ15" s="2234"/>
      <c r="BK15" s="2377"/>
      <c r="BL15" s="2378"/>
      <c r="BM15" s="2068"/>
      <c r="BN15" s="2374"/>
      <c r="BO15" s="2376"/>
      <c r="BP15" s="1425" t="s">
        <v>803</v>
      </c>
      <c r="BQ15" s="1426" t="s">
        <v>804</v>
      </c>
      <c r="BR15" s="1427" t="s">
        <v>198</v>
      </c>
      <c r="BS15" s="1864"/>
      <c r="BT15" s="2377"/>
      <c r="BU15" s="2378"/>
      <c r="BV15" s="2234"/>
      <c r="BW15" s="2377"/>
      <c r="BX15" s="2378"/>
      <c r="BY15" s="2068"/>
      <c r="BZ15" s="2395"/>
      <c r="CA15" s="2376"/>
      <c r="CB15" s="1425" t="s">
        <v>803</v>
      </c>
      <c r="CC15" s="1426" t="s">
        <v>804</v>
      </c>
      <c r="CD15" s="1427" t="s">
        <v>198</v>
      </c>
      <c r="CE15" s="2393"/>
      <c r="CF15" s="1433" t="s">
        <v>151</v>
      </c>
      <c r="CG15" s="1428" t="s">
        <v>250</v>
      </c>
      <c r="CH15" s="441" t="s">
        <v>263</v>
      </c>
      <c r="CI15" s="366" t="s">
        <v>264</v>
      </c>
      <c r="CJ15" s="367" t="s">
        <v>265</v>
      </c>
      <c r="CK15" s="2294"/>
      <c r="CL15" s="442" t="s">
        <v>282</v>
      </c>
      <c r="CM15" s="443" t="s">
        <v>283</v>
      </c>
      <c r="CN15" s="863" t="s">
        <v>282</v>
      </c>
      <c r="CO15" s="368" t="s">
        <v>283</v>
      </c>
      <c r="CP15" s="369" t="s">
        <v>217</v>
      </c>
      <c r="CQ15" s="370" t="s">
        <v>137</v>
      </c>
      <c r="CR15" s="2303"/>
      <c r="CS15" s="2289"/>
      <c r="CT15" s="1691"/>
      <c r="CU15" s="2291"/>
      <c r="CV15" s="2351"/>
      <c r="CW15" s="2351"/>
      <c r="CX15" s="2250"/>
      <c r="CY15" s="2250"/>
      <c r="CZ15" s="2250"/>
      <c r="DA15" s="2250"/>
      <c r="DB15" s="2250"/>
      <c r="DC15" s="2250"/>
      <c r="DD15" s="2250"/>
      <c r="DE15" s="2291"/>
      <c r="DF15" s="2351"/>
      <c r="DG15" s="2351"/>
      <c r="DH15" s="2250"/>
      <c r="DI15" s="2250"/>
      <c r="DJ15" s="2250"/>
      <c r="DK15" s="2250"/>
      <c r="DL15" s="2250"/>
      <c r="DM15" s="2250"/>
      <c r="DN15" s="2361"/>
      <c r="DO15" s="2359"/>
      <c r="DP15" s="2248"/>
      <c r="DQ15" s="2355"/>
      <c r="DR15" s="2364"/>
      <c r="DS15" s="2337"/>
      <c r="DT15" s="371" t="s">
        <v>251</v>
      </c>
      <c r="DU15" s="371" t="s">
        <v>252</v>
      </c>
      <c r="DV15" s="2366"/>
      <c r="DW15" s="2332"/>
      <c r="DX15" s="2357"/>
      <c r="DY15" s="2337"/>
      <c r="DZ15" s="371" t="s">
        <v>251</v>
      </c>
      <c r="EA15" s="371" t="s">
        <v>252</v>
      </c>
      <c r="EB15" s="2332"/>
      <c r="EC15" s="2332"/>
      <c r="ED15" s="2357"/>
      <c r="EE15" s="2343"/>
      <c r="EF15" s="372" t="s">
        <v>218</v>
      </c>
      <c r="EG15" s="373" t="s">
        <v>219</v>
      </c>
      <c r="EH15" s="372" t="s">
        <v>218</v>
      </c>
      <c r="EI15" s="373" t="s">
        <v>219</v>
      </c>
      <c r="EJ15" s="372" t="s">
        <v>218</v>
      </c>
      <c r="EK15" s="373" t="s">
        <v>219</v>
      </c>
      <c r="EL15" s="2343"/>
      <c r="EM15" s="372" t="s">
        <v>218</v>
      </c>
      <c r="EN15" s="373" t="s">
        <v>219</v>
      </c>
      <c r="EO15" s="372" t="s">
        <v>218</v>
      </c>
      <c r="EP15" s="373" t="s">
        <v>219</v>
      </c>
      <c r="EQ15" s="372" t="s">
        <v>218</v>
      </c>
      <c r="ER15" s="373" t="s">
        <v>219</v>
      </c>
      <c r="ES15" s="2215"/>
      <c r="ET15" s="2215"/>
      <c r="EU15" s="2348"/>
      <c r="EV15" s="2335"/>
      <c r="EW15" s="2337"/>
      <c r="EX15" s="2212"/>
      <c r="EY15" s="2212"/>
      <c r="EZ15" s="2264"/>
      <c r="FA15" s="2212"/>
      <c r="FB15" s="2212"/>
      <c r="FC15" s="2212"/>
      <c r="FD15" s="2213"/>
      <c r="FE15" s="2213"/>
      <c r="FF15" s="2213"/>
      <c r="FG15" s="2213"/>
      <c r="FH15" s="2213"/>
      <c r="FI15" s="2213"/>
      <c r="FJ15" s="2213"/>
      <c r="FK15" s="2213"/>
      <c r="FL15" s="2213"/>
      <c r="FM15" s="2213"/>
      <c r="FN15" s="2213"/>
      <c r="FO15" s="2215"/>
      <c r="FP15" s="2215"/>
      <c r="FQ15" s="2215"/>
      <c r="FR15" s="2238"/>
      <c r="FS15" s="2227"/>
      <c r="FT15" s="2238"/>
      <c r="FU15" s="451" t="s">
        <v>282</v>
      </c>
      <c r="FV15" s="452" t="s">
        <v>283</v>
      </c>
      <c r="FW15" s="1691"/>
      <c r="FX15" s="1691"/>
      <c r="FY15" s="1691"/>
      <c r="FZ15" s="1691"/>
      <c r="GA15" s="942" t="s">
        <v>698</v>
      </c>
      <c r="GB15" s="943" t="s">
        <v>363</v>
      </c>
      <c r="GC15" s="938" t="s">
        <v>282</v>
      </c>
      <c r="GD15" s="939" t="s">
        <v>283</v>
      </c>
      <c r="GE15" s="1988"/>
      <c r="GF15" s="1988"/>
      <c r="GG15" s="944" t="s">
        <v>698</v>
      </c>
      <c r="GH15" s="941" t="s">
        <v>363</v>
      </c>
      <c r="GI15" s="944" t="s">
        <v>698</v>
      </c>
      <c r="GJ15" s="941" t="s">
        <v>363</v>
      </c>
      <c r="GK15" s="1948"/>
      <c r="GL15" s="1948"/>
      <c r="GM15" s="1948"/>
      <c r="HA15" s="2236"/>
      <c r="HB15" s="2267"/>
      <c r="HC15" s="2267"/>
      <c r="HD15" s="2267"/>
      <c r="HE15" s="2267"/>
      <c r="HF15" s="2208"/>
      <c r="HG15" s="2208"/>
      <c r="HH15" s="2208"/>
      <c r="HI15" s="2208"/>
      <c r="HJ15" s="2208"/>
      <c r="HK15" s="2208"/>
      <c r="HL15" s="2208"/>
      <c r="HM15" s="2208"/>
      <c r="HN15" s="2208"/>
      <c r="HO15" s="2208"/>
      <c r="HP15" s="2208"/>
      <c r="HQ15" s="2208"/>
      <c r="HR15" s="2208"/>
      <c r="HS15" s="2208"/>
      <c r="HT15" s="2208"/>
      <c r="HU15" s="2208"/>
      <c r="HV15" s="2208"/>
      <c r="HW15" s="2208"/>
      <c r="HX15" s="2208"/>
      <c r="HY15" s="2208"/>
      <c r="HZ15" s="2208"/>
      <c r="IA15" s="2208"/>
      <c r="IB15" s="2208"/>
      <c r="IC15" s="2208"/>
      <c r="ID15" s="2208"/>
      <c r="IE15" s="2208"/>
      <c r="IF15" s="2210"/>
    </row>
    <row r="16" spans="1:241" ht="12.6" customHeight="1" thickTop="1" x14ac:dyDescent="0.25">
      <c r="A16" s="1132"/>
      <c r="B16" s="1586"/>
      <c r="C16" s="1133"/>
      <c r="D16" s="1134"/>
      <c r="E16" s="1135"/>
      <c r="F16" s="1143"/>
      <c r="G16" s="1138"/>
      <c r="H16" s="1645"/>
      <c r="I16" s="1134"/>
      <c r="J16" s="1138"/>
      <c r="K16" s="1657"/>
      <c r="L16" s="1141"/>
      <c r="M16" s="1142"/>
      <c r="N16" s="1137"/>
      <c r="O16" s="1138"/>
      <c r="P16" s="1139"/>
      <c r="Q16" s="1134"/>
      <c r="R16" s="1138"/>
      <c r="S16" s="1140"/>
      <c r="T16" s="1143"/>
      <c r="U16" s="1138"/>
      <c r="V16" s="1134"/>
      <c r="W16" s="1138"/>
      <c r="X16" s="1142"/>
      <c r="Y16" s="1647"/>
      <c r="Z16" s="1648"/>
      <c r="AA16" s="1649"/>
      <c r="AB16" s="1288"/>
      <c r="AC16" s="898" t="b">
        <v>0</v>
      </c>
      <c r="AD16" s="374">
        <f t="shared" ref="AD16:AD45" si="1">IF($C16="",0,IF(SUM(AE16:AG16)&gt;0,0,IF(ISERROR(SEARCH("K",$C16,1))=TRUE,0,$B16)))</f>
        <v>0</v>
      </c>
      <c r="AE16" s="375">
        <f t="shared" ref="AE16:AE45" si="2">IF(ISERROR(SEARCH("LH",$C16,1))=TRUE,0,$B16)</f>
        <v>0</v>
      </c>
      <c r="AF16" s="375">
        <f t="shared" ref="AF16:AF45" si="3">IF(ISERROR(SEARCH("JS",$C16))=TRUE,IF(ISERROR(SEARCH("2.5K",$C16))=TRUE,0,$B16),$B16)</f>
        <v>0</v>
      </c>
      <c r="AG16" s="375">
        <f t="shared" ref="AG16:AG45" si="4">IF(ISERROR(SEARCH("HDR",$C16,1))=TRUE,0,$B16)</f>
        <v>0</v>
      </c>
      <c r="AH16" s="376">
        <f t="shared" ref="AH16:AH45" si="5">IF(ISERROR(SEARCH("CJ",$C16,1))=TRUE,0,$B16)</f>
        <v>0</v>
      </c>
      <c r="AI16" s="377" t="b">
        <v>0</v>
      </c>
      <c r="AJ16" s="143">
        <f t="shared" ref="AJ16:AJ45" si="6">IF(OR(ISERROR(VALUE(LEFT(C16,SEARCH(AK16,C16)-1))),AK16=""),0,VALUE(LEFT(C16,SEARCH(AK16,C16)-1)))</f>
        <v>0</v>
      </c>
      <c r="AK16" s="771" t="str">
        <f t="shared" ref="AK16:AK45" si="7">IF(AV16="",AW16,AV16)</f>
        <v/>
      </c>
      <c r="AL16" s="877" t="str">
        <f t="shared" ref="AL16:AL45" si="8">IF(AK16="","",IF(ISERROR(SEARCH("/",C16)),IF(VALUE(MID(C16,SEARCH(AK16,C16)+LEN(AK16),LEN(C16)))&gt;25,"",VALUE(MID(C16,SEARCH(AK16,C16)+LEN(AK16),LEN(C16)))),""))</f>
        <v/>
      </c>
      <c r="AM16" s="771" t="str">
        <f t="shared" ref="AM16:AM45" si="9">IF(AK16="","",IF(ISERROR(SEARCH("/",C16)),IF(VALUE(MID(C16,SEARCH(AK16,C16)+LEN(AK16),LEN(C16)))&lt;26,"",VALUE(MID(C16,SEARCH(AK16,C16)+LEN(AK16),LEN(C16)))),VALUE(MID(C16,SEARCH(AK16,C16)+LEN(AK16),SEARCH("/",C16)-SEARCH(AK16,C16)-LEN(AK16)))))</f>
        <v/>
      </c>
      <c r="AN16" s="771" t="str">
        <f t="shared" ref="AN16:AN45" si="10">IF(AK16="","",IF(AK16="CJ",MID(MID(C16,SEARCH("/",C16)+1,LEN(C16)),1,SEARCH("/",MID(C16,SEARCH("/",C16)+1,LEN(C16)))-1),IF(ISERROR(SEARCH("/",C16)),"",VALUE(MID(C16,SEARCH("/",C16)+1,LEN(C16))))))</f>
        <v/>
      </c>
      <c r="AO16" s="771" t="str">
        <f t="shared" ref="AO16:AO45" si="11">IF(AK16="CJ",VALUE(MID(MID(C16,SEARCH("/",C16)+1,LEN(C16)),SEARCH("/",MID(C16,SEARCH("/",C16)+1,LEN(C16)))+1,LEN(MID(C16,SEARCH("/",C16)+1,LEN(C16))))),"")</f>
        <v/>
      </c>
      <c r="AP16" s="771" t="b">
        <f>IF(ISERROR(AJ16),FALSE,IF(OR(AJ16=0,ISERROR(AL16),ISERROR(AM16),ISERROR(AN16),ISERROR(AO16)),FALSE,IF(AL16&lt;&gt;"",IF(ISERROR(VLOOKUP(SUBSTITUTE(SUBSTITUTE(C16,"R",""),"A",""),#REF!,1,FALSE)),FALSE,TRUE),TRUE)))</f>
        <v>0</v>
      </c>
      <c r="AQ16" s="945" t="e">
        <f t="shared" ref="AQ16:AQ45" si="12">VLOOKUP(AK16,$DF$2:$DN$9,4,FALSE)+IF(LEFT(H16,1)="R",IF(ISNUMBER(F16),F16*12,0)+IF(ISNUMBER(G16),G16,0),0)</f>
        <v>#N/A</v>
      </c>
      <c r="AR16" s="877" t="b">
        <f t="shared" ref="AR16:AR45" si="13">IF(IF(ISNUMBER(T16),T16*12,0)+IF(ISNUMBER(U16),U16,0)&gt;0,IF(AND(IF(ISNUMBER(T16),T16*12,0)+IF(ISNUMBER(U16),U16,0)&gt;=VLOOKUP(AU16,$DF$2:$DN$9,8,FALSE)/2+$DQ$2,IF(ISNUMBER(T16),T16*12,0)+IF(ISNUMBER(U16),U16,0)&lt;=(AQ16-(VLOOKUP(AU16,$DF$2:$DN$9,8,FALSE)/2+$DQ$2))+IF(H16="X",2,0)),TRUE,FALSE),FALSE)</f>
        <v>0</v>
      </c>
      <c r="AS16" s="945" t="e">
        <f t="shared" ref="AS16:AS45" si="14">VLOOKUP(AK16,$DF$2:$DN$9,4,FALSE)+IF(LEFT(K16,1)="R",(IF(ISNUMBER(I16),I16*12,0)+IF(ISNUMBER(J16),J16,0)),0)</f>
        <v>#N/A</v>
      </c>
      <c r="AT16" s="877" t="b">
        <f t="shared" ref="AT16:AT45" si="15">IF(IF(ISNUMBER(V16),V16*12,0)+IF(ISNUMBER(W16),W16,0)&gt;0,IF(AND((IF(ISNUMBER(V16),V16*12,0)+IF(ISNUMBER(W16),W16,0))&gt;=VLOOKUP(AU16,$DF$2:$DN$9,8,FALSE)/2+$DQ$2,(IF(ISNUMBER(V16),V16*12,0)+IF(ISNUMBER(W16),W16,0))&lt;=(AS16-(VLOOKUP(AU16,$DF$2:$DN$9,8,FALSE)/2+$DQ$2))+IF(K16="X",2,0)),TRUE,FALSE),FALSE)</f>
        <v>0</v>
      </c>
      <c r="AU16" s="878" t="str">
        <f t="shared" ref="AU16:AU45" si="16">IF(ISERROR(AJ16),IF(AK16&lt;&gt;"HDR","",AK16),IF(AND(AJ16=2.5,AK16="K"),"JS",IF(OR(AK16="KCSR",AK16="KCSA",AK16="KCS"),"KCS",IF(OR(AK16="KR",AK16="KA",AK16="K"),"K",IF(AK16="LH",IF(ISERROR(AL16),IF(NOT(ISERROR(VALUE(LEFT(MID(C16,SEARCH(AK16,C16)+LEN(AK16),LEN(C16)),2)))),IF(VALUE(LEFT(MID(C16,SEARCH(AK16,C16)+LEN(AK16),LEN(C16)),2))&lt;7,"LH&lt;7",AK16),AK16),IF(VALUE(LEFT(MID(C16,SEARCH(AK16,C16)+LEN(AK16),LEN(C16)),2))&lt;7,"LH&lt;7",AK16)),AK16)))))</f>
        <v/>
      </c>
      <c r="AV16" s="771" t="str">
        <f t="shared" ref="AV16:AV45" si="17">IF(NOT(ISERROR(SEARCH("KCSR",C16))),"KCSR",IF(NOT(ISERROR(SEARCH("KCSA",C16))),"KCSA",IF(NOT(ISERROR(SEARCH("KCS",C16))),"KCS",IF(NOT(ISERROR(SEARCH("KR",C16))),"KR",IF(NOT(ISERROR(SEARCH("KA",C16))),"KA",IF(NOT(ISERROR(SEARCH("K",C16))),"K",IF(NOT(ISERROR(SEARCH("CJ",C16))),"CJ","")))))))</f>
        <v/>
      </c>
      <c r="AW16" s="771" t="str">
        <f t="shared" ref="AW16:AW45" si="18">IF(NOT(ISERROR(SEARCH("HDR",C16))),"HDR",IF(NOT(ISERROR(SEARCH("JS",C16))),"JS",IF(NOT(ISERROR(SEARCH("SLH",C16))),"SLH",IF(NOT(ISERROR(SEARCH("DLH",C16))),"DLH",IF(NOT(ISERROR(SEARCH("LH",C16))),"LH","")))))</f>
        <v/>
      </c>
      <c r="AX16" s="771" t="str">
        <f>IF(OR(ISBLANK(A16),A16=""),"",A16)</f>
        <v/>
      </c>
      <c r="AY16" s="946" t="e">
        <f t="shared" ref="AY16:AY45" si="19">IF($AE$1,IF(AX16=AX15,AY15,IF(AND(AX16&lt;&gt;"",OR(B16=0,B16="")),TRUE,FALSE)),FALSE)</f>
        <v>#REF!</v>
      </c>
      <c r="AZ16" s="795" t="str">
        <f t="shared" ref="AZ16:AZ45" si="20">IF(AND(NOT(ISERROR(AJ16)),AJ16&gt;0),((IF(D16="",0,D16)*12+IF(E16="",0,E16))-(IF(F16="",0,F16)*12+IF(G16="",0,G16))-(IF(I16="",0,I16)*12+IF(J16="",0,J16)))&gt;AJ16*24,"")</f>
        <v/>
      </c>
      <c r="BA16" s="496"/>
      <c r="BB16" s="616"/>
      <c r="BC16" s="1567"/>
      <c r="BD16" s="682"/>
      <c r="BE16" s="683"/>
      <c r="BF16" s="684"/>
      <c r="BG16" s="660"/>
      <c r="BH16" s="901"/>
      <c r="BI16" s="902"/>
      <c r="BJ16" s="1508"/>
      <c r="BK16" s="661"/>
      <c r="BL16" s="662"/>
      <c r="BM16" s="663"/>
      <c r="BN16" s="664"/>
      <c r="BO16" s="607" t="str">
        <f>IF(ISERROR(CU16),"",IF(CU16="","",IF(VLOOKUP(BG16,#REF!,10,FALSE)="","","X")))</f>
        <v/>
      </c>
      <c r="BP16" s="681"/>
      <c r="BQ16" s="1429" t="str">
        <f t="shared" ref="BQ16:BQ45" si="21">IF(ISERROR(CU16),"",IF(CW16="","",IF(CW16="C",CV16,IF(CW16="Q",2,""))))</f>
        <v/>
      </c>
      <c r="BR16" s="838"/>
      <c r="BS16" s="660"/>
      <c r="BT16" s="661"/>
      <c r="BU16" s="662"/>
      <c r="BV16" s="1508"/>
      <c r="BW16" s="661"/>
      <c r="BX16" s="662"/>
      <c r="BY16" s="663"/>
      <c r="BZ16" s="664"/>
      <c r="CA16" s="615" t="str">
        <f>IF(ISERROR(DE16),"",IF(DE16="","",IF(VLOOKUP(BS16,#REF!,10,FALSE)="","","X")))</f>
        <v/>
      </c>
      <c r="CB16" s="681"/>
      <c r="CC16" s="1429" t="str">
        <f t="shared" ref="CC16:CC45" si="22">IF(ISERROR(DE16),"",IF(DG16="","",IF(DG16="C",DF16,IF(DG16="Q",2,""))))</f>
        <v/>
      </c>
      <c r="CD16" s="838"/>
      <c r="CE16" s="678"/>
      <c r="CF16" s="679"/>
      <c r="CG16" s="680"/>
      <c r="CH16" s="526" t="str">
        <f t="shared" ref="CH16:CH45" si="23">IF(EJ16=EK16,IF(EK16="ERR","ERR",""),CONCATENATE(IF(BM16&lt;0,"NS ","FS "),IF(EK16="ERR","Slot Only",CONCATENATE("Slot @ ",EJ16))))</f>
        <v/>
      </c>
      <c r="CI16" s="527" t="str">
        <f t="shared" ref="CI16:CI45" si="24">IF(EQ16=ER16,IF(ER16="ERR","ERR",""),CONCATENATE(IF(BY16&lt;0,"FS ","NS "),IF(ER16="ERR","Slot Only",CONCATENATE("Slot @ ",EQ16))))</f>
        <v/>
      </c>
      <c r="CJ16" s="528" t="str">
        <f t="shared" ref="CJ16:CJ45" si="25">IF(EV16="","",IF(AND(DB16&lt;&gt;EV16,OR(NOT(ISBLANK(BJ16)),CU16="C")),CONCATENATE("LE slots @ ",DB16," Ga."),IF(AND(DL16&lt;&gt;EV16,OR(NOT(ISBLANK(BV16)),DE16="C")),CONCATENATE("RE slots @ ",DL16," Ga."),"")))</f>
        <v/>
      </c>
      <c r="CK16" s="529" t="str">
        <f t="shared" ref="CK16:CK45" si="26">IF(AND(CP16&lt;&gt;"",BM16&lt;&gt;"",CQ16&lt;&gt;"",BY16&lt;&gt;""),"BE",IF(AND(CP16&lt;&gt;"",BM16&lt;&gt;""),"LE",IF(AND(CQ16&lt;&gt;"",BY16&lt;&gt;""),"RE","")))</f>
        <v/>
      </c>
      <c r="CL16" s="530" t="str">
        <f t="shared" ref="CL16:CL45" si="27">IF(BQ16="","",IF(CEILING(DV16,0.125)&lt;=DW16+VLOOKUP(AU16,$DF$2:$DI$9,4,FALSE),"",CEILING(DV16,0.125)))</f>
        <v/>
      </c>
      <c r="CM16" s="531" t="str">
        <f t="shared" ref="CM16:CM45" si="28">IF(CC16="","",IF(CEILING(EB16,0.125)&lt;=EC16+VLOOKUP(AU16,$DF$2:$DI$9,4,FALSE),"",CEILING(EB16,0.125)))</f>
        <v/>
      </c>
      <c r="CN16" s="532" t="str">
        <f t="shared" ref="CN16:CN45" si="29">IF(AND(CE16&lt;&gt;0,BM16&lt;&gt;0),CE16*COS(RADIANS(90-BM16))/(1/COS(RADIANS(90-BM16)))*-1,"")</f>
        <v/>
      </c>
      <c r="CO16" s="533" t="str">
        <f t="shared" ref="CO16:CO45" si="30">IF(AND(CE16&lt;&gt;0,BY16&lt;&gt;0),CE16*COS(RADIANS(90-BY16))/(1/COS(RADIANS(90-BY16))),"")</f>
        <v/>
      </c>
      <c r="CP16" s="556" t="str">
        <f t="shared" ref="CP16:CP45" si="31">IF(BG16="","",IF(AU16="JS","",IF(VLOOKUP(AU16,$DF$2:$DN$9,5,FALSE)&gt;FO16,IF(FO16&gt;=0.0625,CEILING(FO16-0.0625,0.125),FO16),"")))</f>
        <v/>
      </c>
      <c r="CQ16" s="557" t="str">
        <f t="shared" ref="CQ16:CQ45" si="32">IF(BS16="","",IF(AU16="JS","",IF(VLOOKUP(AU16,$DF$2:$DN$9,5,FALSE)&gt;FP16,IF(FP16&gt;=0.0625,CEILING(FP16-0.0625,0.125),FP16),"")))</f>
        <v/>
      </c>
      <c r="CR16" s="697" t="str">
        <f t="shared" ref="CR16:CR45" si="33">IF(AU16="","",IF(ABS(FF16)&lt;ABS($CX$2),VLOOKUP(AU16,$DF$2:$DN$9,3,FALSE),CEILING(VLOOKUP(AU16,$DF$2:$DN$9,3,FALSE)/COS(FE16)+0.375+IF(CU16="M",IF(FE16&gt;0,(DV16-DW16)/12,0),IF(FE16&gt;0,0,(DV16-CV16)/12))*ABS(FF16),0.125)))</f>
        <v/>
      </c>
      <c r="CS16" s="698" t="str">
        <f t="shared" ref="CS16:CS45" si="34">IF(AU16="","",IF(ABS(FK16)&lt;ABS($CX$2),VLOOKUP(AU16,$DF$2:$DN$9,3,FALSE),CEILING(VLOOKUP(AU16,$DF$2:$DN$9,3,FALSE)/COS(FJ16)+0.375+IF(DE16="M",IF(FJ16&lt;0,(EB16-EC16)/12,0),IF(FJ16&lt;0,0,(EB16-DF16)/12))*ABS(FK16),0.125)))</f>
        <v/>
      </c>
      <c r="CU16" s="796" t="str">
        <f>IF(BG16="","",VLOOKUP(BG16,#REF!,12,FALSE))</f>
        <v/>
      </c>
      <c r="CV16" s="797" t="str">
        <f>IF(BG16="","",IF(ISBLANK(BP16),VLOOKUP(BG16,#REF!,13,FALSE),BP16))</f>
        <v/>
      </c>
      <c r="CW16" s="797" t="str">
        <f>IF(BG16="","",IF(VLOOKUP(BG16,#REF!,5,FALSE)="","R",UPPER(VLOOKUP(BG16,#REF!,5,FALSE))))</f>
        <v/>
      </c>
      <c r="CX16" s="797" t="str">
        <f>IF(BG16="","",IF(ISBLANK(BR16),VLOOKUP(BG16,#REF!,6,FALSE),BR16))</f>
        <v/>
      </c>
      <c r="CY16" s="1205" t="str">
        <f>IF(BG16="","",IF(VLOOKUP(BG16,#REF!,10,FALSE)="","",(IF(BO16="X",VLOOKUP(BG16,#REF!,10,FALSE),VALUE(BO16))*-1)))</f>
        <v/>
      </c>
      <c r="CZ16" s="1047" t="str">
        <f>IF(BG16="","",IF(VLOOKUP(BG16,#REF!,11,FALSE)="","2",(VLOOKUP(BG16,#REF!,11,FALSE))))</f>
        <v/>
      </c>
      <c r="DA16" s="797" t="str">
        <f>IF(BG16="","",IF(VLOOKUP(BG16,#REF!,7,FALSE)="","",(VLOOKUP(BG16,#REF!,7,FALSE)*-1)))</f>
        <v/>
      </c>
      <c r="DB16" s="797" t="str">
        <f>IF(BG16="","",IF(VLOOKUP(BG16,#REF!,8,FALSE)="",VLOOKUP(AU16,$DF$2:$DN$9,6,FALSE),(VLOOKUP(BG16,#REF!,8,FALSE))))</f>
        <v/>
      </c>
      <c r="DC16" s="797" t="str">
        <f>IF(BG16="","",VLOOKUP(BG16,#REF!,9,FALSE))</f>
        <v/>
      </c>
      <c r="DD16" s="798">
        <f t="shared" ref="DD16:DD45" si="35">BN16*-1</f>
        <v>0</v>
      </c>
      <c r="DE16" s="796" t="str">
        <f>IF(BS16="","",VLOOKUP(BS16,#REF!,12,FALSE))</f>
        <v/>
      </c>
      <c r="DF16" s="797" t="str">
        <f>IF(BS16="","",IF(ISBLANK(CB16),VLOOKUP(BS16,#REF!,13,FALSE),CB16))</f>
        <v/>
      </c>
      <c r="DG16" s="797" t="str">
        <f>IF(BS16="","",IF(VLOOKUP(BS16,#REF!,5,FALSE)="","R",UPPER(VLOOKUP(BS16,#REF!,5,FALSE))))</f>
        <v/>
      </c>
      <c r="DH16" s="797" t="str">
        <f>IF(BS16="","",IF(ISBLANK(CD16),VLOOKUP(BS16,#REF!,6,FALSE),CD16))</f>
        <v/>
      </c>
      <c r="DI16" s="1205" t="str">
        <f>IF(BS16="","",IF(VLOOKUP(BS16,#REF!,10,FALSE)="","",(IF(CA16="X",VLOOKUP(BS16,#REF!,10,FALSE),VALUE(CA16))*-1)))</f>
        <v/>
      </c>
      <c r="DJ16" s="1047" t="str">
        <f>IF(BS16="","",IF(VLOOKUP(BS16,#REF!,11,FALSE)="","2",(VLOOKUP(BS16,#REF!,11,FALSE))))</f>
        <v/>
      </c>
      <c r="DK16" s="797" t="str">
        <f>IF(BS16="","",IF(VLOOKUP(BS16,#REF!,7,FALSE)="","",(VLOOKUP(BS16,#REF!,7,FALSE)*-1)))</f>
        <v/>
      </c>
      <c r="DL16" s="797" t="str">
        <f>IF(BS16="","",IF(VLOOKUP(BS16,#REF!,8,FALSE)="",VLOOKUP(AU16,$DF$2:$DN$9,6,FALSE),(VLOOKUP(BS16,#REF!,8,FALSE))))</f>
        <v/>
      </c>
      <c r="DM16" s="797" t="str">
        <f>IF(BS16="","",VLOOKUP(BS16,#REF!,9,FALSE))</f>
        <v/>
      </c>
      <c r="DN16" s="798">
        <f t="shared" ref="DN16:DN45" si="36">BZ16*-1</f>
        <v>0</v>
      </c>
      <c r="DO16" s="799">
        <f t="shared" ref="DO16:DO45" si="37">IF(CE16="",0,ATAN(CE16/12))</f>
        <v>0</v>
      </c>
      <c r="DP16" s="800" t="str">
        <f t="shared" ref="DP16:DP45" si="38">IF(OR(CV16="",BE16="",DF16=""),"",CEILING(IF(AND(BE16="",BF16=""),"",((BE16*12+BF16)+CV16+DF16)/COS(FN16))-0.0625,0.125))</f>
        <v/>
      </c>
      <c r="DQ16" s="800" t="str">
        <f t="shared" ref="DQ16:DQ45" si="39">IF(AU16="","",IF(ABS(FF16)&lt;ABS($CX$2),CX16,IF(FF16=0,CX16,CEILING((CX16+((DW16-CV16)/12)*FF16)-0.0625,0.125))))</f>
        <v/>
      </c>
      <c r="DR16" s="800" t="str">
        <f t="shared" ref="DR16:DR45" si="40">IF(AU16="","",IF(ABS(FK16)&lt;ABS($CX$2),DH16,IF(FK16=0,DH16,CEILING((DH16+((EC16-DF16)/12)*FK16)-0.0625,0.125))))</f>
        <v/>
      </c>
      <c r="DS16" s="801">
        <f t="shared" ref="DS16:DS45" si="41">IF(BM16="",0,RADIANS(ABS(BM16)))</f>
        <v>0</v>
      </c>
      <c r="DT16" s="762" t="e">
        <f t="shared" ref="DT16:DT45" si="42">MIN(IF(BH16&gt;0,BH16/2,MAX(BI16/2,DC16)),IF(BI16&gt;0,BI16/2,MAX(BH16/2,DC16)),IF(DC16&gt;0,DC16,MAX(BI16/2,BH16/2)))/IF(OR(CU16="C",AND(CU16="M",$DD$1="N")),1,COS(DS16))</f>
        <v>#REF!</v>
      </c>
      <c r="DU16" s="762" t="str">
        <f t="shared" ref="DU16:DU45" si="43">IF(CV16="","",IF(DC16&gt;=0,MAX(BH16/2,BI16/2,DC16),DC16)/IF(OR(CU16="C",AND(CU16="M",$DD$1="N")),1,COS(DS16)))</f>
        <v/>
      </c>
      <c r="DV16" s="800" t="str">
        <f t="shared" ref="DV16:DV45" si="44">IF(CV16="","",(CV16+DU16+(VLOOKUP(IF(AU16="HDR","K",AU16),$DF$2:$DN$9,2,FALSE))*TAN(DS16))/COS(FD16)-FH16)</f>
        <v/>
      </c>
      <c r="DW16" s="811" t="str">
        <f t="shared" ref="DW16:DW45" si="45">IF(CV16="","",MAX(0,IF(NOT(BQ16=""),CV16-BQ16,DV16-VLOOKUP(IF(AU16="HDR","K",AU16),$DF$2:$DN$9,4,FALSE))))</f>
        <v/>
      </c>
      <c r="DX16" s="1050">
        <f t="shared" ref="DX16:DX45" si="46">IF(CV16="",0,IF(DW16/COS(FN16-FD16)&lt;0.0625,0,CEILING(DW16/COS(FN16-FD16)-0.03125,0.125)))</f>
        <v>0</v>
      </c>
      <c r="DY16" s="800">
        <f t="shared" ref="DY16:DY45" si="47">RADIANS(ABS(BY16))</f>
        <v>0</v>
      </c>
      <c r="DZ16" s="762" t="e">
        <f t="shared" ref="DZ16:DZ45" si="48">MIN(IF(BT16&gt;0,BT16/2,MAX(BU16/2,DM16)),IF(BU16&gt;0,BU16/2,MAX(BT16/2,DM16)),IF(DM16&gt;0,DM16,MAX(BU16/2,BT16/2)))/IF(OR(DE16="C",AND(DE16="M",$DD$1="N")),1,COS(DY16))</f>
        <v>#REF!</v>
      </c>
      <c r="EA16" s="762" t="str">
        <f t="shared" ref="EA16:EA45" si="49">IF(DF16="","",IF(DM16&gt;=0,MAX(BT16/2,BU16/2,DM16),DM16)/IF(OR(DE16="C",AND(DE16="M",$DD$1="N")),1,COS(DY16)))</f>
        <v/>
      </c>
      <c r="EB16" s="800" t="str">
        <f t="shared" ref="EB16:EB45" si="50">IF(DF16="","",(DF16+EA16+(VLOOKUP(IF(AU16="HDR","K",AU16),$DF$2:$DN$9,2,FALSE))*TAN(DY16))/COS(FI16)-FM16)</f>
        <v/>
      </c>
      <c r="EC16" s="811" t="str">
        <f t="shared" ref="EC16:EC45" si="51">IF(DF16="","",MAX(0,IF(NOT(CC16=""),DF16-CC16,EB16-VLOOKUP(IF(AU16="HDR","K",AU16),$DF$2:$DN$9,4,FALSE))))</f>
        <v/>
      </c>
      <c r="ED16" s="1050">
        <f t="shared" ref="ED16:ED45" si="52">IF(DF16="",0,IF(EC16/COS(FN16+FI16)&lt;0.0625,0,CEILING(EC16/COS(FN16+FI16)-0.03125,0.125)))</f>
        <v>0</v>
      </c>
      <c r="EE16" s="1253" t="str">
        <f t="shared" ref="EE16:EE45" si="53">IF(AND(EZ16="",DA16=""),"",IF(EZ16="ERR","ERR",IF(CU16="C",DA16,IF(BJ16="","",IF(DA16="",(EZ16/2)*-1,DA16)))))</f>
        <v/>
      </c>
      <c r="EF16" s="1253" t="str">
        <f t="shared" ref="EF16:EF45" si="54">IF(EE16="ERR","ERR",IF(EE16="","",IF(DB16*TAN(DS16)&lt;=(VLOOKUP(AU16,$DF$2:$DN$9,8,FALSE)-(VLOOKUP(AU16,$DF$2:$DN$9,7,FALSE)-0.0625)),CV16-(EE16-FH16)/IF(OR(CU16="C",AND(CU16="M",$DD$1="N")),1,COS(DS16))-IF(MID(CW16,1,1)="R",0,DW16),(ABS(EE16-FH16)/IF(OR(CU16="C",AND(CU16="M",$DD$1="N")),1,COS(DS16))+CV16)-((DB16/2)*TAN(DS16))-IF(MID(CW16,1,1)="R",0,DW16))))</f>
        <v/>
      </c>
      <c r="EG16" s="1253" t="str">
        <f t="shared" ref="EG16:EG45" si="55">IF(EE16="ERR","ERR",IF(EE16="","",IF(DB16*TAN(DS16)&lt;=(VLOOKUP(AU16,$DF$2:$DN$9,8,FALSE)-(VLOOKUP(AU16,$DF$2:$DN$9,7,FALSE)-0.0625)),CV16-(EE16-FH16)/IF(OR(CU16="C",AND(CU16="M",$DD$1="N")),1,COS(DS16))-IF(MID(CW16,1,1)="R",0,DW16),(ABS(EE16-FH16)/IF(OR(CU16="C",AND(CU16="M",$DD$1="N")),1,COS(DS16))+CV16)+((DB16/2)*TAN(DS16))-IF(MID(CW16,1,1)="R",0,DW16))))</f>
        <v/>
      </c>
      <c r="EH16" s="795" t="e">
        <f t="shared" ref="EH16:EH45" si="56">IF(BQ16="",IF(EF16&lt;$DQ$2+(VLOOKUP(AU16,$DF$2:$DN$9,7,FALSE)-0.0625)/2,"ERR",IF(EF16&lt;$DQ$2+VLOOKUP(AU16,$DF$2:$DN$9,8,FALSE)/2,VLOOKUP(AU16,$DF$2:$DN$9,8,FALSE)/2+$DQ$2,IF(EF16&lt;VLOOKUP(AU16,$DF$2:$DN$9,4,FALSE)+IF(OR(MID(CW16,1,1)="R",CW16="Q"),DW16+IF(BQ16="",0,BQ16),0)-VLOOKUP(AU16,$DF$2:$DN$9,8,FALSE)/2-$DQ$2,EF16,IF(EF16&lt;=VLOOKUP(AU16,$DF$2:$DN$9,4,FALSE)+IF(OR(MID(CW16,1,1)="R",CW16="Q"),DW16+IF(BQ16="",0,BQ16),0)-(VLOOKUP(AU16,$DF$2:$DN$9,7,FALSE)-0.0625)/2-$DQ$2,VLOOKUP(AU16,$DF$2:$DN$9,4,FALSE)+IF(OR(MID(CW16,1,1)="R",CW16="Q"),DW16+IF(BQ16="",0,BQ16),0)-(VLOOKUP(AU16,$DF$2:$DN$9,8,FALSE)/2+$DQ$2),"ERR")))),EF16)</f>
        <v>#N/A</v>
      </c>
      <c r="EI16" s="795" t="e">
        <f t="shared" ref="EI16:EI45" si="57">IF(BQ16="",IF(EG16&lt;$DQ$2+(VLOOKUP(AU16,$DF$2:$DN$9,7,FALSE)-0.0625)/2,"ERR",IF(EG16&lt;$DQ$2+VLOOKUP(AU16,$DF$2:$DN$9,8,FALSE)/2,VLOOKUP(AU16,$DF$2:$DN$9,8,FALSE)/2+$DQ$2,IF(EG16&lt;VLOOKUP(AU16,$DF$2:$DN$9,4,FALSE)+IF(OR(MID(CW16,1,1)="R",CW16="Q"),DW16+IF(BQ16="",0,BQ16),0)-VLOOKUP(AU16,$DF$2:$DN$9,8,FALSE)/2-$DQ$2,EG16,IF(EG16&lt;=VLOOKUP(AU16,$DF$2:$DN$9,4,FALSE)+IF(OR(MID(CW16,1,1)="R",CW16="Q"),DW16+IF(BQ16="",0,BQ16),0)-(VLOOKUP(AU16,$DF$2:$DN$9,7,FALSE)-0.0625)/2-$DQ$2,VLOOKUP(AU16,$DF$2:$DN$9,4,FALSE)+IF(OR(MID(CW16,1,1)="R",CW16="Q"),DW16+IF(BQ16="",0,BQ16),0)-(VLOOKUP(AU16,$DF$2:$DN$9,8,FALSE)/2+$DQ$2),"ERR")))),EG16)</f>
        <v>#N/A</v>
      </c>
      <c r="EJ16" s="763" t="str">
        <f t="shared" ref="EJ16:EK45" si="58">IF(ISERROR(EF16),"ERR",IF(EF16="","",IF(EH16="ERR","ERR",CEILING(EH16-0.0625,0.125))))</f>
        <v/>
      </c>
      <c r="EK16" s="763" t="str">
        <f t="shared" si="58"/>
        <v/>
      </c>
      <c r="EL16" s="1210" t="str">
        <f t="shared" ref="EL16:EL45" si="59">IF(AND(FC16="",DK16=""),"",IF(FC16="ERR","ERR",IF(DE16="C",DK16,IF(BV16="","",IF(DK16="",(FC16/2)*-1,DK16)))))</f>
        <v/>
      </c>
      <c r="EM16" s="763" t="str">
        <f t="shared" ref="EM16:EM45" si="60">IF(EL16="ERR","ERR",IF(EL16="","",IF(DL16*TAN(DY16)&lt;=(VLOOKUP(AU16,$DF$2:$DN$9,8,FALSE)-(VLOOKUP(AU16,$DF$2:$DN$9,7,FALSE)-0.0625)),DF16-(EL16-FM16)/IF(OR(DE16="C",AND(DE16="M",$DD$1="N")),1,COS(DY16))-IF(MID(DG16,1,1)="R",0,EC16),(ABS(EL16-FM16)/IF(OR(DE16="C",AND(DE16="M",$DD$1="N")),1,COS(DY16))+DF16)-((DL16/2)*TAN(DY16))-IF(MID(DG16,1,1)="R",0,EC16))))</f>
        <v/>
      </c>
      <c r="EN16" s="763" t="str">
        <f t="shared" ref="EN16:EN45" si="61">IF(EL16="ERR","ERR",IF(EL16="","",IF(DL16*TAN(DY16)&lt;=(VLOOKUP(AU16,$DF$2:$DN$9,8,FALSE)-(VLOOKUP(AU16,$DF$2:$DN$9,7,FALSE)-0.0625)),DF16-(EL16-FM16)/IF(OR(DE16="C",AND(DE16="M",$DD$1="N")),1,COS(DY16))-IF(MID(DG16,1,1)="R",0,EC16),(ABS(EL16-FM16)/IF(OR(DE16="C",AND(DE16="M",$DD$1="N")),1,COS(DY16))+DF16)+((DL16/2)*TAN(DY16))-IF(MID(DG16,1,1)="R",0,EC16))))</f>
        <v/>
      </c>
      <c r="EO16" s="795" t="e">
        <f t="shared" ref="EO16:EO45" si="62">IF(CC16="",IF(EM16&lt;$DQ$2+(VLOOKUP(AU16,$DF$2:$DN$9,7,FALSE)-0.0625)/2,"ERR",IF(EM16&lt;$DQ$2+VLOOKUP(AU16,$DF$2:$DN$9,8,FALSE)/2,VLOOKUP(AU16,$DF$2:$DN$9,8,FALSE)/2+$DQ$2,IF(EM16&lt;VLOOKUP(AU16,$DF$2:$DN$9,4,FALSE)+IF(OR(MID(DG16,1,1)="R",DG16="Q"),EC16+IF(CC16="",0,CC16),0)-VLOOKUP(AU16,$DF$2:$DN$9,8,FALSE)/2-$DQ$2,EM16,IF(EM16&lt;=VLOOKUP(AU16,$DF$2:$DN$9,4,FALSE)+IF(OR(MID(DG16,1,1)="R",DG16="Q"),EC16+IF(CC16="",0,CC16),0)-(VLOOKUP(AU16,$DF$2:$DN$9,7,FALSE)-0.0625)/2-$DQ$2,VLOOKUP(AU16,$DF$2:$DN$9,4,FALSE)+IF(OR(MID(DG16,1,1)="R",DG16="Q"),EC16+IF(CC16="",0,CC16),0)-(VLOOKUP(AU16,$DF$2:$DN$9,8,FALSE)/2+$DQ$2),"ERR")))),EM16)</f>
        <v>#N/A</v>
      </c>
      <c r="EP16" s="795" t="e">
        <f t="shared" ref="EP16:EP45" si="63">IF(CC16="",IF(EN16&lt;$DQ$2+(VLOOKUP(AU16,$DF$2:$DN$9,7,FALSE)-0.0625)/2,"ERR",IF(EN16&lt;$DQ$2+VLOOKUP(AU16,$DF$2:$DN$9,8,FALSE)/2,VLOOKUP(AU16,$DF$2:$DN$9,8,FALSE)/2+$DQ$2,IF(EN16&lt;VLOOKUP(AU16,$DF$2:$DN$9,4,FALSE)+IF(OR(MID(DG16,1,1)="R",DG16="Q"),EC16+IF(CC16="",0,CC16),0)-VLOOKUP(AU16,$DF$2:$DN$9,8,FALSE)/2-$DQ$2,EN16,IF(EN16&lt;=VLOOKUP(AU16,$DF$2:$DN$9,4,FALSE)+IF(OR(MID(DG16,1,1)="R",DG16="Q"),EC16+IF(CC16="",0,CC16),0)-(VLOOKUP(AU16,$DF$2:$DN$9,7,FALSE)-0.0625)/2-$DQ$2,VLOOKUP(AU16,$DF$2:$DN$9,4,FALSE)+IF(OR(MID(DG16,1,1)="R",DG16="Q"),EC16+IF(CC16="",0,CC16),0)-(VLOOKUP(AU16,$DF$2:$DN$9,8,FALSE)/2+$DQ$2),"ERR")))),EN16)</f>
        <v>#N/A</v>
      </c>
      <c r="EQ16" s="1253" t="str">
        <f t="shared" ref="EQ16:ER45" si="64">IF(ISERROR(EM16),"ERR",IF(EM16="","",IF(EO16="ERR","ERR",CEILING(EO16-0.0625,0.125))))</f>
        <v/>
      </c>
      <c r="ER16" s="800" t="str">
        <f t="shared" si="64"/>
        <v/>
      </c>
      <c r="ES16" s="763" t="str">
        <f t="shared" ref="ES16:ES45" si="65">IF(OR(CY16="",AU16="JS",AU16="HDR",BO16=""),"",IF((CV16-CY16)/COS(DO16)-FS16&lt;=-0.0625,CEILING((CV16-CY16)/COS(DO16)-FS16+0.0625,-0.125),IF((CV16-CY16)/COS(DO16)-FS16&gt;=0.0625,CEILING((CV16-CY16)/COS(DO16)-FS16-0.0625,0.125),0)))</f>
        <v/>
      </c>
      <c r="ET16" s="763" t="str">
        <f t="shared" ref="ET16:ET45" si="66">IF(OR(DI16="",AU16="JS",AU16="HDR",CA16=""),"",IF((DF16-DI16)/COS(DO16)-FT16&lt;=-0.0625,CEILING((DF16-DI16)/COS(DO16)-FT16+0.0625,-0.125),IF((DF16-DI16)/COS(DO16)-FT16&gt;=0.0625,CEILING((DF16-DI16)/COS(DO16)-FT16-0.0625,0.125),0)))</f>
        <v/>
      </c>
      <c r="EU16" s="802" t="str">
        <f t="shared" ref="EU16:EU45" si="67">IF(AU16="","",VLOOKUP(AU16,$DF$2:$DN$9,6,FALSE))</f>
        <v/>
      </c>
      <c r="EV16" s="765" t="str">
        <f t="shared" ref="EV16:EV45" si="68">IF(AND(EK16="",ER16=""),"",IF(EK16="",DL16,IF(EQ16="",DB16,IF(DB16&lt;&gt;DL16,EU16,DB16))))</f>
        <v/>
      </c>
      <c r="EW16" s="802"/>
      <c r="EX16" s="802" t="str">
        <f>IF(AND(CU16="G", ISBLANK(BK16), ISBLANK(BL16)),VLOOKUP(MIN(BH16:BI16),#REF!,2),IF(OR(CU16="B",CU16="G"),MIN(BK16:BL16),""))</f>
        <v/>
      </c>
      <c r="EY16" s="802" t="str">
        <f>IF(AND(CU16="G", ISBLANK(BK16), ISBLANK(BL16)),VLOOKUP(MAX(BH16:BI16),#REF!,2),IF(OR(CU16="B",CU16="G"),MAX(BK16:BL16),""))</f>
        <v/>
      </c>
      <c r="EZ16" s="802" t="str">
        <f t="shared" ref="EZ16:EZ45" si="69">IF(BJ16="X",IF(OR(CU16="M",CU16="C"),"",IF((EY16-EX16)/2&lt;=(VLOOKUP(AU16,$DF$2:$DN$9,8,FALSE)-(VLOOKUP(AU16,$DF$2:$DN$9,7,FALSE)-0.0625)),(EX16+EY16)/2,"ERR")),"")</f>
        <v/>
      </c>
      <c r="FA16" s="802" t="str">
        <f>IF(AND(DE16="G", ISBLANK(BW16), ISBLANK(BX16)),VLOOKUP(MIN(BT16:BU16),#REF!,2),IF(OR(DE16="B", DE16="G"),MIN(BW16:BX16),""))</f>
        <v/>
      </c>
      <c r="FB16" s="802" t="str">
        <f>IF(AND(DE16="G", ISBLANK(BW16), ISBLANK(BX16)),VLOOKUP(MAX(BT16:BU16),#REF!,2),IF(OR(DE16="B", DE16="G"),MAX(BW16:BX16),""))</f>
        <v/>
      </c>
      <c r="FC16" s="802" t="str">
        <f t="shared" ref="FC16:FC45" si="70">IF(BV16="X",IF(OR(DE16="M",DE16="C"),"",IF((FB16-FA16)/2&lt;=(VLOOKUP(AU16,$DF$2:$DN$9,8,FALSE)-(VLOOKUP(AU16,$DF$2:$DN$9,7,FALSE)-0.0625)),(FA16+FB16)/2,"ERR")),"")</f>
        <v/>
      </c>
      <c r="FD16" s="801">
        <f>IF(DD16="",0,ATAN(DD16/12))</f>
        <v>0</v>
      </c>
      <c r="FE16" s="801">
        <f t="shared" ref="FE16:FE45" si="71">DO16-FD16</f>
        <v>0</v>
      </c>
      <c r="FF16" s="801">
        <f t="shared" ref="FF16:FF45" si="72">TAN(FE16)*12</f>
        <v>0</v>
      </c>
      <c r="FG16" s="801" t="str">
        <f t="shared" ref="FG16:FG45" si="73">IF(FF16=0,"",IF(ABS(FF16)&lt;$CX$2,IF(AND(ABS(MIN(DV16,FQ16)/12*FF16)&gt;$DD$2,FF16&gt;0),IF(FF16&gt;0,CEILING(FF16-0.0625,0.125),CEILING(FF16+0.0625,-0.125)),""),IF(FF16&gt;0,CEILING(FF16-0.0625,0.125),CEILING(FF16+0.0625,-0.125))))</f>
        <v/>
      </c>
      <c r="FH16" s="800" t="str">
        <f t="shared" ref="FH16:FH45" si="74">IF(CX16="","",CX16*TAN(FD16))</f>
        <v/>
      </c>
      <c r="FI16" s="801">
        <f>IF(DN16="",0,ATAN(DN16/12))</f>
        <v>0</v>
      </c>
      <c r="FJ16" s="801">
        <f t="shared" ref="FJ16:FJ45" si="75">DO16+FI16</f>
        <v>0</v>
      </c>
      <c r="FK16" s="801">
        <f t="shared" ref="FK16:FK45" si="76">TAN(FJ16)*-12</f>
        <v>0</v>
      </c>
      <c r="FL16" s="801" t="str">
        <f t="shared" ref="FL16:FL45" si="77">IF(FK16=0,"",IF(ABS(FK16)&lt;$CX$2,IF(AND(ABS(MIN(EB16,FR16)/12*FK16)&gt;$DD$2,FK16&gt;0),IF(FK16&gt;0,CEILING(FK16-0.0625,0.125),CEILING(FK16+0.0625,-0.125)),""),IF(FK16&gt;0,CEILING(FK16-0.0625,0.125),CEILING(FK16+0.0625,-0.125))))</f>
        <v/>
      </c>
      <c r="FM16" s="800" t="str">
        <f t="shared" ref="FM16:FM45" si="78">IF(DH16="","",DH16*TAN(FI16))</f>
        <v/>
      </c>
      <c r="FN16" s="800" t="e">
        <f t="shared" ref="FN16:FN45" si="79">IF(((BE16*12+BF16)+CV16+DF16)/COS(DO16)-((BE16*12+BF16)+CV16+DF16)&lt;$DB$2,0,DO16)</f>
        <v>#VALUE!</v>
      </c>
      <c r="FO16" s="1262" t="e">
        <f t="shared" ref="FO16:FO45" si="80">MIN(IF(BH16&gt;0,BH16/2,MAX(BI16/2,DC16)),IF(BI16&gt;0,BI16/2,MAX(BH16/2,DC16)),IF(DC16&gt;0,DC16,MAX(BI16/2,BH16/2)))/COS(DS16)+CV16-DW16-FH16</f>
        <v>#VALUE!</v>
      </c>
      <c r="FP16" s="1262" t="e">
        <f t="shared" ref="FP16:FP45" si="81">MIN(IF(BT16&gt;0,BT16/2,MAX(BU16/2,DM16)),IF(BU16&gt;0,BU16/2,MAX(BT16/2,DM16)),IF(DM16&gt;0,DM16,MAX(BU16/2,BT16/2)))/COS(DY16)+DF16-EC16-FM16</f>
        <v>#VALUE!</v>
      </c>
      <c r="FQ16" s="803" t="e">
        <f t="shared" ref="FQ16:FQ45" si="82">IF(OR(CU16="B",CU16="G"),MAX(BH16,BI16),IF(CU16="M",12,DC16+CV16))</f>
        <v>#VALUE!</v>
      </c>
      <c r="FR16" s="804" t="e">
        <f t="shared" ref="FR16:FR45" si="83">IF(OR(DE16="B",DE16="G"),MAX(BT16,BU16),IF(DE16="M",12,DM16+DF16))</f>
        <v>#VALUE!</v>
      </c>
      <c r="FS16" s="805" t="str">
        <f t="shared" ref="FS16:FS45" si="84">IF(CY16="","",IF(ABS(CE16*((AJ16-IF(CE16&gt;0,VLOOKUP(AU16,$DF$2:$DN$9,9,FALSE),0))/12))&gt;$CZ$2,CE16*((AJ16-IF(CE16&gt;0,VLOOKUP(AU16,$DF$2:$DN$9,9,FALSE),0))/12),0))</f>
        <v/>
      </c>
      <c r="FT16" s="806" t="str">
        <f t="shared" ref="FT16:FT45" si="85">IF(DI16="","",IF(ABS(CE16*((AJ16-IF(CE16&lt;0,VLOOKUP(AU16,$DF$2:$DN$9,9,FALSE),0))/12))&gt;$CZ$2,CE16*((AJ16-IF(CE16&lt;0,VLOOKUP(AU16,$DF$2:$DN$9,9,FALSE),0))/12)*-1,0))</f>
        <v/>
      </c>
      <c r="FU16" s="807">
        <f t="shared" ref="FU16:FU45" si="86">IF(CX16="",0,MAX(0,MIN(DV16-VLOOKUP(AU16,DF$2:DN$9,4,FALSE),(MAX(0,CX16-VLOOKUP(AU16,DF$2:DN$9,3,FALSE))+VLOOKUP(AU16,DF$2:DN$9,4,FALSE))*COS(DO16)+((MAX(0,CX16-VLOOKUP(AU16,DF$2:DN$9,3,FALSE))+VLOOKUP(AU16,DF$2:DN$9,4,FALSE))*COS(PI()/2-DO16))/TAN(PI()/2-(DO16+PI()/4))-VLOOKUP(AU16,DF$2:DN$9,4,FALSE))))</f>
        <v>0</v>
      </c>
      <c r="FV16" s="808">
        <f t="shared" ref="FV16:FV45" si="87">IF(DH16="",0,MAX(0,MIN(EB16-VLOOKUP(AU16,DF$2:DN$9,4,FALSE),(MAX(0,DH16-VLOOKUP(AU16,DF$2:DN$9,3,FALSE))+VLOOKUP(AU16,DF$2:DN$9,4,FALSE))*COS(DO16)+((MAX(0,DH16-VLOOKUP(AU16,DF$2:DN$9,3,FALSE))+VLOOKUP(AU16,DF$2:DN$9,4,FALSE))*COS(PI()/2-DO16))/TAN(PI()/2-(DO16+PI()/4))-VLOOKUP(AU16,DF$2:DN$9,4,FALSE))))</f>
        <v>0</v>
      </c>
      <c r="GA16" s="542" t="str">
        <f t="shared" ref="GA16:GA45" si="88">IF(GF16="","",BE16)</f>
        <v/>
      </c>
      <c r="GB16" s="562" t="str">
        <f t="shared" ref="GB16:GB45" si="89">IF(GF16="","",BF16)</f>
        <v/>
      </c>
      <c r="GC16" s="564" t="str">
        <f t="shared" ref="GC16:GC45" si="90">IF(GF16="","",IF(CV16="",0,CV16))</f>
        <v/>
      </c>
      <c r="GD16" s="565" t="str">
        <f t="shared" ref="GD16:GD45" si="91">IF(GF16="","",IF(DF16="",0,DF16))</f>
        <v/>
      </c>
      <c r="GE16" s="563" t="str">
        <f t="shared" ref="GE16:GE45" si="92">IF(GF16="","",IF(ISBLANK(CE16),IF(Y16=Z16,0,MAX(ABS(Y16),ABS(Z16))*IF(Y16&lt;0,-1,1)),CE16))</f>
        <v/>
      </c>
      <c r="GF16" s="543" t="str">
        <f t="shared" ref="GF16:GF45" si="93">IF(A16=0,"",A16)</f>
        <v/>
      </c>
      <c r="GG16" s="1052"/>
      <c r="GH16" s="1053"/>
      <c r="GI16" s="1052"/>
      <c r="GJ16" s="1053"/>
      <c r="GK16" s="1521">
        <f t="shared" ref="GK16:GK45" si="94">IF(D16="",0,D16*12+E16)</f>
        <v>0</v>
      </c>
      <c r="GL16" s="1519" t="e">
        <f t="shared" ref="GL16:GL45" si="95">(GA16*12+GB16+GC16+GD16)/COS(ATAN(ABS(GE16/12)))</f>
        <v>#VALUE!</v>
      </c>
      <c r="GM16" s="1520" t="e">
        <f>IF(ABS(GK16-GL16)&gt;=#REF!,ABS(GK16-GL16),0)</f>
        <v>#VALUE!</v>
      </c>
      <c r="HA16" s="1181"/>
      <c r="HB16" s="1182"/>
      <c r="HC16" s="1182"/>
      <c r="HD16" s="1183"/>
      <c r="HE16" s="1184"/>
      <c r="HF16" s="1182"/>
      <c r="HG16" s="1182"/>
      <c r="HH16" s="1182"/>
      <c r="HI16" s="1185"/>
      <c r="HJ16" s="1182"/>
      <c r="HK16" s="1182"/>
      <c r="HL16" s="1182"/>
      <c r="HM16" s="1182"/>
      <c r="HN16" s="1182"/>
      <c r="HO16" s="1182"/>
      <c r="HP16" s="1182"/>
      <c r="HQ16" s="1185"/>
      <c r="HR16" s="1182"/>
      <c r="HS16" s="1182"/>
      <c r="HT16" s="1182"/>
      <c r="HU16" s="1182"/>
      <c r="HV16" s="1182"/>
      <c r="HW16" s="1184"/>
      <c r="HX16" s="1184"/>
      <c r="HY16" s="1184"/>
      <c r="HZ16" s="1184"/>
      <c r="IA16" s="1184"/>
      <c r="IB16" s="1184"/>
      <c r="IC16" s="1184"/>
      <c r="ID16" s="1184"/>
      <c r="IE16" s="1184"/>
      <c r="IF16" s="1186"/>
    </row>
    <row r="17" spans="1:240" ht="12.6" customHeight="1" x14ac:dyDescent="0.25">
      <c r="A17" s="1132"/>
      <c r="B17" s="1586"/>
      <c r="C17" s="1133"/>
      <c r="D17" s="1134"/>
      <c r="E17" s="1135"/>
      <c r="F17" s="1143"/>
      <c r="G17" s="1138"/>
      <c r="H17" s="1645"/>
      <c r="I17" s="1134"/>
      <c r="J17" s="1138"/>
      <c r="K17" s="1657"/>
      <c r="L17" s="1141"/>
      <c r="M17" s="1142"/>
      <c r="N17" s="1137"/>
      <c r="O17" s="1138"/>
      <c r="P17" s="1139"/>
      <c r="Q17" s="1134"/>
      <c r="R17" s="1138"/>
      <c r="S17" s="1140"/>
      <c r="T17" s="1143"/>
      <c r="U17" s="1138"/>
      <c r="V17" s="1134"/>
      <c r="W17" s="1138"/>
      <c r="X17" s="1142"/>
      <c r="Y17" s="1647"/>
      <c r="Z17" s="1648"/>
      <c r="AA17" s="1649"/>
      <c r="AB17" s="1288"/>
      <c r="AC17" s="898" t="b">
        <v>0</v>
      </c>
      <c r="AD17" s="374">
        <f t="shared" si="1"/>
        <v>0</v>
      </c>
      <c r="AE17" s="375">
        <f t="shared" si="2"/>
        <v>0</v>
      </c>
      <c r="AF17" s="375">
        <f t="shared" si="3"/>
        <v>0</v>
      </c>
      <c r="AG17" s="375">
        <f t="shared" si="4"/>
        <v>0</v>
      </c>
      <c r="AH17" s="376">
        <f t="shared" si="5"/>
        <v>0</v>
      </c>
      <c r="AI17" s="377" t="b">
        <v>0</v>
      </c>
      <c r="AJ17" s="143">
        <f t="shared" si="6"/>
        <v>0</v>
      </c>
      <c r="AK17" s="771" t="str">
        <f t="shared" si="7"/>
        <v/>
      </c>
      <c r="AL17" s="877" t="str">
        <f t="shared" si="8"/>
        <v/>
      </c>
      <c r="AM17" s="771" t="str">
        <f t="shared" si="9"/>
        <v/>
      </c>
      <c r="AN17" s="771" t="str">
        <f t="shared" si="10"/>
        <v/>
      </c>
      <c r="AO17" s="771" t="str">
        <f t="shared" si="11"/>
        <v/>
      </c>
      <c r="AP17" s="771" t="b">
        <f>IF(ISERROR(AJ17),FALSE,IF(OR(AJ17=0,ISERROR(AL17),ISERROR(AM17),ISERROR(AN17),ISERROR(AO17)),FALSE,IF(AL17&lt;&gt;"",IF(ISERROR(VLOOKUP(SUBSTITUTE(SUBSTITUTE(C17,"R",""),"A",""),#REF!,1,FALSE)),FALSE,TRUE),TRUE)))</f>
        <v>0</v>
      </c>
      <c r="AQ17" s="945" t="e">
        <f t="shared" si="12"/>
        <v>#N/A</v>
      </c>
      <c r="AR17" s="877" t="b">
        <f t="shared" si="13"/>
        <v>0</v>
      </c>
      <c r="AS17" s="945" t="e">
        <f t="shared" si="14"/>
        <v>#N/A</v>
      </c>
      <c r="AT17" s="877" t="b">
        <f t="shared" si="15"/>
        <v>0</v>
      </c>
      <c r="AU17" s="878" t="str">
        <f t="shared" si="16"/>
        <v/>
      </c>
      <c r="AV17" s="771" t="str">
        <f t="shared" si="17"/>
        <v/>
      </c>
      <c r="AW17" s="771" t="str">
        <f t="shared" si="18"/>
        <v/>
      </c>
      <c r="AX17" s="771" t="str">
        <f t="shared" ref="AX17:AX45" si="96">IF(AND(OR(ISBLANK(A17),A17=""),AA17&lt;&gt;""),AX16,IF(OR(ISBLANK(A17),A17=""),"",A17))</f>
        <v/>
      </c>
      <c r="AY17" s="946" t="e">
        <f t="shared" si="19"/>
        <v>#REF!</v>
      </c>
      <c r="AZ17" s="795" t="str">
        <f t="shared" si="20"/>
        <v/>
      </c>
      <c r="BA17" s="496"/>
      <c r="BB17" s="616"/>
      <c r="BC17" s="1567"/>
      <c r="BD17" s="682"/>
      <c r="BE17" s="683"/>
      <c r="BF17" s="684"/>
      <c r="BG17" s="660"/>
      <c r="BH17" s="901"/>
      <c r="BI17" s="902"/>
      <c r="BJ17" s="1508"/>
      <c r="BK17" s="661"/>
      <c r="BL17" s="662"/>
      <c r="BM17" s="663"/>
      <c r="BN17" s="664"/>
      <c r="BO17" s="616" t="str">
        <f>IF(ISERROR(CU17),"",IF(CU17="","",IF(VLOOKUP(BG17,#REF!,10,FALSE)="","","X")))</f>
        <v/>
      </c>
      <c r="BP17" s="687"/>
      <c r="BQ17" s="1430" t="str">
        <f t="shared" si="21"/>
        <v/>
      </c>
      <c r="BR17" s="839"/>
      <c r="BS17" s="660"/>
      <c r="BT17" s="661"/>
      <c r="BU17" s="662"/>
      <c r="BV17" s="1508"/>
      <c r="BW17" s="661"/>
      <c r="BX17" s="662"/>
      <c r="BY17" s="663"/>
      <c r="BZ17" s="664"/>
      <c r="CA17" s="625" t="str">
        <f>IF(ISERROR(DE17),"",IF(DE17="","",IF(VLOOKUP(BS17,#REF!,10,FALSE)="","","X")))</f>
        <v/>
      </c>
      <c r="CB17" s="687"/>
      <c r="CC17" s="1430" t="str">
        <f t="shared" si="22"/>
        <v/>
      </c>
      <c r="CD17" s="839"/>
      <c r="CE17" s="665"/>
      <c r="CF17" s="685"/>
      <c r="CG17" s="686"/>
      <c r="CH17" s="534" t="str">
        <f t="shared" si="23"/>
        <v/>
      </c>
      <c r="CI17" s="535" t="str">
        <f t="shared" si="24"/>
        <v/>
      </c>
      <c r="CJ17" s="536" t="str">
        <f t="shared" si="25"/>
        <v/>
      </c>
      <c r="CK17" s="537" t="str">
        <f t="shared" si="26"/>
        <v/>
      </c>
      <c r="CL17" s="538" t="str">
        <f t="shared" si="27"/>
        <v/>
      </c>
      <c r="CM17" s="539" t="str">
        <f t="shared" si="28"/>
        <v/>
      </c>
      <c r="CN17" s="540" t="str">
        <f t="shared" si="29"/>
        <v/>
      </c>
      <c r="CO17" s="541" t="str">
        <f t="shared" si="30"/>
        <v/>
      </c>
      <c r="CP17" s="558" t="str">
        <f t="shared" si="31"/>
        <v/>
      </c>
      <c r="CQ17" s="559" t="str">
        <f t="shared" si="32"/>
        <v/>
      </c>
      <c r="CR17" s="699" t="str">
        <f t="shared" si="33"/>
        <v/>
      </c>
      <c r="CS17" s="700" t="str">
        <f t="shared" si="34"/>
        <v/>
      </c>
      <c r="CU17" s="758" t="str">
        <f>IF(BG17="","",VLOOKUP(BG17,#REF!,12,FALSE))</f>
        <v/>
      </c>
      <c r="CV17" s="756" t="str">
        <f>IF(BG17="","",IF(ISBLANK(BP17),VLOOKUP(BG17,#REF!,13,FALSE),BP17))</f>
        <v/>
      </c>
      <c r="CW17" s="756" t="str">
        <f>IF(BG17="","",IF(VLOOKUP(BG17,#REF!,5,FALSE)="","R",UPPER(VLOOKUP(BG17,#REF!,5,FALSE))))</f>
        <v/>
      </c>
      <c r="CX17" s="756" t="str">
        <f>IF(BG17="","",IF(ISBLANK(BR17),VLOOKUP(BG17,#REF!,6,FALSE),BR17))</f>
        <v/>
      </c>
      <c r="CY17" s="1203" t="str">
        <f>IF(BG17="","",IF(VLOOKUP(BG17,#REF!,10,FALSE)="","",(IF(BO17="X",VLOOKUP(BG17,#REF!,10,FALSE),VALUE(BO17))*-1)))</f>
        <v/>
      </c>
      <c r="CZ17" s="1042" t="str">
        <f>IF(BG17="","",IF(VLOOKUP(BG17,#REF!,11,FALSE)="","2",(VLOOKUP(BG17,#REF!,11,FALSE))))</f>
        <v/>
      </c>
      <c r="DA17" s="756" t="str">
        <f>IF(BG17="","",IF(VLOOKUP(BG17,#REF!,7,FALSE)="","",(VLOOKUP(BG17,#REF!,7,FALSE)*-1)))</f>
        <v/>
      </c>
      <c r="DB17" s="756" t="str">
        <f>IF(BG17="","",IF(VLOOKUP(BG17,#REF!,8,FALSE)="",VLOOKUP(AU17,$DF$2:$DN$9,6,FALSE),(VLOOKUP(BG17,#REF!,8,FALSE))))</f>
        <v/>
      </c>
      <c r="DC17" s="756" t="str">
        <f>IF(BG17="","",VLOOKUP(BG17,#REF!,9,FALSE))</f>
        <v/>
      </c>
      <c r="DD17" s="757">
        <f t="shared" si="35"/>
        <v>0</v>
      </c>
      <c r="DE17" s="758" t="str">
        <f>IF(BS17="","",VLOOKUP(BS17,#REF!,12,FALSE))</f>
        <v/>
      </c>
      <c r="DF17" s="756" t="str">
        <f>IF(BS17="","",IF(ISBLANK(CB17),VLOOKUP(BS17,#REF!,13,FALSE),CB17))</f>
        <v/>
      </c>
      <c r="DG17" s="756" t="str">
        <f>IF(BS17="","",IF(VLOOKUP(BS17,#REF!,5,FALSE)="","R",UPPER(VLOOKUP(BS17,#REF!,5,FALSE))))</f>
        <v/>
      </c>
      <c r="DH17" s="756" t="str">
        <f>IF(BS17="","",IF(ISBLANK(CD17),VLOOKUP(BS17,#REF!,6,FALSE),CD17))</f>
        <v/>
      </c>
      <c r="DI17" s="1203" t="str">
        <f>IF(BS17="","",IF(VLOOKUP(BS17,#REF!,10,FALSE)="","",(IF(CA17="X",VLOOKUP(BS17,#REF!,10,FALSE),VALUE(CA17))*-1)))</f>
        <v/>
      </c>
      <c r="DJ17" s="1042" t="str">
        <f>IF(BS17="","",IF(VLOOKUP(BS17,#REF!,11,FALSE)="","2",(VLOOKUP(BS17,#REF!,11,FALSE))))</f>
        <v/>
      </c>
      <c r="DK17" s="756" t="str">
        <f>IF(BS17="","",IF(VLOOKUP(BS17,#REF!,7,FALSE)="","",(VLOOKUP(BS17,#REF!,7,FALSE)*-1)))</f>
        <v/>
      </c>
      <c r="DL17" s="756" t="str">
        <f>IF(BS17="","",IF(VLOOKUP(BS17,#REF!,8,FALSE)="",VLOOKUP(AU17,$DF$2:$DN$9,6,FALSE),(VLOOKUP(BS17,#REF!,8,FALSE))))</f>
        <v/>
      </c>
      <c r="DM17" s="756" t="str">
        <f>IF(BS17="","",VLOOKUP(BS17,#REF!,9,FALSE))</f>
        <v/>
      </c>
      <c r="DN17" s="757">
        <f t="shared" si="36"/>
        <v>0</v>
      </c>
      <c r="DO17" s="759">
        <f t="shared" si="37"/>
        <v>0</v>
      </c>
      <c r="DP17" s="763" t="str">
        <f t="shared" si="38"/>
        <v/>
      </c>
      <c r="DQ17" s="763" t="str">
        <f t="shared" si="39"/>
        <v/>
      </c>
      <c r="DR17" s="763" t="str">
        <f t="shared" si="40"/>
        <v/>
      </c>
      <c r="DS17" s="762">
        <f t="shared" si="41"/>
        <v>0</v>
      </c>
      <c r="DT17" s="762" t="e">
        <f t="shared" si="42"/>
        <v>#REF!</v>
      </c>
      <c r="DU17" s="762" t="str">
        <f t="shared" si="43"/>
        <v/>
      </c>
      <c r="DV17" s="763" t="str">
        <f t="shared" si="44"/>
        <v/>
      </c>
      <c r="DW17" s="795" t="str">
        <f t="shared" si="45"/>
        <v/>
      </c>
      <c r="DX17" s="926">
        <f t="shared" si="46"/>
        <v>0</v>
      </c>
      <c r="DY17" s="763">
        <f t="shared" si="47"/>
        <v>0</v>
      </c>
      <c r="DZ17" s="762" t="e">
        <f t="shared" si="48"/>
        <v>#REF!</v>
      </c>
      <c r="EA17" s="762" t="str">
        <f t="shared" si="49"/>
        <v/>
      </c>
      <c r="EB17" s="763" t="str">
        <f t="shared" si="50"/>
        <v/>
      </c>
      <c r="EC17" s="795" t="str">
        <f t="shared" si="51"/>
        <v/>
      </c>
      <c r="ED17" s="926">
        <f t="shared" si="52"/>
        <v>0</v>
      </c>
      <c r="EE17" s="1210" t="str">
        <f t="shared" si="53"/>
        <v/>
      </c>
      <c r="EF17" s="1210" t="str">
        <f t="shared" si="54"/>
        <v/>
      </c>
      <c r="EG17" s="1210" t="str">
        <f t="shared" si="55"/>
        <v/>
      </c>
      <c r="EH17" s="795" t="e">
        <f t="shared" si="56"/>
        <v>#N/A</v>
      </c>
      <c r="EI17" s="795" t="e">
        <f t="shared" si="57"/>
        <v>#N/A</v>
      </c>
      <c r="EJ17" s="763" t="str">
        <f t="shared" si="58"/>
        <v/>
      </c>
      <c r="EK17" s="763" t="str">
        <f t="shared" si="58"/>
        <v/>
      </c>
      <c r="EL17" s="1210" t="str">
        <f t="shared" si="59"/>
        <v/>
      </c>
      <c r="EM17" s="763" t="str">
        <f t="shared" si="60"/>
        <v/>
      </c>
      <c r="EN17" s="763" t="str">
        <f t="shared" si="61"/>
        <v/>
      </c>
      <c r="EO17" s="795" t="e">
        <f t="shared" si="62"/>
        <v>#N/A</v>
      </c>
      <c r="EP17" s="795" t="e">
        <f t="shared" si="63"/>
        <v>#N/A</v>
      </c>
      <c r="EQ17" s="1210" t="str">
        <f t="shared" si="64"/>
        <v/>
      </c>
      <c r="ER17" s="763" t="str">
        <f t="shared" si="64"/>
        <v/>
      </c>
      <c r="ES17" s="763" t="str">
        <f t="shared" si="65"/>
        <v/>
      </c>
      <c r="ET17" s="763" t="str">
        <f t="shared" si="66"/>
        <v/>
      </c>
      <c r="EU17" s="770" t="str">
        <f t="shared" si="67"/>
        <v/>
      </c>
      <c r="EV17" s="765" t="str">
        <f t="shared" si="68"/>
        <v/>
      </c>
      <c r="EW17" s="770"/>
      <c r="EX17" s="770" t="str">
        <f>IF(AND(CU17="G", ISBLANK(BK17), ISBLANK(BL17)),VLOOKUP(MIN(BH17:BI17),#REF!,2),IF(OR(CU17="B",CU17="G"),MIN(BK17:BL17),""))</f>
        <v/>
      </c>
      <c r="EY17" s="770" t="str">
        <f>IF(AND(CU17="G", ISBLANK(BK17), ISBLANK(BL17)),VLOOKUP(MAX(BH17:BI17),#REF!,2),IF(OR(CU17="B",CU17="G"),MAX(BK17:BL17),""))</f>
        <v/>
      </c>
      <c r="EZ17" s="770" t="str">
        <f t="shared" si="69"/>
        <v/>
      </c>
      <c r="FA17" s="770" t="str">
        <f>IF(AND(DE17="G", ISBLANK(BW17), ISBLANK(BX17)),VLOOKUP(MIN(BT17:BU17),#REF!,2),IF(OR(DE17="B", DE17="G"),MIN(BW17:BX17),""))</f>
        <v/>
      </c>
      <c r="FB17" s="770" t="str">
        <f>IF(AND(DE17="G", ISBLANK(BW17), ISBLANK(BX17)),VLOOKUP(MAX(BT17:BU17),#REF!,2),IF(OR(DE17="B", DE17="G"),MAX(BW17:BX17),""))</f>
        <v/>
      </c>
      <c r="FC17" s="770" t="str">
        <f t="shared" si="70"/>
        <v/>
      </c>
      <c r="FD17" s="762">
        <f t="shared" ref="FD17:FD45" si="97">IF(DD17="",0,ATAN(DD17/12))</f>
        <v>0</v>
      </c>
      <c r="FE17" s="762">
        <f t="shared" si="71"/>
        <v>0</v>
      </c>
      <c r="FF17" s="762">
        <f t="shared" si="72"/>
        <v>0</v>
      </c>
      <c r="FG17" s="762" t="str">
        <f t="shared" si="73"/>
        <v/>
      </c>
      <c r="FH17" s="763" t="str">
        <f t="shared" si="74"/>
        <v/>
      </c>
      <c r="FI17" s="762">
        <f t="shared" ref="FI17:FI45" si="98">IF(DN17="",0,ATAN(DN17/12))</f>
        <v>0</v>
      </c>
      <c r="FJ17" s="762">
        <f t="shared" si="75"/>
        <v>0</v>
      </c>
      <c r="FK17" s="762">
        <f t="shared" si="76"/>
        <v>0</v>
      </c>
      <c r="FL17" s="762" t="str">
        <f t="shared" si="77"/>
        <v/>
      </c>
      <c r="FM17" s="763" t="str">
        <f t="shared" si="78"/>
        <v/>
      </c>
      <c r="FN17" s="763" t="e">
        <f t="shared" si="79"/>
        <v>#VALUE!</v>
      </c>
      <c r="FO17" s="872" t="e">
        <f t="shared" si="80"/>
        <v>#VALUE!</v>
      </c>
      <c r="FP17" s="872" t="e">
        <f t="shared" si="81"/>
        <v>#VALUE!</v>
      </c>
      <c r="FQ17" s="771" t="e">
        <f t="shared" si="82"/>
        <v>#VALUE!</v>
      </c>
      <c r="FR17" s="772" t="e">
        <f t="shared" si="83"/>
        <v>#VALUE!</v>
      </c>
      <c r="FS17" s="773" t="str">
        <f t="shared" si="84"/>
        <v/>
      </c>
      <c r="FT17" s="774" t="str">
        <f t="shared" si="85"/>
        <v/>
      </c>
      <c r="FU17" s="809">
        <f t="shared" si="86"/>
        <v>0</v>
      </c>
      <c r="FV17" s="810">
        <f t="shared" si="87"/>
        <v>0</v>
      </c>
      <c r="GA17" s="542" t="str">
        <f t="shared" si="88"/>
        <v/>
      </c>
      <c r="GB17" s="562" t="str">
        <f t="shared" si="89"/>
        <v/>
      </c>
      <c r="GC17" s="564" t="str">
        <f t="shared" si="90"/>
        <v/>
      </c>
      <c r="GD17" s="565" t="str">
        <f t="shared" si="91"/>
        <v/>
      </c>
      <c r="GE17" s="563" t="str">
        <f t="shared" si="92"/>
        <v/>
      </c>
      <c r="GF17" s="543" t="str">
        <f t="shared" si="93"/>
        <v/>
      </c>
      <c r="GG17" s="1052"/>
      <c r="GH17" s="1053"/>
      <c r="GI17" s="1052"/>
      <c r="GJ17" s="1053"/>
      <c r="GK17" s="1521">
        <f t="shared" si="94"/>
        <v>0</v>
      </c>
      <c r="GL17" s="1519" t="e">
        <f t="shared" si="95"/>
        <v>#VALUE!</v>
      </c>
      <c r="GM17" s="1520" t="e">
        <f>IF(ABS(GK17-GL17)&gt;=#REF!,ABS(GK17-GL17),0)</f>
        <v>#VALUE!</v>
      </c>
      <c r="HA17" s="1187"/>
      <c r="HB17" s="1188"/>
      <c r="HC17" s="1188"/>
      <c r="HD17" s="1189"/>
      <c r="HE17" s="1190"/>
      <c r="HF17" s="1188"/>
      <c r="HG17" s="1188"/>
      <c r="HH17" s="1188"/>
      <c r="HI17" s="1191"/>
      <c r="HJ17" s="1188"/>
      <c r="HK17" s="1188"/>
      <c r="HL17" s="1188"/>
      <c r="HM17" s="1188"/>
      <c r="HN17" s="1188"/>
      <c r="HO17" s="1188"/>
      <c r="HP17" s="1188"/>
      <c r="HQ17" s="1191"/>
      <c r="HR17" s="1188"/>
      <c r="HS17" s="1188"/>
      <c r="HT17" s="1188"/>
      <c r="HU17" s="1188"/>
      <c r="HV17" s="1188"/>
      <c r="HW17" s="1190"/>
      <c r="HX17" s="1190"/>
      <c r="HY17" s="1190"/>
      <c r="HZ17" s="1190"/>
      <c r="IA17" s="1190"/>
      <c r="IB17" s="1190"/>
      <c r="IC17" s="1190"/>
      <c r="ID17" s="1190"/>
      <c r="IE17" s="1190"/>
      <c r="IF17" s="1192"/>
    </row>
    <row r="18" spans="1:240" ht="12.6" customHeight="1" x14ac:dyDescent="0.25">
      <c r="A18" s="1132"/>
      <c r="B18" s="1586"/>
      <c r="C18" s="1133"/>
      <c r="D18" s="1134"/>
      <c r="E18" s="1135"/>
      <c r="F18" s="1143"/>
      <c r="G18" s="1138"/>
      <c r="H18" s="1645"/>
      <c r="I18" s="1134"/>
      <c r="J18" s="1138"/>
      <c r="K18" s="1657"/>
      <c r="L18" s="1141"/>
      <c r="M18" s="1142"/>
      <c r="N18" s="1137"/>
      <c r="O18" s="1138"/>
      <c r="P18" s="1139"/>
      <c r="Q18" s="1134"/>
      <c r="R18" s="1138"/>
      <c r="S18" s="1140"/>
      <c r="T18" s="1143"/>
      <c r="U18" s="1138"/>
      <c r="V18" s="1134"/>
      <c r="W18" s="1138"/>
      <c r="X18" s="1142"/>
      <c r="Y18" s="1647"/>
      <c r="Z18" s="1648"/>
      <c r="AA18" s="1649"/>
      <c r="AB18" s="1288"/>
      <c r="AC18" s="898" t="b">
        <v>0</v>
      </c>
      <c r="AD18" s="374">
        <f t="shared" si="1"/>
        <v>0</v>
      </c>
      <c r="AE18" s="375">
        <f t="shared" si="2"/>
        <v>0</v>
      </c>
      <c r="AF18" s="375">
        <f t="shared" si="3"/>
        <v>0</v>
      </c>
      <c r="AG18" s="375">
        <f t="shared" si="4"/>
        <v>0</v>
      </c>
      <c r="AH18" s="376">
        <f t="shared" si="5"/>
        <v>0</v>
      </c>
      <c r="AI18" s="377" t="b">
        <v>0</v>
      </c>
      <c r="AJ18" s="143">
        <f t="shared" si="6"/>
        <v>0</v>
      </c>
      <c r="AK18" s="771" t="str">
        <f t="shared" si="7"/>
        <v/>
      </c>
      <c r="AL18" s="877" t="str">
        <f t="shared" si="8"/>
        <v/>
      </c>
      <c r="AM18" s="771" t="str">
        <f t="shared" si="9"/>
        <v/>
      </c>
      <c r="AN18" s="771" t="str">
        <f t="shared" si="10"/>
        <v/>
      </c>
      <c r="AO18" s="771" t="str">
        <f t="shared" si="11"/>
        <v/>
      </c>
      <c r="AP18" s="771" t="b">
        <f>IF(ISERROR(AJ18),FALSE,IF(OR(AJ18=0,ISERROR(AL18),ISERROR(AM18),ISERROR(AN18),ISERROR(AO18)),FALSE,IF(AL18&lt;&gt;"",IF(ISERROR(VLOOKUP(SUBSTITUTE(SUBSTITUTE(C18,"R",""),"A",""),#REF!,1,FALSE)),FALSE,TRUE),TRUE)))</f>
        <v>0</v>
      </c>
      <c r="AQ18" s="945" t="e">
        <f t="shared" si="12"/>
        <v>#N/A</v>
      </c>
      <c r="AR18" s="877" t="b">
        <f t="shared" si="13"/>
        <v>0</v>
      </c>
      <c r="AS18" s="945" t="e">
        <f t="shared" si="14"/>
        <v>#N/A</v>
      </c>
      <c r="AT18" s="877" t="b">
        <f t="shared" si="15"/>
        <v>0</v>
      </c>
      <c r="AU18" s="878" t="str">
        <f t="shared" si="16"/>
        <v/>
      </c>
      <c r="AV18" s="771" t="str">
        <f t="shared" si="17"/>
        <v/>
      </c>
      <c r="AW18" s="771" t="str">
        <f t="shared" si="18"/>
        <v/>
      </c>
      <c r="AX18" s="771" t="str">
        <f t="shared" si="96"/>
        <v/>
      </c>
      <c r="AY18" s="946" t="e">
        <f t="shared" si="19"/>
        <v>#REF!</v>
      </c>
      <c r="AZ18" s="795" t="str">
        <f t="shared" si="20"/>
        <v/>
      </c>
      <c r="BA18" s="496"/>
      <c r="BB18" s="616"/>
      <c r="BC18" s="1567"/>
      <c r="BD18" s="682"/>
      <c r="BE18" s="683"/>
      <c r="BF18" s="684"/>
      <c r="BG18" s="660"/>
      <c r="BH18" s="901"/>
      <c r="BI18" s="902"/>
      <c r="BJ18" s="1508"/>
      <c r="BK18" s="661"/>
      <c r="BL18" s="662"/>
      <c r="BM18" s="663"/>
      <c r="BN18" s="664"/>
      <c r="BO18" s="616" t="str">
        <f>IF(ISERROR(CU18),"",IF(CU18="","",IF(VLOOKUP(BG18,#REF!,10,FALSE)="","","X")))</f>
        <v/>
      </c>
      <c r="BP18" s="687"/>
      <c r="BQ18" s="1430" t="str">
        <f t="shared" si="21"/>
        <v/>
      </c>
      <c r="BR18" s="839"/>
      <c r="BS18" s="660"/>
      <c r="BT18" s="661"/>
      <c r="BU18" s="662"/>
      <c r="BV18" s="1508"/>
      <c r="BW18" s="661"/>
      <c r="BX18" s="662"/>
      <c r="BY18" s="663"/>
      <c r="BZ18" s="664"/>
      <c r="CA18" s="625" t="str">
        <f>IF(ISERROR(DE18),"",IF(DE18="","",IF(VLOOKUP(BS18,#REF!,10,FALSE)="","","X")))</f>
        <v/>
      </c>
      <c r="CB18" s="687"/>
      <c r="CC18" s="1430" t="str">
        <f t="shared" si="22"/>
        <v/>
      </c>
      <c r="CD18" s="839"/>
      <c r="CE18" s="665"/>
      <c r="CF18" s="685"/>
      <c r="CG18" s="686"/>
      <c r="CH18" s="534" t="str">
        <f t="shared" si="23"/>
        <v/>
      </c>
      <c r="CI18" s="535" t="str">
        <f t="shared" si="24"/>
        <v/>
      </c>
      <c r="CJ18" s="536" t="str">
        <f t="shared" si="25"/>
        <v/>
      </c>
      <c r="CK18" s="537" t="str">
        <f t="shared" si="26"/>
        <v/>
      </c>
      <c r="CL18" s="538" t="str">
        <f t="shared" si="27"/>
        <v/>
      </c>
      <c r="CM18" s="539" t="str">
        <f t="shared" si="28"/>
        <v/>
      </c>
      <c r="CN18" s="540" t="str">
        <f t="shared" si="29"/>
        <v/>
      </c>
      <c r="CO18" s="541" t="str">
        <f t="shared" si="30"/>
        <v/>
      </c>
      <c r="CP18" s="558" t="str">
        <f t="shared" si="31"/>
        <v/>
      </c>
      <c r="CQ18" s="559" t="str">
        <f t="shared" si="32"/>
        <v/>
      </c>
      <c r="CR18" s="699" t="str">
        <f t="shared" si="33"/>
        <v/>
      </c>
      <c r="CS18" s="700" t="str">
        <f t="shared" si="34"/>
        <v/>
      </c>
      <c r="CU18" s="758" t="str">
        <f>IF(BG18="","",VLOOKUP(BG18,#REF!,12,FALSE))</f>
        <v/>
      </c>
      <c r="CV18" s="756" t="str">
        <f>IF(BG18="","",IF(ISBLANK(BP18),VLOOKUP(BG18,#REF!,13,FALSE),BP18))</f>
        <v/>
      </c>
      <c r="CW18" s="756" t="str">
        <f>IF(BG18="","",IF(VLOOKUP(BG18,#REF!,5,FALSE)="","R",UPPER(VLOOKUP(BG18,#REF!,5,FALSE))))</f>
        <v/>
      </c>
      <c r="CX18" s="756" t="str">
        <f>IF(BG18="","",IF(ISBLANK(BR18),VLOOKUP(BG18,#REF!,6,FALSE),BR18))</f>
        <v/>
      </c>
      <c r="CY18" s="1203" t="str">
        <f>IF(BG18="","",IF(VLOOKUP(BG18,#REF!,10,FALSE)="","",(IF(BO18="X",VLOOKUP(BG18,#REF!,10,FALSE),VALUE(BO18))*-1)))</f>
        <v/>
      </c>
      <c r="CZ18" s="1042" t="str">
        <f>IF(BG18="","",IF(VLOOKUP(BG18,#REF!,11,FALSE)="","2",(VLOOKUP(BG18,#REF!,11,FALSE))))</f>
        <v/>
      </c>
      <c r="DA18" s="756" t="str">
        <f>IF(BG18="","",IF(VLOOKUP(BG18,#REF!,7,FALSE)="","",(VLOOKUP(BG18,#REF!,7,FALSE)*-1)))</f>
        <v/>
      </c>
      <c r="DB18" s="756" t="str">
        <f>IF(BG18="","",IF(VLOOKUP(BG18,#REF!,8,FALSE)="",VLOOKUP(AU18,$DF$2:$DN$9,6,FALSE),(VLOOKUP(BG18,#REF!,8,FALSE))))</f>
        <v/>
      </c>
      <c r="DC18" s="756" t="str">
        <f>IF(BG18="","",VLOOKUP(BG18,#REF!,9,FALSE))</f>
        <v/>
      </c>
      <c r="DD18" s="757">
        <f t="shared" si="35"/>
        <v>0</v>
      </c>
      <c r="DE18" s="758" t="str">
        <f>IF(BS18="","",VLOOKUP(BS18,#REF!,12,FALSE))</f>
        <v/>
      </c>
      <c r="DF18" s="756" t="str">
        <f>IF(BS18="","",IF(ISBLANK(CB18),VLOOKUP(BS18,#REF!,13,FALSE),CB18))</f>
        <v/>
      </c>
      <c r="DG18" s="756" t="str">
        <f>IF(BS18="","",IF(VLOOKUP(BS18,#REF!,5,FALSE)="","R",UPPER(VLOOKUP(BS18,#REF!,5,FALSE))))</f>
        <v/>
      </c>
      <c r="DH18" s="756" t="str">
        <f>IF(BS18="","",IF(ISBLANK(CD18),VLOOKUP(BS18,#REF!,6,FALSE),CD18))</f>
        <v/>
      </c>
      <c r="DI18" s="1203" t="str">
        <f>IF(BS18="","",IF(VLOOKUP(BS18,#REF!,10,FALSE)="","",(IF(CA18="X",VLOOKUP(BS18,#REF!,10,FALSE),VALUE(CA18))*-1)))</f>
        <v/>
      </c>
      <c r="DJ18" s="1042" t="str">
        <f>IF(BS18="","",IF(VLOOKUP(BS18,#REF!,11,FALSE)="","2",(VLOOKUP(BS18,#REF!,11,FALSE))))</f>
        <v/>
      </c>
      <c r="DK18" s="756" t="str">
        <f>IF(BS18="","",IF(VLOOKUP(BS18,#REF!,7,FALSE)="","",(VLOOKUP(BS18,#REF!,7,FALSE)*-1)))</f>
        <v/>
      </c>
      <c r="DL18" s="756" t="str">
        <f>IF(BS18="","",IF(VLOOKUP(BS18,#REF!,8,FALSE)="",VLOOKUP(AU18,$DF$2:$DN$9,6,FALSE),(VLOOKUP(BS18,#REF!,8,FALSE))))</f>
        <v/>
      </c>
      <c r="DM18" s="756" t="str">
        <f>IF(BS18="","",VLOOKUP(BS18,#REF!,9,FALSE))</f>
        <v/>
      </c>
      <c r="DN18" s="757">
        <f t="shared" si="36"/>
        <v>0</v>
      </c>
      <c r="DO18" s="759">
        <f t="shared" si="37"/>
        <v>0</v>
      </c>
      <c r="DP18" s="763" t="str">
        <f t="shared" si="38"/>
        <v/>
      </c>
      <c r="DQ18" s="763" t="str">
        <f t="shared" si="39"/>
        <v/>
      </c>
      <c r="DR18" s="763" t="str">
        <f t="shared" si="40"/>
        <v/>
      </c>
      <c r="DS18" s="762">
        <f t="shared" si="41"/>
        <v>0</v>
      </c>
      <c r="DT18" s="762" t="e">
        <f t="shared" si="42"/>
        <v>#REF!</v>
      </c>
      <c r="DU18" s="762" t="str">
        <f t="shared" si="43"/>
        <v/>
      </c>
      <c r="DV18" s="763" t="str">
        <f t="shared" si="44"/>
        <v/>
      </c>
      <c r="DW18" s="795" t="str">
        <f t="shared" si="45"/>
        <v/>
      </c>
      <c r="DX18" s="926">
        <f t="shared" si="46"/>
        <v>0</v>
      </c>
      <c r="DY18" s="763">
        <f t="shared" si="47"/>
        <v>0</v>
      </c>
      <c r="DZ18" s="762" t="e">
        <f t="shared" si="48"/>
        <v>#REF!</v>
      </c>
      <c r="EA18" s="762" t="str">
        <f t="shared" si="49"/>
        <v/>
      </c>
      <c r="EB18" s="763" t="str">
        <f t="shared" si="50"/>
        <v/>
      </c>
      <c r="EC18" s="795" t="str">
        <f t="shared" si="51"/>
        <v/>
      </c>
      <c r="ED18" s="926">
        <f t="shared" si="52"/>
        <v>0</v>
      </c>
      <c r="EE18" s="1210" t="str">
        <f t="shared" si="53"/>
        <v/>
      </c>
      <c r="EF18" s="1210" t="str">
        <f t="shared" si="54"/>
        <v/>
      </c>
      <c r="EG18" s="1210" t="str">
        <f t="shared" si="55"/>
        <v/>
      </c>
      <c r="EH18" s="795" t="e">
        <f t="shared" si="56"/>
        <v>#N/A</v>
      </c>
      <c r="EI18" s="795" t="e">
        <f t="shared" si="57"/>
        <v>#N/A</v>
      </c>
      <c r="EJ18" s="763" t="str">
        <f t="shared" si="58"/>
        <v/>
      </c>
      <c r="EK18" s="763" t="str">
        <f t="shared" si="58"/>
        <v/>
      </c>
      <c r="EL18" s="1210" t="str">
        <f t="shared" si="59"/>
        <v/>
      </c>
      <c r="EM18" s="763" t="str">
        <f t="shared" si="60"/>
        <v/>
      </c>
      <c r="EN18" s="763" t="str">
        <f t="shared" si="61"/>
        <v/>
      </c>
      <c r="EO18" s="795" t="e">
        <f t="shared" si="62"/>
        <v>#N/A</v>
      </c>
      <c r="EP18" s="795" t="e">
        <f t="shared" si="63"/>
        <v>#N/A</v>
      </c>
      <c r="EQ18" s="1210" t="str">
        <f t="shared" si="64"/>
        <v/>
      </c>
      <c r="ER18" s="763" t="str">
        <f t="shared" si="64"/>
        <v/>
      </c>
      <c r="ES18" s="763" t="str">
        <f t="shared" si="65"/>
        <v/>
      </c>
      <c r="ET18" s="763" t="str">
        <f t="shared" si="66"/>
        <v/>
      </c>
      <c r="EU18" s="770" t="str">
        <f t="shared" si="67"/>
        <v/>
      </c>
      <c r="EV18" s="765" t="str">
        <f t="shared" si="68"/>
        <v/>
      </c>
      <c r="EW18" s="770"/>
      <c r="EX18" s="770" t="str">
        <f>IF(AND(CU18="G", ISBLANK(BK18), ISBLANK(BL18)),VLOOKUP(MIN(BH18:BI18),#REF!,2),IF(OR(CU18="B",CU18="G"),MIN(BK18:BL18),""))</f>
        <v/>
      </c>
      <c r="EY18" s="770" t="str">
        <f>IF(AND(CU18="G", ISBLANK(BK18), ISBLANK(BL18)),VLOOKUP(MAX(BH18:BI18),#REF!,2),IF(OR(CU18="B",CU18="G"),MAX(BK18:BL18),""))</f>
        <v/>
      </c>
      <c r="EZ18" s="770" t="str">
        <f t="shared" si="69"/>
        <v/>
      </c>
      <c r="FA18" s="770" t="str">
        <f>IF(AND(DE18="G", ISBLANK(BW18), ISBLANK(BX18)),VLOOKUP(MIN(BT18:BU18),#REF!,2),IF(OR(DE18="B", DE18="G"),MIN(BW18:BX18),""))</f>
        <v/>
      </c>
      <c r="FB18" s="770" t="str">
        <f>IF(AND(DE18="G", ISBLANK(BW18), ISBLANK(BX18)),VLOOKUP(MAX(BT18:BU18),#REF!,2),IF(OR(DE18="B", DE18="G"),MAX(BW18:BX18),""))</f>
        <v/>
      </c>
      <c r="FC18" s="770" t="str">
        <f t="shared" si="70"/>
        <v/>
      </c>
      <c r="FD18" s="762">
        <f t="shared" si="97"/>
        <v>0</v>
      </c>
      <c r="FE18" s="762">
        <f t="shared" si="71"/>
        <v>0</v>
      </c>
      <c r="FF18" s="762">
        <f t="shared" si="72"/>
        <v>0</v>
      </c>
      <c r="FG18" s="762" t="str">
        <f t="shared" si="73"/>
        <v/>
      </c>
      <c r="FH18" s="763" t="str">
        <f t="shared" si="74"/>
        <v/>
      </c>
      <c r="FI18" s="762">
        <f t="shared" si="98"/>
        <v>0</v>
      </c>
      <c r="FJ18" s="762">
        <f t="shared" si="75"/>
        <v>0</v>
      </c>
      <c r="FK18" s="762">
        <f t="shared" si="76"/>
        <v>0</v>
      </c>
      <c r="FL18" s="762" t="str">
        <f t="shared" si="77"/>
        <v/>
      </c>
      <c r="FM18" s="763" t="str">
        <f t="shared" si="78"/>
        <v/>
      </c>
      <c r="FN18" s="763" t="e">
        <f t="shared" si="79"/>
        <v>#VALUE!</v>
      </c>
      <c r="FO18" s="872" t="e">
        <f t="shared" si="80"/>
        <v>#VALUE!</v>
      </c>
      <c r="FP18" s="872" t="e">
        <f t="shared" si="81"/>
        <v>#VALUE!</v>
      </c>
      <c r="FQ18" s="771" t="e">
        <f t="shared" si="82"/>
        <v>#VALUE!</v>
      </c>
      <c r="FR18" s="772" t="e">
        <f t="shared" si="83"/>
        <v>#VALUE!</v>
      </c>
      <c r="FS18" s="773" t="str">
        <f t="shared" si="84"/>
        <v/>
      </c>
      <c r="FT18" s="774" t="str">
        <f t="shared" si="85"/>
        <v/>
      </c>
      <c r="FU18" s="809">
        <f t="shared" si="86"/>
        <v>0</v>
      </c>
      <c r="FV18" s="810">
        <f t="shared" si="87"/>
        <v>0</v>
      </c>
      <c r="GA18" s="542" t="str">
        <f t="shared" si="88"/>
        <v/>
      </c>
      <c r="GB18" s="562" t="str">
        <f t="shared" si="89"/>
        <v/>
      </c>
      <c r="GC18" s="564" t="str">
        <f t="shared" si="90"/>
        <v/>
      </c>
      <c r="GD18" s="565" t="str">
        <f t="shared" si="91"/>
        <v/>
      </c>
      <c r="GE18" s="563" t="str">
        <f t="shared" si="92"/>
        <v/>
      </c>
      <c r="GF18" s="543" t="str">
        <f t="shared" si="93"/>
        <v/>
      </c>
      <c r="GG18" s="1052"/>
      <c r="GH18" s="1053"/>
      <c r="GI18" s="1052"/>
      <c r="GJ18" s="1053"/>
      <c r="GK18" s="1521">
        <f t="shared" si="94"/>
        <v>0</v>
      </c>
      <c r="GL18" s="1519" t="e">
        <f t="shared" si="95"/>
        <v>#VALUE!</v>
      </c>
      <c r="GM18" s="1520" t="e">
        <f>IF(ABS(GK18-GL18)&gt;=#REF!,ABS(GK18-GL18),0)</f>
        <v>#VALUE!</v>
      </c>
      <c r="HA18" s="1187"/>
      <c r="HB18" s="1188"/>
      <c r="HC18" s="1188"/>
      <c r="HD18" s="1189"/>
      <c r="HE18" s="1190"/>
      <c r="HF18" s="1188"/>
      <c r="HG18" s="1188"/>
      <c r="HH18" s="1188"/>
      <c r="HI18" s="1191"/>
      <c r="HJ18" s="1188"/>
      <c r="HK18" s="1188"/>
      <c r="HL18" s="1188"/>
      <c r="HM18" s="1188"/>
      <c r="HN18" s="1188"/>
      <c r="HO18" s="1188"/>
      <c r="HP18" s="1188"/>
      <c r="HQ18" s="1191"/>
      <c r="HR18" s="1188"/>
      <c r="HS18" s="1188"/>
      <c r="HT18" s="1188"/>
      <c r="HU18" s="1188"/>
      <c r="HV18" s="1188"/>
      <c r="HW18" s="1190"/>
      <c r="HX18" s="1190"/>
      <c r="HY18" s="1190"/>
      <c r="HZ18" s="1190"/>
      <c r="IA18" s="1190"/>
      <c r="IB18" s="1190"/>
      <c r="IC18" s="1190"/>
      <c r="ID18" s="1190"/>
      <c r="IE18" s="1190"/>
      <c r="IF18" s="1192"/>
    </row>
    <row r="19" spans="1:240" ht="12.6" customHeight="1" x14ac:dyDescent="0.25">
      <c r="A19" s="1132"/>
      <c r="B19" s="1586"/>
      <c r="C19" s="1133"/>
      <c r="D19" s="1134"/>
      <c r="E19" s="1135"/>
      <c r="F19" s="1143"/>
      <c r="G19" s="1138"/>
      <c r="H19" s="1645"/>
      <c r="I19" s="1134"/>
      <c r="J19" s="1138"/>
      <c r="K19" s="1657"/>
      <c r="L19" s="1141"/>
      <c r="M19" s="1142"/>
      <c r="N19" s="1137"/>
      <c r="O19" s="1138"/>
      <c r="P19" s="1139"/>
      <c r="Q19" s="1134"/>
      <c r="R19" s="1138"/>
      <c r="S19" s="1140"/>
      <c r="T19" s="1143"/>
      <c r="U19" s="1138"/>
      <c r="V19" s="1134"/>
      <c r="W19" s="1138"/>
      <c r="X19" s="1142"/>
      <c r="Y19" s="1647"/>
      <c r="Z19" s="1648"/>
      <c r="AA19" s="1649"/>
      <c r="AB19" s="1288"/>
      <c r="AC19" s="898" t="b">
        <v>0</v>
      </c>
      <c r="AD19" s="374">
        <f t="shared" si="1"/>
        <v>0</v>
      </c>
      <c r="AE19" s="375">
        <f t="shared" si="2"/>
        <v>0</v>
      </c>
      <c r="AF19" s="375">
        <f t="shared" si="3"/>
        <v>0</v>
      </c>
      <c r="AG19" s="375">
        <f t="shared" si="4"/>
        <v>0</v>
      </c>
      <c r="AH19" s="376">
        <f t="shared" si="5"/>
        <v>0</v>
      </c>
      <c r="AI19" s="377" t="b">
        <v>0</v>
      </c>
      <c r="AJ19" s="143">
        <f t="shared" si="6"/>
        <v>0</v>
      </c>
      <c r="AK19" s="771" t="str">
        <f t="shared" si="7"/>
        <v/>
      </c>
      <c r="AL19" s="877" t="str">
        <f t="shared" si="8"/>
        <v/>
      </c>
      <c r="AM19" s="771" t="str">
        <f t="shared" si="9"/>
        <v/>
      </c>
      <c r="AN19" s="771" t="str">
        <f t="shared" si="10"/>
        <v/>
      </c>
      <c r="AO19" s="771" t="str">
        <f t="shared" si="11"/>
        <v/>
      </c>
      <c r="AP19" s="771" t="b">
        <f>IF(ISERROR(AJ19),FALSE,IF(OR(AJ19=0,ISERROR(AL19),ISERROR(AM19),ISERROR(AN19),ISERROR(AO19)),FALSE,IF(AL19&lt;&gt;"",IF(ISERROR(VLOOKUP(SUBSTITUTE(SUBSTITUTE(C19,"R",""),"A",""),#REF!,1,FALSE)),FALSE,TRUE),TRUE)))</f>
        <v>0</v>
      </c>
      <c r="AQ19" s="945" t="e">
        <f t="shared" si="12"/>
        <v>#N/A</v>
      </c>
      <c r="AR19" s="877" t="b">
        <f t="shared" si="13"/>
        <v>0</v>
      </c>
      <c r="AS19" s="945" t="e">
        <f t="shared" si="14"/>
        <v>#N/A</v>
      </c>
      <c r="AT19" s="877" t="b">
        <f t="shared" si="15"/>
        <v>0</v>
      </c>
      <c r="AU19" s="878" t="str">
        <f t="shared" si="16"/>
        <v/>
      </c>
      <c r="AV19" s="771" t="str">
        <f t="shared" si="17"/>
        <v/>
      </c>
      <c r="AW19" s="771" t="str">
        <f t="shared" si="18"/>
        <v/>
      </c>
      <c r="AX19" s="771" t="str">
        <f t="shared" si="96"/>
        <v/>
      </c>
      <c r="AY19" s="946" t="e">
        <f t="shared" si="19"/>
        <v>#REF!</v>
      </c>
      <c r="AZ19" s="795" t="str">
        <f t="shared" si="20"/>
        <v/>
      </c>
      <c r="BA19" s="496"/>
      <c r="BB19" s="616"/>
      <c r="BC19" s="1567"/>
      <c r="BD19" s="682"/>
      <c r="BE19" s="683"/>
      <c r="BF19" s="684"/>
      <c r="BG19" s="660"/>
      <c r="BH19" s="901"/>
      <c r="BI19" s="902"/>
      <c r="BJ19" s="1508"/>
      <c r="BK19" s="661"/>
      <c r="BL19" s="662"/>
      <c r="BM19" s="663"/>
      <c r="BN19" s="664"/>
      <c r="BO19" s="616" t="str">
        <f>IF(ISERROR(CU19),"",IF(CU19="","",IF(VLOOKUP(BG19,#REF!,10,FALSE)="","","X")))</f>
        <v/>
      </c>
      <c r="BP19" s="687"/>
      <c r="BQ19" s="1430" t="str">
        <f t="shared" si="21"/>
        <v/>
      </c>
      <c r="BR19" s="839"/>
      <c r="BS19" s="660"/>
      <c r="BT19" s="661"/>
      <c r="BU19" s="662"/>
      <c r="BV19" s="1508"/>
      <c r="BW19" s="661"/>
      <c r="BX19" s="662"/>
      <c r="BY19" s="663"/>
      <c r="BZ19" s="664"/>
      <c r="CA19" s="625" t="str">
        <f>IF(ISERROR(DE19),"",IF(DE19="","",IF(VLOOKUP(BS19,#REF!,10,FALSE)="","","X")))</f>
        <v/>
      </c>
      <c r="CB19" s="687"/>
      <c r="CC19" s="1430" t="str">
        <f t="shared" si="22"/>
        <v/>
      </c>
      <c r="CD19" s="839"/>
      <c r="CE19" s="665"/>
      <c r="CF19" s="685"/>
      <c r="CG19" s="686"/>
      <c r="CH19" s="534" t="str">
        <f t="shared" si="23"/>
        <v/>
      </c>
      <c r="CI19" s="535" t="str">
        <f t="shared" si="24"/>
        <v/>
      </c>
      <c r="CJ19" s="536" t="str">
        <f t="shared" si="25"/>
        <v/>
      </c>
      <c r="CK19" s="537" t="str">
        <f t="shared" si="26"/>
        <v/>
      </c>
      <c r="CL19" s="538" t="str">
        <f t="shared" si="27"/>
        <v/>
      </c>
      <c r="CM19" s="539" t="str">
        <f t="shared" si="28"/>
        <v/>
      </c>
      <c r="CN19" s="540" t="str">
        <f t="shared" si="29"/>
        <v/>
      </c>
      <c r="CO19" s="541" t="str">
        <f t="shared" si="30"/>
        <v/>
      </c>
      <c r="CP19" s="558" t="str">
        <f t="shared" si="31"/>
        <v/>
      </c>
      <c r="CQ19" s="559" t="str">
        <f t="shared" si="32"/>
        <v/>
      </c>
      <c r="CR19" s="699" t="str">
        <f t="shared" si="33"/>
        <v/>
      </c>
      <c r="CS19" s="700" t="str">
        <f t="shared" si="34"/>
        <v/>
      </c>
      <c r="CU19" s="758" t="str">
        <f>IF(BG19="","",VLOOKUP(BG19,#REF!,12,FALSE))</f>
        <v/>
      </c>
      <c r="CV19" s="756" t="str">
        <f>IF(BG19="","",IF(ISBLANK(BP19),VLOOKUP(BG19,#REF!,13,FALSE),BP19))</f>
        <v/>
      </c>
      <c r="CW19" s="756" t="str">
        <f>IF(BG19="","",IF(VLOOKUP(BG19,#REF!,5,FALSE)="","R",UPPER(VLOOKUP(BG19,#REF!,5,FALSE))))</f>
        <v/>
      </c>
      <c r="CX19" s="756" t="str">
        <f>IF(BG19="","",IF(ISBLANK(BR19),VLOOKUP(BG19,#REF!,6,FALSE),BR19))</f>
        <v/>
      </c>
      <c r="CY19" s="1203" t="str">
        <f>IF(BG19="","",IF(VLOOKUP(BG19,#REF!,10,FALSE)="","",(IF(BO19="X",VLOOKUP(BG19,#REF!,10,FALSE),VALUE(BO19))*-1)))</f>
        <v/>
      </c>
      <c r="CZ19" s="1042" t="str">
        <f>IF(BG19="","",IF(VLOOKUP(BG19,#REF!,11,FALSE)="","2",(VLOOKUP(BG19,#REF!,11,FALSE))))</f>
        <v/>
      </c>
      <c r="DA19" s="756" t="str">
        <f>IF(BG19="","",IF(VLOOKUP(BG19,#REF!,7,FALSE)="","",(VLOOKUP(BG19,#REF!,7,FALSE)*-1)))</f>
        <v/>
      </c>
      <c r="DB19" s="756" t="str">
        <f>IF(BG19="","",IF(VLOOKUP(BG19,#REF!,8,FALSE)="",VLOOKUP(AU19,$DF$2:$DN$9,6,FALSE),(VLOOKUP(BG19,#REF!,8,FALSE))))</f>
        <v/>
      </c>
      <c r="DC19" s="756" t="str">
        <f>IF(BG19="","",VLOOKUP(BG19,#REF!,9,FALSE))</f>
        <v/>
      </c>
      <c r="DD19" s="757">
        <f t="shared" si="35"/>
        <v>0</v>
      </c>
      <c r="DE19" s="758" t="str">
        <f>IF(BS19="","",VLOOKUP(BS19,#REF!,12,FALSE))</f>
        <v/>
      </c>
      <c r="DF19" s="756" t="str">
        <f>IF(BS19="","",IF(ISBLANK(CB19),VLOOKUP(BS19,#REF!,13,FALSE),CB19))</f>
        <v/>
      </c>
      <c r="DG19" s="756" t="str">
        <f>IF(BS19="","",IF(VLOOKUP(BS19,#REF!,5,FALSE)="","R",UPPER(VLOOKUP(BS19,#REF!,5,FALSE))))</f>
        <v/>
      </c>
      <c r="DH19" s="756" t="str">
        <f>IF(BS19="","",IF(ISBLANK(CD19),VLOOKUP(BS19,#REF!,6,FALSE),CD19))</f>
        <v/>
      </c>
      <c r="DI19" s="1203" t="str">
        <f>IF(BS19="","",IF(VLOOKUP(BS19,#REF!,10,FALSE)="","",(IF(CA19="X",VLOOKUP(BS19,#REF!,10,FALSE),VALUE(CA19))*-1)))</f>
        <v/>
      </c>
      <c r="DJ19" s="1042" t="str">
        <f>IF(BS19="","",IF(VLOOKUP(BS19,#REF!,11,FALSE)="","2",(VLOOKUP(BS19,#REF!,11,FALSE))))</f>
        <v/>
      </c>
      <c r="DK19" s="756" t="str">
        <f>IF(BS19="","",IF(VLOOKUP(BS19,#REF!,7,FALSE)="","",(VLOOKUP(BS19,#REF!,7,FALSE)*-1)))</f>
        <v/>
      </c>
      <c r="DL19" s="756" t="str">
        <f>IF(BS19="","",IF(VLOOKUP(BS19,#REF!,8,FALSE)="",VLOOKUP(AU19,$DF$2:$DN$9,6,FALSE),(VLOOKUP(BS19,#REF!,8,FALSE))))</f>
        <v/>
      </c>
      <c r="DM19" s="756" t="str">
        <f>IF(BS19="","",VLOOKUP(BS19,#REF!,9,FALSE))</f>
        <v/>
      </c>
      <c r="DN19" s="757">
        <f t="shared" si="36"/>
        <v>0</v>
      </c>
      <c r="DO19" s="759">
        <f t="shared" si="37"/>
        <v>0</v>
      </c>
      <c r="DP19" s="763" t="str">
        <f t="shared" si="38"/>
        <v/>
      </c>
      <c r="DQ19" s="763" t="str">
        <f t="shared" si="39"/>
        <v/>
      </c>
      <c r="DR19" s="763" t="str">
        <f t="shared" si="40"/>
        <v/>
      </c>
      <c r="DS19" s="762">
        <f t="shared" si="41"/>
        <v>0</v>
      </c>
      <c r="DT19" s="762" t="e">
        <f t="shared" si="42"/>
        <v>#REF!</v>
      </c>
      <c r="DU19" s="762" t="str">
        <f t="shared" si="43"/>
        <v/>
      </c>
      <c r="DV19" s="763" t="str">
        <f t="shared" si="44"/>
        <v/>
      </c>
      <c r="DW19" s="795" t="str">
        <f t="shared" si="45"/>
        <v/>
      </c>
      <c r="DX19" s="926">
        <f t="shared" si="46"/>
        <v>0</v>
      </c>
      <c r="DY19" s="763">
        <f t="shared" si="47"/>
        <v>0</v>
      </c>
      <c r="DZ19" s="762" t="e">
        <f t="shared" si="48"/>
        <v>#REF!</v>
      </c>
      <c r="EA19" s="762" t="str">
        <f t="shared" si="49"/>
        <v/>
      </c>
      <c r="EB19" s="763" t="str">
        <f t="shared" si="50"/>
        <v/>
      </c>
      <c r="EC19" s="795" t="str">
        <f t="shared" si="51"/>
        <v/>
      </c>
      <c r="ED19" s="926">
        <f t="shared" si="52"/>
        <v>0</v>
      </c>
      <c r="EE19" s="1210" t="str">
        <f t="shared" si="53"/>
        <v/>
      </c>
      <c r="EF19" s="1210" t="str">
        <f t="shared" si="54"/>
        <v/>
      </c>
      <c r="EG19" s="1210" t="str">
        <f t="shared" si="55"/>
        <v/>
      </c>
      <c r="EH19" s="795" t="e">
        <f t="shared" si="56"/>
        <v>#N/A</v>
      </c>
      <c r="EI19" s="795" t="e">
        <f t="shared" si="57"/>
        <v>#N/A</v>
      </c>
      <c r="EJ19" s="763" t="str">
        <f t="shared" si="58"/>
        <v/>
      </c>
      <c r="EK19" s="763" t="str">
        <f t="shared" si="58"/>
        <v/>
      </c>
      <c r="EL19" s="1210" t="str">
        <f t="shared" si="59"/>
        <v/>
      </c>
      <c r="EM19" s="763" t="str">
        <f t="shared" si="60"/>
        <v/>
      </c>
      <c r="EN19" s="763" t="str">
        <f t="shared" si="61"/>
        <v/>
      </c>
      <c r="EO19" s="795" t="e">
        <f t="shared" si="62"/>
        <v>#N/A</v>
      </c>
      <c r="EP19" s="795" t="e">
        <f t="shared" si="63"/>
        <v>#N/A</v>
      </c>
      <c r="EQ19" s="1210" t="str">
        <f t="shared" si="64"/>
        <v/>
      </c>
      <c r="ER19" s="763" t="str">
        <f t="shared" si="64"/>
        <v/>
      </c>
      <c r="ES19" s="763" t="str">
        <f t="shared" si="65"/>
        <v/>
      </c>
      <c r="ET19" s="763" t="str">
        <f t="shared" si="66"/>
        <v/>
      </c>
      <c r="EU19" s="770" t="str">
        <f t="shared" si="67"/>
        <v/>
      </c>
      <c r="EV19" s="765" t="str">
        <f t="shared" si="68"/>
        <v/>
      </c>
      <c r="EW19" s="770"/>
      <c r="EX19" s="770" t="str">
        <f>IF(AND(CU19="G", ISBLANK(BK19), ISBLANK(BL19)),VLOOKUP(MIN(BH19:BI19),#REF!,2),IF(OR(CU19="B",CU19="G"),MIN(BK19:BL19),""))</f>
        <v/>
      </c>
      <c r="EY19" s="770" t="str">
        <f>IF(AND(CU19="G", ISBLANK(BK19), ISBLANK(BL19)),VLOOKUP(MAX(BH19:BI19),#REF!,2),IF(OR(CU19="B",CU19="G"),MAX(BK19:BL19),""))</f>
        <v/>
      </c>
      <c r="EZ19" s="770" t="str">
        <f t="shared" si="69"/>
        <v/>
      </c>
      <c r="FA19" s="770" t="str">
        <f>IF(AND(DE19="G", ISBLANK(BW19), ISBLANK(BX19)),VLOOKUP(MIN(BT19:BU19),#REF!,2),IF(OR(DE19="B", DE19="G"),MIN(BW19:BX19),""))</f>
        <v/>
      </c>
      <c r="FB19" s="770" t="str">
        <f>IF(AND(DE19="G", ISBLANK(BW19), ISBLANK(BX19)),VLOOKUP(MAX(BT19:BU19),#REF!,2),IF(OR(DE19="B", DE19="G"),MAX(BW19:BX19),""))</f>
        <v/>
      </c>
      <c r="FC19" s="770" t="str">
        <f t="shared" si="70"/>
        <v/>
      </c>
      <c r="FD19" s="762">
        <f t="shared" si="97"/>
        <v>0</v>
      </c>
      <c r="FE19" s="762">
        <f t="shared" si="71"/>
        <v>0</v>
      </c>
      <c r="FF19" s="762">
        <f t="shared" si="72"/>
        <v>0</v>
      </c>
      <c r="FG19" s="762" t="str">
        <f t="shared" si="73"/>
        <v/>
      </c>
      <c r="FH19" s="763" t="str">
        <f t="shared" si="74"/>
        <v/>
      </c>
      <c r="FI19" s="762">
        <f t="shared" si="98"/>
        <v>0</v>
      </c>
      <c r="FJ19" s="762">
        <f t="shared" si="75"/>
        <v>0</v>
      </c>
      <c r="FK19" s="762">
        <f t="shared" si="76"/>
        <v>0</v>
      </c>
      <c r="FL19" s="762" t="str">
        <f t="shared" si="77"/>
        <v/>
      </c>
      <c r="FM19" s="763" t="str">
        <f t="shared" si="78"/>
        <v/>
      </c>
      <c r="FN19" s="763" t="e">
        <f t="shared" si="79"/>
        <v>#VALUE!</v>
      </c>
      <c r="FO19" s="872" t="e">
        <f t="shared" si="80"/>
        <v>#VALUE!</v>
      </c>
      <c r="FP19" s="872" t="e">
        <f t="shared" si="81"/>
        <v>#VALUE!</v>
      </c>
      <c r="FQ19" s="771" t="e">
        <f t="shared" si="82"/>
        <v>#VALUE!</v>
      </c>
      <c r="FR19" s="772" t="e">
        <f t="shared" si="83"/>
        <v>#VALUE!</v>
      </c>
      <c r="FS19" s="773" t="str">
        <f t="shared" si="84"/>
        <v/>
      </c>
      <c r="FT19" s="774" t="str">
        <f t="shared" si="85"/>
        <v/>
      </c>
      <c r="FU19" s="809">
        <f t="shared" si="86"/>
        <v>0</v>
      </c>
      <c r="FV19" s="810">
        <f t="shared" si="87"/>
        <v>0</v>
      </c>
      <c r="GA19" s="542" t="str">
        <f t="shared" si="88"/>
        <v/>
      </c>
      <c r="GB19" s="562" t="str">
        <f t="shared" si="89"/>
        <v/>
      </c>
      <c r="GC19" s="564" t="str">
        <f t="shared" si="90"/>
        <v/>
      </c>
      <c r="GD19" s="565" t="str">
        <f t="shared" si="91"/>
        <v/>
      </c>
      <c r="GE19" s="563" t="str">
        <f t="shared" si="92"/>
        <v/>
      </c>
      <c r="GF19" s="543" t="str">
        <f t="shared" si="93"/>
        <v/>
      </c>
      <c r="GG19" s="1052"/>
      <c r="GH19" s="1053"/>
      <c r="GI19" s="1052"/>
      <c r="GJ19" s="1053"/>
      <c r="GK19" s="1521">
        <f t="shared" si="94"/>
        <v>0</v>
      </c>
      <c r="GL19" s="1519" t="e">
        <f t="shared" si="95"/>
        <v>#VALUE!</v>
      </c>
      <c r="GM19" s="1520" t="e">
        <f>IF(ABS(GK19-GL19)&gt;=#REF!,ABS(GK19-GL19),0)</f>
        <v>#VALUE!</v>
      </c>
      <c r="HA19" s="1187"/>
      <c r="HB19" s="1188"/>
      <c r="HC19" s="1188"/>
      <c r="HD19" s="1189"/>
      <c r="HE19" s="1190"/>
      <c r="HF19" s="1188"/>
      <c r="HG19" s="1188"/>
      <c r="HH19" s="1188"/>
      <c r="HI19" s="1191"/>
      <c r="HJ19" s="1188"/>
      <c r="HK19" s="1188"/>
      <c r="HL19" s="1188"/>
      <c r="HM19" s="1188"/>
      <c r="HN19" s="1188"/>
      <c r="HO19" s="1188"/>
      <c r="HP19" s="1188"/>
      <c r="HQ19" s="1191"/>
      <c r="HR19" s="1188"/>
      <c r="HS19" s="1188"/>
      <c r="HT19" s="1188"/>
      <c r="HU19" s="1188"/>
      <c r="HV19" s="1188"/>
      <c r="HW19" s="1190"/>
      <c r="HX19" s="1190"/>
      <c r="HY19" s="1190"/>
      <c r="HZ19" s="1190"/>
      <c r="IA19" s="1190"/>
      <c r="IB19" s="1190"/>
      <c r="IC19" s="1190"/>
      <c r="ID19" s="1190"/>
      <c r="IE19" s="1190"/>
      <c r="IF19" s="1192"/>
    </row>
    <row r="20" spans="1:240" ht="12.6" customHeight="1" x14ac:dyDescent="0.25">
      <c r="A20" s="1132"/>
      <c r="B20" s="1586"/>
      <c r="C20" s="1133"/>
      <c r="D20" s="1134"/>
      <c r="E20" s="1135"/>
      <c r="F20" s="1143"/>
      <c r="G20" s="1138"/>
      <c r="H20" s="1645"/>
      <c r="I20" s="1134"/>
      <c r="J20" s="1138"/>
      <c r="K20" s="1657"/>
      <c r="L20" s="1141"/>
      <c r="M20" s="1142"/>
      <c r="N20" s="1137"/>
      <c r="O20" s="1138"/>
      <c r="P20" s="1139"/>
      <c r="Q20" s="1134"/>
      <c r="R20" s="1138"/>
      <c r="S20" s="1140"/>
      <c r="T20" s="1143"/>
      <c r="U20" s="1138"/>
      <c r="V20" s="1134"/>
      <c r="W20" s="1138"/>
      <c r="X20" s="1142"/>
      <c r="Y20" s="1647"/>
      <c r="Z20" s="1648"/>
      <c r="AA20" s="1649"/>
      <c r="AB20" s="1288"/>
      <c r="AC20" s="898" t="b">
        <v>0</v>
      </c>
      <c r="AD20" s="374">
        <f t="shared" si="1"/>
        <v>0</v>
      </c>
      <c r="AE20" s="375">
        <f t="shared" si="2"/>
        <v>0</v>
      </c>
      <c r="AF20" s="375">
        <f t="shared" si="3"/>
        <v>0</v>
      </c>
      <c r="AG20" s="375">
        <f t="shared" si="4"/>
        <v>0</v>
      </c>
      <c r="AH20" s="376">
        <f t="shared" si="5"/>
        <v>0</v>
      </c>
      <c r="AI20" s="377" t="b">
        <v>0</v>
      </c>
      <c r="AJ20" s="143">
        <f t="shared" si="6"/>
        <v>0</v>
      </c>
      <c r="AK20" s="771" t="str">
        <f t="shared" si="7"/>
        <v/>
      </c>
      <c r="AL20" s="877" t="str">
        <f t="shared" si="8"/>
        <v/>
      </c>
      <c r="AM20" s="771" t="str">
        <f t="shared" si="9"/>
        <v/>
      </c>
      <c r="AN20" s="771" t="str">
        <f t="shared" si="10"/>
        <v/>
      </c>
      <c r="AO20" s="771" t="str">
        <f t="shared" si="11"/>
        <v/>
      </c>
      <c r="AP20" s="771" t="b">
        <f>IF(ISERROR(AJ20),FALSE,IF(OR(AJ20=0,ISERROR(AL20),ISERROR(AM20),ISERROR(AN20),ISERROR(AO20)),FALSE,IF(AL20&lt;&gt;"",IF(ISERROR(VLOOKUP(SUBSTITUTE(SUBSTITUTE(C20,"R",""),"A",""),#REF!,1,FALSE)),FALSE,TRUE),TRUE)))</f>
        <v>0</v>
      </c>
      <c r="AQ20" s="945" t="e">
        <f t="shared" si="12"/>
        <v>#N/A</v>
      </c>
      <c r="AR20" s="877" t="b">
        <f t="shared" si="13"/>
        <v>0</v>
      </c>
      <c r="AS20" s="945" t="e">
        <f t="shared" si="14"/>
        <v>#N/A</v>
      </c>
      <c r="AT20" s="877" t="b">
        <f t="shared" si="15"/>
        <v>0</v>
      </c>
      <c r="AU20" s="878" t="str">
        <f t="shared" si="16"/>
        <v/>
      </c>
      <c r="AV20" s="771" t="str">
        <f t="shared" si="17"/>
        <v/>
      </c>
      <c r="AW20" s="771" t="str">
        <f t="shared" si="18"/>
        <v/>
      </c>
      <c r="AX20" s="771" t="str">
        <f t="shared" si="96"/>
        <v/>
      </c>
      <c r="AY20" s="946" t="e">
        <f t="shared" si="19"/>
        <v>#REF!</v>
      </c>
      <c r="AZ20" s="795" t="str">
        <f t="shared" si="20"/>
        <v/>
      </c>
      <c r="BA20" s="496"/>
      <c r="BB20" s="616"/>
      <c r="BC20" s="1567"/>
      <c r="BD20" s="682"/>
      <c r="BE20" s="683"/>
      <c r="BF20" s="684"/>
      <c r="BG20" s="660"/>
      <c r="BH20" s="901"/>
      <c r="BI20" s="902"/>
      <c r="BJ20" s="1508"/>
      <c r="BK20" s="661"/>
      <c r="BL20" s="662"/>
      <c r="BM20" s="663"/>
      <c r="BN20" s="664"/>
      <c r="BO20" s="616" t="str">
        <f>IF(ISERROR(CU20),"",IF(CU20="","",IF(VLOOKUP(BG20,#REF!,10,FALSE)="","","X")))</f>
        <v/>
      </c>
      <c r="BP20" s="687"/>
      <c r="BQ20" s="1430" t="str">
        <f t="shared" si="21"/>
        <v/>
      </c>
      <c r="BR20" s="839"/>
      <c r="BS20" s="660"/>
      <c r="BT20" s="661"/>
      <c r="BU20" s="662"/>
      <c r="BV20" s="1508"/>
      <c r="BW20" s="661"/>
      <c r="BX20" s="662"/>
      <c r="BY20" s="663"/>
      <c r="BZ20" s="664"/>
      <c r="CA20" s="625" t="str">
        <f>IF(ISERROR(DE20),"",IF(DE20="","",IF(VLOOKUP(BS20,#REF!,10,FALSE)="","","X")))</f>
        <v/>
      </c>
      <c r="CB20" s="687"/>
      <c r="CC20" s="1430" t="str">
        <f t="shared" si="22"/>
        <v/>
      </c>
      <c r="CD20" s="839"/>
      <c r="CE20" s="665"/>
      <c r="CF20" s="685"/>
      <c r="CG20" s="686"/>
      <c r="CH20" s="534" t="str">
        <f t="shared" si="23"/>
        <v/>
      </c>
      <c r="CI20" s="535" t="str">
        <f t="shared" si="24"/>
        <v/>
      </c>
      <c r="CJ20" s="536" t="str">
        <f t="shared" si="25"/>
        <v/>
      </c>
      <c r="CK20" s="537" t="str">
        <f t="shared" si="26"/>
        <v/>
      </c>
      <c r="CL20" s="538" t="str">
        <f t="shared" si="27"/>
        <v/>
      </c>
      <c r="CM20" s="539" t="str">
        <f t="shared" si="28"/>
        <v/>
      </c>
      <c r="CN20" s="540" t="str">
        <f t="shared" si="29"/>
        <v/>
      </c>
      <c r="CO20" s="541" t="str">
        <f t="shared" si="30"/>
        <v/>
      </c>
      <c r="CP20" s="558" t="str">
        <f t="shared" si="31"/>
        <v/>
      </c>
      <c r="CQ20" s="559" t="str">
        <f t="shared" si="32"/>
        <v/>
      </c>
      <c r="CR20" s="699" t="str">
        <f t="shared" si="33"/>
        <v/>
      </c>
      <c r="CS20" s="700" t="str">
        <f t="shared" si="34"/>
        <v/>
      </c>
      <c r="CU20" s="758" t="str">
        <f>IF(BG20="","",VLOOKUP(BG20,#REF!,12,FALSE))</f>
        <v/>
      </c>
      <c r="CV20" s="756" t="str">
        <f>IF(BG20="","",IF(ISBLANK(BP20),VLOOKUP(BG20,#REF!,13,FALSE),BP20))</f>
        <v/>
      </c>
      <c r="CW20" s="756" t="str">
        <f>IF(BG20="","",IF(VLOOKUP(BG20,#REF!,5,FALSE)="","R",UPPER(VLOOKUP(BG20,#REF!,5,FALSE))))</f>
        <v/>
      </c>
      <c r="CX20" s="756" t="str">
        <f>IF(BG20="","",IF(ISBLANK(BR20),VLOOKUP(BG20,#REF!,6,FALSE),BR20))</f>
        <v/>
      </c>
      <c r="CY20" s="1203" t="str">
        <f>IF(BG20="","",IF(VLOOKUP(BG20,#REF!,10,FALSE)="","",(IF(BO20="X",VLOOKUP(BG20,#REF!,10,FALSE),VALUE(BO20))*-1)))</f>
        <v/>
      </c>
      <c r="CZ20" s="1042" t="str">
        <f>IF(BG20="","",IF(VLOOKUP(BG20,#REF!,11,FALSE)="","2",(VLOOKUP(BG20,#REF!,11,FALSE))))</f>
        <v/>
      </c>
      <c r="DA20" s="756" t="str">
        <f>IF(BG20="","",IF(VLOOKUP(BG20,#REF!,7,FALSE)="","",(VLOOKUP(BG20,#REF!,7,FALSE)*-1)))</f>
        <v/>
      </c>
      <c r="DB20" s="756" t="str">
        <f>IF(BG20="","",IF(VLOOKUP(BG20,#REF!,8,FALSE)="",VLOOKUP(AU20,$DF$2:$DN$9,6,FALSE),(VLOOKUP(BG20,#REF!,8,FALSE))))</f>
        <v/>
      </c>
      <c r="DC20" s="756" t="str">
        <f>IF(BG20="","",VLOOKUP(BG20,#REF!,9,FALSE))</f>
        <v/>
      </c>
      <c r="DD20" s="757">
        <f t="shared" si="35"/>
        <v>0</v>
      </c>
      <c r="DE20" s="758" t="str">
        <f>IF(BS20="","",VLOOKUP(BS20,#REF!,12,FALSE))</f>
        <v/>
      </c>
      <c r="DF20" s="756" t="str">
        <f>IF(BS20="","",IF(ISBLANK(CB20),VLOOKUP(BS20,#REF!,13,FALSE),CB20))</f>
        <v/>
      </c>
      <c r="DG20" s="756" t="str">
        <f>IF(BS20="","",IF(VLOOKUP(BS20,#REF!,5,FALSE)="","R",UPPER(VLOOKUP(BS20,#REF!,5,FALSE))))</f>
        <v/>
      </c>
      <c r="DH20" s="756" t="str">
        <f>IF(BS20="","",IF(ISBLANK(CD20),VLOOKUP(BS20,#REF!,6,FALSE),CD20))</f>
        <v/>
      </c>
      <c r="DI20" s="1203" t="str">
        <f>IF(BS20="","",IF(VLOOKUP(BS20,#REF!,10,FALSE)="","",(IF(CA20="X",VLOOKUP(BS20,#REF!,10,FALSE),VALUE(CA20))*-1)))</f>
        <v/>
      </c>
      <c r="DJ20" s="1042" t="str">
        <f>IF(BS20="","",IF(VLOOKUP(BS20,#REF!,11,FALSE)="","2",(VLOOKUP(BS20,#REF!,11,FALSE))))</f>
        <v/>
      </c>
      <c r="DK20" s="756" t="str">
        <f>IF(BS20="","",IF(VLOOKUP(BS20,#REF!,7,FALSE)="","",(VLOOKUP(BS20,#REF!,7,FALSE)*-1)))</f>
        <v/>
      </c>
      <c r="DL20" s="756" t="str">
        <f>IF(BS20="","",IF(VLOOKUP(BS20,#REF!,8,FALSE)="",VLOOKUP(AU20,$DF$2:$DN$9,6,FALSE),(VLOOKUP(BS20,#REF!,8,FALSE))))</f>
        <v/>
      </c>
      <c r="DM20" s="756" t="str">
        <f>IF(BS20="","",VLOOKUP(BS20,#REF!,9,FALSE))</f>
        <v/>
      </c>
      <c r="DN20" s="757">
        <f t="shared" si="36"/>
        <v>0</v>
      </c>
      <c r="DO20" s="759">
        <f t="shared" si="37"/>
        <v>0</v>
      </c>
      <c r="DP20" s="763" t="str">
        <f t="shared" si="38"/>
        <v/>
      </c>
      <c r="DQ20" s="763" t="str">
        <f t="shared" si="39"/>
        <v/>
      </c>
      <c r="DR20" s="763" t="str">
        <f t="shared" si="40"/>
        <v/>
      </c>
      <c r="DS20" s="762">
        <f t="shared" si="41"/>
        <v>0</v>
      </c>
      <c r="DT20" s="762" t="e">
        <f t="shared" si="42"/>
        <v>#REF!</v>
      </c>
      <c r="DU20" s="762" t="str">
        <f t="shared" si="43"/>
        <v/>
      </c>
      <c r="DV20" s="763" t="str">
        <f t="shared" si="44"/>
        <v/>
      </c>
      <c r="DW20" s="795" t="str">
        <f t="shared" si="45"/>
        <v/>
      </c>
      <c r="DX20" s="926">
        <f t="shared" si="46"/>
        <v>0</v>
      </c>
      <c r="DY20" s="763">
        <f t="shared" si="47"/>
        <v>0</v>
      </c>
      <c r="DZ20" s="762" t="e">
        <f t="shared" si="48"/>
        <v>#REF!</v>
      </c>
      <c r="EA20" s="762" t="str">
        <f t="shared" si="49"/>
        <v/>
      </c>
      <c r="EB20" s="763" t="str">
        <f t="shared" si="50"/>
        <v/>
      </c>
      <c r="EC20" s="795" t="str">
        <f t="shared" si="51"/>
        <v/>
      </c>
      <c r="ED20" s="926">
        <f t="shared" si="52"/>
        <v>0</v>
      </c>
      <c r="EE20" s="1210" t="str">
        <f t="shared" si="53"/>
        <v/>
      </c>
      <c r="EF20" s="1210" t="str">
        <f t="shared" si="54"/>
        <v/>
      </c>
      <c r="EG20" s="1210" t="str">
        <f t="shared" si="55"/>
        <v/>
      </c>
      <c r="EH20" s="795" t="e">
        <f t="shared" si="56"/>
        <v>#N/A</v>
      </c>
      <c r="EI20" s="795" t="e">
        <f t="shared" si="57"/>
        <v>#N/A</v>
      </c>
      <c r="EJ20" s="763" t="str">
        <f t="shared" si="58"/>
        <v/>
      </c>
      <c r="EK20" s="763" t="str">
        <f t="shared" si="58"/>
        <v/>
      </c>
      <c r="EL20" s="1210" t="str">
        <f t="shared" si="59"/>
        <v/>
      </c>
      <c r="EM20" s="763" t="str">
        <f t="shared" si="60"/>
        <v/>
      </c>
      <c r="EN20" s="763" t="str">
        <f t="shared" si="61"/>
        <v/>
      </c>
      <c r="EO20" s="795" t="e">
        <f t="shared" si="62"/>
        <v>#N/A</v>
      </c>
      <c r="EP20" s="795" t="e">
        <f t="shared" si="63"/>
        <v>#N/A</v>
      </c>
      <c r="EQ20" s="1210" t="str">
        <f t="shared" si="64"/>
        <v/>
      </c>
      <c r="ER20" s="763" t="str">
        <f t="shared" si="64"/>
        <v/>
      </c>
      <c r="ES20" s="763" t="str">
        <f t="shared" si="65"/>
        <v/>
      </c>
      <c r="ET20" s="763" t="str">
        <f t="shared" si="66"/>
        <v/>
      </c>
      <c r="EU20" s="770" t="str">
        <f t="shared" si="67"/>
        <v/>
      </c>
      <c r="EV20" s="765" t="str">
        <f t="shared" si="68"/>
        <v/>
      </c>
      <c r="EW20" s="770"/>
      <c r="EX20" s="770" t="str">
        <f>IF(AND(CU20="G", ISBLANK(BK20), ISBLANK(BL20)),VLOOKUP(MIN(BH20:BI20),#REF!,2),IF(OR(CU20="B",CU20="G"),MIN(BK20:BL20),""))</f>
        <v/>
      </c>
      <c r="EY20" s="770" t="str">
        <f>IF(AND(CU20="G", ISBLANK(BK20), ISBLANK(BL20)),VLOOKUP(MAX(BH20:BI20),#REF!,2),IF(OR(CU20="B",CU20="G"),MAX(BK20:BL20),""))</f>
        <v/>
      </c>
      <c r="EZ20" s="770" t="str">
        <f t="shared" si="69"/>
        <v/>
      </c>
      <c r="FA20" s="770" t="str">
        <f>IF(AND(DE20="G", ISBLANK(BW20), ISBLANK(BX20)),VLOOKUP(MIN(BT20:BU20),#REF!,2),IF(OR(DE20="B", DE20="G"),MIN(BW20:BX20),""))</f>
        <v/>
      </c>
      <c r="FB20" s="770" t="str">
        <f>IF(AND(DE20="G", ISBLANK(BW20), ISBLANK(BX20)),VLOOKUP(MAX(BT20:BU20),#REF!,2),IF(OR(DE20="B", DE20="G"),MAX(BW20:BX20),""))</f>
        <v/>
      </c>
      <c r="FC20" s="770" t="str">
        <f t="shared" si="70"/>
        <v/>
      </c>
      <c r="FD20" s="762">
        <f t="shared" si="97"/>
        <v>0</v>
      </c>
      <c r="FE20" s="762">
        <f t="shared" si="71"/>
        <v>0</v>
      </c>
      <c r="FF20" s="762">
        <f t="shared" si="72"/>
        <v>0</v>
      </c>
      <c r="FG20" s="762" t="str">
        <f t="shared" si="73"/>
        <v/>
      </c>
      <c r="FH20" s="763" t="str">
        <f t="shared" si="74"/>
        <v/>
      </c>
      <c r="FI20" s="762">
        <f t="shared" si="98"/>
        <v>0</v>
      </c>
      <c r="FJ20" s="762">
        <f t="shared" si="75"/>
        <v>0</v>
      </c>
      <c r="FK20" s="762">
        <f t="shared" si="76"/>
        <v>0</v>
      </c>
      <c r="FL20" s="762" t="str">
        <f t="shared" si="77"/>
        <v/>
      </c>
      <c r="FM20" s="763" t="str">
        <f t="shared" si="78"/>
        <v/>
      </c>
      <c r="FN20" s="763" t="e">
        <f t="shared" si="79"/>
        <v>#VALUE!</v>
      </c>
      <c r="FO20" s="872" t="e">
        <f t="shared" si="80"/>
        <v>#VALUE!</v>
      </c>
      <c r="FP20" s="872" t="e">
        <f t="shared" si="81"/>
        <v>#VALUE!</v>
      </c>
      <c r="FQ20" s="771" t="e">
        <f t="shared" si="82"/>
        <v>#VALUE!</v>
      </c>
      <c r="FR20" s="772" t="e">
        <f t="shared" si="83"/>
        <v>#VALUE!</v>
      </c>
      <c r="FS20" s="773" t="str">
        <f t="shared" si="84"/>
        <v/>
      </c>
      <c r="FT20" s="774" t="str">
        <f t="shared" si="85"/>
        <v/>
      </c>
      <c r="FU20" s="809">
        <f t="shared" si="86"/>
        <v>0</v>
      </c>
      <c r="FV20" s="810">
        <f t="shared" si="87"/>
        <v>0</v>
      </c>
      <c r="GA20" s="542" t="str">
        <f t="shared" si="88"/>
        <v/>
      </c>
      <c r="GB20" s="562" t="str">
        <f t="shared" si="89"/>
        <v/>
      </c>
      <c r="GC20" s="564" t="str">
        <f t="shared" si="90"/>
        <v/>
      </c>
      <c r="GD20" s="565" t="str">
        <f t="shared" si="91"/>
        <v/>
      </c>
      <c r="GE20" s="563" t="str">
        <f t="shared" si="92"/>
        <v/>
      </c>
      <c r="GF20" s="543" t="str">
        <f t="shared" si="93"/>
        <v/>
      </c>
      <c r="GG20" s="1052"/>
      <c r="GH20" s="1053"/>
      <c r="GI20" s="1052"/>
      <c r="GJ20" s="1053"/>
      <c r="GK20" s="1521">
        <f t="shared" si="94"/>
        <v>0</v>
      </c>
      <c r="GL20" s="1519" t="e">
        <f t="shared" si="95"/>
        <v>#VALUE!</v>
      </c>
      <c r="GM20" s="1520" t="e">
        <f>IF(ABS(GK20-GL20)&gt;=#REF!,ABS(GK20-GL20),0)</f>
        <v>#VALUE!</v>
      </c>
      <c r="HA20" s="1187"/>
      <c r="HB20" s="1188"/>
      <c r="HC20" s="1188"/>
      <c r="HD20" s="1189"/>
      <c r="HE20" s="1190"/>
      <c r="HF20" s="1188"/>
      <c r="HG20" s="1188"/>
      <c r="HH20" s="1188"/>
      <c r="HI20" s="1191"/>
      <c r="HJ20" s="1188"/>
      <c r="HK20" s="1188"/>
      <c r="HL20" s="1188"/>
      <c r="HM20" s="1188"/>
      <c r="HN20" s="1188"/>
      <c r="HO20" s="1188"/>
      <c r="HP20" s="1188"/>
      <c r="HQ20" s="1191"/>
      <c r="HR20" s="1188"/>
      <c r="HS20" s="1188"/>
      <c r="HT20" s="1188"/>
      <c r="HU20" s="1188"/>
      <c r="HV20" s="1188"/>
      <c r="HW20" s="1190"/>
      <c r="HX20" s="1190"/>
      <c r="HY20" s="1190"/>
      <c r="HZ20" s="1190"/>
      <c r="IA20" s="1190"/>
      <c r="IB20" s="1190"/>
      <c r="IC20" s="1190"/>
      <c r="ID20" s="1190"/>
      <c r="IE20" s="1190"/>
      <c r="IF20" s="1192"/>
    </row>
    <row r="21" spans="1:240" ht="12.6" customHeight="1" x14ac:dyDescent="0.25">
      <c r="A21" s="1132"/>
      <c r="B21" s="1586"/>
      <c r="C21" s="1133"/>
      <c r="D21" s="1134"/>
      <c r="E21" s="1135"/>
      <c r="F21" s="1143"/>
      <c r="G21" s="1138"/>
      <c r="H21" s="1645"/>
      <c r="I21" s="1134"/>
      <c r="J21" s="1138"/>
      <c r="K21" s="1657"/>
      <c r="L21" s="1141"/>
      <c r="M21" s="1142"/>
      <c r="N21" s="1137"/>
      <c r="O21" s="1138"/>
      <c r="P21" s="1139"/>
      <c r="Q21" s="1134"/>
      <c r="R21" s="1138"/>
      <c r="S21" s="1140"/>
      <c r="T21" s="1143"/>
      <c r="U21" s="1138"/>
      <c r="V21" s="1134"/>
      <c r="W21" s="1138"/>
      <c r="X21" s="1142"/>
      <c r="Y21" s="1647"/>
      <c r="Z21" s="1648"/>
      <c r="AA21" s="1649"/>
      <c r="AB21" s="1288"/>
      <c r="AC21" s="898" t="b">
        <v>0</v>
      </c>
      <c r="AD21" s="374">
        <f t="shared" si="1"/>
        <v>0</v>
      </c>
      <c r="AE21" s="375">
        <f t="shared" si="2"/>
        <v>0</v>
      </c>
      <c r="AF21" s="375">
        <f t="shared" si="3"/>
        <v>0</v>
      </c>
      <c r="AG21" s="375">
        <f t="shared" si="4"/>
        <v>0</v>
      </c>
      <c r="AH21" s="376">
        <f t="shared" si="5"/>
        <v>0</v>
      </c>
      <c r="AI21" s="377" t="b">
        <v>0</v>
      </c>
      <c r="AJ21" s="143">
        <f t="shared" si="6"/>
        <v>0</v>
      </c>
      <c r="AK21" s="771" t="str">
        <f t="shared" si="7"/>
        <v/>
      </c>
      <c r="AL21" s="877" t="str">
        <f t="shared" si="8"/>
        <v/>
      </c>
      <c r="AM21" s="771" t="str">
        <f t="shared" si="9"/>
        <v/>
      </c>
      <c r="AN21" s="771" t="str">
        <f t="shared" si="10"/>
        <v/>
      </c>
      <c r="AO21" s="771" t="str">
        <f t="shared" si="11"/>
        <v/>
      </c>
      <c r="AP21" s="771" t="b">
        <f>IF(ISERROR(AJ21),FALSE,IF(OR(AJ21=0,ISERROR(AL21),ISERROR(AM21),ISERROR(AN21),ISERROR(AO21)),FALSE,IF(AL21&lt;&gt;"",IF(ISERROR(VLOOKUP(SUBSTITUTE(SUBSTITUTE(C21,"R",""),"A",""),#REF!,1,FALSE)),FALSE,TRUE),TRUE)))</f>
        <v>0</v>
      </c>
      <c r="AQ21" s="945" t="e">
        <f t="shared" si="12"/>
        <v>#N/A</v>
      </c>
      <c r="AR21" s="877" t="b">
        <f t="shared" si="13"/>
        <v>0</v>
      </c>
      <c r="AS21" s="945" t="e">
        <f t="shared" si="14"/>
        <v>#N/A</v>
      </c>
      <c r="AT21" s="877" t="b">
        <f t="shared" si="15"/>
        <v>0</v>
      </c>
      <c r="AU21" s="878" t="str">
        <f t="shared" si="16"/>
        <v/>
      </c>
      <c r="AV21" s="771" t="str">
        <f t="shared" si="17"/>
        <v/>
      </c>
      <c r="AW21" s="771" t="str">
        <f t="shared" si="18"/>
        <v/>
      </c>
      <c r="AX21" s="771" t="str">
        <f t="shared" si="96"/>
        <v/>
      </c>
      <c r="AY21" s="946" t="e">
        <f t="shared" si="19"/>
        <v>#REF!</v>
      </c>
      <c r="AZ21" s="795" t="str">
        <f t="shared" si="20"/>
        <v/>
      </c>
      <c r="BA21" s="496"/>
      <c r="BB21" s="616"/>
      <c r="BC21" s="1567"/>
      <c r="BD21" s="682"/>
      <c r="BE21" s="683"/>
      <c r="BF21" s="684"/>
      <c r="BG21" s="660"/>
      <c r="BH21" s="901"/>
      <c r="BI21" s="902"/>
      <c r="BJ21" s="1508"/>
      <c r="BK21" s="661"/>
      <c r="BL21" s="662"/>
      <c r="BM21" s="663"/>
      <c r="BN21" s="664"/>
      <c r="BO21" s="616" t="str">
        <f>IF(ISERROR(CU21),"",IF(CU21="","",IF(VLOOKUP(BG21,#REF!,10,FALSE)="","","X")))</f>
        <v/>
      </c>
      <c r="BP21" s="687"/>
      <c r="BQ21" s="1430" t="str">
        <f t="shared" si="21"/>
        <v/>
      </c>
      <c r="BR21" s="839"/>
      <c r="BS21" s="660"/>
      <c r="BT21" s="661"/>
      <c r="BU21" s="662"/>
      <c r="BV21" s="1508"/>
      <c r="BW21" s="661"/>
      <c r="BX21" s="662"/>
      <c r="BY21" s="663"/>
      <c r="BZ21" s="664"/>
      <c r="CA21" s="625" t="str">
        <f>IF(ISERROR(DE21),"",IF(DE21="","",IF(VLOOKUP(BS21,#REF!,10,FALSE)="","","X")))</f>
        <v/>
      </c>
      <c r="CB21" s="687"/>
      <c r="CC21" s="1430" t="str">
        <f t="shared" si="22"/>
        <v/>
      </c>
      <c r="CD21" s="839"/>
      <c r="CE21" s="665"/>
      <c r="CF21" s="685"/>
      <c r="CG21" s="686"/>
      <c r="CH21" s="534" t="str">
        <f t="shared" si="23"/>
        <v/>
      </c>
      <c r="CI21" s="535" t="str">
        <f t="shared" si="24"/>
        <v/>
      </c>
      <c r="CJ21" s="536" t="str">
        <f t="shared" si="25"/>
        <v/>
      </c>
      <c r="CK21" s="537" t="str">
        <f t="shared" si="26"/>
        <v/>
      </c>
      <c r="CL21" s="538" t="str">
        <f t="shared" si="27"/>
        <v/>
      </c>
      <c r="CM21" s="539" t="str">
        <f t="shared" si="28"/>
        <v/>
      </c>
      <c r="CN21" s="540" t="str">
        <f t="shared" si="29"/>
        <v/>
      </c>
      <c r="CO21" s="541" t="str">
        <f t="shared" si="30"/>
        <v/>
      </c>
      <c r="CP21" s="558" t="str">
        <f t="shared" si="31"/>
        <v/>
      </c>
      <c r="CQ21" s="559" t="str">
        <f t="shared" si="32"/>
        <v/>
      </c>
      <c r="CR21" s="699" t="str">
        <f t="shared" si="33"/>
        <v/>
      </c>
      <c r="CS21" s="700" t="str">
        <f t="shared" si="34"/>
        <v/>
      </c>
      <c r="CU21" s="758" t="str">
        <f>IF(BG21="","",VLOOKUP(BG21,#REF!,12,FALSE))</f>
        <v/>
      </c>
      <c r="CV21" s="756" t="str">
        <f>IF(BG21="","",IF(ISBLANK(BP21),VLOOKUP(BG21,#REF!,13,FALSE),BP21))</f>
        <v/>
      </c>
      <c r="CW21" s="756" t="str">
        <f>IF(BG21="","",IF(VLOOKUP(BG21,#REF!,5,FALSE)="","R",UPPER(VLOOKUP(BG21,#REF!,5,FALSE))))</f>
        <v/>
      </c>
      <c r="CX21" s="756" t="str">
        <f>IF(BG21="","",IF(ISBLANK(BR21),VLOOKUP(BG21,#REF!,6,FALSE),BR21))</f>
        <v/>
      </c>
      <c r="CY21" s="1203" t="str">
        <f>IF(BG21="","",IF(VLOOKUP(BG21,#REF!,10,FALSE)="","",(IF(BO21="X",VLOOKUP(BG21,#REF!,10,FALSE),VALUE(BO21))*-1)))</f>
        <v/>
      </c>
      <c r="CZ21" s="1042" t="str">
        <f>IF(BG21="","",IF(VLOOKUP(BG21,#REF!,11,FALSE)="","2",(VLOOKUP(BG21,#REF!,11,FALSE))))</f>
        <v/>
      </c>
      <c r="DA21" s="756" t="str">
        <f>IF(BG21="","",IF(VLOOKUP(BG21,#REF!,7,FALSE)="","",(VLOOKUP(BG21,#REF!,7,FALSE)*-1)))</f>
        <v/>
      </c>
      <c r="DB21" s="756" t="str">
        <f>IF(BG21="","",IF(VLOOKUP(BG21,#REF!,8,FALSE)="",VLOOKUP(AU21,$DF$2:$DN$9,6,FALSE),(VLOOKUP(BG21,#REF!,8,FALSE))))</f>
        <v/>
      </c>
      <c r="DC21" s="756" t="str">
        <f>IF(BG21="","",VLOOKUP(BG21,#REF!,9,FALSE))</f>
        <v/>
      </c>
      <c r="DD21" s="757">
        <f t="shared" si="35"/>
        <v>0</v>
      </c>
      <c r="DE21" s="758" t="str">
        <f>IF(BS21="","",VLOOKUP(BS21,#REF!,12,FALSE))</f>
        <v/>
      </c>
      <c r="DF21" s="756" t="str">
        <f>IF(BS21="","",IF(ISBLANK(CB21),VLOOKUP(BS21,#REF!,13,FALSE),CB21))</f>
        <v/>
      </c>
      <c r="DG21" s="756" t="str">
        <f>IF(BS21="","",IF(VLOOKUP(BS21,#REF!,5,FALSE)="","R",UPPER(VLOOKUP(BS21,#REF!,5,FALSE))))</f>
        <v/>
      </c>
      <c r="DH21" s="756" t="str">
        <f>IF(BS21="","",IF(ISBLANK(CD21),VLOOKUP(BS21,#REF!,6,FALSE),CD21))</f>
        <v/>
      </c>
      <c r="DI21" s="1203" t="str">
        <f>IF(BS21="","",IF(VLOOKUP(BS21,#REF!,10,FALSE)="","",(IF(CA21="X",VLOOKUP(BS21,#REF!,10,FALSE),VALUE(CA21))*-1)))</f>
        <v/>
      </c>
      <c r="DJ21" s="1042" t="str">
        <f>IF(BS21="","",IF(VLOOKUP(BS21,#REF!,11,FALSE)="","2",(VLOOKUP(BS21,#REF!,11,FALSE))))</f>
        <v/>
      </c>
      <c r="DK21" s="756" t="str">
        <f>IF(BS21="","",IF(VLOOKUP(BS21,#REF!,7,FALSE)="","",(VLOOKUP(BS21,#REF!,7,FALSE)*-1)))</f>
        <v/>
      </c>
      <c r="DL21" s="756" t="str">
        <f>IF(BS21="","",IF(VLOOKUP(BS21,#REF!,8,FALSE)="",VLOOKUP(AU21,$DF$2:$DN$9,6,FALSE),(VLOOKUP(BS21,#REF!,8,FALSE))))</f>
        <v/>
      </c>
      <c r="DM21" s="756" t="str">
        <f>IF(BS21="","",VLOOKUP(BS21,#REF!,9,FALSE))</f>
        <v/>
      </c>
      <c r="DN21" s="757">
        <f t="shared" si="36"/>
        <v>0</v>
      </c>
      <c r="DO21" s="759">
        <f t="shared" si="37"/>
        <v>0</v>
      </c>
      <c r="DP21" s="763" t="str">
        <f t="shared" si="38"/>
        <v/>
      </c>
      <c r="DQ21" s="763" t="str">
        <f t="shared" si="39"/>
        <v/>
      </c>
      <c r="DR21" s="763" t="str">
        <f t="shared" si="40"/>
        <v/>
      </c>
      <c r="DS21" s="762">
        <f t="shared" si="41"/>
        <v>0</v>
      </c>
      <c r="DT21" s="762" t="e">
        <f t="shared" si="42"/>
        <v>#REF!</v>
      </c>
      <c r="DU21" s="762" t="str">
        <f t="shared" si="43"/>
        <v/>
      </c>
      <c r="DV21" s="763" t="str">
        <f t="shared" si="44"/>
        <v/>
      </c>
      <c r="DW21" s="795" t="str">
        <f t="shared" si="45"/>
        <v/>
      </c>
      <c r="DX21" s="926">
        <f t="shared" si="46"/>
        <v>0</v>
      </c>
      <c r="DY21" s="763">
        <f t="shared" si="47"/>
        <v>0</v>
      </c>
      <c r="DZ21" s="762" t="e">
        <f t="shared" si="48"/>
        <v>#REF!</v>
      </c>
      <c r="EA21" s="762" t="str">
        <f t="shared" si="49"/>
        <v/>
      </c>
      <c r="EB21" s="763" t="str">
        <f t="shared" si="50"/>
        <v/>
      </c>
      <c r="EC21" s="795" t="str">
        <f t="shared" si="51"/>
        <v/>
      </c>
      <c r="ED21" s="926">
        <f t="shared" si="52"/>
        <v>0</v>
      </c>
      <c r="EE21" s="1210" t="str">
        <f t="shared" si="53"/>
        <v/>
      </c>
      <c r="EF21" s="1210" t="str">
        <f t="shared" si="54"/>
        <v/>
      </c>
      <c r="EG21" s="1210" t="str">
        <f t="shared" si="55"/>
        <v/>
      </c>
      <c r="EH21" s="795" t="e">
        <f t="shared" si="56"/>
        <v>#N/A</v>
      </c>
      <c r="EI21" s="795" t="e">
        <f t="shared" si="57"/>
        <v>#N/A</v>
      </c>
      <c r="EJ21" s="763" t="str">
        <f t="shared" si="58"/>
        <v/>
      </c>
      <c r="EK21" s="763" t="str">
        <f t="shared" si="58"/>
        <v/>
      </c>
      <c r="EL21" s="1210" t="str">
        <f t="shared" si="59"/>
        <v/>
      </c>
      <c r="EM21" s="763" t="str">
        <f t="shared" si="60"/>
        <v/>
      </c>
      <c r="EN21" s="763" t="str">
        <f t="shared" si="61"/>
        <v/>
      </c>
      <c r="EO21" s="795" t="e">
        <f t="shared" si="62"/>
        <v>#N/A</v>
      </c>
      <c r="EP21" s="795" t="e">
        <f t="shared" si="63"/>
        <v>#N/A</v>
      </c>
      <c r="EQ21" s="1210" t="str">
        <f t="shared" si="64"/>
        <v/>
      </c>
      <c r="ER21" s="763" t="str">
        <f t="shared" si="64"/>
        <v/>
      </c>
      <c r="ES21" s="763" t="str">
        <f t="shared" si="65"/>
        <v/>
      </c>
      <c r="ET21" s="763" t="str">
        <f t="shared" si="66"/>
        <v/>
      </c>
      <c r="EU21" s="770" t="str">
        <f t="shared" si="67"/>
        <v/>
      </c>
      <c r="EV21" s="765" t="str">
        <f t="shared" si="68"/>
        <v/>
      </c>
      <c r="EW21" s="770"/>
      <c r="EX21" s="770" t="str">
        <f>IF(AND(CU21="G", ISBLANK(BK21), ISBLANK(BL21)),VLOOKUP(MIN(BH21:BI21),#REF!,2),IF(OR(CU21="B",CU21="G"),MIN(BK21:BL21),""))</f>
        <v/>
      </c>
      <c r="EY21" s="770" t="str">
        <f>IF(AND(CU21="G", ISBLANK(BK21), ISBLANK(BL21)),VLOOKUP(MAX(BH21:BI21),#REF!,2),IF(OR(CU21="B",CU21="G"),MAX(BK21:BL21),""))</f>
        <v/>
      </c>
      <c r="EZ21" s="770" t="str">
        <f t="shared" si="69"/>
        <v/>
      </c>
      <c r="FA21" s="770" t="str">
        <f>IF(AND(DE21="G", ISBLANK(BW21), ISBLANK(BX21)),VLOOKUP(MIN(BT21:BU21),#REF!,2),IF(OR(DE21="B", DE21="G"),MIN(BW21:BX21),""))</f>
        <v/>
      </c>
      <c r="FB21" s="770" t="str">
        <f>IF(AND(DE21="G", ISBLANK(BW21), ISBLANK(BX21)),VLOOKUP(MAX(BT21:BU21),#REF!,2),IF(OR(DE21="B", DE21="G"),MAX(BW21:BX21),""))</f>
        <v/>
      </c>
      <c r="FC21" s="770" t="str">
        <f t="shared" si="70"/>
        <v/>
      </c>
      <c r="FD21" s="762">
        <f t="shared" si="97"/>
        <v>0</v>
      </c>
      <c r="FE21" s="762">
        <f t="shared" si="71"/>
        <v>0</v>
      </c>
      <c r="FF21" s="762">
        <f t="shared" si="72"/>
        <v>0</v>
      </c>
      <c r="FG21" s="762" t="str">
        <f t="shared" si="73"/>
        <v/>
      </c>
      <c r="FH21" s="763" t="str">
        <f t="shared" si="74"/>
        <v/>
      </c>
      <c r="FI21" s="762">
        <f t="shared" si="98"/>
        <v>0</v>
      </c>
      <c r="FJ21" s="762">
        <f t="shared" si="75"/>
        <v>0</v>
      </c>
      <c r="FK21" s="762">
        <f t="shared" si="76"/>
        <v>0</v>
      </c>
      <c r="FL21" s="762" t="str">
        <f t="shared" si="77"/>
        <v/>
      </c>
      <c r="FM21" s="763" t="str">
        <f t="shared" si="78"/>
        <v/>
      </c>
      <c r="FN21" s="763" t="e">
        <f t="shared" si="79"/>
        <v>#VALUE!</v>
      </c>
      <c r="FO21" s="872" t="e">
        <f t="shared" si="80"/>
        <v>#VALUE!</v>
      </c>
      <c r="FP21" s="872" t="e">
        <f t="shared" si="81"/>
        <v>#VALUE!</v>
      </c>
      <c r="FQ21" s="771" t="e">
        <f t="shared" si="82"/>
        <v>#VALUE!</v>
      </c>
      <c r="FR21" s="772" t="e">
        <f t="shared" si="83"/>
        <v>#VALUE!</v>
      </c>
      <c r="FS21" s="773" t="str">
        <f t="shared" si="84"/>
        <v/>
      </c>
      <c r="FT21" s="774" t="str">
        <f t="shared" si="85"/>
        <v/>
      </c>
      <c r="FU21" s="809">
        <f t="shared" si="86"/>
        <v>0</v>
      </c>
      <c r="FV21" s="810">
        <f t="shared" si="87"/>
        <v>0</v>
      </c>
      <c r="GA21" s="542" t="str">
        <f t="shared" si="88"/>
        <v/>
      </c>
      <c r="GB21" s="562" t="str">
        <f t="shared" si="89"/>
        <v/>
      </c>
      <c r="GC21" s="564" t="str">
        <f t="shared" si="90"/>
        <v/>
      </c>
      <c r="GD21" s="565" t="str">
        <f t="shared" si="91"/>
        <v/>
      </c>
      <c r="GE21" s="563" t="str">
        <f t="shared" si="92"/>
        <v/>
      </c>
      <c r="GF21" s="543" t="str">
        <f t="shared" si="93"/>
        <v/>
      </c>
      <c r="GG21" s="1052"/>
      <c r="GH21" s="1053"/>
      <c r="GI21" s="1052"/>
      <c r="GJ21" s="1053"/>
      <c r="GK21" s="1521">
        <f t="shared" si="94"/>
        <v>0</v>
      </c>
      <c r="GL21" s="1519" t="e">
        <f t="shared" si="95"/>
        <v>#VALUE!</v>
      </c>
      <c r="GM21" s="1520" t="e">
        <f>IF(ABS(GK21-GL21)&gt;=#REF!,ABS(GK21-GL21),0)</f>
        <v>#VALUE!</v>
      </c>
      <c r="HA21" s="1187"/>
      <c r="HB21" s="1188"/>
      <c r="HC21" s="1188"/>
      <c r="HD21" s="1189"/>
      <c r="HE21" s="1190"/>
      <c r="HF21" s="1188"/>
      <c r="HG21" s="1188"/>
      <c r="HH21" s="1188"/>
      <c r="HI21" s="1191"/>
      <c r="HJ21" s="1188"/>
      <c r="HK21" s="1188"/>
      <c r="HL21" s="1188"/>
      <c r="HM21" s="1188"/>
      <c r="HN21" s="1188"/>
      <c r="HO21" s="1188"/>
      <c r="HP21" s="1188"/>
      <c r="HQ21" s="1191"/>
      <c r="HR21" s="1188"/>
      <c r="HS21" s="1188"/>
      <c r="HT21" s="1188"/>
      <c r="HU21" s="1188"/>
      <c r="HV21" s="1188"/>
      <c r="HW21" s="1190"/>
      <c r="HX21" s="1190"/>
      <c r="HY21" s="1190"/>
      <c r="HZ21" s="1190"/>
      <c r="IA21" s="1190"/>
      <c r="IB21" s="1190"/>
      <c r="IC21" s="1190"/>
      <c r="ID21" s="1190"/>
      <c r="IE21" s="1190"/>
      <c r="IF21" s="1192"/>
    </row>
    <row r="22" spans="1:240" ht="12.6" customHeight="1" x14ac:dyDescent="0.25">
      <c r="A22" s="1132"/>
      <c r="B22" s="1586"/>
      <c r="C22" s="1133"/>
      <c r="D22" s="1134"/>
      <c r="E22" s="1135"/>
      <c r="F22" s="1143"/>
      <c r="G22" s="1138"/>
      <c r="H22" s="1645"/>
      <c r="I22" s="1134"/>
      <c r="J22" s="1138"/>
      <c r="K22" s="1657"/>
      <c r="L22" s="1141"/>
      <c r="M22" s="1142"/>
      <c r="N22" s="1137"/>
      <c r="O22" s="1138"/>
      <c r="P22" s="1139"/>
      <c r="Q22" s="1134"/>
      <c r="R22" s="1138"/>
      <c r="S22" s="1140"/>
      <c r="T22" s="1143"/>
      <c r="U22" s="1138"/>
      <c r="V22" s="1134"/>
      <c r="W22" s="1138"/>
      <c r="X22" s="1142"/>
      <c r="Y22" s="1647"/>
      <c r="Z22" s="1648"/>
      <c r="AA22" s="1649"/>
      <c r="AB22" s="1288"/>
      <c r="AC22" s="898" t="b">
        <v>0</v>
      </c>
      <c r="AD22" s="374">
        <f t="shared" si="1"/>
        <v>0</v>
      </c>
      <c r="AE22" s="375">
        <f t="shared" si="2"/>
        <v>0</v>
      </c>
      <c r="AF22" s="375">
        <f t="shared" si="3"/>
        <v>0</v>
      </c>
      <c r="AG22" s="375">
        <f t="shared" si="4"/>
        <v>0</v>
      </c>
      <c r="AH22" s="376">
        <f t="shared" si="5"/>
        <v>0</v>
      </c>
      <c r="AI22" s="377" t="b">
        <v>0</v>
      </c>
      <c r="AJ22" s="143">
        <f t="shared" si="6"/>
        <v>0</v>
      </c>
      <c r="AK22" s="771" t="str">
        <f t="shared" si="7"/>
        <v/>
      </c>
      <c r="AL22" s="877" t="str">
        <f t="shared" si="8"/>
        <v/>
      </c>
      <c r="AM22" s="771" t="str">
        <f t="shared" si="9"/>
        <v/>
      </c>
      <c r="AN22" s="771" t="str">
        <f t="shared" si="10"/>
        <v/>
      </c>
      <c r="AO22" s="771" t="str">
        <f t="shared" si="11"/>
        <v/>
      </c>
      <c r="AP22" s="771" t="b">
        <f>IF(ISERROR(AJ22),FALSE,IF(OR(AJ22=0,ISERROR(AL22),ISERROR(AM22),ISERROR(AN22),ISERROR(AO22)),FALSE,IF(AL22&lt;&gt;"",IF(ISERROR(VLOOKUP(SUBSTITUTE(SUBSTITUTE(C22,"R",""),"A",""),#REF!,1,FALSE)),FALSE,TRUE),TRUE)))</f>
        <v>0</v>
      </c>
      <c r="AQ22" s="945" t="e">
        <f t="shared" si="12"/>
        <v>#N/A</v>
      </c>
      <c r="AR22" s="877" t="b">
        <f t="shared" si="13"/>
        <v>0</v>
      </c>
      <c r="AS22" s="945" t="e">
        <f t="shared" si="14"/>
        <v>#N/A</v>
      </c>
      <c r="AT22" s="877" t="b">
        <f t="shared" si="15"/>
        <v>0</v>
      </c>
      <c r="AU22" s="878" t="str">
        <f t="shared" si="16"/>
        <v/>
      </c>
      <c r="AV22" s="771" t="str">
        <f t="shared" si="17"/>
        <v/>
      </c>
      <c r="AW22" s="771" t="str">
        <f t="shared" si="18"/>
        <v/>
      </c>
      <c r="AX22" s="771" t="str">
        <f t="shared" si="96"/>
        <v/>
      </c>
      <c r="AY22" s="946" t="e">
        <f t="shared" si="19"/>
        <v>#REF!</v>
      </c>
      <c r="AZ22" s="795" t="str">
        <f t="shared" si="20"/>
        <v/>
      </c>
      <c r="BA22" s="496"/>
      <c r="BB22" s="616"/>
      <c r="BC22" s="1567"/>
      <c r="BD22" s="682"/>
      <c r="BE22" s="683"/>
      <c r="BF22" s="684"/>
      <c r="BG22" s="660"/>
      <c r="BH22" s="901"/>
      <c r="BI22" s="902"/>
      <c r="BJ22" s="1508"/>
      <c r="BK22" s="661"/>
      <c r="BL22" s="662"/>
      <c r="BM22" s="663"/>
      <c r="BN22" s="664"/>
      <c r="BO22" s="616" t="str">
        <f>IF(ISERROR(CU22),"",IF(CU22="","",IF(VLOOKUP(BG22,#REF!,10,FALSE)="","","X")))</f>
        <v/>
      </c>
      <c r="BP22" s="687"/>
      <c r="BQ22" s="1430" t="str">
        <f t="shared" si="21"/>
        <v/>
      </c>
      <c r="BR22" s="839"/>
      <c r="BS22" s="660"/>
      <c r="BT22" s="661"/>
      <c r="BU22" s="662"/>
      <c r="BV22" s="1508"/>
      <c r="BW22" s="661"/>
      <c r="BX22" s="662"/>
      <c r="BY22" s="663"/>
      <c r="BZ22" s="664"/>
      <c r="CA22" s="625" t="str">
        <f>IF(ISERROR(DE22),"",IF(DE22="","",IF(VLOOKUP(BS22,#REF!,10,FALSE)="","","X")))</f>
        <v/>
      </c>
      <c r="CB22" s="687"/>
      <c r="CC22" s="1430" t="str">
        <f t="shared" si="22"/>
        <v/>
      </c>
      <c r="CD22" s="839"/>
      <c r="CE22" s="665"/>
      <c r="CF22" s="685"/>
      <c r="CG22" s="686"/>
      <c r="CH22" s="534" t="str">
        <f t="shared" si="23"/>
        <v/>
      </c>
      <c r="CI22" s="535" t="str">
        <f t="shared" si="24"/>
        <v/>
      </c>
      <c r="CJ22" s="536" t="str">
        <f t="shared" si="25"/>
        <v/>
      </c>
      <c r="CK22" s="537" t="str">
        <f t="shared" si="26"/>
        <v/>
      </c>
      <c r="CL22" s="538" t="str">
        <f t="shared" si="27"/>
        <v/>
      </c>
      <c r="CM22" s="539" t="str">
        <f t="shared" si="28"/>
        <v/>
      </c>
      <c r="CN22" s="540" t="str">
        <f t="shared" si="29"/>
        <v/>
      </c>
      <c r="CO22" s="541" t="str">
        <f t="shared" si="30"/>
        <v/>
      </c>
      <c r="CP22" s="558" t="str">
        <f t="shared" si="31"/>
        <v/>
      </c>
      <c r="CQ22" s="559" t="str">
        <f t="shared" si="32"/>
        <v/>
      </c>
      <c r="CR22" s="699" t="str">
        <f t="shared" si="33"/>
        <v/>
      </c>
      <c r="CS22" s="700" t="str">
        <f t="shared" si="34"/>
        <v/>
      </c>
      <c r="CU22" s="758" t="str">
        <f>IF(BG22="","",VLOOKUP(BG22,#REF!,12,FALSE))</f>
        <v/>
      </c>
      <c r="CV22" s="756" t="str">
        <f>IF(BG22="","",IF(ISBLANK(BP22),VLOOKUP(BG22,#REF!,13,FALSE),BP22))</f>
        <v/>
      </c>
      <c r="CW22" s="756" t="str">
        <f>IF(BG22="","",IF(VLOOKUP(BG22,#REF!,5,FALSE)="","R",UPPER(VLOOKUP(BG22,#REF!,5,FALSE))))</f>
        <v/>
      </c>
      <c r="CX22" s="756" t="str">
        <f>IF(BG22="","",IF(ISBLANK(BR22),VLOOKUP(BG22,#REF!,6,FALSE),BR22))</f>
        <v/>
      </c>
      <c r="CY22" s="1203" t="str">
        <f>IF(BG22="","",IF(VLOOKUP(BG22,#REF!,10,FALSE)="","",(IF(BO22="X",VLOOKUP(BG22,#REF!,10,FALSE),VALUE(BO22))*-1)))</f>
        <v/>
      </c>
      <c r="CZ22" s="1042" t="str">
        <f>IF(BG22="","",IF(VLOOKUP(BG22,#REF!,11,FALSE)="","2",(VLOOKUP(BG22,#REF!,11,FALSE))))</f>
        <v/>
      </c>
      <c r="DA22" s="756" t="str">
        <f>IF(BG22="","",IF(VLOOKUP(BG22,#REF!,7,FALSE)="","",(VLOOKUP(BG22,#REF!,7,FALSE)*-1)))</f>
        <v/>
      </c>
      <c r="DB22" s="756" t="str">
        <f>IF(BG22="","",IF(VLOOKUP(BG22,#REF!,8,FALSE)="",VLOOKUP(AU22,$DF$2:$DN$9,6,FALSE),(VLOOKUP(BG22,#REF!,8,FALSE))))</f>
        <v/>
      </c>
      <c r="DC22" s="756" t="str">
        <f>IF(BG22="","",VLOOKUP(BG22,#REF!,9,FALSE))</f>
        <v/>
      </c>
      <c r="DD22" s="757">
        <f t="shared" si="35"/>
        <v>0</v>
      </c>
      <c r="DE22" s="758" t="str">
        <f>IF(BS22="","",VLOOKUP(BS22,#REF!,12,FALSE))</f>
        <v/>
      </c>
      <c r="DF22" s="756" t="str">
        <f>IF(BS22="","",IF(ISBLANK(CB22),VLOOKUP(BS22,#REF!,13,FALSE),CB22))</f>
        <v/>
      </c>
      <c r="DG22" s="756" t="str">
        <f>IF(BS22="","",IF(VLOOKUP(BS22,#REF!,5,FALSE)="","R",UPPER(VLOOKUP(BS22,#REF!,5,FALSE))))</f>
        <v/>
      </c>
      <c r="DH22" s="756" t="str">
        <f>IF(BS22="","",IF(ISBLANK(CD22),VLOOKUP(BS22,#REF!,6,FALSE),CD22))</f>
        <v/>
      </c>
      <c r="DI22" s="1203" t="str">
        <f>IF(BS22="","",IF(VLOOKUP(BS22,#REF!,10,FALSE)="","",(IF(CA22="X",VLOOKUP(BS22,#REF!,10,FALSE),VALUE(CA22))*-1)))</f>
        <v/>
      </c>
      <c r="DJ22" s="1042" t="str">
        <f>IF(BS22="","",IF(VLOOKUP(BS22,#REF!,11,FALSE)="","2",(VLOOKUP(BS22,#REF!,11,FALSE))))</f>
        <v/>
      </c>
      <c r="DK22" s="756" t="str">
        <f>IF(BS22="","",IF(VLOOKUP(BS22,#REF!,7,FALSE)="","",(VLOOKUP(BS22,#REF!,7,FALSE)*-1)))</f>
        <v/>
      </c>
      <c r="DL22" s="756" t="str">
        <f>IF(BS22="","",IF(VLOOKUP(BS22,#REF!,8,FALSE)="",VLOOKUP(AU22,$DF$2:$DN$9,6,FALSE),(VLOOKUP(BS22,#REF!,8,FALSE))))</f>
        <v/>
      </c>
      <c r="DM22" s="756" t="str">
        <f>IF(BS22="","",VLOOKUP(BS22,#REF!,9,FALSE))</f>
        <v/>
      </c>
      <c r="DN22" s="757">
        <f t="shared" si="36"/>
        <v>0</v>
      </c>
      <c r="DO22" s="759">
        <f t="shared" si="37"/>
        <v>0</v>
      </c>
      <c r="DP22" s="763" t="str">
        <f t="shared" si="38"/>
        <v/>
      </c>
      <c r="DQ22" s="763" t="str">
        <f t="shared" si="39"/>
        <v/>
      </c>
      <c r="DR22" s="763" t="str">
        <f t="shared" si="40"/>
        <v/>
      </c>
      <c r="DS22" s="762">
        <f t="shared" si="41"/>
        <v>0</v>
      </c>
      <c r="DT22" s="762" t="e">
        <f t="shared" si="42"/>
        <v>#REF!</v>
      </c>
      <c r="DU22" s="762" t="str">
        <f t="shared" si="43"/>
        <v/>
      </c>
      <c r="DV22" s="763" t="str">
        <f t="shared" si="44"/>
        <v/>
      </c>
      <c r="DW22" s="795" t="str">
        <f t="shared" si="45"/>
        <v/>
      </c>
      <c r="DX22" s="926">
        <f t="shared" si="46"/>
        <v>0</v>
      </c>
      <c r="DY22" s="763">
        <f t="shared" si="47"/>
        <v>0</v>
      </c>
      <c r="DZ22" s="762" t="e">
        <f t="shared" si="48"/>
        <v>#REF!</v>
      </c>
      <c r="EA22" s="762" t="str">
        <f t="shared" si="49"/>
        <v/>
      </c>
      <c r="EB22" s="763" t="str">
        <f t="shared" si="50"/>
        <v/>
      </c>
      <c r="EC22" s="795" t="str">
        <f t="shared" si="51"/>
        <v/>
      </c>
      <c r="ED22" s="926">
        <f t="shared" si="52"/>
        <v>0</v>
      </c>
      <c r="EE22" s="1210" t="str">
        <f t="shared" si="53"/>
        <v/>
      </c>
      <c r="EF22" s="1210" t="str">
        <f t="shared" si="54"/>
        <v/>
      </c>
      <c r="EG22" s="1210" t="str">
        <f t="shared" si="55"/>
        <v/>
      </c>
      <c r="EH22" s="795" t="e">
        <f t="shared" si="56"/>
        <v>#N/A</v>
      </c>
      <c r="EI22" s="795" t="e">
        <f t="shared" si="57"/>
        <v>#N/A</v>
      </c>
      <c r="EJ22" s="763" t="str">
        <f t="shared" si="58"/>
        <v/>
      </c>
      <c r="EK22" s="763" t="str">
        <f t="shared" si="58"/>
        <v/>
      </c>
      <c r="EL22" s="1210" t="str">
        <f t="shared" si="59"/>
        <v/>
      </c>
      <c r="EM22" s="763" t="str">
        <f t="shared" si="60"/>
        <v/>
      </c>
      <c r="EN22" s="763" t="str">
        <f t="shared" si="61"/>
        <v/>
      </c>
      <c r="EO22" s="795" t="e">
        <f t="shared" si="62"/>
        <v>#N/A</v>
      </c>
      <c r="EP22" s="795" t="e">
        <f t="shared" si="63"/>
        <v>#N/A</v>
      </c>
      <c r="EQ22" s="1210" t="str">
        <f t="shared" si="64"/>
        <v/>
      </c>
      <c r="ER22" s="763" t="str">
        <f t="shared" si="64"/>
        <v/>
      </c>
      <c r="ES22" s="763" t="str">
        <f t="shared" si="65"/>
        <v/>
      </c>
      <c r="ET22" s="763" t="str">
        <f t="shared" si="66"/>
        <v/>
      </c>
      <c r="EU22" s="770" t="str">
        <f t="shared" si="67"/>
        <v/>
      </c>
      <c r="EV22" s="765" t="str">
        <f t="shared" si="68"/>
        <v/>
      </c>
      <c r="EW22" s="770"/>
      <c r="EX22" s="770" t="str">
        <f>IF(AND(CU22="G", ISBLANK(BK22), ISBLANK(BL22)),VLOOKUP(MIN(BH22:BI22),#REF!,2),IF(OR(CU22="B",CU22="G"),MIN(BK22:BL22),""))</f>
        <v/>
      </c>
      <c r="EY22" s="770" t="str">
        <f>IF(AND(CU22="G", ISBLANK(BK22), ISBLANK(BL22)),VLOOKUP(MAX(BH22:BI22),#REF!,2),IF(OR(CU22="B",CU22="G"),MAX(BK22:BL22),""))</f>
        <v/>
      </c>
      <c r="EZ22" s="770" t="str">
        <f t="shared" si="69"/>
        <v/>
      </c>
      <c r="FA22" s="770" t="str">
        <f>IF(AND(DE22="G", ISBLANK(BW22), ISBLANK(BX22)),VLOOKUP(MIN(BT22:BU22),#REF!,2),IF(OR(DE22="B", DE22="G"),MIN(BW22:BX22),""))</f>
        <v/>
      </c>
      <c r="FB22" s="770" t="str">
        <f>IF(AND(DE22="G", ISBLANK(BW22), ISBLANK(BX22)),VLOOKUP(MAX(BT22:BU22),#REF!,2),IF(OR(DE22="B", DE22="G"),MAX(BW22:BX22),""))</f>
        <v/>
      </c>
      <c r="FC22" s="770" t="str">
        <f t="shared" si="70"/>
        <v/>
      </c>
      <c r="FD22" s="762">
        <f t="shared" si="97"/>
        <v>0</v>
      </c>
      <c r="FE22" s="762">
        <f t="shared" si="71"/>
        <v>0</v>
      </c>
      <c r="FF22" s="762">
        <f t="shared" si="72"/>
        <v>0</v>
      </c>
      <c r="FG22" s="762" t="str">
        <f t="shared" si="73"/>
        <v/>
      </c>
      <c r="FH22" s="763" t="str">
        <f t="shared" si="74"/>
        <v/>
      </c>
      <c r="FI22" s="762">
        <f t="shared" si="98"/>
        <v>0</v>
      </c>
      <c r="FJ22" s="762">
        <f t="shared" si="75"/>
        <v>0</v>
      </c>
      <c r="FK22" s="762">
        <f t="shared" si="76"/>
        <v>0</v>
      </c>
      <c r="FL22" s="762" t="str">
        <f t="shared" si="77"/>
        <v/>
      </c>
      <c r="FM22" s="763" t="str">
        <f t="shared" si="78"/>
        <v/>
      </c>
      <c r="FN22" s="763" t="e">
        <f t="shared" si="79"/>
        <v>#VALUE!</v>
      </c>
      <c r="FO22" s="872" t="e">
        <f t="shared" si="80"/>
        <v>#VALUE!</v>
      </c>
      <c r="FP22" s="872" t="e">
        <f t="shared" si="81"/>
        <v>#VALUE!</v>
      </c>
      <c r="FQ22" s="771" t="e">
        <f t="shared" si="82"/>
        <v>#VALUE!</v>
      </c>
      <c r="FR22" s="772" t="e">
        <f t="shared" si="83"/>
        <v>#VALUE!</v>
      </c>
      <c r="FS22" s="773" t="str">
        <f t="shared" si="84"/>
        <v/>
      </c>
      <c r="FT22" s="774" t="str">
        <f t="shared" si="85"/>
        <v/>
      </c>
      <c r="FU22" s="809">
        <f t="shared" si="86"/>
        <v>0</v>
      </c>
      <c r="FV22" s="810">
        <f t="shared" si="87"/>
        <v>0</v>
      </c>
      <c r="GA22" s="542" t="str">
        <f t="shared" si="88"/>
        <v/>
      </c>
      <c r="GB22" s="562" t="str">
        <f t="shared" si="89"/>
        <v/>
      </c>
      <c r="GC22" s="564" t="str">
        <f t="shared" si="90"/>
        <v/>
      </c>
      <c r="GD22" s="565" t="str">
        <f t="shared" si="91"/>
        <v/>
      </c>
      <c r="GE22" s="563" t="str">
        <f t="shared" si="92"/>
        <v/>
      </c>
      <c r="GF22" s="543" t="str">
        <f t="shared" si="93"/>
        <v/>
      </c>
      <c r="GG22" s="1052"/>
      <c r="GH22" s="1053"/>
      <c r="GI22" s="1052"/>
      <c r="GJ22" s="1053"/>
      <c r="GK22" s="1521">
        <f t="shared" si="94"/>
        <v>0</v>
      </c>
      <c r="GL22" s="1519" t="e">
        <f t="shared" si="95"/>
        <v>#VALUE!</v>
      </c>
      <c r="GM22" s="1520" t="e">
        <f>IF(ABS(GK22-GL22)&gt;=#REF!,ABS(GK22-GL22),0)</f>
        <v>#VALUE!</v>
      </c>
      <c r="HA22" s="1187"/>
      <c r="HB22" s="1188"/>
      <c r="HC22" s="1188"/>
      <c r="HD22" s="1189"/>
      <c r="HE22" s="1190"/>
      <c r="HF22" s="1188"/>
      <c r="HG22" s="1188"/>
      <c r="HH22" s="1188"/>
      <c r="HI22" s="1191"/>
      <c r="HJ22" s="1188"/>
      <c r="HK22" s="1188"/>
      <c r="HL22" s="1188"/>
      <c r="HM22" s="1188"/>
      <c r="HN22" s="1188"/>
      <c r="HO22" s="1188"/>
      <c r="HP22" s="1188"/>
      <c r="HQ22" s="1191"/>
      <c r="HR22" s="1188"/>
      <c r="HS22" s="1188"/>
      <c r="HT22" s="1188"/>
      <c r="HU22" s="1188"/>
      <c r="HV22" s="1188"/>
      <c r="HW22" s="1190"/>
      <c r="HX22" s="1190"/>
      <c r="HY22" s="1190"/>
      <c r="HZ22" s="1190"/>
      <c r="IA22" s="1190"/>
      <c r="IB22" s="1190"/>
      <c r="IC22" s="1190"/>
      <c r="ID22" s="1190"/>
      <c r="IE22" s="1190"/>
      <c r="IF22" s="1192"/>
    </row>
    <row r="23" spans="1:240" ht="12.6" customHeight="1" x14ac:dyDescent="0.25">
      <c r="A23" s="1132"/>
      <c r="B23" s="1586"/>
      <c r="C23" s="1133"/>
      <c r="D23" s="1134"/>
      <c r="E23" s="1135"/>
      <c r="F23" s="1143"/>
      <c r="G23" s="1138"/>
      <c r="H23" s="1645"/>
      <c r="I23" s="1134"/>
      <c r="J23" s="1138"/>
      <c r="K23" s="1657"/>
      <c r="L23" s="1141"/>
      <c r="M23" s="1142"/>
      <c r="N23" s="1137"/>
      <c r="O23" s="1138"/>
      <c r="P23" s="1139"/>
      <c r="Q23" s="1134"/>
      <c r="R23" s="1138"/>
      <c r="S23" s="1140"/>
      <c r="T23" s="1143"/>
      <c r="U23" s="1138"/>
      <c r="V23" s="1134"/>
      <c r="W23" s="1138"/>
      <c r="X23" s="1142"/>
      <c r="Y23" s="1647"/>
      <c r="Z23" s="1648"/>
      <c r="AA23" s="1649"/>
      <c r="AB23" s="1288"/>
      <c r="AC23" s="898" t="b">
        <v>0</v>
      </c>
      <c r="AD23" s="374">
        <f t="shared" si="1"/>
        <v>0</v>
      </c>
      <c r="AE23" s="375">
        <f t="shared" si="2"/>
        <v>0</v>
      </c>
      <c r="AF23" s="375">
        <f t="shared" si="3"/>
        <v>0</v>
      </c>
      <c r="AG23" s="375">
        <f t="shared" si="4"/>
        <v>0</v>
      </c>
      <c r="AH23" s="376">
        <f t="shared" si="5"/>
        <v>0</v>
      </c>
      <c r="AI23" s="377" t="b">
        <v>0</v>
      </c>
      <c r="AJ23" s="143">
        <f t="shared" si="6"/>
        <v>0</v>
      </c>
      <c r="AK23" s="771" t="str">
        <f t="shared" si="7"/>
        <v/>
      </c>
      <c r="AL23" s="877" t="str">
        <f t="shared" si="8"/>
        <v/>
      </c>
      <c r="AM23" s="771" t="str">
        <f t="shared" si="9"/>
        <v/>
      </c>
      <c r="AN23" s="771" t="str">
        <f t="shared" si="10"/>
        <v/>
      </c>
      <c r="AO23" s="771" t="str">
        <f t="shared" si="11"/>
        <v/>
      </c>
      <c r="AP23" s="771" t="b">
        <f>IF(ISERROR(AJ23),FALSE,IF(OR(AJ23=0,ISERROR(AL23),ISERROR(AM23),ISERROR(AN23),ISERROR(AO23)),FALSE,IF(AL23&lt;&gt;"",IF(ISERROR(VLOOKUP(SUBSTITUTE(SUBSTITUTE(C23,"R",""),"A",""),#REF!,1,FALSE)),FALSE,TRUE),TRUE)))</f>
        <v>0</v>
      </c>
      <c r="AQ23" s="945" t="e">
        <f t="shared" si="12"/>
        <v>#N/A</v>
      </c>
      <c r="AR23" s="877" t="b">
        <f t="shared" si="13"/>
        <v>0</v>
      </c>
      <c r="AS23" s="945" t="e">
        <f t="shared" si="14"/>
        <v>#N/A</v>
      </c>
      <c r="AT23" s="877" t="b">
        <f t="shared" si="15"/>
        <v>0</v>
      </c>
      <c r="AU23" s="878" t="str">
        <f t="shared" si="16"/>
        <v/>
      </c>
      <c r="AV23" s="771" t="str">
        <f t="shared" si="17"/>
        <v/>
      </c>
      <c r="AW23" s="771" t="str">
        <f t="shared" si="18"/>
        <v/>
      </c>
      <c r="AX23" s="771" t="str">
        <f t="shared" si="96"/>
        <v/>
      </c>
      <c r="AY23" s="946" t="e">
        <f t="shared" si="19"/>
        <v>#REF!</v>
      </c>
      <c r="AZ23" s="795" t="str">
        <f t="shared" si="20"/>
        <v/>
      </c>
      <c r="BA23" s="496"/>
      <c r="BB23" s="616"/>
      <c r="BC23" s="1567"/>
      <c r="BD23" s="682"/>
      <c r="BE23" s="683"/>
      <c r="BF23" s="684"/>
      <c r="BG23" s="660"/>
      <c r="BH23" s="901"/>
      <c r="BI23" s="902"/>
      <c r="BJ23" s="1508"/>
      <c r="BK23" s="661"/>
      <c r="BL23" s="662"/>
      <c r="BM23" s="663"/>
      <c r="BN23" s="664"/>
      <c r="BO23" s="616" t="str">
        <f>IF(ISERROR(CU23),"",IF(CU23="","",IF(VLOOKUP(BG23,#REF!,10,FALSE)="","","X")))</f>
        <v/>
      </c>
      <c r="BP23" s="687"/>
      <c r="BQ23" s="1430" t="str">
        <f t="shared" si="21"/>
        <v/>
      </c>
      <c r="BR23" s="839"/>
      <c r="BS23" s="660"/>
      <c r="BT23" s="661"/>
      <c r="BU23" s="662"/>
      <c r="BV23" s="1508"/>
      <c r="BW23" s="661"/>
      <c r="BX23" s="662"/>
      <c r="BY23" s="663"/>
      <c r="BZ23" s="664"/>
      <c r="CA23" s="625" t="str">
        <f>IF(ISERROR(DE23),"",IF(DE23="","",IF(VLOOKUP(BS23,#REF!,10,FALSE)="","","X")))</f>
        <v/>
      </c>
      <c r="CB23" s="687"/>
      <c r="CC23" s="1430" t="str">
        <f t="shared" si="22"/>
        <v/>
      </c>
      <c r="CD23" s="839"/>
      <c r="CE23" s="665"/>
      <c r="CF23" s="685"/>
      <c r="CG23" s="686"/>
      <c r="CH23" s="534" t="str">
        <f t="shared" si="23"/>
        <v/>
      </c>
      <c r="CI23" s="535" t="str">
        <f t="shared" si="24"/>
        <v/>
      </c>
      <c r="CJ23" s="536" t="str">
        <f t="shared" si="25"/>
        <v/>
      </c>
      <c r="CK23" s="537" t="str">
        <f t="shared" si="26"/>
        <v/>
      </c>
      <c r="CL23" s="538" t="str">
        <f t="shared" si="27"/>
        <v/>
      </c>
      <c r="CM23" s="539" t="str">
        <f t="shared" si="28"/>
        <v/>
      </c>
      <c r="CN23" s="540" t="str">
        <f t="shared" si="29"/>
        <v/>
      </c>
      <c r="CO23" s="541" t="str">
        <f t="shared" si="30"/>
        <v/>
      </c>
      <c r="CP23" s="558" t="str">
        <f t="shared" si="31"/>
        <v/>
      </c>
      <c r="CQ23" s="559" t="str">
        <f t="shared" si="32"/>
        <v/>
      </c>
      <c r="CR23" s="699" t="str">
        <f t="shared" si="33"/>
        <v/>
      </c>
      <c r="CS23" s="700" t="str">
        <f t="shared" si="34"/>
        <v/>
      </c>
      <c r="CU23" s="758" t="str">
        <f>IF(BG23="","",VLOOKUP(BG23,#REF!,12,FALSE))</f>
        <v/>
      </c>
      <c r="CV23" s="756" t="str">
        <f>IF(BG23="","",IF(ISBLANK(BP23),VLOOKUP(BG23,#REF!,13,FALSE),BP23))</f>
        <v/>
      </c>
      <c r="CW23" s="756" t="str">
        <f>IF(BG23="","",IF(VLOOKUP(BG23,#REF!,5,FALSE)="","R",UPPER(VLOOKUP(BG23,#REF!,5,FALSE))))</f>
        <v/>
      </c>
      <c r="CX23" s="756" t="str">
        <f>IF(BG23="","",IF(ISBLANK(BR23),VLOOKUP(BG23,#REF!,6,FALSE),BR23))</f>
        <v/>
      </c>
      <c r="CY23" s="1203" t="str">
        <f>IF(BG23="","",IF(VLOOKUP(BG23,#REF!,10,FALSE)="","",(IF(BO23="X",VLOOKUP(BG23,#REF!,10,FALSE),VALUE(BO23))*-1)))</f>
        <v/>
      </c>
      <c r="CZ23" s="1042" t="str">
        <f>IF(BG23="","",IF(VLOOKUP(BG23,#REF!,11,FALSE)="","2",(VLOOKUP(BG23,#REF!,11,FALSE))))</f>
        <v/>
      </c>
      <c r="DA23" s="756" t="str">
        <f>IF(BG23="","",IF(VLOOKUP(BG23,#REF!,7,FALSE)="","",(VLOOKUP(BG23,#REF!,7,FALSE)*-1)))</f>
        <v/>
      </c>
      <c r="DB23" s="756" t="str">
        <f>IF(BG23="","",IF(VLOOKUP(BG23,#REF!,8,FALSE)="",VLOOKUP(AU23,$DF$2:$DN$9,6,FALSE),(VLOOKUP(BG23,#REF!,8,FALSE))))</f>
        <v/>
      </c>
      <c r="DC23" s="756" t="str">
        <f>IF(BG23="","",VLOOKUP(BG23,#REF!,9,FALSE))</f>
        <v/>
      </c>
      <c r="DD23" s="757">
        <f t="shared" si="35"/>
        <v>0</v>
      </c>
      <c r="DE23" s="758" t="str">
        <f>IF(BS23="","",VLOOKUP(BS23,#REF!,12,FALSE))</f>
        <v/>
      </c>
      <c r="DF23" s="756" t="str">
        <f>IF(BS23="","",IF(ISBLANK(CB23),VLOOKUP(BS23,#REF!,13,FALSE),CB23))</f>
        <v/>
      </c>
      <c r="DG23" s="756" t="str">
        <f>IF(BS23="","",IF(VLOOKUP(BS23,#REF!,5,FALSE)="","R",UPPER(VLOOKUP(BS23,#REF!,5,FALSE))))</f>
        <v/>
      </c>
      <c r="DH23" s="756" t="str">
        <f>IF(BS23="","",IF(ISBLANK(CD23),VLOOKUP(BS23,#REF!,6,FALSE),CD23))</f>
        <v/>
      </c>
      <c r="DI23" s="1203" t="str">
        <f>IF(BS23="","",IF(VLOOKUP(BS23,#REF!,10,FALSE)="","",(IF(CA23="X",VLOOKUP(BS23,#REF!,10,FALSE),VALUE(CA23))*-1)))</f>
        <v/>
      </c>
      <c r="DJ23" s="1042" t="str">
        <f>IF(BS23="","",IF(VLOOKUP(BS23,#REF!,11,FALSE)="","2",(VLOOKUP(BS23,#REF!,11,FALSE))))</f>
        <v/>
      </c>
      <c r="DK23" s="756" t="str">
        <f>IF(BS23="","",IF(VLOOKUP(BS23,#REF!,7,FALSE)="","",(VLOOKUP(BS23,#REF!,7,FALSE)*-1)))</f>
        <v/>
      </c>
      <c r="DL23" s="756" t="str">
        <f>IF(BS23="","",IF(VLOOKUP(BS23,#REF!,8,FALSE)="",VLOOKUP(AU23,$DF$2:$DN$9,6,FALSE),(VLOOKUP(BS23,#REF!,8,FALSE))))</f>
        <v/>
      </c>
      <c r="DM23" s="756" t="str">
        <f>IF(BS23="","",VLOOKUP(BS23,#REF!,9,FALSE))</f>
        <v/>
      </c>
      <c r="DN23" s="757">
        <f t="shared" si="36"/>
        <v>0</v>
      </c>
      <c r="DO23" s="759">
        <f t="shared" si="37"/>
        <v>0</v>
      </c>
      <c r="DP23" s="763" t="str">
        <f t="shared" si="38"/>
        <v/>
      </c>
      <c r="DQ23" s="763" t="str">
        <f t="shared" si="39"/>
        <v/>
      </c>
      <c r="DR23" s="763" t="str">
        <f t="shared" si="40"/>
        <v/>
      </c>
      <c r="DS23" s="762">
        <f t="shared" si="41"/>
        <v>0</v>
      </c>
      <c r="DT23" s="762" t="e">
        <f t="shared" si="42"/>
        <v>#REF!</v>
      </c>
      <c r="DU23" s="762" t="str">
        <f t="shared" si="43"/>
        <v/>
      </c>
      <c r="DV23" s="763" t="str">
        <f t="shared" si="44"/>
        <v/>
      </c>
      <c r="DW23" s="795" t="str">
        <f t="shared" si="45"/>
        <v/>
      </c>
      <c r="DX23" s="926">
        <f t="shared" si="46"/>
        <v>0</v>
      </c>
      <c r="DY23" s="763">
        <f t="shared" si="47"/>
        <v>0</v>
      </c>
      <c r="DZ23" s="762" t="e">
        <f t="shared" si="48"/>
        <v>#REF!</v>
      </c>
      <c r="EA23" s="762" t="str">
        <f t="shared" si="49"/>
        <v/>
      </c>
      <c r="EB23" s="763" t="str">
        <f t="shared" si="50"/>
        <v/>
      </c>
      <c r="EC23" s="795" t="str">
        <f t="shared" si="51"/>
        <v/>
      </c>
      <c r="ED23" s="926">
        <f t="shared" si="52"/>
        <v>0</v>
      </c>
      <c r="EE23" s="1210" t="str">
        <f t="shared" si="53"/>
        <v/>
      </c>
      <c r="EF23" s="1210" t="str">
        <f t="shared" si="54"/>
        <v/>
      </c>
      <c r="EG23" s="1210" t="str">
        <f t="shared" si="55"/>
        <v/>
      </c>
      <c r="EH23" s="795" t="e">
        <f t="shared" si="56"/>
        <v>#N/A</v>
      </c>
      <c r="EI23" s="795" t="e">
        <f t="shared" si="57"/>
        <v>#N/A</v>
      </c>
      <c r="EJ23" s="763" t="str">
        <f t="shared" si="58"/>
        <v/>
      </c>
      <c r="EK23" s="763" t="str">
        <f t="shared" si="58"/>
        <v/>
      </c>
      <c r="EL23" s="1210" t="str">
        <f t="shared" si="59"/>
        <v/>
      </c>
      <c r="EM23" s="763" t="str">
        <f t="shared" si="60"/>
        <v/>
      </c>
      <c r="EN23" s="763" t="str">
        <f t="shared" si="61"/>
        <v/>
      </c>
      <c r="EO23" s="795" t="e">
        <f t="shared" si="62"/>
        <v>#N/A</v>
      </c>
      <c r="EP23" s="795" t="e">
        <f t="shared" si="63"/>
        <v>#N/A</v>
      </c>
      <c r="EQ23" s="1210" t="str">
        <f t="shared" si="64"/>
        <v/>
      </c>
      <c r="ER23" s="763" t="str">
        <f t="shared" si="64"/>
        <v/>
      </c>
      <c r="ES23" s="763" t="str">
        <f t="shared" si="65"/>
        <v/>
      </c>
      <c r="ET23" s="763" t="str">
        <f t="shared" si="66"/>
        <v/>
      </c>
      <c r="EU23" s="770" t="str">
        <f t="shared" si="67"/>
        <v/>
      </c>
      <c r="EV23" s="765" t="str">
        <f t="shared" si="68"/>
        <v/>
      </c>
      <c r="EW23" s="770"/>
      <c r="EX23" s="770" t="str">
        <f>IF(AND(CU23="G", ISBLANK(BK23), ISBLANK(BL23)),VLOOKUP(MIN(BH23:BI23),#REF!,2),IF(OR(CU23="B",CU23="G"),MIN(BK23:BL23),""))</f>
        <v/>
      </c>
      <c r="EY23" s="770" t="str">
        <f>IF(AND(CU23="G", ISBLANK(BK23), ISBLANK(BL23)),VLOOKUP(MAX(BH23:BI23),#REF!,2),IF(OR(CU23="B",CU23="G"),MAX(BK23:BL23),""))</f>
        <v/>
      </c>
      <c r="EZ23" s="770" t="str">
        <f t="shared" si="69"/>
        <v/>
      </c>
      <c r="FA23" s="770" t="str">
        <f>IF(AND(DE23="G", ISBLANK(BW23), ISBLANK(BX23)),VLOOKUP(MIN(BT23:BU23),#REF!,2),IF(OR(DE23="B", DE23="G"),MIN(BW23:BX23),""))</f>
        <v/>
      </c>
      <c r="FB23" s="770" t="str">
        <f>IF(AND(DE23="G", ISBLANK(BW23), ISBLANK(BX23)),VLOOKUP(MAX(BT23:BU23),#REF!,2),IF(OR(DE23="B", DE23="G"),MAX(BW23:BX23),""))</f>
        <v/>
      </c>
      <c r="FC23" s="770" t="str">
        <f t="shared" si="70"/>
        <v/>
      </c>
      <c r="FD23" s="762">
        <f t="shared" si="97"/>
        <v>0</v>
      </c>
      <c r="FE23" s="762">
        <f t="shared" si="71"/>
        <v>0</v>
      </c>
      <c r="FF23" s="762">
        <f t="shared" si="72"/>
        <v>0</v>
      </c>
      <c r="FG23" s="762" t="str">
        <f t="shared" si="73"/>
        <v/>
      </c>
      <c r="FH23" s="763" t="str">
        <f t="shared" si="74"/>
        <v/>
      </c>
      <c r="FI23" s="762">
        <f t="shared" si="98"/>
        <v>0</v>
      </c>
      <c r="FJ23" s="762">
        <f t="shared" si="75"/>
        <v>0</v>
      </c>
      <c r="FK23" s="762">
        <f t="shared" si="76"/>
        <v>0</v>
      </c>
      <c r="FL23" s="762" t="str">
        <f t="shared" si="77"/>
        <v/>
      </c>
      <c r="FM23" s="763" t="str">
        <f t="shared" si="78"/>
        <v/>
      </c>
      <c r="FN23" s="763" t="e">
        <f t="shared" si="79"/>
        <v>#VALUE!</v>
      </c>
      <c r="FO23" s="872" t="e">
        <f t="shared" si="80"/>
        <v>#VALUE!</v>
      </c>
      <c r="FP23" s="872" t="e">
        <f t="shared" si="81"/>
        <v>#VALUE!</v>
      </c>
      <c r="FQ23" s="771" t="e">
        <f t="shared" si="82"/>
        <v>#VALUE!</v>
      </c>
      <c r="FR23" s="772" t="e">
        <f t="shared" si="83"/>
        <v>#VALUE!</v>
      </c>
      <c r="FS23" s="773" t="str">
        <f t="shared" si="84"/>
        <v/>
      </c>
      <c r="FT23" s="774" t="str">
        <f t="shared" si="85"/>
        <v/>
      </c>
      <c r="FU23" s="809">
        <f t="shared" si="86"/>
        <v>0</v>
      </c>
      <c r="FV23" s="810">
        <f t="shared" si="87"/>
        <v>0</v>
      </c>
      <c r="GA23" s="542" t="str">
        <f t="shared" si="88"/>
        <v/>
      </c>
      <c r="GB23" s="562" t="str">
        <f t="shared" si="89"/>
        <v/>
      </c>
      <c r="GC23" s="564" t="str">
        <f t="shared" si="90"/>
        <v/>
      </c>
      <c r="GD23" s="565" t="str">
        <f t="shared" si="91"/>
        <v/>
      </c>
      <c r="GE23" s="563" t="str">
        <f t="shared" si="92"/>
        <v/>
      </c>
      <c r="GF23" s="543" t="str">
        <f t="shared" si="93"/>
        <v/>
      </c>
      <c r="GG23" s="1052"/>
      <c r="GH23" s="1053"/>
      <c r="GI23" s="1052"/>
      <c r="GJ23" s="1053"/>
      <c r="GK23" s="1521">
        <f t="shared" si="94"/>
        <v>0</v>
      </c>
      <c r="GL23" s="1519" t="e">
        <f t="shared" si="95"/>
        <v>#VALUE!</v>
      </c>
      <c r="GM23" s="1520" t="e">
        <f>IF(ABS(GK23-GL23)&gt;=#REF!,ABS(GK23-GL23),0)</f>
        <v>#VALUE!</v>
      </c>
      <c r="HA23" s="1187"/>
      <c r="HB23" s="1188"/>
      <c r="HC23" s="1188"/>
      <c r="HD23" s="1189"/>
      <c r="HE23" s="1190"/>
      <c r="HF23" s="1188"/>
      <c r="HG23" s="1188"/>
      <c r="HH23" s="1188"/>
      <c r="HI23" s="1191"/>
      <c r="HJ23" s="1188"/>
      <c r="HK23" s="1188"/>
      <c r="HL23" s="1188"/>
      <c r="HM23" s="1188"/>
      <c r="HN23" s="1188"/>
      <c r="HO23" s="1188"/>
      <c r="HP23" s="1188"/>
      <c r="HQ23" s="1191"/>
      <c r="HR23" s="1188"/>
      <c r="HS23" s="1188"/>
      <c r="HT23" s="1188"/>
      <c r="HU23" s="1188"/>
      <c r="HV23" s="1188"/>
      <c r="HW23" s="1190"/>
      <c r="HX23" s="1190"/>
      <c r="HY23" s="1190"/>
      <c r="HZ23" s="1190"/>
      <c r="IA23" s="1190"/>
      <c r="IB23" s="1190"/>
      <c r="IC23" s="1190"/>
      <c r="ID23" s="1190"/>
      <c r="IE23" s="1190"/>
      <c r="IF23" s="1192"/>
    </row>
    <row r="24" spans="1:240" ht="12.6" customHeight="1" x14ac:dyDescent="0.25">
      <c r="A24" s="1132"/>
      <c r="B24" s="1586"/>
      <c r="C24" s="1133"/>
      <c r="D24" s="1134"/>
      <c r="E24" s="1135"/>
      <c r="F24" s="1143"/>
      <c r="G24" s="1138"/>
      <c r="H24" s="1645"/>
      <c r="I24" s="1134"/>
      <c r="J24" s="1138"/>
      <c r="K24" s="1657"/>
      <c r="L24" s="1141"/>
      <c r="M24" s="1142"/>
      <c r="N24" s="1137"/>
      <c r="O24" s="1138"/>
      <c r="P24" s="1139"/>
      <c r="Q24" s="1134"/>
      <c r="R24" s="1138"/>
      <c r="S24" s="1140"/>
      <c r="T24" s="1143"/>
      <c r="U24" s="1138"/>
      <c r="V24" s="1134"/>
      <c r="W24" s="1138"/>
      <c r="X24" s="1142"/>
      <c r="Y24" s="1647"/>
      <c r="Z24" s="1648"/>
      <c r="AA24" s="1649"/>
      <c r="AB24" s="1288"/>
      <c r="AC24" s="898" t="b">
        <v>0</v>
      </c>
      <c r="AD24" s="374">
        <f t="shared" si="1"/>
        <v>0</v>
      </c>
      <c r="AE24" s="375">
        <f t="shared" si="2"/>
        <v>0</v>
      </c>
      <c r="AF24" s="375">
        <f t="shared" si="3"/>
        <v>0</v>
      </c>
      <c r="AG24" s="375">
        <f t="shared" si="4"/>
        <v>0</v>
      </c>
      <c r="AH24" s="376">
        <f t="shared" si="5"/>
        <v>0</v>
      </c>
      <c r="AI24" s="377" t="b">
        <v>0</v>
      </c>
      <c r="AJ24" s="143">
        <f t="shared" si="6"/>
        <v>0</v>
      </c>
      <c r="AK24" s="771" t="str">
        <f t="shared" si="7"/>
        <v/>
      </c>
      <c r="AL24" s="877" t="str">
        <f t="shared" si="8"/>
        <v/>
      </c>
      <c r="AM24" s="771" t="str">
        <f t="shared" si="9"/>
        <v/>
      </c>
      <c r="AN24" s="771" t="str">
        <f t="shared" si="10"/>
        <v/>
      </c>
      <c r="AO24" s="771" t="str">
        <f t="shared" si="11"/>
        <v/>
      </c>
      <c r="AP24" s="771" t="b">
        <f>IF(ISERROR(AJ24),FALSE,IF(OR(AJ24=0,ISERROR(AL24),ISERROR(AM24),ISERROR(AN24),ISERROR(AO24)),FALSE,IF(AL24&lt;&gt;"",IF(ISERROR(VLOOKUP(SUBSTITUTE(SUBSTITUTE(C24,"R",""),"A",""),#REF!,1,FALSE)),FALSE,TRUE),TRUE)))</f>
        <v>0</v>
      </c>
      <c r="AQ24" s="945" t="e">
        <f t="shared" si="12"/>
        <v>#N/A</v>
      </c>
      <c r="AR24" s="877" t="b">
        <f t="shared" si="13"/>
        <v>0</v>
      </c>
      <c r="AS24" s="945" t="e">
        <f t="shared" si="14"/>
        <v>#N/A</v>
      </c>
      <c r="AT24" s="877" t="b">
        <f t="shared" si="15"/>
        <v>0</v>
      </c>
      <c r="AU24" s="878" t="str">
        <f t="shared" si="16"/>
        <v/>
      </c>
      <c r="AV24" s="771" t="str">
        <f t="shared" si="17"/>
        <v/>
      </c>
      <c r="AW24" s="771" t="str">
        <f t="shared" si="18"/>
        <v/>
      </c>
      <c r="AX24" s="771" t="str">
        <f t="shared" si="96"/>
        <v/>
      </c>
      <c r="AY24" s="946" t="e">
        <f t="shared" si="19"/>
        <v>#REF!</v>
      </c>
      <c r="AZ24" s="795" t="str">
        <f t="shared" si="20"/>
        <v/>
      </c>
      <c r="BA24" s="496"/>
      <c r="BB24" s="616"/>
      <c r="BC24" s="1567"/>
      <c r="BD24" s="682"/>
      <c r="BE24" s="683"/>
      <c r="BF24" s="684"/>
      <c r="BG24" s="660"/>
      <c r="BH24" s="901"/>
      <c r="BI24" s="902"/>
      <c r="BJ24" s="1508"/>
      <c r="BK24" s="661"/>
      <c r="BL24" s="662"/>
      <c r="BM24" s="663"/>
      <c r="BN24" s="664"/>
      <c r="BO24" s="616" t="str">
        <f>IF(ISERROR(CU24),"",IF(CU24="","",IF(VLOOKUP(BG24,#REF!,10,FALSE)="","","X")))</f>
        <v/>
      </c>
      <c r="BP24" s="687"/>
      <c r="BQ24" s="1430" t="str">
        <f t="shared" si="21"/>
        <v/>
      </c>
      <c r="BR24" s="839"/>
      <c r="BS24" s="660"/>
      <c r="BT24" s="661"/>
      <c r="BU24" s="662"/>
      <c r="BV24" s="1508"/>
      <c r="BW24" s="661"/>
      <c r="BX24" s="662"/>
      <c r="BY24" s="663"/>
      <c r="BZ24" s="664"/>
      <c r="CA24" s="625" t="str">
        <f>IF(ISERROR(DE24),"",IF(DE24="","",IF(VLOOKUP(BS24,#REF!,10,FALSE)="","","X")))</f>
        <v/>
      </c>
      <c r="CB24" s="687"/>
      <c r="CC24" s="1430" t="str">
        <f t="shared" si="22"/>
        <v/>
      </c>
      <c r="CD24" s="839"/>
      <c r="CE24" s="665"/>
      <c r="CF24" s="685"/>
      <c r="CG24" s="686"/>
      <c r="CH24" s="534" t="str">
        <f t="shared" si="23"/>
        <v/>
      </c>
      <c r="CI24" s="535" t="str">
        <f t="shared" si="24"/>
        <v/>
      </c>
      <c r="CJ24" s="536" t="str">
        <f t="shared" si="25"/>
        <v/>
      </c>
      <c r="CK24" s="537" t="str">
        <f t="shared" si="26"/>
        <v/>
      </c>
      <c r="CL24" s="538" t="str">
        <f t="shared" si="27"/>
        <v/>
      </c>
      <c r="CM24" s="539" t="str">
        <f t="shared" si="28"/>
        <v/>
      </c>
      <c r="CN24" s="540" t="str">
        <f t="shared" si="29"/>
        <v/>
      </c>
      <c r="CO24" s="541" t="str">
        <f t="shared" si="30"/>
        <v/>
      </c>
      <c r="CP24" s="558" t="str">
        <f t="shared" si="31"/>
        <v/>
      </c>
      <c r="CQ24" s="559" t="str">
        <f t="shared" si="32"/>
        <v/>
      </c>
      <c r="CR24" s="699" t="str">
        <f t="shared" si="33"/>
        <v/>
      </c>
      <c r="CS24" s="700" t="str">
        <f t="shared" si="34"/>
        <v/>
      </c>
      <c r="CU24" s="758" t="str">
        <f>IF(BG24="","",VLOOKUP(BG24,#REF!,12,FALSE))</f>
        <v/>
      </c>
      <c r="CV24" s="756" t="str">
        <f>IF(BG24="","",IF(ISBLANK(BP24),VLOOKUP(BG24,#REF!,13,FALSE),BP24))</f>
        <v/>
      </c>
      <c r="CW24" s="756" t="str">
        <f>IF(BG24="","",IF(VLOOKUP(BG24,#REF!,5,FALSE)="","R",UPPER(VLOOKUP(BG24,#REF!,5,FALSE))))</f>
        <v/>
      </c>
      <c r="CX24" s="756" t="str">
        <f>IF(BG24="","",IF(ISBLANK(BR24),VLOOKUP(BG24,#REF!,6,FALSE),BR24))</f>
        <v/>
      </c>
      <c r="CY24" s="1203" t="str">
        <f>IF(BG24="","",IF(VLOOKUP(BG24,#REF!,10,FALSE)="","",(IF(BO24="X",VLOOKUP(BG24,#REF!,10,FALSE),VALUE(BO24))*-1)))</f>
        <v/>
      </c>
      <c r="CZ24" s="1042" t="str">
        <f>IF(BG24="","",IF(VLOOKUP(BG24,#REF!,11,FALSE)="","2",(VLOOKUP(BG24,#REF!,11,FALSE))))</f>
        <v/>
      </c>
      <c r="DA24" s="756" t="str">
        <f>IF(BG24="","",IF(VLOOKUP(BG24,#REF!,7,FALSE)="","",(VLOOKUP(BG24,#REF!,7,FALSE)*-1)))</f>
        <v/>
      </c>
      <c r="DB24" s="756" t="str">
        <f>IF(BG24="","",IF(VLOOKUP(BG24,#REF!,8,FALSE)="",VLOOKUP(AU24,$DF$2:$DN$9,6,FALSE),(VLOOKUP(BG24,#REF!,8,FALSE))))</f>
        <v/>
      </c>
      <c r="DC24" s="756" t="str">
        <f>IF(BG24="","",VLOOKUP(BG24,#REF!,9,FALSE))</f>
        <v/>
      </c>
      <c r="DD24" s="757">
        <f t="shared" si="35"/>
        <v>0</v>
      </c>
      <c r="DE24" s="758" t="str">
        <f>IF(BS24="","",VLOOKUP(BS24,#REF!,12,FALSE))</f>
        <v/>
      </c>
      <c r="DF24" s="756" t="str">
        <f>IF(BS24="","",IF(ISBLANK(CB24),VLOOKUP(BS24,#REF!,13,FALSE),CB24))</f>
        <v/>
      </c>
      <c r="DG24" s="756" t="str">
        <f>IF(BS24="","",IF(VLOOKUP(BS24,#REF!,5,FALSE)="","R",UPPER(VLOOKUP(BS24,#REF!,5,FALSE))))</f>
        <v/>
      </c>
      <c r="DH24" s="756" t="str">
        <f>IF(BS24="","",IF(ISBLANK(CD24),VLOOKUP(BS24,#REF!,6,FALSE),CD24))</f>
        <v/>
      </c>
      <c r="DI24" s="1203" t="str">
        <f>IF(BS24="","",IF(VLOOKUP(BS24,#REF!,10,FALSE)="","",(IF(CA24="X",VLOOKUP(BS24,#REF!,10,FALSE),VALUE(CA24))*-1)))</f>
        <v/>
      </c>
      <c r="DJ24" s="1042" t="str">
        <f>IF(BS24="","",IF(VLOOKUP(BS24,#REF!,11,FALSE)="","2",(VLOOKUP(BS24,#REF!,11,FALSE))))</f>
        <v/>
      </c>
      <c r="DK24" s="756" t="str">
        <f>IF(BS24="","",IF(VLOOKUP(BS24,#REF!,7,FALSE)="","",(VLOOKUP(BS24,#REF!,7,FALSE)*-1)))</f>
        <v/>
      </c>
      <c r="DL24" s="756" t="str">
        <f>IF(BS24="","",IF(VLOOKUP(BS24,#REF!,8,FALSE)="",VLOOKUP(AU24,$DF$2:$DN$9,6,FALSE),(VLOOKUP(BS24,#REF!,8,FALSE))))</f>
        <v/>
      </c>
      <c r="DM24" s="756" t="str">
        <f>IF(BS24="","",VLOOKUP(BS24,#REF!,9,FALSE))</f>
        <v/>
      </c>
      <c r="DN24" s="757">
        <f t="shared" si="36"/>
        <v>0</v>
      </c>
      <c r="DO24" s="759">
        <f t="shared" si="37"/>
        <v>0</v>
      </c>
      <c r="DP24" s="763" t="str">
        <f t="shared" si="38"/>
        <v/>
      </c>
      <c r="DQ24" s="763" t="str">
        <f t="shared" si="39"/>
        <v/>
      </c>
      <c r="DR24" s="763" t="str">
        <f t="shared" si="40"/>
        <v/>
      </c>
      <c r="DS24" s="762">
        <f t="shared" si="41"/>
        <v>0</v>
      </c>
      <c r="DT24" s="762" t="e">
        <f t="shared" si="42"/>
        <v>#REF!</v>
      </c>
      <c r="DU24" s="762" t="str">
        <f t="shared" si="43"/>
        <v/>
      </c>
      <c r="DV24" s="763" t="str">
        <f t="shared" si="44"/>
        <v/>
      </c>
      <c r="DW24" s="795" t="str">
        <f t="shared" si="45"/>
        <v/>
      </c>
      <c r="DX24" s="926">
        <f t="shared" si="46"/>
        <v>0</v>
      </c>
      <c r="DY24" s="763">
        <f t="shared" si="47"/>
        <v>0</v>
      </c>
      <c r="DZ24" s="762" t="e">
        <f t="shared" si="48"/>
        <v>#REF!</v>
      </c>
      <c r="EA24" s="762" t="str">
        <f t="shared" si="49"/>
        <v/>
      </c>
      <c r="EB24" s="763" t="str">
        <f t="shared" si="50"/>
        <v/>
      </c>
      <c r="EC24" s="795" t="str">
        <f t="shared" si="51"/>
        <v/>
      </c>
      <c r="ED24" s="926">
        <f t="shared" si="52"/>
        <v>0</v>
      </c>
      <c r="EE24" s="1210" t="str">
        <f t="shared" si="53"/>
        <v/>
      </c>
      <c r="EF24" s="1210" t="str">
        <f t="shared" si="54"/>
        <v/>
      </c>
      <c r="EG24" s="1210" t="str">
        <f t="shared" si="55"/>
        <v/>
      </c>
      <c r="EH24" s="795" t="e">
        <f t="shared" si="56"/>
        <v>#N/A</v>
      </c>
      <c r="EI24" s="795" t="e">
        <f t="shared" si="57"/>
        <v>#N/A</v>
      </c>
      <c r="EJ24" s="763" t="str">
        <f t="shared" si="58"/>
        <v/>
      </c>
      <c r="EK24" s="763" t="str">
        <f t="shared" si="58"/>
        <v/>
      </c>
      <c r="EL24" s="1210" t="str">
        <f t="shared" si="59"/>
        <v/>
      </c>
      <c r="EM24" s="763" t="str">
        <f t="shared" si="60"/>
        <v/>
      </c>
      <c r="EN24" s="763" t="str">
        <f t="shared" si="61"/>
        <v/>
      </c>
      <c r="EO24" s="795" t="e">
        <f t="shared" si="62"/>
        <v>#N/A</v>
      </c>
      <c r="EP24" s="795" t="e">
        <f t="shared" si="63"/>
        <v>#N/A</v>
      </c>
      <c r="EQ24" s="1210" t="str">
        <f t="shared" si="64"/>
        <v/>
      </c>
      <c r="ER24" s="763" t="str">
        <f t="shared" si="64"/>
        <v/>
      </c>
      <c r="ES24" s="763" t="str">
        <f t="shared" si="65"/>
        <v/>
      </c>
      <c r="ET24" s="763" t="str">
        <f t="shared" si="66"/>
        <v/>
      </c>
      <c r="EU24" s="770" t="str">
        <f t="shared" si="67"/>
        <v/>
      </c>
      <c r="EV24" s="765" t="str">
        <f t="shared" si="68"/>
        <v/>
      </c>
      <c r="EW24" s="770"/>
      <c r="EX24" s="770" t="str">
        <f>IF(AND(CU24="G", ISBLANK(BK24), ISBLANK(BL24)),VLOOKUP(MIN(BH24:BI24),#REF!,2),IF(OR(CU24="B",CU24="G"),MIN(BK24:BL24),""))</f>
        <v/>
      </c>
      <c r="EY24" s="770" t="str">
        <f>IF(AND(CU24="G", ISBLANK(BK24), ISBLANK(BL24)),VLOOKUP(MAX(BH24:BI24),#REF!,2),IF(OR(CU24="B",CU24="G"),MAX(BK24:BL24),""))</f>
        <v/>
      </c>
      <c r="EZ24" s="770" t="str">
        <f t="shared" si="69"/>
        <v/>
      </c>
      <c r="FA24" s="770" t="str">
        <f>IF(AND(DE24="G", ISBLANK(BW24), ISBLANK(BX24)),VLOOKUP(MIN(BT24:BU24),#REF!,2),IF(OR(DE24="B", DE24="G"),MIN(BW24:BX24),""))</f>
        <v/>
      </c>
      <c r="FB24" s="770" t="str">
        <f>IF(AND(DE24="G", ISBLANK(BW24), ISBLANK(BX24)),VLOOKUP(MAX(BT24:BU24),#REF!,2),IF(OR(DE24="B", DE24="G"),MAX(BW24:BX24),""))</f>
        <v/>
      </c>
      <c r="FC24" s="770" t="str">
        <f t="shared" si="70"/>
        <v/>
      </c>
      <c r="FD24" s="762">
        <f t="shared" si="97"/>
        <v>0</v>
      </c>
      <c r="FE24" s="762">
        <f t="shared" si="71"/>
        <v>0</v>
      </c>
      <c r="FF24" s="762">
        <f t="shared" si="72"/>
        <v>0</v>
      </c>
      <c r="FG24" s="762" t="str">
        <f t="shared" si="73"/>
        <v/>
      </c>
      <c r="FH24" s="763" t="str">
        <f t="shared" si="74"/>
        <v/>
      </c>
      <c r="FI24" s="762">
        <f t="shared" si="98"/>
        <v>0</v>
      </c>
      <c r="FJ24" s="762">
        <f t="shared" si="75"/>
        <v>0</v>
      </c>
      <c r="FK24" s="762">
        <f t="shared" si="76"/>
        <v>0</v>
      </c>
      <c r="FL24" s="762" t="str">
        <f t="shared" si="77"/>
        <v/>
      </c>
      <c r="FM24" s="763" t="str">
        <f t="shared" si="78"/>
        <v/>
      </c>
      <c r="FN24" s="763" t="e">
        <f t="shared" si="79"/>
        <v>#VALUE!</v>
      </c>
      <c r="FO24" s="872" t="e">
        <f t="shared" si="80"/>
        <v>#VALUE!</v>
      </c>
      <c r="FP24" s="872" t="e">
        <f t="shared" si="81"/>
        <v>#VALUE!</v>
      </c>
      <c r="FQ24" s="771" t="e">
        <f t="shared" si="82"/>
        <v>#VALUE!</v>
      </c>
      <c r="FR24" s="772" t="e">
        <f t="shared" si="83"/>
        <v>#VALUE!</v>
      </c>
      <c r="FS24" s="773" t="str">
        <f t="shared" si="84"/>
        <v/>
      </c>
      <c r="FT24" s="774" t="str">
        <f t="shared" si="85"/>
        <v/>
      </c>
      <c r="FU24" s="809">
        <f t="shared" si="86"/>
        <v>0</v>
      </c>
      <c r="FV24" s="810">
        <f t="shared" si="87"/>
        <v>0</v>
      </c>
      <c r="GA24" s="542" t="str">
        <f t="shared" si="88"/>
        <v/>
      </c>
      <c r="GB24" s="562" t="str">
        <f t="shared" si="89"/>
        <v/>
      </c>
      <c r="GC24" s="564" t="str">
        <f t="shared" si="90"/>
        <v/>
      </c>
      <c r="GD24" s="565" t="str">
        <f t="shared" si="91"/>
        <v/>
      </c>
      <c r="GE24" s="563" t="str">
        <f t="shared" si="92"/>
        <v/>
      </c>
      <c r="GF24" s="543" t="str">
        <f t="shared" si="93"/>
        <v/>
      </c>
      <c r="GG24" s="1052"/>
      <c r="GH24" s="1053"/>
      <c r="GI24" s="1052"/>
      <c r="GJ24" s="1053"/>
      <c r="GK24" s="1521">
        <f t="shared" si="94"/>
        <v>0</v>
      </c>
      <c r="GL24" s="1519" t="e">
        <f t="shared" si="95"/>
        <v>#VALUE!</v>
      </c>
      <c r="GM24" s="1520" t="e">
        <f>IF(ABS(GK24-GL24)&gt;=#REF!,ABS(GK24-GL24),0)</f>
        <v>#VALUE!</v>
      </c>
      <c r="HA24" s="1187"/>
      <c r="HB24" s="1188"/>
      <c r="HC24" s="1188"/>
      <c r="HD24" s="1189"/>
      <c r="HE24" s="1190"/>
      <c r="HF24" s="1188"/>
      <c r="HG24" s="1188"/>
      <c r="HH24" s="1188"/>
      <c r="HI24" s="1191"/>
      <c r="HJ24" s="1188"/>
      <c r="HK24" s="1188"/>
      <c r="HL24" s="1188"/>
      <c r="HM24" s="1188"/>
      <c r="HN24" s="1188"/>
      <c r="HO24" s="1188"/>
      <c r="HP24" s="1188"/>
      <c r="HQ24" s="1191"/>
      <c r="HR24" s="1188"/>
      <c r="HS24" s="1188"/>
      <c r="HT24" s="1188"/>
      <c r="HU24" s="1188"/>
      <c r="HV24" s="1188"/>
      <c r="HW24" s="1190"/>
      <c r="HX24" s="1190"/>
      <c r="HY24" s="1190"/>
      <c r="HZ24" s="1190"/>
      <c r="IA24" s="1190"/>
      <c r="IB24" s="1190"/>
      <c r="IC24" s="1190"/>
      <c r="ID24" s="1190"/>
      <c r="IE24" s="1190"/>
      <c r="IF24" s="1192"/>
    </row>
    <row r="25" spans="1:240" ht="12.6" customHeight="1" x14ac:dyDescent="0.25">
      <c r="A25" s="1132"/>
      <c r="B25" s="1586"/>
      <c r="C25" s="1133"/>
      <c r="D25" s="1134"/>
      <c r="E25" s="1135"/>
      <c r="F25" s="1143"/>
      <c r="G25" s="1138"/>
      <c r="H25" s="1645"/>
      <c r="I25" s="1134"/>
      <c r="J25" s="1138"/>
      <c r="K25" s="1657"/>
      <c r="L25" s="1141"/>
      <c r="M25" s="1142"/>
      <c r="N25" s="1137"/>
      <c r="O25" s="1138"/>
      <c r="P25" s="1139"/>
      <c r="Q25" s="1134"/>
      <c r="R25" s="1138"/>
      <c r="S25" s="1140"/>
      <c r="T25" s="1143"/>
      <c r="U25" s="1138"/>
      <c r="V25" s="1134"/>
      <c r="W25" s="1138"/>
      <c r="X25" s="1142"/>
      <c r="Y25" s="1647"/>
      <c r="Z25" s="1648"/>
      <c r="AA25" s="1649"/>
      <c r="AB25" s="1288"/>
      <c r="AC25" s="898" t="b">
        <v>0</v>
      </c>
      <c r="AD25" s="374">
        <f t="shared" si="1"/>
        <v>0</v>
      </c>
      <c r="AE25" s="375">
        <f t="shared" si="2"/>
        <v>0</v>
      </c>
      <c r="AF25" s="375">
        <f t="shared" si="3"/>
        <v>0</v>
      </c>
      <c r="AG25" s="375">
        <f t="shared" si="4"/>
        <v>0</v>
      </c>
      <c r="AH25" s="376">
        <f t="shared" si="5"/>
        <v>0</v>
      </c>
      <c r="AI25" s="377" t="b">
        <v>0</v>
      </c>
      <c r="AJ25" s="143">
        <f t="shared" si="6"/>
        <v>0</v>
      </c>
      <c r="AK25" s="771" t="str">
        <f t="shared" si="7"/>
        <v/>
      </c>
      <c r="AL25" s="877" t="str">
        <f t="shared" si="8"/>
        <v/>
      </c>
      <c r="AM25" s="771" t="str">
        <f t="shared" si="9"/>
        <v/>
      </c>
      <c r="AN25" s="771" t="str">
        <f t="shared" si="10"/>
        <v/>
      </c>
      <c r="AO25" s="771" t="str">
        <f t="shared" si="11"/>
        <v/>
      </c>
      <c r="AP25" s="771" t="b">
        <f>IF(ISERROR(AJ25),FALSE,IF(OR(AJ25=0,ISERROR(AL25),ISERROR(AM25),ISERROR(AN25),ISERROR(AO25)),FALSE,IF(AL25&lt;&gt;"",IF(ISERROR(VLOOKUP(SUBSTITUTE(SUBSTITUTE(C25,"R",""),"A",""),#REF!,1,FALSE)),FALSE,TRUE),TRUE)))</f>
        <v>0</v>
      </c>
      <c r="AQ25" s="945" t="e">
        <f t="shared" si="12"/>
        <v>#N/A</v>
      </c>
      <c r="AR25" s="877" t="b">
        <f t="shared" si="13"/>
        <v>0</v>
      </c>
      <c r="AS25" s="945" t="e">
        <f t="shared" si="14"/>
        <v>#N/A</v>
      </c>
      <c r="AT25" s="877" t="b">
        <f t="shared" si="15"/>
        <v>0</v>
      </c>
      <c r="AU25" s="878" t="str">
        <f t="shared" si="16"/>
        <v/>
      </c>
      <c r="AV25" s="771" t="str">
        <f t="shared" si="17"/>
        <v/>
      </c>
      <c r="AW25" s="771" t="str">
        <f t="shared" si="18"/>
        <v/>
      </c>
      <c r="AX25" s="771" t="str">
        <f t="shared" si="96"/>
        <v/>
      </c>
      <c r="AY25" s="946" t="e">
        <f t="shared" si="19"/>
        <v>#REF!</v>
      </c>
      <c r="AZ25" s="795" t="str">
        <f t="shared" si="20"/>
        <v/>
      </c>
      <c r="BA25" s="496"/>
      <c r="BB25" s="616"/>
      <c r="BC25" s="1567"/>
      <c r="BD25" s="682"/>
      <c r="BE25" s="683"/>
      <c r="BF25" s="684"/>
      <c r="BG25" s="660"/>
      <c r="BH25" s="901"/>
      <c r="BI25" s="902"/>
      <c r="BJ25" s="1508"/>
      <c r="BK25" s="661"/>
      <c r="BL25" s="662"/>
      <c r="BM25" s="663"/>
      <c r="BN25" s="664"/>
      <c r="BO25" s="616" t="str">
        <f>IF(ISERROR(CU25),"",IF(CU25="","",IF(VLOOKUP(BG25,#REF!,10,FALSE)="","","X")))</f>
        <v/>
      </c>
      <c r="BP25" s="687"/>
      <c r="BQ25" s="1430" t="str">
        <f t="shared" si="21"/>
        <v/>
      </c>
      <c r="BR25" s="839"/>
      <c r="BS25" s="660"/>
      <c r="BT25" s="661"/>
      <c r="BU25" s="662"/>
      <c r="BV25" s="1508"/>
      <c r="BW25" s="661"/>
      <c r="BX25" s="662"/>
      <c r="BY25" s="663"/>
      <c r="BZ25" s="664"/>
      <c r="CA25" s="625" t="str">
        <f>IF(ISERROR(DE25),"",IF(DE25="","",IF(VLOOKUP(BS25,#REF!,10,FALSE)="","","X")))</f>
        <v/>
      </c>
      <c r="CB25" s="687"/>
      <c r="CC25" s="1430" t="str">
        <f t="shared" si="22"/>
        <v/>
      </c>
      <c r="CD25" s="839"/>
      <c r="CE25" s="665"/>
      <c r="CF25" s="685"/>
      <c r="CG25" s="686"/>
      <c r="CH25" s="534" t="str">
        <f t="shared" si="23"/>
        <v/>
      </c>
      <c r="CI25" s="535" t="str">
        <f t="shared" si="24"/>
        <v/>
      </c>
      <c r="CJ25" s="536" t="str">
        <f t="shared" si="25"/>
        <v/>
      </c>
      <c r="CK25" s="537" t="str">
        <f t="shared" si="26"/>
        <v/>
      </c>
      <c r="CL25" s="538" t="str">
        <f t="shared" si="27"/>
        <v/>
      </c>
      <c r="CM25" s="539" t="str">
        <f t="shared" si="28"/>
        <v/>
      </c>
      <c r="CN25" s="540" t="str">
        <f t="shared" si="29"/>
        <v/>
      </c>
      <c r="CO25" s="541" t="str">
        <f t="shared" si="30"/>
        <v/>
      </c>
      <c r="CP25" s="558" t="str">
        <f t="shared" si="31"/>
        <v/>
      </c>
      <c r="CQ25" s="559" t="str">
        <f t="shared" si="32"/>
        <v/>
      </c>
      <c r="CR25" s="699" t="str">
        <f t="shared" si="33"/>
        <v/>
      </c>
      <c r="CS25" s="700" t="str">
        <f t="shared" si="34"/>
        <v/>
      </c>
      <c r="CU25" s="758" t="str">
        <f>IF(BG25="","",VLOOKUP(BG25,#REF!,12,FALSE))</f>
        <v/>
      </c>
      <c r="CV25" s="756" t="str">
        <f>IF(BG25="","",IF(ISBLANK(BP25),VLOOKUP(BG25,#REF!,13,FALSE),BP25))</f>
        <v/>
      </c>
      <c r="CW25" s="756" t="str">
        <f>IF(BG25="","",IF(VLOOKUP(BG25,#REF!,5,FALSE)="","R",UPPER(VLOOKUP(BG25,#REF!,5,FALSE))))</f>
        <v/>
      </c>
      <c r="CX25" s="756" t="str">
        <f>IF(BG25="","",IF(ISBLANK(BR25),VLOOKUP(BG25,#REF!,6,FALSE),BR25))</f>
        <v/>
      </c>
      <c r="CY25" s="1203" t="str">
        <f>IF(BG25="","",IF(VLOOKUP(BG25,#REF!,10,FALSE)="","",(IF(BO25="X",VLOOKUP(BG25,#REF!,10,FALSE),VALUE(BO25))*-1)))</f>
        <v/>
      </c>
      <c r="CZ25" s="1042" t="str">
        <f>IF(BG25="","",IF(VLOOKUP(BG25,#REF!,11,FALSE)="","2",(VLOOKUP(BG25,#REF!,11,FALSE))))</f>
        <v/>
      </c>
      <c r="DA25" s="756" t="str">
        <f>IF(BG25="","",IF(VLOOKUP(BG25,#REF!,7,FALSE)="","",(VLOOKUP(BG25,#REF!,7,FALSE)*-1)))</f>
        <v/>
      </c>
      <c r="DB25" s="756" t="str">
        <f>IF(BG25="","",IF(VLOOKUP(BG25,#REF!,8,FALSE)="",VLOOKUP(AU25,$DF$2:$DN$9,6,FALSE),(VLOOKUP(BG25,#REF!,8,FALSE))))</f>
        <v/>
      </c>
      <c r="DC25" s="756" t="str">
        <f>IF(BG25="","",VLOOKUP(BG25,#REF!,9,FALSE))</f>
        <v/>
      </c>
      <c r="DD25" s="757">
        <f t="shared" si="35"/>
        <v>0</v>
      </c>
      <c r="DE25" s="758" t="str">
        <f>IF(BS25="","",VLOOKUP(BS25,#REF!,12,FALSE))</f>
        <v/>
      </c>
      <c r="DF25" s="756" t="str">
        <f>IF(BS25="","",IF(ISBLANK(CB25),VLOOKUP(BS25,#REF!,13,FALSE),CB25))</f>
        <v/>
      </c>
      <c r="DG25" s="756" t="str">
        <f>IF(BS25="","",IF(VLOOKUP(BS25,#REF!,5,FALSE)="","R",UPPER(VLOOKUP(BS25,#REF!,5,FALSE))))</f>
        <v/>
      </c>
      <c r="DH25" s="756" t="str">
        <f>IF(BS25="","",IF(ISBLANK(CD25),VLOOKUP(BS25,#REF!,6,FALSE),CD25))</f>
        <v/>
      </c>
      <c r="DI25" s="1203" t="str">
        <f>IF(BS25="","",IF(VLOOKUP(BS25,#REF!,10,FALSE)="","",(IF(CA25="X",VLOOKUP(BS25,#REF!,10,FALSE),VALUE(CA25))*-1)))</f>
        <v/>
      </c>
      <c r="DJ25" s="1042" t="str">
        <f>IF(BS25="","",IF(VLOOKUP(BS25,#REF!,11,FALSE)="","2",(VLOOKUP(BS25,#REF!,11,FALSE))))</f>
        <v/>
      </c>
      <c r="DK25" s="756" t="str">
        <f>IF(BS25="","",IF(VLOOKUP(BS25,#REF!,7,FALSE)="","",(VLOOKUP(BS25,#REF!,7,FALSE)*-1)))</f>
        <v/>
      </c>
      <c r="DL25" s="756" t="str">
        <f>IF(BS25="","",IF(VLOOKUP(BS25,#REF!,8,FALSE)="",VLOOKUP(AU25,$DF$2:$DN$9,6,FALSE),(VLOOKUP(BS25,#REF!,8,FALSE))))</f>
        <v/>
      </c>
      <c r="DM25" s="756" t="str">
        <f>IF(BS25="","",VLOOKUP(BS25,#REF!,9,FALSE))</f>
        <v/>
      </c>
      <c r="DN25" s="757">
        <f t="shared" si="36"/>
        <v>0</v>
      </c>
      <c r="DO25" s="759">
        <f t="shared" si="37"/>
        <v>0</v>
      </c>
      <c r="DP25" s="763" t="str">
        <f t="shared" si="38"/>
        <v/>
      </c>
      <c r="DQ25" s="763" t="str">
        <f t="shared" si="39"/>
        <v/>
      </c>
      <c r="DR25" s="763" t="str">
        <f t="shared" si="40"/>
        <v/>
      </c>
      <c r="DS25" s="762">
        <f t="shared" si="41"/>
        <v>0</v>
      </c>
      <c r="DT25" s="762" t="e">
        <f t="shared" si="42"/>
        <v>#REF!</v>
      </c>
      <c r="DU25" s="762" t="str">
        <f t="shared" si="43"/>
        <v/>
      </c>
      <c r="DV25" s="763" t="str">
        <f t="shared" si="44"/>
        <v/>
      </c>
      <c r="DW25" s="795" t="str">
        <f t="shared" si="45"/>
        <v/>
      </c>
      <c r="DX25" s="926">
        <f t="shared" si="46"/>
        <v>0</v>
      </c>
      <c r="DY25" s="763">
        <f t="shared" si="47"/>
        <v>0</v>
      </c>
      <c r="DZ25" s="762" t="e">
        <f t="shared" si="48"/>
        <v>#REF!</v>
      </c>
      <c r="EA25" s="762" t="str">
        <f t="shared" si="49"/>
        <v/>
      </c>
      <c r="EB25" s="763" t="str">
        <f t="shared" si="50"/>
        <v/>
      </c>
      <c r="EC25" s="795" t="str">
        <f t="shared" si="51"/>
        <v/>
      </c>
      <c r="ED25" s="926">
        <f t="shared" si="52"/>
        <v>0</v>
      </c>
      <c r="EE25" s="1210" t="str">
        <f t="shared" si="53"/>
        <v/>
      </c>
      <c r="EF25" s="1210" t="str">
        <f t="shared" si="54"/>
        <v/>
      </c>
      <c r="EG25" s="1210" t="str">
        <f t="shared" si="55"/>
        <v/>
      </c>
      <c r="EH25" s="795" t="e">
        <f t="shared" si="56"/>
        <v>#N/A</v>
      </c>
      <c r="EI25" s="795" t="e">
        <f t="shared" si="57"/>
        <v>#N/A</v>
      </c>
      <c r="EJ25" s="763" t="str">
        <f t="shared" si="58"/>
        <v/>
      </c>
      <c r="EK25" s="763" t="str">
        <f t="shared" si="58"/>
        <v/>
      </c>
      <c r="EL25" s="1210" t="str">
        <f t="shared" si="59"/>
        <v/>
      </c>
      <c r="EM25" s="763" t="str">
        <f t="shared" si="60"/>
        <v/>
      </c>
      <c r="EN25" s="763" t="str">
        <f t="shared" si="61"/>
        <v/>
      </c>
      <c r="EO25" s="795" t="e">
        <f t="shared" si="62"/>
        <v>#N/A</v>
      </c>
      <c r="EP25" s="795" t="e">
        <f t="shared" si="63"/>
        <v>#N/A</v>
      </c>
      <c r="EQ25" s="1210" t="str">
        <f t="shared" si="64"/>
        <v/>
      </c>
      <c r="ER25" s="763" t="str">
        <f t="shared" si="64"/>
        <v/>
      </c>
      <c r="ES25" s="763" t="str">
        <f t="shared" si="65"/>
        <v/>
      </c>
      <c r="ET25" s="763" t="str">
        <f t="shared" si="66"/>
        <v/>
      </c>
      <c r="EU25" s="770" t="str">
        <f t="shared" si="67"/>
        <v/>
      </c>
      <c r="EV25" s="765" t="str">
        <f t="shared" si="68"/>
        <v/>
      </c>
      <c r="EW25" s="770"/>
      <c r="EX25" s="770" t="str">
        <f>IF(AND(CU25="G", ISBLANK(BK25), ISBLANK(BL25)),VLOOKUP(MIN(BH25:BI25),#REF!,2),IF(OR(CU25="B",CU25="G"),MIN(BK25:BL25),""))</f>
        <v/>
      </c>
      <c r="EY25" s="770" t="str">
        <f>IF(AND(CU25="G", ISBLANK(BK25), ISBLANK(BL25)),VLOOKUP(MAX(BH25:BI25),#REF!,2),IF(OR(CU25="B",CU25="G"),MAX(BK25:BL25),""))</f>
        <v/>
      </c>
      <c r="EZ25" s="770" t="str">
        <f t="shared" si="69"/>
        <v/>
      </c>
      <c r="FA25" s="770" t="str">
        <f>IF(AND(DE25="G", ISBLANK(BW25), ISBLANK(BX25)),VLOOKUP(MIN(BT25:BU25),#REF!,2),IF(OR(DE25="B", DE25="G"),MIN(BW25:BX25),""))</f>
        <v/>
      </c>
      <c r="FB25" s="770" t="str">
        <f>IF(AND(DE25="G", ISBLANK(BW25), ISBLANK(BX25)),VLOOKUP(MAX(BT25:BU25),#REF!,2),IF(OR(DE25="B", DE25="G"),MAX(BW25:BX25),""))</f>
        <v/>
      </c>
      <c r="FC25" s="770" t="str">
        <f t="shared" si="70"/>
        <v/>
      </c>
      <c r="FD25" s="762">
        <f t="shared" si="97"/>
        <v>0</v>
      </c>
      <c r="FE25" s="762">
        <f t="shared" si="71"/>
        <v>0</v>
      </c>
      <c r="FF25" s="762">
        <f t="shared" si="72"/>
        <v>0</v>
      </c>
      <c r="FG25" s="762" t="str">
        <f t="shared" si="73"/>
        <v/>
      </c>
      <c r="FH25" s="763" t="str">
        <f t="shared" si="74"/>
        <v/>
      </c>
      <c r="FI25" s="762">
        <f t="shared" si="98"/>
        <v>0</v>
      </c>
      <c r="FJ25" s="762">
        <f t="shared" si="75"/>
        <v>0</v>
      </c>
      <c r="FK25" s="762">
        <f t="shared" si="76"/>
        <v>0</v>
      </c>
      <c r="FL25" s="762" t="str">
        <f t="shared" si="77"/>
        <v/>
      </c>
      <c r="FM25" s="763" t="str">
        <f t="shared" si="78"/>
        <v/>
      </c>
      <c r="FN25" s="763" t="e">
        <f t="shared" si="79"/>
        <v>#VALUE!</v>
      </c>
      <c r="FO25" s="872" t="e">
        <f t="shared" si="80"/>
        <v>#VALUE!</v>
      </c>
      <c r="FP25" s="872" t="e">
        <f t="shared" si="81"/>
        <v>#VALUE!</v>
      </c>
      <c r="FQ25" s="771" t="e">
        <f t="shared" si="82"/>
        <v>#VALUE!</v>
      </c>
      <c r="FR25" s="772" t="e">
        <f t="shared" si="83"/>
        <v>#VALUE!</v>
      </c>
      <c r="FS25" s="773" t="str">
        <f t="shared" si="84"/>
        <v/>
      </c>
      <c r="FT25" s="774" t="str">
        <f t="shared" si="85"/>
        <v/>
      </c>
      <c r="FU25" s="809">
        <f t="shared" si="86"/>
        <v>0</v>
      </c>
      <c r="FV25" s="810">
        <f t="shared" si="87"/>
        <v>0</v>
      </c>
      <c r="GA25" s="542" t="str">
        <f t="shared" si="88"/>
        <v/>
      </c>
      <c r="GB25" s="562" t="str">
        <f t="shared" si="89"/>
        <v/>
      </c>
      <c r="GC25" s="564" t="str">
        <f t="shared" si="90"/>
        <v/>
      </c>
      <c r="GD25" s="565" t="str">
        <f t="shared" si="91"/>
        <v/>
      </c>
      <c r="GE25" s="563" t="str">
        <f t="shared" si="92"/>
        <v/>
      </c>
      <c r="GF25" s="543" t="str">
        <f t="shared" si="93"/>
        <v/>
      </c>
      <c r="GG25" s="1052"/>
      <c r="GH25" s="1053"/>
      <c r="GI25" s="1052"/>
      <c r="GJ25" s="1053"/>
      <c r="GK25" s="1521">
        <f t="shared" si="94"/>
        <v>0</v>
      </c>
      <c r="GL25" s="1519" t="e">
        <f t="shared" si="95"/>
        <v>#VALUE!</v>
      </c>
      <c r="GM25" s="1520" t="e">
        <f>IF(ABS(GK25-GL25)&gt;=#REF!,ABS(GK25-GL25),0)</f>
        <v>#VALUE!</v>
      </c>
      <c r="HA25" s="1187"/>
      <c r="HB25" s="1188"/>
      <c r="HC25" s="1188"/>
      <c r="HD25" s="1189"/>
      <c r="HE25" s="1190"/>
      <c r="HF25" s="1188"/>
      <c r="HG25" s="1188"/>
      <c r="HH25" s="1188"/>
      <c r="HI25" s="1191"/>
      <c r="HJ25" s="1188"/>
      <c r="HK25" s="1188"/>
      <c r="HL25" s="1188"/>
      <c r="HM25" s="1188"/>
      <c r="HN25" s="1188"/>
      <c r="HO25" s="1188"/>
      <c r="HP25" s="1188"/>
      <c r="HQ25" s="1191"/>
      <c r="HR25" s="1188"/>
      <c r="HS25" s="1188"/>
      <c r="HT25" s="1188"/>
      <c r="HU25" s="1188"/>
      <c r="HV25" s="1188"/>
      <c r="HW25" s="1190"/>
      <c r="HX25" s="1190"/>
      <c r="HY25" s="1190"/>
      <c r="HZ25" s="1190"/>
      <c r="IA25" s="1190"/>
      <c r="IB25" s="1190"/>
      <c r="IC25" s="1190"/>
      <c r="ID25" s="1190"/>
      <c r="IE25" s="1190"/>
      <c r="IF25" s="1192"/>
    </row>
    <row r="26" spans="1:240" ht="12.6" customHeight="1" x14ac:dyDescent="0.25">
      <c r="A26" s="1132"/>
      <c r="B26" s="1586"/>
      <c r="C26" s="1133"/>
      <c r="D26" s="1134"/>
      <c r="E26" s="1135"/>
      <c r="F26" s="1143"/>
      <c r="G26" s="1138"/>
      <c r="H26" s="1645"/>
      <c r="I26" s="1134"/>
      <c r="J26" s="1138"/>
      <c r="K26" s="1657"/>
      <c r="L26" s="1141"/>
      <c r="M26" s="1142"/>
      <c r="N26" s="1137"/>
      <c r="O26" s="1138"/>
      <c r="P26" s="1139"/>
      <c r="Q26" s="1134"/>
      <c r="R26" s="1138"/>
      <c r="S26" s="1140"/>
      <c r="T26" s="1143"/>
      <c r="U26" s="1138"/>
      <c r="V26" s="1134"/>
      <c r="W26" s="1138"/>
      <c r="X26" s="1142"/>
      <c r="Y26" s="1647"/>
      <c r="Z26" s="1648"/>
      <c r="AA26" s="1649"/>
      <c r="AB26" s="1288"/>
      <c r="AC26" s="898" t="b">
        <v>0</v>
      </c>
      <c r="AD26" s="374">
        <f t="shared" si="1"/>
        <v>0</v>
      </c>
      <c r="AE26" s="375">
        <f t="shared" si="2"/>
        <v>0</v>
      </c>
      <c r="AF26" s="375">
        <f t="shared" si="3"/>
        <v>0</v>
      </c>
      <c r="AG26" s="375">
        <f t="shared" si="4"/>
        <v>0</v>
      </c>
      <c r="AH26" s="376">
        <f t="shared" si="5"/>
        <v>0</v>
      </c>
      <c r="AI26" s="377" t="b">
        <v>0</v>
      </c>
      <c r="AJ26" s="143">
        <f t="shared" si="6"/>
        <v>0</v>
      </c>
      <c r="AK26" s="771" t="str">
        <f t="shared" si="7"/>
        <v/>
      </c>
      <c r="AL26" s="877" t="str">
        <f t="shared" si="8"/>
        <v/>
      </c>
      <c r="AM26" s="771" t="str">
        <f t="shared" si="9"/>
        <v/>
      </c>
      <c r="AN26" s="771" t="str">
        <f t="shared" si="10"/>
        <v/>
      </c>
      <c r="AO26" s="771" t="str">
        <f t="shared" si="11"/>
        <v/>
      </c>
      <c r="AP26" s="771" t="b">
        <f>IF(ISERROR(AJ26),FALSE,IF(OR(AJ26=0,ISERROR(AL26),ISERROR(AM26),ISERROR(AN26),ISERROR(AO26)),FALSE,IF(AL26&lt;&gt;"",IF(ISERROR(VLOOKUP(SUBSTITUTE(SUBSTITUTE(C26,"R",""),"A",""),#REF!,1,FALSE)),FALSE,TRUE),TRUE)))</f>
        <v>0</v>
      </c>
      <c r="AQ26" s="945" t="e">
        <f t="shared" si="12"/>
        <v>#N/A</v>
      </c>
      <c r="AR26" s="877" t="b">
        <f t="shared" si="13"/>
        <v>0</v>
      </c>
      <c r="AS26" s="945" t="e">
        <f t="shared" si="14"/>
        <v>#N/A</v>
      </c>
      <c r="AT26" s="877" t="b">
        <f t="shared" si="15"/>
        <v>0</v>
      </c>
      <c r="AU26" s="878" t="str">
        <f t="shared" si="16"/>
        <v/>
      </c>
      <c r="AV26" s="771" t="str">
        <f t="shared" si="17"/>
        <v/>
      </c>
      <c r="AW26" s="771" t="str">
        <f t="shared" si="18"/>
        <v/>
      </c>
      <c r="AX26" s="771" t="str">
        <f t="shared" si="96"/>
        <v/>
      </c>
      <c r="AY26" s="946" t="e">
        <f t="shared" si="19"/>
        <v>#REF!</v>
      </c>
      <c r="AZ26" s="795" t="str">
        <f t="shared" si="20"/>
        <v/>
      </c>
      <c r="BA26" s="496"/>
      <c r="BB26" s="616"/>
      <c r="BC26" s="1567"/>
      <c r="BD26" s="682"/>
      <c r="BE26" s="683"/>
      <c r="BF26" s="684"/>
      <c r="BG26" s="660"/>
      <c r="BH26" s="901"/>
      <c r="BI26" s="902"/>
      <c r="BJ26" s="1508"/>
      <c r="BK26" s="661"/>
      <c r="BL26" s="662"/>
      <c r="BM26" s="663"/>
      <c r="BN26" s="664"/>
      <c r="BO26" s="616" t="str">
        <f>IF(ISERROR(CU26),"",IF(CU26="","",IF(VLOOKUP(BG26,#REF!,10,FALSE)="","","X")))</f>
        <v/>
      </c>
      <c r="BP26" s="687"/>
      <c r="BQ26" s="1430" t="str">
        <f t="shared" si="21"/>
        <v/>
      </c>
      <c r="BR26" s="839"/>
      <c r="BS26" s="660"/>
      <c r="BT26" s="661"/>
      <c r="BU26" s="662"/>
      <c r="BV26" s="1508"/>
      <c r="BW26" s="661"/>
      <c r="BX26" s="662"/>
      <c r="BY26" s="663"/>
      <c r="BZ26" s="664"/>
      <c r="CA26" s="625" t="str">
        <f>IF(ISERROR(DE26),"",IF(DE26="","",IF(VLOOKUP(BS26,#REF!,10,FALSE)="","","X")))</f>
        <v/>
      </c>
      <c r="CB26" s="687"/>
      <c r="CC26" s="1430" t="str">
        <f t="shared" si="22"/>
        <v/>
      </c>
      <c r="CD26" s="839"/>
      <c r="CE26" s="665"/>
      <c r="CF26" s="685"/>
      <c r="CG26" s="686"/>
      <c r="CH26" s="534" t="str">
        <f t="shared" si="23"/>
        <v/>
      </c>
      <c r="CI26" s="535" t="str">
        <f t="shared" si="24"/>
        <v/>
      </c>
      <c r="CJ26" s="536" t="str">
        <f t="shared" si="25"/>
        <v/>
      </c>
      <c r="CK26" s="537" t="str">
        <f t="shared" si="26"/>
        <v/>
      </c>
      <c r="CL26" s="538" t="str">
        <f t="shared" si="27"/>
        <v/>
      </c>
      <c r="CM26" s="539" t="str">
        <f t="shared" si="28"/>
        <v/>
      </c>
      <c r="CN26" s="540" t="str">
        <f t="shared" si="29"/>
        <v/>
      </c>
      <c r="CO26" s="541" t="str">
        <f t="shared" si="30"/>
        <v/>
      </c>
      <c r="CP26" s="558" t="str">
        <f t="shared" si="31"/>
        <v/>
      </c>
      <c r="CQ26" s="559" t="str">
        <f t="shared" si="32"/>
        <v/>
      </c>
      <c r="CR26" s="699" t="str">
        <f t="shared" si="33"/>
        <v/>
      </c>
      <c r="CS26" s="700" t="str">
        <f t="shared" si="34"/>
        <v/>
      </c>
      <c r="CU26" s="758" t="str">
        <f>IF(BG26="","",VLOOKUP(BG26,#REF!,12,FALSE))</f>
        <v/>
      </c>
      <c r="CV26" s="756" t="str">
        <f>IF(BG26="","",IF(ISBLANK(BP26),VLOOKUP(BG26,#REF!,13,FALSE),BP26))</f>
        <v/>
      </c>
      <c r="CW26" s="756" t="str">
        <f>IF(BG26="","",IF(VLOOKUP(BG26,#REF!,5,FALSE)="","R",UPPER(VLOOKUP(BG26,#REF!,5,FALSE))))</f>
        <v/>
      </c>
      <c r="CX26" s="756" t="str">
        <f>IF(BG26="","",IF(ISBLANK(BR26),VLOOKUP(BG26,#REF!,6,FALSE),BR26))</f>
        <v/>
      </c>
      <c r="CY26" s="1203" t="str">
        <f>IF(BG26="","",IF(VLOOKUP(BG26,#REF!,10,FALSE)="","",(IF(BO26="X",VLOOKUP(BG26,#REF!,10,FALSE),VALUE(BO26))*-1)))</f>
        <v/>
      </c>
      <c r="CZ26" s="1042" t="str">
        <f>IF(BG26="","",IF(VLOOKUP(BG26,#REF!,11,FALSE)="","2",(VLOOKUP(BG26,#REF!,11,FALSE))))</f>
        <v/>
      </c>
      <c r="DA26" s="756" t="str">
        <f>IF(BG26="","",IF(VLOOKUP(BG26,#REF!,7,FALSE)="","",(VLOOKUP(BG26,#REF!,7,FALSE)*-1)))</f>
        <v/>
      </c>
      <c r="DB26" s="756" t="str">
        <f>IF(BG26="","",IF(VLOOKUP(BG26,#REF!,8,FALSE)="",VLOOKUP(AU26,$DF$2:$DN$9,6,FALSE),(VLOOKUP(BG26,#REF!,8,FALSE))))</f>
        <v/>
      </c>
      <c r="DC26" s="756" t="str">
        <f>IF(BG26="","",VLOOKUP(BG26,#REF!,9,FALSE))</f>
        <v/>
      </c>
      <c r="DD26" s="757">
        <f t="shared" si="35"/>
        <v>0</v>
      </c>
      <c r="DE26" s="758" t="str">
        <f>IF(BS26="","",VLOOKUP(BS26,#REF!,12,FALSE))</f>
        <v/>
      </c>
      <c r="DF26" s="756" t="str">
        <f>IF(BS26="","",IF(ISBLANK(CB26),VLOOKUP(BS26,#REF!,13,FALSE),CB26))</f>
        <v/>
      </c>
      <c r="DG26" s="756" t="str">
        <f>IF(BS26="","",IF(VLOOKUP(BS26,#REF!,5,FALSE)="","R",UPPER(VLOOKUP(BS26,#REF!,5,FALSE))))</f>
        <v/>
      </c>
      <c r="DH26" s="756" t="str">
        <f>IF(BS26="","",IF(ISBLANK(CD26),VLOOKUP(BS26,#REF!,6,FALSE),CD26))</f>
        <v/>
      </c>
      <c r="DI26" s="1203" t="str">
        <f>IF(BS26="","",IF(VLOOKUP(BS26,#REF!,10,FALSE)="","",(IF(CA26="X",VLOOKUP(BS26,#REF!,10,FALSE),VALUE(CA26))*-1)))</f>
        <v/>
      </c>
      <c r="DJ26" s="1042" t="str">
        <f>IF(BS26="","",IF(VLOOKUP(BS26,#REF!,11,FALSE)="","2",(VLOOKUP(BS26,#REF!,11,FALSE))))</f>
        <v/>
      </c>
      <c r="DK26" s="756" t="str">
        <f>IF(BS26="","",IF(VLOOKUP(BS26,#REF!,7,FALSE)="","",(VLOOKUP(BS26,#REF!,7,FALSE)*-1)))</f>
        <v/>
      </c>
      <c r="DL26" s="756" t="str">
        <f>IF(BS26="","",IF(VLOOKUP(BS26,#REF!,8,FALSE)="",VLOOKUP(AU26,$DF$2:$DN$9,6,FALSE),(VLOOKUP(BS26,#REF!,8,FALSE))))</f>
        <v/>
      </c>
      <c r="DM26" s="756" t="str">
        <f>IF(BS26="","",VLOOKUP(BS26,#REF!,9,FALSE))</f>
        <v/>
      </c>
      <c r="DN26" s="757">
        <f t="shared" si="36"/>
        <v>0</v>
      </c>
      <c r="DO26" s="759">
        <f t="shared" si="37"/>
        <v>0</v>
      </c>
      <c r="DP26" s="763" t="str">
        <f t="shared" si="38"/>
        <v/>
      </c>
      <c r="DQ26" s="763" t="str">
        <f t="shared" si="39"/>
        <v/>
      </c>
      <c r="DR26" s="763" t="str">
        <f t="shared" si="40"/>
        <v/>
      </c>
      <c r="DS26" s="762">
        <f t="shared" si="41"/>
        <v>0</v>
      </c>
      <c r="DT26" s="762" t="e">
        <f t="shared" si="42"/>
        <v>#REF!</v>
      </c>
      <c r="DU26" s="762" t="str">
        <f t="shared" si="43"/>
        <v/>
      </c>
      <c r="DV26" s="763" t="str">
        <f t="shared" si="44"/>
        <v/>
      </c>
      <c r="DW26" s="795" t="str">
        <f t="shared" si="45"/>
        <v/>
      </c>
      <c r="DX26" s="926">
        <f t="shared" si="46"/>
        <v>0</v>
      </c>
      <c r="DY26" s="763">
        <f t="shared" si="47"/>
        <v>0</v>
      </c>
      <c r="DZ26" s="762" t="e">
        <f t="shared" si="48"/>
        <v>#REF!</v>
      </c>
      <c r="EA26" s="762" t="str">
        <f t="shared" si="49"/>
        <v/>
      </c>
      <c r="EB26" s="763" t="str">
        <f t="shared" si="50"/>
        <v/>
      </c>
      <c r="EC26" s="795" t="str">
        <f t="shared" si="51"/>
        <v/>
      </c>
      <c r="ED26" s="926">
        <f t="shared" si="52"/>
        <v>0</v>
      </c>
      <c r="EE26" s="1210" t="str">
        <f t="shared" si="53"/>
        <v/>
      </c>
      <c r="EF26" s="1210" t="str">
        <f t="shared" si="54"/>
        <v/>
      </c>
      <c r="EG26" s="1210" t="str">
        <f t="shared" si="55"/>
        <v/>
      </c>
      <c r="EH26" s="795" t="e">
        <f t="shared" si="56"/>
        <v>#N/A</v>
      </c>
      <c r="EI26" s="795" t="e">
        <f t="shared" si="57"/>
        <v>#N/A</v>
      </c>
      <c r="EJ26" s="763" t="str">
        <f t="shared" si="58"/>
        <v/>
      </c>
      <c r="EK26" s="763" t="str">
        <f t="shared" si="58"/>
        <v/>
      </c>
      <c r="EL26" s="1210" t="str">
        <f t="shared" si="59"/>
        <v/>
      </c>
      <c r="EM26" s="763" t="str">
        <f t="shared" si="60"/>
        <v/>
      </c>
      <c r="EN26" s="763" t="str">
        <f t="shared" si="61"/>
        <v/>
      </c>
      <c r="EO26" s="795" t="e">
        <f t="shared" si="62"/>
        <v>#N/A</v>
      </c>
      <c r="EP26" s="795" t="e">
        <f t="shared" si="63"/>
        <v>#N/A</v>
      </c>
      <c r="EQ26" s="1210" t="str">
        <f t="shared" si="64"/>
        <v/>
      </c>
      <c r="ER26" s="763" t="str">
        <f t="shared" si="64"/>
        <v/>
      </c>
      <c r="ES26" s="763" t="str">
        <f t="shared" si="65"/>
        <v/>
      </c>
      <c r="ET26" s="763" t="str">
        <f t="shared" si="66"/>
        <v/>
      </c>
      <c r="EU26" s="770" t="str">
        <f t="shared" si="67"/>
        <v/>
      </c>
      <c r="EV26" s="765" t="str">
        <f t="shared" si="68"/>
        <v/>
      </c>
      <c r="EW26" s="770"/>
      <c r="EX26" s="770" t="str">
        <f>IF(AND(CU26="G", ISBLANK(BK26), ISBLANK(BL26)),VLOOKUP(MIN(BH26:BI26),#REF!,2),IF(OR(CU26="B",CU26="G"),MIN(BK26:BL26),""))</f>
        <v/>
      </c>
      <c r="EY26" s="770" t="str">
        <f>IF(AND(CU26="G", ISBLANK(BK26), ISBLANK(BL26)),VLOOKUP(MAX(BH26:BI26),#REF!,2),IF(OR(CU26="B",CU26="G"),MAX(BK26:BL26),""))</f>
        <v/>
      </c>
      <c r="EZ26" s="770" t="str">
        <f t="shared" si="69"/>
        <v/>
      </c>
      <c r="FA26" s="770" t="str">
        <f>IF(AND(DE26="G", ISBLANK(BW26), ISBLANK(BX26)),VLOOKUP(MIN(BT26:BU26),#REF!,2),IF(OR(DE26="B", DE26="G"),MIN(BW26:BX26),""))</f>
        <v/>
      </c>
      <c r="FB26" s="770" t="str">
        <f>IF(AND(DE26="G", ISBLANK(BW26), ISBLANK(BX26)),VLOOKUP(MAX(BT26:BU26),#REF!,2),IF(OR(DE26="B", DE26="G"),MAX(BW26:BX26),""))</f>
        <v/>
      </c>
      <c r="FC26" s="770" t="str">
        <f t="shared" si="70"/>
        <v/>
      </c>
      <c r="FD26" s="762">
        <f t="shared" si="97"/>
        <v>0</v>
      </c>
      <c r="FE26" s="762">
        <f t="shared" si="71"/>
        <v>0</v>
      </c>
      <c r="FF26" s="762">
        <f t="shared" si="72"/>
        <v>0</v>
      </c>
      <c r="FG26" s="762" t="str">
        <f t="shared" si="73"/>
        <v/>
      </c>
      <c r="FH26" s="763" t="str">
        <f t="shared" si="74"/>
        <v/>
      </c>
      <c r="FI26" s="762">
        <f t="shared" si="98"/>
        <v>0</v>
      </c>
      <c r="FJ26" s="762">
        <f t="shared" si="75"/>
        <v>0</v>
      </c>
      <c r="FK26" s="762">
        <f t="shared" si="76"/>
        <v>0</v>
      </c>
      <c r="FL26" s="762" t="str">
        <f t="shared" si="77"/>
        <v/>
      </c>
      <c r="FM26" s="763" t="str">
        <f t="shared" si="78"/>
        <v/>
      </c>
      <c r="FN26" s="763" t="e">
        <f t="shared" si="79"/>
        <v>#VALUE!</v>
      </c>
      <c r="FO26" s="872" t="e">
        <f t="shared" si="80"/>
        <v>#VALUE!</v>
      </c>
      <c r="FP26" s="872" t="e">
        <f t="shared" si="81"/>
        <v>#VALUE!</v>
      </c>
      <c r="FQ26" s="771" t="e">
        <f t="shared" si="82"/>
        <v>#VALUE!</v>
      </c>
      <c r="FR26" s="772" t="e">
        <f t="shared" si="83"/>
        <v>#VALUE!</v>
      </c>
      <c r="FS26" s="773" t="str">
        <f t="shared" si="84"/>
        <v/>
      </c>
      <c r="FT26" s="774" t="str">
        <f t="shared" si="85"/>
        <v/>
      </c>
      <c r="FU26" s="809">
        <f t="shared" si="86"/>
        <v>0</v>
      </c>
      <c r="FV26" s="810">
        <f t="shared" si="87"/>
        <v>0</v>
      </c>
      <c r="GA26" s="542" t="str">
        <f t="shared" si="88"/>
        <v/>
      </c>
      <c r="GB26" s="562" t="str">
        <f t="shared" si="89"/>
        <v/>
      </c>
      <c r="GC26" s="564" t="str">
        <f t="shared" si="90"/>
        <v/>
      </c>
      <c r="GD26" s="565" t="str">
        <f t="shared" si="91"/>
        <v/>
      </c>
      <c r="GE26" s="563" t="str">
        <f t="shared" si="92"/>
        <v/>
      </c>
      <c r="GF26" s="543" t="str">
        <f t="shared" si="93"/>
        <v/>
      </c>
      <c r="GG26" s="1052"/>
      <c r="GH26" s="1053"/>
      <c r="GI26" s="1052"/>
      <c r="GJ26" s="1053"/>
      <c r="GK26" s="1521">
        <f t="shared" si="94"/>
        <v>0</v>
      </c>
      <c r="GL26" s="1519" t="e">
        <f t="shared" si="95"/>
        <v>#VALUE!</v>
      </c>
      <c r="GM26" s="1520" t="e">
        <f>IF(ABS(GK26-GL26)&gt;=#REF!,ABS(GK26-GL26),0)</f>
        <v>#VALUE!</v>
      </c>
      <c r="HA26" s="1187"/>
      <c r="HB26" s="1188"/>
      <c r="HC26" s="1188"/>
      <c r="HD26" s="1189"/>
      <c r="HE26" s="1190"/>
      <c r="HF26" s="1188"/>
      <c r="HG26" s="1188"/>
      <c r="HH26" s="1188"/>
      <c r="HI26" s="1191"/>
      <c r="HJ26" s="1188"/>
      <c r="HK26" s="1188"/>
      <c r="HL26" s="1188"/>
      <c r="HM26" s="1188"/>
      <c r="HN26" s="1188"/>
      <c r="HO26" s="1188"/>
      <c r="HP26" s="1188"/>
      <c r="HQ26" s="1191"/>
      <c r="HR26" s="1188"/>
      <c r="HS26" s="1188"/>
      <c r="HT26" s="1188"/>
      <c r="HU26" s="1188"/>
      <c r="HV26" s="1188"/>
      <c r="HW26" s="1190"/>
      <c r="HX26" s="1190"/>
      <c r="HY26" s="1190"/>
      <c r="HZ26" s="1190"/>
      <c r="IA26" s="1190"/>
      <c r="IB26" s="1190"/>
      <c r="IC26" s="1190"/>
      <c r="ID26" s="1190"/>
      <c r="IE26" s="1190"/>
      <c r="IF26" s="1192"/>
    </row>
    <row r="27" spans="1:240" ht="12.6" customHeight="1" x14ac:dyDescent="0.25">
      <c r="A27" s="1132"/>
      <c r="B27" s="1586"/>
      <c r="C27" s="1133"/>
      <c r="D27" s="1134"/>
      <c r="E27" s="1135"/>
      <c r="F27" s="1143"/>
      <c r="G27" s="1138"/>
      <c r="H27" s="1645"/>
      <c r="I27" s="1134"/>
      <c r="J27" s="1138"/>
      <c r="K27" s="1657"/>
      <c r="L27" s="1141"/>
      <c r="M27" s="1142"/>
      <c r="N27" s="1137"/>
      <c r="O27" s="1138"/>
      <c r="P27" s="1139"/>
      <c r="Q27" s="1134"/>
      <c r="R27" s="1138"/>
      <c r="S27" s="1140"/>
      <c r="T27" s="1143"/>
      <c r="U27" s="1138"/>
      <c r="V27" s="1134"/>
      <c r="W27" s="1138"/>
      <c r="X27" s="1142"/>
      <c r="Y27" s="1647"/>
      <c r="Z27" s="1648"/>
      <c r="AA27" s="1649"/>
      <c r="AB27" s="1288"/>
      <c r="AC27" s="898" t="b">
        <v>0</v>
      </c>
      <c r="AD27" s="374">
        <f t="shared" si="1"/>
        <v>0</v>
      </c>
      <c r="AE27" s="375">
        <f t="shared" si="2"/>
        <v>0</v>
      </c>
      <c r="AF27" s="375">
        <f t="shared" si="3"/>
        <v>0</v>
      </c>
      <c r="AG27" s="375">
        <f t="shared" si="4"/>
        <v>0</v>
      </c>
      <c r="AH27" s="376">
        <f t="shared" si="5"/>
        <v>0</v>
      </c>
      <c r="AI27" s="377" t="b">
        <v>0</v>
      </c>
      <c r="AJ27" s="143">
        <f t="shared" si="6"/>
        <v>0</v>
      </c>
      <c r="AK27" s="771" t="str">
        <f t="shared" si="7"/>
        <v/>
      </c>
      <c r="AL27" s="877" t="str">
        <f t="shared" si="8"/>
        <v/>
      </c>
      <c r="AM27" s="771" t="str">
        <f t="shared" si="9"/>
        <v/>
      </c>
      <c r="AN27" s="771" t="str">
        <f t="shared" si="10"/>
        <v/>
      </c>
      <c r="AO27" s="771" t="str">
        <f t="shared" si="11"/>
        <v/>
      </c>
      <c r="AP27" s="771" t="b">
        <f>IF(ISERROR(AJ27),FALSE,IF(OR(AJ27=0,ISERROR(AL27),ISERROR(AM27),ISERROR(AN27),ISERROR(AO27)),FALSE,IF(AL27&lt;&gt;"",IF(ISERROR(VLOOKUP(SUBSTITUTE(SUBSTITUTE(C27,"R",""),"A",""),#REF!,1,FALSE)),FALSE,TRUE),TRUE)))</f>
        <v>0</v>
      </c>
      <c r="AQ27" s="945" t="e">
        <f t="shared" si="12"/>
        <v>#N/A</v>
      </c>
      <c r="AR27" s="877" t="b">
        <f t="shared" si="13"/>
        <v>0</v>
      </c>
      <c r="AS27" s="945" t="e">
        <f t="shared" si="14"/>
        <v>#N/A</v>
      </c>
      <c r="AT27" s="877" t="b">
        <f t="shared" si="15"/>
        <v>0</v>
      </c>
      <c r="AU27" s="878" t="str">
        <f t="shared" si="16"/>
        <v/>
      </c>
      <c r="AV27" s="771" t="str">
        <f t="shared" si="17"/>
        <v/>
      </c>
      <c r="AW27" s="771" t="str">
        <f t="shared" si="18"/>
        <v/>
      </c>
      <c r="AX27" s="771" t="str">
        <f t="shared" si="96"/>
        <v/>
      </c>
      <c r="AY27" s="946" t="e">
        <f t="shared" si="19"/>
        <v>#REF!</v>
      </c>
      <c r="AZ27" s="795" t="str">
        <f t="shared" si="20"/>
        <v/>
      </c>
      <c r="BA27" s="496"/>
      <c r="BB27" s="616"/>
      <c r="BC27" s="1567"/>
      <c r="BD27" s="682"/>
      <c r="BE27" s="683"/>
      <c r="BF27" s="684"/>
      <c r="BG27" s="660"/>
      <c r="BH27" s="901"/>
      <c r="BI27" s="902"/>
      <c r="BJ27" s="1508"/>
      <c r="BK27" s="661"/>
      <c r="BL27" s="662"/>
      <c r="BM27" s="663"/>
      <c r="BN27" s="664"/>
      <c r="BO27" s="616" t="str">
        <f>IF(ISERROR(CU27),"",IF(CU27="","",IF(VLOOKUP(BG27,#REF!,10,FALSE)="","","X")))</f>
        <v/>
      </c>
      <c r="BP27" s="687"/>
      <c r="BQ27" s="1430" t="str">
        <f t="shared" si="21"/>
        <v/>
      </c>
      <c r="BR27" s="839"/>
      <c r="BS27" s="660"/>
      <c r="BT27" s="661"/>
      <c r="BU27" s="662"/>
      <c r="BV27" s="1508"/>
      <c r="BW27" s="661"/>
      <c r="BX27" s="662"/>
      <c r="BY27" s="663"/>
      <c r="BZ27" s="664"/>
      <c r="CA27" s="625" t="str">
        <f>IF(ISERROR(DE27),"",IF(DE27="","",IF(VLOOKUP(BS27,#REF!,10,FALSE)="","","X")))</f>
        <v/>
      </c>
      <c r="CB27" s="687"/>
      <c r="CC27" s="1430" t="str">
        <f t="shared" si="22"/>
        <v/>
      </c>
      <c r="CD27" s="839"/>
      <c r="CE27" s="665"/>
      <c r="CF27" s="685"/>
      <c r="CG27" s="686"/>
      <c r="CH27" s="534" t="str">
        <f t="shared" si="23"/>
        <v/>
      </c>
      <c r="CI27" s="535" t="str">
        <f t="shared" si="24"/>
        <v/>
      </c>
      <c r="CJ27" s="536" t="str">
        <f t="shared" si="25"/>
        <v/>
      </c>
      <c r="CK27" s="537" t="str">
        <f t="shared" si="26"/>
        <v/>
      </c>
      <c r="CL27" s="538" t="str">
        <f t="shared" si="27"/>
        <v/>
      </c>
      <c r="CM27" s="539" t="str">
        <f t="shared" si="28"/>
        <v/>
      </c>
      <c r="CN27" s="540" t="str">
        <f t="shared" si="29"/>
        <v/>
      </c>
      <c r="CO27" s="541" t="str">
        <f t="shared" si="30"/>
        <v/>
      </c>
      <c r="CP27" s="558" t="str">
        <f t="shared" si="31"/>
        <v/>
      </c>
      <c r="CQ27" s="559" t="str">
        <f t="shared" si="32"/>
        <v/>
      </c>
      <c r="CR27" s="699" t="str">
        <f t="shared" si="33"/>
        <v/>
      </c>
      <c r="CS27" s="700" t="str">
        <f t="shared" si="34"/>
        <v/>
      </c>
      <c r="CU27" s="758" t="str">
        <f>IF(BG27="","",VLOOKUP(BG27,#REF!,12,FALSE))</f>
        <v/>
      </c>
      <c r="CV27" s="756" t="str">
        <f>IF(BG27="","",IF(ISBLANK(BP27),VLOOKUP(BG27,#REF!,13,FALSE),BP27))</f>
        <v/>
      </c>
      <c r="CW27" s="756" t="str">
        <f>IF(BG27="","",IF(VLOOKUP(BG27,#REF!,5,FALSE)="","R",UPPER(VLOOKUP(BG27,#REF!,5,FALSE))))</f>
        <v/>
      </c>
      <c r="CX27" s="756" t="str">
        <f>IF(BG27="","",IF(ISBLANK(BR27),VLOOKUP(BG27,#REF!,6,FALSE),BR27))</f>
        <v/>
      </c>
      <c r="CY27" s="1203" t="str">
        <f>IF(BG27="","",IF(VLOOKUP(BG27,#REF!,10,FALSE)="","",(IF(BO27="X",VLOOKUP(BG27,#REF!,10,FALSE),VALUE(BO27))*-1)))</f>
        <v/>
      </c>
      <c r="CZ27" s="1042" t="str">
        <f>IF(BG27="","",IF(VLOOKUP(BG27,#REF!,11,FALSE)="","2",(VLOOKUP(BG27,#REF!,11,FALSE))))</f>
        <v/>
      </c>
      <c r="DA27" s="756" t="str">
        <f>IF(BG27="","",IF(VLOOKUP(BG27,#REF!,7,FALSE)="","",(VLOOKUP(BG27,#REF!,7,FALSE)*-1)))</f>
        <v/>
      </c>
      <c r="DB27" s="756" t="str">
        <f>IF(BG27="","",IF(VLOOKUP(BG27,#REF!,8,FALSE)="",VLOOKUP(AU27,$DF$2:$DN$9,6,FALSE),(VLOOKUP(BG27,#REF!,8,FALSE))))</f>
        <v/>
      </c>
      <c r="DC27" s="756" t="str">
        <f>IF(BG27="","",VLOOKUP(BG27,#REF!,9,FALSE))</f>
        <v/>
      </c>
      <c r="DD27" s="757">
        <f t="shared" si="35"/>
        <v>0</v>
      </c>
      <c r="DE27" s="758" t="str">
        <f>IF(BS27="","",VLOOKUP(BS27,#REF!,12,FALSE))</f>
        <v/>
      </c>
      <c r="DF27" s="756" t="str">
        <f>IF(BS27="","",IF(ISBLANK(CB27),VLOOKUP(BS27,#REF!,13,FALSE),CB27))</f>
        <v/>
      </c>
      <c r="DG27" s="756" t="str">
        <f>IF(BS27="","",IF(VLOOKUP(BS27,#REF!,5,FALSE)="","R",UPPER(VLOOKUP(BS27,#REF!,5,FALSE))))</f>
        <v/>
      </c>
      <c r="DH27" s="756" t="str">
        <f>IF(BS27="","",IF(ISBLANK(CD27),VLOOKUP(BS27,#REF!,6,FALSE),CD27))</f>
        <v/>
      </c>
      <c r="DI27" s="1203" t="str">
        <f>IF(BS27="","",IF(VLOOKUP(BS27,#REF!,10,FALSE)="","",(IF(CA27="X",VLOOKUP(BS27,#REF!,10,FALSE),VALUE(CA27))*-1)))</f>
        <v/>
      </c>
      <c r="DJ27" s="1042" t="str">
        <f>IF(BS27="","",IF(VLOOKUP(BS27,#REF!,11,FALSE)="","2",(VLOOKUP(BS27,#REF!,11,FALSE))))</f>
        <v/>
      </c>
      <c r="DK27" s="756" t="str">
        <f>IF(BS27="","",IF(VLOOKUP(BS27,#REF!,7,FALSE)="","",(VLOOKUP(BS27,#REF!,7,FALSE)*-1)))</f>
        <v/>
      </c>
      <c r="DL27" s="756" t="str">
        <f>IF(BS27="","",IF(VLOOKUP(BS27,#REF!,8,FALSE)="",VLOOKUP(AU27,$DF$2:$DN$9,6,FALSE),(VLOOKUP(BS27,#REF!,8,FALSE))))</f>
        <v/>
      </c>
      <c r="DM27" s="756" t="str">
        <f>IF(BS27="","",VLOOKUP(BS27,#REF!,9,FALSE))</f>
        <v/>
      </c>
      <c r="DN27" s="757">
        <f t="shared" si="36"/>
        <v>0</v>
      </c>
      <c r="DO27" s="759">
        <f t="shared" si="37"/>
        <v>0</v>
      </c>
      <c r="DP27" s="763" t="str">
        <f t="shared" si="38"/>
        <v/>
      </c>
      <c r="DQ27" s="763" t="str">
        <f t="shared" si="39"/>
        <v/>
      </c>
      <c r="DR27" s="763" t="str">
        <f t="shared" si="40"/>
        <v/>
      </c>
      <c r="DS27" s="762">
        <f t="shared" si="41"/>
        <v>0</v>
      </c>
      <c r="DT27" s="762" t="e">
        <f t="shared" si="42"/>
        <v>#REF!</v>
      </c>
      <c r="DU27" s="762" t="str">
        <f t="shared" si="43"/>
        <v/>
      </c>
      <c r="DV27" s="763" t="str">
        <f t="shared" si="44"/>
        <v/>
      </c>
      <c r="DW27" s="795" t="str">
        <f t="shared" si="45"/>
        <v/>
      </c>
      <c r="DX27" s="926">
        <f t="shared" si="46"/>
        <v>0</v>
      </c>
      <c r="DY27" s="763">
        <f t="shared" si="47"/>
        <v>0</v>
      </c>
      <c r="DZ27" s="762" t="e">
        <f t="shared" si="48"/>
        <v>#REF!</v>
      </c>
      <c r="EA27" s="762" t="str">
        <f t="shared" si="49"/>
        <v/>
      </c>
      <c r="EB27" s="763" t="str">
        <f t="shared" si="50"/>
        <v/>
      </c>
      <c r="EC27" s="795" t="str">
        <f t="shared" si="51"/>
        <v/>
      </c>
      <c r="ED27" s="926">
        <f t="shared" si="52"/>
        <v>0</v>
      </c>
      <c r="EE27" s="1210" t="str">
        <f t="shared" si="53"/>
        <v/>
      </c>
      <c r="EF27" s="1210" t="str">
        <f t="shared" si="54"/>
        <v/>
      </c>
      <c r="EG27" s="1210" t="str">
        <f t="shared" si="55"/>
        <v/>
      </c>
      <c r="EH27" s="795" t="e">
        <f t="shared" si="56"/>
        <v>#N/A</v>
      </c>
      <c r="EI27" s="795" t="e">
        <f t="shared" si="57"/>
        <v>#N/A</v>
      </c>
      <c r="EJ27" s="763" t="str">
        <f t="shared" si="58"/>
        <v/>
      </c>
      <c r="EK27" s="763" t="str">
        <f t="shared" si="58"/>
        <v/>
      </c>
      <c r="EL27" s="1210" t="str">
        <f t="shared" si="59"/>
        <v/>
      </c>
      <c r="EM27" s="763" t="str">
        <f t="shared" si="60"/>
        <v/>
      </c>
      <c r="EN27" s="763" t="str">
        <f t="shared" si="61"/>
        <v/>
      </c>
      <c r="EO27" s="795" t="e">
        <f t="shared" si="62"/>
        <v>#N/A</v>
      </c>
      <c r="EP27" s="795" t="e">
        <f t="shared" si="63"/>
        <v>#N/A</v>
      </c>
      <c r="EQ27" s="1210" t="str">
        <f t="shared" si="64"/>
        <v/>
      </c>
      <c r="ER27" s="763" t="str">
        <f t="shared" si="64"/>
        <v/>
      </c>
      <c r="ES27" s="763" t="str">
        <f t="shared" si="65"/>
        <v/>
      </c>
      <c r="ET27" s="763" t="str">
        <f t="shared" si="66"/>
        <v/>
      </c>
      <c r="EU27" s="770" t="str">
        <f t="shared" si="67"/>
        <v/>
      </c>
      <c r="EV27" s="765" t="str">
        <f t="shared" si="68"/>
        <v/>
      </c>
      <c r="EW27" s="770"/>
      <c r="EX27" s="770" t="str">
        <f>IF(AND(CU27="G", ISBLANK(BK27), ISBLANK(BL27)),VLOOKUP(MIN(BH27:BI27),#REF!,2),IF(OR(CU27="B",CU27="G"),MIN(BK27:BL27),""))</f>
        <v/>
      </c>
      <c r="EY27" s="770" t="str">
        <f>IF(AND(CU27="G", ISBLANK(BK27), ISBLANK(BL27)),VLOOKUP(MAX(BH27:BI27),#REF!,2),IF(OR(CU27="B",CU27="G"),MAX(BK27:BL27),""))</f>
        <v/>
      </c>
      <c r="EZ27" s="770" t="str">
        <f t="shared" si="69"/>
        <v/>
      </c>
      <c r="FA27" s="770" t="str">
        <f>IF(AND(DE27="G", ISBLANK(BW27), ISBLANK(BX27)),VLOOKUP(MIN(BT27:BU27),#REF!,2),IF(OR(DE27="B", DE27="G"),MIN(BW27:BX27),""))</f>
        <v/>
      </c>
      <c r="FB27" s="770" t="str">
        <f>IF(AND(DE27="G", ISBLANK(BW27), ISBLANK(BX27)),VLOOKUP(MAX(BT27:BU27),#REF!,2),IF(OR(DE27="B", DE27="G"),MAX(BW27:BX27),""))</f>
        <v/>
      </c>
      <c r="FC27" s="770" t="str">
        <f t="shared" si="70"/>
        <v/>
      </c>
      <c r="FD27" s="762">
        <f t="shared" si="97"/>
        <v>0</v>
      </c>
      <c r="FE27" s="762">
        <f t="shared" si="71"/>
        <v>0</v>
      </c>
      <c r="FF27" s="762">
        <f t="shared" si="72"/>
        <v>0</v>
      </c>
      <c r="FG27" s="762" t="str">
        <f t="shared" si="73"/>
        <v/>
      </c>
      <c r="FH27" s="763" t="str">
        <f t="shared" si="74"/>
        <v/>
      </c>
      <c r="FI27" s="762">
        <f t="shared" si="98"/>
        <v>0</v>
      </c>
      <c r="FJ27" s="762">
        <f t="shared" si="75"/>
        <v>0</v>
      </c>
      <c r="FK27" s="762">
        <f t="shared" si="76"/>
        <v>0</v>
      </c>
      <c r="FL27" s="762" t="str">
        <f t="shared" si="77"/>
        <v/>
      </c>
      <c r="FM27" s="763" t="str">
        <f t="shared" si="78"/>
        <v/>
      </c>
      <c r="FN27" s="763" t="e">
        <f t="shared" si="79"/>
        <v>#VALUE!</v>
      </c>
      <c r="FO27" s="872" t="e">
        <f t="shared" si="80"/>
        <v>#VALUE!</v>
      </c>
      <c r="FP27" s="872" t="e">
        <f t="shared" si="81"/>
        <v>#VALUE!</v>
      </c>
      <c r="FQ27" s="771" t="e">
        <f t="shared" si="82"/>
        <v>#VALUE!</v>
      </c>
      <c r="FR27" s="772" t="e">
        <f t="shared" si="83"/>
        <v>#VALUE!</v>
      </c>
      <c r="FS27" s="773" t="str">
        <f t="shared" si="84"/>
        <v/>
      </c>
      <c r="FT27" s="774" t="str">
        <f t="shared" si="85"/>
        <v/>
      </c>
      <c r="FU27" s="809">
        <f t="shared" si="86"/>
        <v>0</v>
      </c>
      <c r="FV27" s="810">
        <f t="shared" si="87"/>
        <v>0</v>
      </c>
      <c r="GA27" s="542" t="str">
        <f t="shared" si="88"/>
        <v/>
      </c>
      <c r="GB27" s="562" t="str">
        <f t="shared" si="89"/>
        <v/>
      </c>
      <c r="GC27" s="564" t="str">
        <f t="shared" si="90"/>
        <v/>
      </c>
      <c r="GD27" s="565" t="str">
        <f t="shared" si="91"/>
        <v/>
      </c>
      <c r="GE27" s="563" t="str">
        <f t="shared" si="92"/>
        <v/>
      </c>
      <c r="GF27" s="543" t="str">
        <f t="shared" si="93"/>
        <v/>
      </c>
      <c r="GG27" s="1052"/>
      <c r="GH27" s="1053"/>
      <c r="GI27" s="1052"/>
      <c r="GJ27" s="1053"/>
      <c r="GK27" s="1521">
        <f t="shared" si="94"/>
        <v>0</v>
      </c>
      <c r="GL27" s="1519" t="e">
        <f t="shared" si="95"/>
        <v>#VALUE!</v>
      </c>
      <c r="GM27" s="1520" t="e">
        <f>IF(ABS(GK27-GL27)&gt;=#REF!,ABS(GK27-GL27),0)</f>
        <v>#VALUE!</v>
      </c>
      <c r="HA27" s="1187"/>
      <c r="HB27" s="1188"/>
      <c r="HC27" s="1188"/>
      <c r="HD27" s="1189"/>
      <c r="HE27" s="1190"/>
      <c r="HF27" s="1188"/>
      <c r="HG27" s="1188"/>
      <c r="HH27" s="1188"/>
      <c r="HI27" s="1191"/>
      <c r="HJ27" s="1188"/>
      <c r="HK27" s="1188"/>
      <c r="HL27" s="1188"/>
      <c r="HM27" s="1188"/>
      <c r="HN27" s="1188"/>
      <c r="HO27" s="1188"/>
      <c r="HP27" s="1188"/>
      <c r="HQ27" s="1191"/>
      <c r="HR27" s="1188"/>
      <c r="HS27" s="1188"/>
      <c r="HT27" s="1188"/>
      <c r="HU27" s="1188"/>
      <c r="HV27" s="1188"/>
      <c r="HW27" s="1190"/>
      <c r="HX27" s="1190"/>
      <c r="HY27" s="1190"/>
      <c r="HZ27" s="1190"/>
      <c r="IA27" s="1190"/>
      <c r="IB27" s="1190"/>
      <c r="IC27" s="1190"/>
      <c r="ID27" s="1190"/>
      <c r="IE27" s="1190"/>
      <c r="IF27" s="1192"/>
    </row>
    <row r="28" spans="1:240" ht="12.6" customHeight="1" x14ac:dyDescent="0.25">
      <c r="A28" s="1132"/>
      <c r="B28" s="1586"/>
      <c r="C28" s="1133"/>
      <c r="D28" s="1134"/>
      <c r="E28" s="1135"/>
      <c r="F28" s="1143"/>
      <c r="G28" s="1138"/>
      <c r="H28" s="1645"/>
      <c r="I28" s="1134"/>
      <c r="J28" s="1138"/>
      <c r="K28" s="1657"/>
      <c r="L28" s="1141"/>
      <c r="M28" s="1142"/>
      <c r="N28" s="1137"/>
      <c r="O28" s="1138"/>
      <c r="P28" s="1139"/>
      <c r="Q28" s="1134"/>
      <c r="R28" s="1138"/>
      <c r="S28" s="1140"/>
      <c r="T28" s="1143"/>
      <c r="U28" s="1138"/>
      <c r="V28" s="1134"/>
      <c r="W28" s="1138"/>
      <c r="X28" s="1142"/>
      <c r="Y28" s="1647"/>
      <c r="Z28" s="1648"/>
      <c r="AA28" s="1649"/>
      <c r="AB28" s="1288"/>
      <c r="AC28" s="898" t="b">
        <v>0</v>
      </c>
      <c r="AD28" s="374">
        <f t="shared" si="1"/>
        <v>0</v>
      </c>
      <c r="AE28" s="375">
        <f t="shared" si="2"/>
        <v>0</v>
      </c>
      <c r="AF28" s="375">
        <f t="shared" si="3"/>
        <v>0</v>
      </c>
      <c r="AG28" s="375">
        <f t="shared" si="4"/>
        <v>0</v>
      </c>
      <c r="AH28" s="376">
        <f t="shared" si="5"/>
        <v>0</v>
      </c>
      <c r="AI28" s="377" t="b">
        <v>0</v>
      </c>
      <c r="AJ28" s="143">
        <f t="shared" si="6"/>
        <v>0</v>
      </c>
      <c r="AK28" s="771" t="str">
        <f t="shared" si="7"/>
        <v/>
      </c>
      <c r="AL28" s="877" t="str">
        <f t="shared" si="8"/>
        <v/>
      </c>
      <c r="AM28" s="771" t="str">
        <f t="shared" si="9"/>
        <v/>
      </c>
      <c r="AN28" s="771" t="str">
        <f t="shared" si="10"/>
        <v/>
      </c>
      <c r="AO28" s="771" t="str">
        <f t="shared" si="11"/>
        <v/>
      </c>
      <c r="AP28" s="771" t="b">
        <f>IF(ISERROR(AJ28),FALSE,IF(OR(AJ28=0,ISERROR(AL28),ISERROR(AM28),ISERROR(AN28),ISERROR(AO28)),FALSE,IF(AL28&lt;&gt;"",IF(ISERROR(VLOOKUP(SUBSTITUTE(SUBSTITUTE(C28,"R",""),"A",""),#REF!,1,FALSE)),FALSE,TRUE),TRUE)))</f>
        <v>0</v>
      </c>
      <c r="AQ28" s="945" t="e">
        <f t="shared" si="12"/>
        <v>#N/A</v>
      </c>
      <c r="AR28" s="877" t="b">
        <f t="shared" si="13"/>
        <v>0</v>
      </c>
      <c r="AS28" s="945" t="e">
        <f t="shared" si="14"/>
        <v>#N/A</v>
      </c>
      <c r="AT28" s="877" t="b">
        <f t="shared" si="15"/>
        <v>0</v>
      </c>
      <c r="AU28" s="878" t="str">
        <f t="shared" si="16"/>
        <v/>
      </c>
      <c r="AV28" s="771" t="str">
        <f t="shared" si="17"/>
        <v/>
      </c>
      <c r="AW28" s="771" t="str">
        <f t="shared" si="18"/>
        <v/>
      </c>
      <c r="AX28" s="771" t="str">
        <f t="shared" si="96"/>
        <v/>
      </c>
      <c r="AY28" s="946" t="e">
        <f t="shared" si="19"/>
        <v>#REF!</v>
      </c>
      <c r="AZ28" s="795" t="str">
        <f t="shared" si="20"/>
        <v/>
      </c>
      <c r="BA28" s="496"/>
      <c r="BB28" s="616"/>
      <c r="BC28" s="1567"/>
      <c r="BD28" s="682"/>
      <c r="BE28" s="683"/>
      <c r="BF28" s="684"/>
      <c r="BG28" s="660"/>
      <c r="BH28" s="901"/>
      <c r="BI28" s="902"/>
      <c r="BJ28" s="1508"/>
      <c r="BK28" s="661"/>
      <c r="BL28" s="662"/>
      <c r="BM28" s="663"/>
      <c r="BN28" s="664"/>
      <c r="BO28" s="616" t="str">
        <f>IF(ISERROR(CU28),"",IF(CU28="","",IF(VLOOKUP(BG28,#REF!,10,FALSE)="","","X")))</f>
        <v/>
      </c>
      <c r="BP28" s="687"/>
      <c r="BQ28" s="1430" t="str">
        <f t="shared" si="21"/>
        <v/>
      </c>
      <c r="BR28" s="839"/>
      <c r="BS28" s="660"/>
      <c r="BT28" s="661"/>
      <c r="BU28" s="662"/>
      <c r="BV28" s="1508"/>
      <c r="BW28" s="661"/>
      <c r="BX28" s="662"/>
      <c r="BY28" s="663"/>
      <c r="BZ28" s="664"/>
      <c r="CA28" s="625" t="str">
        <f>IF(ISERROR(DE28),"",IF(DE28="","",IF(VLOOKUP(BS28,#REF!,10,FALSE)="","","X")))</f>
        <v/>
      </c>
      <c r="CB28" s="687"/>
      <c r="CC28" s="1430" t="str">
        <f t="shared" si="22"/>
        <v/>
      </c>
      <c r="CD28" s="839"/>
      <c r="CE28" s="665"/>
      <c r="CF28" s="685"/>
      <c r="CG28" s="686"/>
      <c r="CH28" s="534" t="str">
        <f t="shared" si="23"/>
        <v/>
      </c>
      <c r="CI28" s="535" t="str">
        <f t="shared" si="24"/>
        <v/>
      </c>
      <c r="CJ28" s="536" t="str">
        <f t="shared" si="25"/>
        <v/>
      </c>
      <c r="CK28" s="537" t="str">
        <f t="shared" si="26"/>
        <v/>
      </c>
      <c r="CL28" s="538" t="str">
        <f t="shared" si="27"/>
        <v/>
      </c>
      <c r="CM28" s="539" t="str">
        <f t="shared" si="28"/>
        <v/>
      </c>
      <c r="CN28" s="540" t="str">
        <f t="shared" si="29"/>
        <v/>
      </c>
      <c r="CO28" s="541" t="str">
        <f t="shared" si="30"/>
        <v/>
      </c>
      <c r="CP28" s="558" t="str">
        <f t="shared" si="31"/>
        <v/>
      </c>
      <c r="CQ28" s="559" t="str">
        <f t="shared" si="32"/>
        <v/>
      </c>
      <c r="CR28" s="699" t="str">
        <f t="shared" si="33"/>
        <v/>
      </c>
      <c r="CS28" s="700" t="str">
        <f t="shared" si="34"/>
        <v/>
      </c>
      <c r="CU28" s="758" t="str">
        <f>IF(BG28="","",VLOOKUP(BG28,#REF!,12,FALSE))</f>
        <v/>
      </c>
      <c r="CV28" s="756" t="str">
        <f>IF(BG28="","",IF(ISBLANK(BP28),VLOOKUP(BG28,#REF!,13,FALSE),BP28))</f>
        <v/>
      </c>
      <c r="CW28" s="756" t="str">
        <f>IF(BG28="","",IF(VLOOKUP(BG28,#REF!,5,FALSE)="","R",UPPER(VLOOKUP(BG28,#REF!,5,FALSE))))</f>
        <v/>
      </c>
      <c r="CX28" s="756" t="str">
        <f>IF(BG28="","",IF(ISBLANK(BR28),VLOOKUP(BG28,#REF!,6,FALSE),BR28))</f>
        <v/>
      </c>
      <c r="CY28" s="1203" t="str">
        <f>IF(BG28="","",IF(VLOOKUP(BG28,#REF!,10,FALSE)="","",(IF(BO28="X",VLOOKUP(BG28,#REF!,10,FALSE),VALUE(BO28))*-1)))</f>
        <v/>
      </c>
      <c r="CZ28" s="1042" t="str">
        <f>IF(BG28="","",IF(VLOOKUP(BG28,#REF!,11,FALSE)="","2",(VLOOKUP(BG28,#REF!,11,FALSE))))</f>
        <v/>
      </c>
      <c r="DA28" s="756" t="str">
        <f>IF(BG28="","",IF(VLOOKUP(BG28,#REF!,7,FALSE)="","",(VLOOKUP(BG28,#REF!,7,FALSE)*-1)))</f>
        <v/>
      </c>
      <c r="DB28" s="756" t="str">
        <f>IF(BG28="","",IF(VLOOKUP(BG28,#REF!,8,FALSE)="",VLOOKUP(AU28,$DF$2:$DN$9,6,FALSE),(VLOOKUP(BG28,#REF!,8,FALSE))))</f>
        <v/>
      </c>
      <c r="DC28" s="756" t="str">
        <f>IF(BG28="","",VLOOKUP(BG28,#REF!,9,FALSE))</f>
        <v/>
      </c>
      <c r="DD28" s="757">
        <f t="shared" si="35"/>
        <v>0</v>
      </c>
      <c r="DE28" s="758" t="str">
        <f>IF(BS28="","",VLOOKUP(BS28,#REF!,12,FALSE))</f>
        <v/>
      </c>
      <c r="DF28" s="756" t="str">
        <f>IF(BS28="","",IF(ISBLANK(CB28),VLOOKUP(BS28,#REF!,13,FALSE),CB28))</f>
        <v/>
      </c>
      <c r="DG28" s="756" t="str">
        <f>IF(BS28="","",IF(VLOOKUP(BS28,#REF!,5,FALSE)="","R",UPPER(VLOOKUP(BS28,#REF!,5,FALSE))))</f>
        <v/>
      </c>
      <c r="DH28" s="756" t="str">
        <f>IF(BS28="","",IF(ISBLANK(CD28),VLOOKUP(BS28,#REF!,6,FALSE),CD28))</f>
        <v/>
      </c>
      <c r="DI28" s="1203" t="str">
        <f>IF(BS28="","",IF(VLOOKUP(BS28,#REF!,10,FALSE)="","",(IF(CA28="X",VLOOKUP(BS28,#REF!,10,FALSE),VALUE(CA28))*-1)))</f>
        <v/>
      </c>
      <c r="DJ28" s="1042" t="str">
        <f>IF(BS28="","",IF(VLOOKUP(BS28,#REF!,11,FALSE)="","2",(VLOOKUP(BS28,#REF!,11,FALSE))))</f>
        <v/>
      </c>
      <c r="DK28" s="756" t="str">
        <f>IF(BS28="","",IF(VLOOKUP(BS28,#REF!,7,FALSE)="","",(VLOOKUP(BS28,#REF!,7,FALSE)*-1)))</f>
        <v/>
      </c>
      <c r="DL28" s="756" t="str">
        <f>IF(BS28="","",IF(VLOOKUP(BS28,#REF!,8,FALSE)="",VLOOKUP(AU28,$DF$2:$DN$9,6,FALSE),(VLOOKUP(BS28,#REF!,8,FALSE))))</f>
        <v/>
      </c>
      <c r="DM28" s="756" t="str">
        <f>IF(BS28="","",VLOOKUP(BS28,#REF!,9,FALSE))</f>
        <v/>
      </c>
      <c r="DN28" s="757">
        <f t="shared" si="36"/>
        <v>0</v>
      </c>
      <c r="DO28" s="759">
        <f t="shared" si="37"/>
        <v>0</v>
      </c>
      <c r="DP28" s="763" t="str">
        <f t="shared" si="38"/>
        <v/>
      </c>
      <c r="DQ28" s="763" t="str">
        <f t="shared" si="39"/>
        <v/>
      </c>
      <c r="DR28" s="763" t="str">
        <f t="shared" si="40"/>
        <v/>
      </c>
      <c r="DS28" s="762">
        <f t="shared" si="41"/>
        <v>0</v>
      </c>
      <c r="DT28" s="762" t="e">
        <f t="shared" si="42"/>
        <v>#REF!</v>
      </c>
      <c r="DU28" s="762" t="str">
        <f t="shared" si="43"/>
        <v/>
      </c>
      <c r="DV28" s="763" t="str">
        <f t="shared" si="44"/>
        <v/>
      </c>
      <c r="DW28" s="795" t="str">
        <f t="shared" si="45"/>
        <v/>
      </c>
      <c r="DX28" s="926">
        <f t="shared" si="46"/>
        <v>0</v>
      </c>
      <c r="DY28" s="763">
        <f t="shared" si="47"/>
        <v>0</v>
      </c>
      <c r="DZ28" s="762" t="e">
        <f t="shared" si="48"/>
        <v>#REF!</v>
      </c>
      <c r="EA28" s="762" t="str">
        <f t="shared" si="49"/>
        <v/>
      </c>
      <c r="EB28" s="763" t="str">
        <f t="shared" si="50"/>
        <v/>
      </c>
      <c r="EC28" s="795" t="str">
        <f t="shared" si="51"/>
        <v/>
      </c>
      <c r="ED28" s="926">
        <f t="shared" si="52"/>
        <v>0</v>
      </c>
      <c r="EE28" s="1210" t="str">
        <f t="shared" si="53"/>
        <v/>
      </c>
      <c r="EF28" s="1210" t="str">
        <f t="shared" si="54"/>
        <v/>
      </c>
      <c r="EG28" s="1210" t="str">
        <f t="shared" si="55"/>
        <v/>
      </c>
      <c r="EH28" s="795" t="e">
        <f t="shared" si="56"/>
        <v>#N/A</v>
      </c>
      <c r="EI28" s="795" t="e">
        <f t="shared" si="57"/>
        <v>#N/A</v>
      </c>
      <c r="EJ28" s="763" t="str">
        <f t="shared" si="58"/>
        <v/>
      </c>
      <c r="EK28" s="763" t="str">
        <f t="shared" si="58"/>
        <v/>
      </c>
      <c r="EL28" s="1210" t="str">
        <f t="shared" si="59"/>
        <v/>
      </c>
      <c r="EM28" s="763" t="str">
        <f t="shared" si="60"/>
        <v/>
      </c>
      <c r="EN28" s="763" t="str">
        <f t="shared" si="61"/>
        <v/>
      </c>
      <c r="EO28" s="795" t="e">
        <f t="shared" si="62"/>
        <v>#N/A</v>
      </c>
      <c r="EP28" s="795" t="e">
        <f t="shared" si="63"/>
        <v>#N/A</v>
      </c>
      <c r="EQ28" s="1210" t="str">
        <f t="shared" si="64"/>
        <v/>
      </c>
      <c r="ER28" s="763" t="str">
        <f t="shared" si="64"/>
        <v/>
      </c>
      <c r="ES28" s="763" t="str">
        <f t="shared" si="65"/>
        <v/>
      </c>
      <c r="ET28" s="763" t="str">
        <f t="shared" si="66"/>
        <v/>
      </c>
      <c r="EU28" s="770" t="str">
        <f t="shared" si="67"/>
        <v/>
      </c>
      <c r="EV28" s="765" t="str">
        <f t="shared" si="68"/>
        <v/>
      </c>
      <c r="EW28" s="770"/>
      <c r="EX28" s="770" t="str">
        <f>IF(AND(CU28="G", ISBLANK(BK28), ISBLANK(BL28)),VLOOKUP(MIN(BH28:BI28),#REF!,2),IF(OR(CU28="B",CU28="G"),MIN(BK28:BL28),""))</f>
        <v/>
      </c>
      <c r="EY28" s="770" t="str">
        <f>IF(AND(CU28="G", ISBLANK(BK28), ISBLANK(BL28)),VLOOKUP(MAX(BH28:BI28),#REF!,2),IF(OR(CU28="B",CU28="G"),MAX(BK28:BL28),""))</f>
        <v/>
      </c>
      <c r="EZ28" s="770" t="str">
        <f t="shared" si="69"/>
        <v/>
      </c>
      <c r="FA28" s="770" t="str">
        <f>IF(AND(DE28="G", ISBLANK(BW28), ISBLANK(BX28)),VLOOKUP(MIN(BT28:BU28),#REF!,2),IF(OR(DE28="B", DE28="G"),MIN(BW28:BX28),""))</f>
        <v/>
      </c>
      <c r="FB28" s="770" t="str">
        <f>IF(AND(DE28="G", ISBLANK(BW28), ISBLANK(BX28)),VLOOKUP(MAX(BT28:BU28),#REF!,2),IF(OR(DE28="B", DE28="G"),MAX(BW28:BX28),""))</f>
        <v/>
      </c>
      <c r="FC28" s="770" t="str">
        <f t="shared" si="70"/>
        <v/>
      </c>
      <c r="FD28" s="762">
        <f t="shared" si="97"/>
        <v>0</v>
      </c>
      <c r="FE28" s="762">
        <f t="shared" si="71"/>
        <v>0</v>
      </c>
      <c r="FF28" s="762">
        <f t="shared" si="72"/>
        <v>0</v>
      </c>
      <c r="FG28" s="762" t="str">
        <f t="shared" si="73"/>
        <v/>
      </c>
      <c r="FH28" s="763" t="str">
        <f t="shared" si="74"/>
        <v/>
      </c>
      <c r="FI28" s="762">
        <f t="shared" si="98"/>
        <v>0</v>
      </c>
      <c r="FJ28" s="762">
        <f t="shared" si="75"/>
        <v>0</v>
      </c>
      <c r="FK28" s="762">
        <f t="shared" si="76"/>
        <v>0</v>
      </c>
      <c r="FL28" s="762" t="str">
        <f t="shared" si="77"/>
        <v/>
      </c>
      <c r="FM28" s="763" t="str">
        <f t="shared" si="78"/>
        <v/>
      </c>
      <c r="FN28" s="763" t="e">
        <f t="shared" si="79"/>
        <v>#VALUE!</v>
      </c>
      <c r="FO28" s="872" t="e">
        <f t="shared" si="80"/>
        <v>#VALUE!</v>
      </c>
      <c r="FP28" s="872" t="e">
        <f t="shared" si="81"/>
        <v>#VALUE!</v>
      </c>
      <c r="FQ28" s="771" t="e">
        <f t="shared" si="82"/>
        <v>#VALUE!</v>
      </c>
      <c r="FR28" s="772" t="e">
        <f t="shared" si="83"/>
        <v>#VALUE!</v>
      </c>
      <c r="FS28" s="773" t="str">
        <f t="shared" si="84"/>
        <v/>
      </c>
      <c r="FT28" s="774" t="str">
        <f t="shared" si="85"/>
        <v/>
      </c>
      <c r="FU28" s="809">
        <f t="shared" si="86"/>
        <v>0</v>
      </c>
      <c r="FV28" s="810">
        <f t="shared" si="87"/>
        <v>0</v>
      </c>
      <c r="GA28" s="542" t="str">
        <f t="shared" si="88"/>
        <v/>
      </c>
      <c r="GB28" s="562" t="str">
        <f t="shared" si="89"/>
        <v/>
      </c>
      <c r="GC28" s="564" t="str">
        <f t="shared" si="90"/>
        <v/>
      </c>
      <c r="GD28" s="565" t="str">
        <f t="shared" si="91"/>
        <v/>
      </c>
      <c r="GE28" s="563" t="str">
        <f t="shared" si="92"/>
        <v/>
      </c>
      <c r="GF28" s="543" t="str">
        <f t="shared" si="93"/>
        <v/>
      </c>
      <c r="GG28" s="1052"/>
      <c r="GH28" s="1053"/>
      <c r="GI28" s="1052"/>
      <c r="GJ28" s="1053"/>
      <c r="GK28" s="1521">
        <f t="shared" si="94"/>
        <v>0</v>
      </c>
      <c r="GL28" s="1519" t="e">
        <f t="shared" si="95"/>
        <v>#VALUE!</v>
      </c>
      <c r="GM28" s="1520" t="e">
        <f>IF(ABS(GK28-GL28)&gt;=#REF!,ABS(GK28-GL28),0)</f>
        <v>#VALUE!</v>
      </c>
      <c r="HA28" s="1187"/>
      <c r="HB28" s="1188"/>
      <c r="HC28" s="1188"/>
      <c r="HD28" s="1189"/>
      <c r="HE28" s="1190"/>
      <c r="HF28" s="1188"/>
      <c r="HG28" s="1188"/>
      <c r="HH28" s="1188"/>
      <c r="HI28" s="1191"/>
      <c r="HJ28" s="1188"/>
      <c r="HK28" s="1188"/>
      <c r="HL28" s="1188"/>
      <c r="HM28" s="1188"/>
      <c r="HN28" s="1188"/>
      <c r="HO28" s="1188"/>
      <c r="HP28" s="1188"/>
      <c r="HQ28" s="1191"/>
      <c r="HR28" s="1188"/>
      <c r="HS28" s="1188"/>
      <c r="HT28" s="1188"/>
      <c r="HU28" s="1188"/>
      <c r="HV28" s="1188"/>
      <c r="HW28" s="1190"/>
      <c r="HX28" s="1190"/>
      <c r="HY28" s="1190"/>
      <c r="HZ28" s="1190"/>
      <c r="IA28" s="1190"/>
      <c r="IB28" s="1190"/>
      <c r="IC28" s="1190"/>
      <c r="ID28" s="1190"/>
      <c r="IE28" s="1190"/>
      <c r="IF28" s="1192"/>
    </row>
    <row r="29" spans="1:240" ht="12.6" customHeight="1" x14ac:dyDescent="0.25">
      <c r="A29" s="1132"/>
      <c r="B29" s="1586"/>
      <c r="C29" s="1133"/>
      <c r="D29" s="1134"/>
      <c r="E29" s="1135"/>
      <c r="F29" s="1143"/>
      <c r="G29" s="1138"/>
      <c r="H29" s="1645"/>
      <c r="I29" s="1134"/>
      <c r="J29" s="1138"/>
      <c r="K29" s="1657"/>
      <c r="L29" s="1141"/>
      <c r="M29" s="1142"/>
      <c r="N29" s="1137"/>
      <c r="O29" s="1138"/>
      <c r="P29" s="1139"/>
      <c r="Q29" s="1134"/>
      <c r="R29" s="1138"/>
      <c r="S29" s="1140"/>
      <c r="T29" s="1143"/>
      <c r="U29" s="1138"/>
      <c r="V29" s="1134"/>
      <c r="W29" s="1138"/>
      <c r="X29" s="1142"/>
      <c r="Y29" s="1647"/>
      <c r="Z29" s="1648"/>
      <c r="AA29" s="1649"/>
      <c r="AB29" s="1288"/>
      <c r="AC29" s="898" t="b">
        <v>0</v>
      </c>
      <c r="AD29" s="374">
        <f t="shared" si="1"/>
        <v>0</v>
      </c>
      <c r="AE29" s="375">
        <f t="shared" si="2"/>
        <v>0</v>
      </c>
      <c r="AF29" s="375">
        <f t="shared" si="3"/>
        <v>0</v>
      </c>
      <c r="AG29" s="375">
        <f t="shared" si="4"/>
        <v>0</v>
      </c>
      <c r="AH29" s="376">
        <f t="shared" si="5"/>
        <v>0</v>
      </c>
      <c r="AI29" s="377" t="b">
        <v>0</v>
      </c>
      <c r="AJ29" s="143">
        <f t="shared" si="6"/>
        <v>0</v>
      </c>
      <c r="AK29" s="771" t="str">
        <f t="shared" si="7"/>
        <v/>
      </c>
      <c r="AL29" s="877" t="str">
        <f t="shared" si="8"/>
        <v/>
      </c>
      <c r="AM29" s="771" t="str">
        <f t="shared" si="9"/>
        <v/>
      </c>
      <c r="AN29" s="771" t="str">
        <f t="shared" si="10"/>
        <v/>
      </c>
      <c r="AO29" s="771" t="str">
        <f t="shared" si="11"/>
        <v/>
      </c>
      <c r="AP29" s="771" t="b">
        <f>IF(ISERROR(AJ29),FALSE,IF(OR(AJ29=0,ISERROR(AL29),ISERROR(AM29),ISERROR(AN29),ISERROR(AO29)),FALSE,IF(AL29&lt;&gt;"",IF(ISERROR(VLOOKUP(SUBSTITUTE(SUBSTITUTE(C29,"R",""),"A",""),#REF!,1,FALSE)),FALSE,TRUE),TRUE)))</f>
        <v>0</v>
      </c>
      <c r="AQ29" s="945" t="e">
        <f t="shared" si="12"/>
        <v>#N/A</v>
      </c>
      <c r="AR29" s="877" t="b">
        <f t="shared" si="13"/>
        <v>0</v>
      </c>
      <c r="AS29" s="945" t="e">
        <f t="shared" si="14"/>
        <v>#N/A</v>
      </c>
      <c r="AT29" s="877" t="b">
        <f t="shared" si="15"/>
        <v>0</v>
      </c>
      <c r="AU29" s="878" t="str">
        <f t="shared" si="16"/>
        <v/>
      </c>
      <c r="AV29" s="771" t="str">
        <f t="shared" si="17"/>
        <v/>
      </c>
      <c r="AW29" s="771" t="str">
        <f t="shared" si="18"/>
        <v/>
      </c>
      <c r="AX29" s="771" t="str">
        <f t="shared" si="96"/>
        <v/>
      </c>
      <c r="AY29" s="946" t="e">
        <f t="shared" si="19"/>
        <v>#REF!</v>
      </c>
      <c r="AZ29" s="795" t="str">
        <f t="shared" si="20"/>
        <v/>
      </c>
      <c r="BA29" s="496"/>
      <c r="BB29" s="616"/>
      <c r="BC29" s="1567"/>
      <c r="BD29" s="682"/>
      <c r="BE29" s="683"/>
      <c r="BF29" s="684"/>
      <c r="BG29" s="660"/>
      <c r="BH29" s="901"/>
      <c r="BI29" s="902"/>
      <c r="BJ29" s="1508"/>
      <c r="BK29" s="661"/>
      <c r="BL29" s="662"/>
      <c r="BM29" s="663"/>
      <c r="BN29" s="664"/>
      <c r="BO29" s="616" t="str">
        <f>IF(ISERROR(CU29),"",IF(CU29="","",IF(VLOOKUP(BG29,#REF!,10,FALSE)="","","X")))</f>
        <v/>
      </c>
      <c r="BP29" s="687"/>
      <c r="BQ29" s="1430" t="str">
        <f t="shared" si="21"/>
        <v/>
      </c>
      <c r="BR29" s="839"/>
      <c r="BS29" s="660"/>
      <c r="BT29" s="661"/>
      <c r="BU29" s="662"/>
      <c r="BV29" s="1508"/>
      <c r="BW29" s="661"/>
      <c r="BX29" s="662"/>
      <c r="BY29" s="663"/>
      <c r="BZ29" s="664"/>
      <c r="CA29" s="625" t="str">
        <f>IF(ISERROR(DE29),"",IF(DE29="","",IF(VLOOKUP(BS29,#REF!,10,FALSE)="","","X")))</f>
        <v/>
      </c>
      <c r="CB29" s="687"/>
      <c r="CC29" s="1430" t="str">
        <f t="shared" si="22"/>
        <v/>
      </c>
      <c r="CD29" s="839"/>
      <c r="CE29" s="665"/>
      <c r="CF29" s="685"/>
      <c r="CG29" s="686"/>
      <c r="CH29" s="534" t="str">
        <f t="shared" si="23"/>
        <v/>
      </c>
      <c r="CI29" s="535" t="str">
        <f t="shared" si="24"/>
        <v/>
      </c>
      <c r="CJ29" s="536" t="str">
        <f t="shared" si="25"/>
        <v/>
      </c>
      <c r="CK29" s="537" t="str">
        <f t="shared" si="26"/>
        <v/>
      </c>
      <c r="CL29" s="538" t="str">
        <f t="shared" si="27"/>
        <v/>
      </c>
      <c r="CM29" s="539" t="str">
        <f t="shared" si="28"/>
        <v/>
      </c>
      <c r="CN29" s="540" t="str">
        <f t="shared" si="29"/>
        <v/>
      </c>
      <c r="CO29" s="541" t="str">
        <f t="shared" si="30"/>
        <v/>
      </c>
      <c r="CP29" s="558" t="str">
        <f t="shared" si="31"/>
        <v/>
      </c>
      <c r="CQ29" s="559" t="str">
        <f t="shared" si="32"/>
        <v/>
      </c>
      <c r="CR29" s="699" t="str">
        <f t="shared" si="33"/>
        <v/>
      </c>
      <c r="CS29" s="700" t="str">
        <f t="shared" si="34"/>
        <v/>
      </c>
      <c r="CU29" s="758" t="str">
        <f>IF(BG29="","",VLOOKUP(BG29,#REF!,12,FALSE))</f>
        <v/>
      </c>
      <c r="CV29" s="756" t="str">
        <f>IF(BG29="","",IF(ISBLANK(BP29),VLOOKUP(BG29,#REF!,13,FALSE),BP29))</f>
        <v/>
      </c>
      <c r="CW29" s="756" t="str">
        <f>IF(BG29="","",IF(VLOOKUP(BG29,#REF!,5,FALSE)="","R",UPPER(VLOOKUP(BG29,#REF!,5,FALSE))))</f>
        <v/>
      </c>
      <c r="CX29" s="756" t="str">
        <f>IF(BG29="","",IF(ISBLANK(BR29),VLOOKUP(BG29,#REF!,6,FALSE),BR29))</f>
        <v/>
      </c>
      <c r="CY29" s="1203" t="str">
        <f>IF(BG29="","",IF(VLOOKUP(BG29,#REF!,10,FALSE)="","",(IF(BO29="X",VLOOKUP(BG29,#REF!,10,FALSE),VALUE(BO29))*-1)))</f>
        <v/>
      </c>
      <c r="CZ29" s="1042" t="str">
        <f>IF(BG29="","",IF(VLOOKUP(BG29,#REF!,11,FALSE)="","2",(VLOOKUP(BG29,#REF!,11,FALSE))))</f>
        <v/>
      </c>
      <c r="DA29" s="756" t="str">
        <f>IF(BG29="","",IF(VLOOKUP(BG29,#REF!,7,FALSE)="","",(VLOOKUP(BG29,#REF!,7,FALSE)*-1)))</f>
        <v/>
      </c>
      <c r="DB29" s="756" t="str">
        <f>IF(BG29="","",IF(VLOOKUP(BG29,#REF!,8,FALSE)="",VLOOKUP(AU29,$DF$2:$DN$9,6,FALSE),(VLOOKUP(BG29,#REF!,8,FALSE))))</f>
        <v/>
      </c>
      <c r="DC29" s="756" t="str">
        <f>IF(BG29="","",VLOOKUP(BG29,#REF!,9,FALSE))</f>
        <v/>
      </c>
      <c r="DD29" s="757">
        <f t="shared" si="35"/>
        <v>0</v>
      </c>
      <c r="DE29" s="758" t="str">
        <f>IF(BS29="","",VLOOKUP(BS29,#REF!,12,FALSE))</f>
        <v/>
      </c>
      <c r="DF29" s="756" t="str">
        <f>IF(BS29="","",IF(ISBLANK(CB29),VLOOKUP(BS29,#REF!,13,FALSE),CB29))</f>
        <v/>
      </c>
      <c r="DG29" s="756" t="str">
        <f>IF(BS29="","",IF(VLOOKUP(BS29,#REF!,5,FALSE)="","R",UPPER(VLOOKUP(BS29,#REF!,5,FALSE))))</f>
        <v/>
      </c>
      <c r="DH29" s="756" t="str">
        <f>IF(BS29="","",IF(ISBLANK(CD29),VLOOKUP(BS29,#REF!,6,FALSE),CD29))</f>
        <v/>
      </c>
      <c r="DI29" s="1203" t="str">
        <f>IF(BS29="","",IF(VLOOKUP(BS29,#REF!,10,FALSE)="","",(IF(CA29="X",VLOOKUP(BS29,#REF!,10,FALSE),VALUE(CA29))*-1)))</f>
        <v/>
      </c>
      <c r="DJ29" s="1042" t="str">
        <f>IF(BS29="","",IF(VLOOKUP(BS29,#REF!,11,FALSE)="","2",(VLOOKUP(BS29,#REF!,11,FALSE))))</f>
        <v/>
      </c>
      <c r="DK29" s="756" t="str">
        <f>IF(BS29="","",IF(VLOOKUP(BS29,#REF!,7,FALSE)="","",(VLOOKUP(BS29,#REF!,7,FALSE)*-1)))</f>
        <v/>
      </c>
      <c r="DL29" s="756" t="str">
        <f>IF(BS29="","",IF(VLOOKUP(BS29,#REF!,8,FALSE)="",VLOOKUP(AU29,$DF$2:$DN$9,6,FALSE),(VLOOKUP(BS29,#REF!,8,FALSE))))</f>
        <v/>
      </c>
      <c r="DM29" s="756" t="str">
        <f>IF(BS29="","",VLOOKUP(BS29,#REF!,9,FALSE))</f>
        <v/>
      </c>
      <c r="DN29" s="757">
        <f t="shared" si="36"/>
        <v>0</v>
      </c>
      <c r="DO29" s="759">
        <f t="shared" si="37"/>
        <v>0</v>
      </c>
      <c r="DP29" s="763" t="str">
        <f t="shared" si="38"/>
        <v/>
      </c>
      <c r="DQ29" s="763" t="str">
        <f t="shared" si="39"/>
        <v/>
      </c>
      <c r="DR29" s="763" t="str">
        <f t="shared" si="40"/>
        <v/>
      </c>
      <c r="DS29" s="762">
        <f t="shared" si="41"/>
        <v>0</v>
      </c>
      <c r="DT29" s="762" t="e">
        <f t="shared" si="42"/>
        <v>#REF!</v>
      </c>
      <c r="DU29" s="762" t="str">
        <f t="shared" si="43"/>
        <v/>
      </c>
      <c r="DV29" s="763" t="str">
        <f t="shared" si="44"/>
        <v/>
      </c>
      <c r="DW29" s="795" t="str">
        <f t="shared" si="45"/>
        <v/>
      </c>
      <c r="DX29" s="926">
        <f t="shared" si="46"/>
        <v>0</v>
      </c>
      <c r="DY29" s="763">
        <f t="shared" si="47"/>
        <v>0</v>
      </c>
      <c r="DZ29" s="762" t="e">
        <f t="shared" si="48"/>
        <v>#REF!</v>
      </c>
      <c r="EA29" s="762" t="str">
        <f t="shared" si="49"/>
        <v/>
      </c>
      <c r="EB29" s="763" t="str">
        <f t="shared" si="50"/>
        <v/>
      </c>
      <c r="EC29" s="795" t="str">
        <f t="shared" si="51"/>
        <v/>
      </c>
      <c r="ED29" s="926">
        <f t="shared" si="52"/>
        <v>0</v>
      </c>
      <c r="EE29" s="1210" t="str">
        <f t="shared" si="53"/>
        <v/>
      </c>
      <c r="EF29" s="1210" t="str">
        <f t="shared" si="54"/>
        <v/>
      </c>
      <c r="EG29" s="1210" t="str">
        <f t="shared" si="55"/>
        <v/>
      </c>
      <c r="EH29" s="795" t="e">
        <f t="shared" si="56"/>
        <v>#N/A</v>
      </c>
      <c r="EI29" s="795" t="e">
        <f t="shared" si="57"/>
        <v>#N/A</v>
      </c>
      <c r="EJ29" s="763" t="str">
        <f t="shared" si="58"/>
        <v/>
      </c>
      <c r="EK29" s="763" t="str">
        <f t="shared" si="58"/>
        <v/>
      </c>
      <c r="EL29" s="1210" t="str">
        <f t="shared" si="59"/>
        <v/>
      </c>
      <c r="EM29" s="763" t="str">
        <f t="shared" si="60"/>
        <v/>
      </c>
      <c r="EN29" s="763" t="str">
        <f t="shared" si="61"/>
        <v/>
      </c>
      <c r="EO29" s="795" t="e">
        <f t="shared" si="62"/>
        <v>#N/A</v>
      </c>
      <c r="EP29" s="795" t="e">
        <f t="shared" si="63"/>
        <v>#N/A</v>
      </c>
      <c r="EQ29" s="1210" t="str">
        <f t="shared" si="64"/>
        <v/>
      </c>
      <c r="ER29" s="763" t="str">
        <f t="shared" si="64"/>
        <v/>
      </c>
      <c r="ES29" s="763" t="str">
        <f t="shared" si="65"/>
        <v/>
      </c>
      <c r="ET29" s="763" t="str">
        <f t="shared" si="66"/>
        <v/>
      </c>
      <c r="EU29" s="770" t="str">
        <f t="shared" si="67"/>
        <v/>
      </c>
      <c r="EV29" s="765" t="str">
        <f t="shared" si="68"/>
        <v/>
      </c>
      <c r="EW29" s="770"/>
      <c r="EX29" s="770" t="str">
        <f>IF(AND(CU29="G", ISBLANK(BK29), ISBLANK(BL29)),VLOOKUP(MIN(BH29:BI29),#REF!,2),IF(OR(CU29="B",CU29="G"),MIN(BK29:BL29),""))</f>
        <v/>
      </c>
      <c r="EY29" s="770" t="str">
        <f>IF(AND(CU29="G", ISBLANK(BK29), ISBLANK(BL29)),VLOOKUP(MAX(BH29:BI29),#REF!,2),IF(OR(CU29="B",CU29="G"),MAX(BK29:BL29),""))</f>
        <v/>
      </c>
      <c r="EZ29" s="770" t="str">
        <f t="shared" si="69"/>
        <v/>
      </c>
      <c r="FA29" s="770" t="str">
        <f>IF(AND(DE29="G", ISBLANK(BW29), ISBLANK(BX29)),VLOOKUP(MIN(BT29:BU29),#REF!,2),IF(OR(DE29="B", DE29="G"),MIN(BW29:BX29),""))</f>
        <v/>
      </c>
      <c r="FB29" s="770" t="str">
        <f>IF(AND(DE29="G", ISBLANK(BW29), ISBLANK(BX29)),VLOOKUP(MAX(BT29:BU29),#REF!,2),IF(OR(DE29="B", DE29="G"),MAX(BW29:BX29),""))</f>
        <v/>
      </c>
      <c r="FC29" s="770" t="str">
        <f t="shared" si="70"/>
        <v/>
      </c>
      <c r="FD29" s="762">
        <f t="shared" si="97"/>
        <v>0</v>
      </c>
      <c r="FE29" s="762">
        <f t="shared" si="71"/>
        <v>0</v>
      </c>
      <c r="FF29" s="762">
        <f t="shared" si="72"/>
        <v>0</v>
      </c>
      <c r="FG29" s="762" t="str">
        <f t="shared" si="73"/>
        <v/>
      </c>
      <c r="FH29" s="763" t="str">
        <f t="shared" si="74"/>
        <v/>
      </c>
      <c r="FI29" s="762">
        <f t="shared" si="98"/>
        <v>0</v>
      </c>
      <c r="FJ29" s="762">
        <f t="shared" si="75"/>
        <v>0</v>
      </c>
      <c r="FK29" s="762">
        <f t="shared" si="76"/>
        <v>0</v>
      </c>
      <c r="FL29" s="762" t="str">
        <f t="shared" si="77"/>
        <v/>
      </c>
      <c r="FM29" s="763" t="str">
        <f t="shared" si="78"/>
        <v/>
      </c>
      <c r="FN29" s="763" t="e">
        <f t="shared" si="79"/>
        <v>#VALUE!</v>
      </c>
      <c r="FO29" s="872" t="e">
        <f t="shared" si="80"/>
        <v>#VALUE!</v>
      </c>
      <c r="FP29" s="872" t="e">
        <f t="shared" si="81"/>
        <v>#VALUE!</v>
      </c>
      <c r="FQ29" s="771" t="e">
        <f t="shared" si="82"/>
        <v>#VALUE!</v>
      </c>
      <c r="FR29" s="772" t="e">
        <f t="shared" si="83"/>
        <v>#VALUE!</v>
      </c>
      <c r="FS29" s="773" t="str">
        <f t="shared" si="84"/>
        <v/>
      </c>
      <c r="FT29" s="774" t="str">
        <f t="shared" si="85"/>
        <v/>
      </c>
      <c r="FU29" s="809">
        <f t="shared" si="86"/>
        <v>0</v>
      </c>
      <c r="FV29" s="810">
        <f t="shared" si="87"/>
        <v>0</v>
      </c>
      <c r="GA29" s="542" t="str">
        <f t="shared" si="88"/>
        <v/>
      </c>
      <c r="GB29" s="562" t="str">
        <f t="shared" si="89"/>
        <v/>
      </c>
      <c r="GC29" s="564" t="str">
        <f t="shared" si="90"/>
        <v/>
      </c>
      <c r="GD29" s="565" t="str">
        <f t="shared" si="91"/>
        <v/>
      </c>
      <c r="GE29" s="563" t="str">
        <f t="shared" si="92"/>
        <v/>
      </c>
      <c r="GF29" s="543" t="str">
        <f t="shared" si="93"/>
        <v/>
      </c>
      <c r="GG29" s="1052"/>
      <c r="GH29" s="1053"/>
      <c r="GI29" s="1052"/>
      <c r="GJ29" s="1053"/>
      <c r="GK29" s="1521">
        <f t="shared" si="94"/>
        <v>0</v>
      </c>
      <c r="GL29" s="1519" t="e">
        <f t="shared" si="95"/>
        <v>#VALUE!</v>
      </c>
      <c r="GM29" s="1520" t="e">
        <f>IF(ABS(GK29-GL29)&gt;=#REF!,ABS(GK29-GL29),0)</f>
        <v>#VALUE!</v>
      </c>
      <c r="HA29" s="1187"/>
      <c r="HB29" s="1188"/>
      <c r="HC29" s="1188"/>
      <c r="HD29" s="1189"/>
      <c r="HE29" s="1190"/>
      <c r="HF29" s="1188"/>
      <c r="HG29" s="1188"/>
      <c r="HH29" s="1188"/>
      <c r="HI29" s="1191"/>
      <c r="HJ29" s="1188"/>
      <c r="HK29" s="1188"/>
      <c r="HL29" s="1188"/>
      <c r="HM29" s="1188"/>
      <c r="HN29" s="1188"/>
      <c r="HO29" s="1188"/>
      <c r="HP29" s="1188"/>
      <c r="HQ29" s="1191"/>
      <c r="HR29" s="1188"/>
      <c r="HS29" s="1188"/>
      <c r="HT29" s="1188"/>
      <c r="HU29" s="1188"/>
      <c r="HV29" s="1188"/>
      <c r="HW29" s="1190"/>
      <c r="HX29" s="1190"/>
      <c r="HY29" s="1190"/>
      <c r="HZ29" s="1190"/>
      <c r="IA29" s="1190"/>
      <c r="IB29" s="1190"/>
      <c r="IC29" s="1190"/>
      <c r="ID29" s="1190"/>
      <c r="IE29" s="1190"/>
      <c r="IF29" s="1192"/>
    </row>
    <row r="30" spans="1:240" ht="12.6" customHeight="1" x14ac:dyDescent="0.25">
      <c r="A30" s="1132"/>
      <c r="B30" s="1586"/>
      <c r="C30" s="1133"/>
      <c r="D30" s="1134"/>
      <c r="E30" s="1135"/>
      <c r="F30" s="1143"/>
      <c r="G30" s="1138"/>
      <c r="H30" s="1645"/>
      <c r="I30" s="1134"/>
      <c r="J30" s="1138"/>
      <c r="K30" s="1657"/>
      <c r="L30" s="1141"/>
      <c r="M30" s="1142"/>
      <c r="N30" s="1137"/>
      <c r="O30" s="1138"/>
      <c r="P30" s="1139"/>
      <c r="Q30" s="1134"/>
      <c r="R30" s="1138"/>
      <c r="S30" s="1140"/>
      <c r="T30" s="1143"/>
      <c r="U30" s="1138"/>
      <c r="V30" s="1134"/>
      <c r="W30" s="1138"/>
      <c r="X30" s="1142"/>
      <c r="Y30" s="1647"/>
      <c r="Z30" s="1648"/>
      <c r="AA30" s="1649"/>
      <c r="AB30" s="1288"/>
      <c r="AC30" s="898" t="b">
        <v>0</v>
      </c>
      <c r="AD30" s="374">
        <f t="shared" si="1"/>
        <v>0</v>
      </c>
      <c r="AE30" s="375">
        <f t="shared" si="2"/>
        <v>0</v>
      </c>
      <c r="AF30" s="375">
        <f t="shared" si="3"/>
        <v>0</v>
      </c>
      <c r="AG30" s="375">
        <f t="shared" si="4"/>
        <v>0</v>
      </c>
      <c r="AH30" s="376">
        <f t="shared" si="5"/>
        <v>0</v>
      </c>
      <c r="AI30" s="377" t="b">
        <v>0</v>
      </c>
      <c r="AJ30" s="143">
        <f t="shared" si="6"/>
        <v>0</v>
      </c>
      <c r="AK30" s="771" t="str">
        <f t="shared" si="7"/>
        <v/>
      </c>
      <c r="AL30" s="877" t="str">
        <f t="shared" si="8"/>
        <v/>
      </c>
      <c r="AM30" s="771" t="str">
        <f t="shared" si="9"/>
        <v/>
      </c>
      <c r="AN30" s="771" t="str">
        <f t="shared" si="10"/>
        <v/>
      </c>
      <c r="AO30" s="771" t="str">
        <f t="shared" si="11"/>
        <v/>
      </c>
      <c r="AP30" s="771" t="b">
        <f>IF(ISERROR(AJ30),FALSE,IF(OR(AJ30=0,ISERROR(AL30),ISERROR(AM30),ISERROR(AN30),ISERROR(AO30)),FALSE,IF(AL30&lt;&gt;"",IF(ISERROR(VLOOKUP(SUBSTITUTE(SUBSTITUTE(C30,"R",""),"A",""),#REF!,1,FALSE)),FALSE,TRUE),TRUE)))</f>
        <v>0</v>
      </c>
      <c r="AQ30" s="945" t="e">
        <f t="shared" si="12"/>
        <v>#N/A</v>
      </c>
      <c r="AR30" s="877" t="b">
        <f t="shared" si="13"/>
        <v>0</v>
      </c>
      <c r="AS30" s="945" t="e">
        <f t="shared" si="14"/>
        <v>#N/A</v>
      </c>
      <c r="AT30" s="877" t="b">
        <f t="shared" si="15"/>
        <v>0</v>
      </c>
      <c r="AU30" s="878" t="str">
        <f t="shared" si="16"/>
        <v/>
      </c>
      <c r="AV30" s="771" t="str">
        <f t="shared" si="17"/>
        <v/>
      </c>
      <c r="AW30" s="771" t="str">
        <f t="shared" si="18"/>
        <v/>
      </c>
      <c r="AX30" s="771" t="str">
        <f t="shared" si="96"/>
        <v/>
      </c>
      <c r="AY30" s="946" t="e">
        <f t="shared" si="19"/>
        <v>#REF!</v>
      </c>
      <c r="AZ30" s="795" t="str">
        <f t="shared" si="20"/>
        <v/>
      </c>
      <c r="BA30" s="496"/>
      <c r="BB30" s="616"/>
      <c r="BC30" s="1567"/>
      <c r="BD30" s="682"/>
      <c r="BE30" s="683"/>
      <c r="BF30" s="684"/>
      <c r="BG30" s="660"/>
      <c r="BH30" s="901"/>
      <c r="BI30" s="902"/>
      <c r="BJ30" s="1508"/>
      <c r="BK30" s="661"/>
      <c r="BL30" s="662"/>
      <c r="BM30" s="663"/>
      <c r="BN30" s="664"/>
      <c r="BO30" s="616" t="str">
        <f>IF(ISERROR(CU30),"",IF(CU30="","",IF(VLOOKUP(BG30,#REF!,10,FALSE)="","","X")))</f>
        <v/>
      </c>
      <c r="BP30" s="687"/>
      <c r="BQ30" s="1430" t="str">
        <f t="shared" si="21"/>
        <v/>
      </c>
      <c r="BR30" s="839"/>
      <c r="BS30" s="660"/>
      <c r="BT30" s="661"/>
      <c r="BU30" s="662"/>
      <c r="BV30" s="1508"/>
      <c r="BW30" s="661"/>
      <c r="BX30" s="662"/>
      <c r="BY30" s="663"/>
      <c r="BZ30" s="664"/>
      <c r="CA30" s="625" t="str">
        <f>IF(ISERROR(DE30),"",IF(DE30="","",IF(VLOOKUP(BS30,#REF!,10,FALSE)="","","X")))</f>
        <v/>
      </c>
      <c r="CB30" s="687"/>
      <c r="CC30" s="1430" t="str">
        <f t="shared" si="22"/>
        <v/>
      </c>
      <c r="CD30" s="839"/>
      <c r="CE30" s="665"/>
      <c r="CF30" s="685"/>
      <c r="CG30" s="686"/>
      <c r="CH30" s="534" t="str">
        <f t="shared" si="23"/>
        <v/>
      </c>
      <c r="CI30" s="535" t="str">
        <f t="shared" si="24"/>
        <v/>
      </c>
      <c r="CJ30" s="536" t="str">
        <f t="shared" si="25"/>
        <v/>
      </c>
      <c r="CK30" s="537" t="str">
        <f t="shared" si="26"/>
        <v/>
      </c>
      <c r="CL30" s="538" t="str">
        <f t="shared" si="27"/>
        <v/>
      </c>
      <c r="CM30" s="539" t="str">
        <f t="shared" si="28"/>
        <v/>
      </c>
      <c r="CN30" s="540" t="str">
        <f t="shared" si="29"/>
        <v/>
      </c>
      <c r="CO30" s="541" t="str">
        <f t="shared" si="30"/>
        <v/>
      </c>
      <c r="CP30" s="558" t="str">
        <f t="shared" si="31"/>
        <v/>
      </c>
      <c r="CQ30" s="559" t="str">
        <f t="shared" si="32"/>
        <v/>
      </c>
      <c r="CR30" s="699" t="str">
        <f t="shared" si="33"/>
        <v/>
      </c>
      <c r="CS30" s="700" t="str">
        <f t="shared" si="34"/>
        <v/>
      </c>
      <c r="CU30" s="758" t="str">
        <f>IF(BG30="","",VLOOKUP(BG30,#REF!,12,FALSE))</f>
        <v/>
      </c>
      <c r="CV30" s="756" t="str">
        <f>IF(BG30="","",IF(ISBLANK(BP30),VLOOKUP(BG30,#REF!,13,FALSE),BP30))</f>
        <v/>
      </c>
      <c r="CW30" s="756" t="str">
        <f>IF(BG30="","",IF(VLOOKUP(BG30,#REF!,5,FALSE)="","R",UPPER(VLOOKUP(BG30,#REF!,5,FALSE))))</f>
        <v/>
      </c>
      <c r="CX30" s="756" t="str">
        <f>IF(BG30="","",IF(ISBLANK(BR30),VLOOKUP(BG30,#REF!,6,FALSE),BR30))</f>
        <v/>
      </c>
      <c r="CY30" s="1203" t="str">
        <f>IF(BG30="","",IF(VLOOKUP(BG30,#REF!,10,FALSE)="","",(IF(BO30="X",VLOOKUP(BG30,#REF!,10,FALSE),VALUE(BO30))*-1)))</f>
        <v/>
      </c>
      <c r="CZ30" s="1042" t="str">
        <f>IF(BG30="","",IF(VLOOKUP(BG30,#REF!,11,FALSE)="","2",(VLOOKUP(BG30,#REF!,11,FALSE))))</f>
        <v/>
      </c>
      <c r="DA30" s="756" t="str">
        <f>IF(BG30="","",IF(VLOOKUP(BG30,#REF!,7,FALSE)="","",(VLOOKUP(BG30,#REF!,7,FALSE)*-1)))</f>
        <v/>
      </c>
      <c r="DB30" s="756" t="str">
        <f>IF(BG30="","",IF(VLOOKUP(BG30,#REF!,8,FALSE)="",VLOOKUP(AU30,$DF$2:$DN$9,6,FALSE),(VLOOKUP(BG30,#REF!,8,FALSE))))</f>
        <v/>
      </c>
      <c r="DC30" s="756" t="str">
        <f>IF(BG30="","",VLOOKUP(BG30,#REF!,9,FALSE))</f>
        <v/>
      </c>
      <c r="DD30" s="757">
        <f t="shared" si="35"/>
        <v>0</v>
      </c>
      <c r="DE30" s="758" t="str">
        <f>IF(BS30="","",VLOOKUP(BS30,#REF!,12,FALSE))</f>
        <v/>
      </c>
      <c r="DF30" s="756" t="str">
        <f>IF(BS30="","",IF(ISBLANK(CB30),VLOOKUP(BS30,#REF!,13,FALSE),CB30))</f>
        <v/>
      </c>
      <c r="DG30" s="756" t="str">
        <f>IF(BS30="","",IF(VLOOKUP(BS30,#REF!,5,FALSE)="","R",UPPER(VLOOKUP(BS30,#REF!,5,FALSE))))</f>
        <v/>
      </c>
      <c r="DH30" s="756" t="str">
        <f>IF(BS30="","",IF(ISBLANK(CD30),VLOOKUP(BS30,#REF!,6,FALSE),CD30))</f>
        <v/>
      </c>
      <c r="DI30" s="1203" t="str">
        <f>IF(BS30="","",IF(VLOOKUP(BS30,#REF!,10,FALSE)="","",(IF(CA30="X",VLOOKUP(BS30,#REF!,10,FALSE),VALUE(CA30))*-1)))</f>
        <v/>
      </c>
      <c r="DJ30" s="1042" t="str">
        <f>IF(BS30="","",IF(VLOOKUP(BS30,#REF!,11,FALSE)="","2",(VLOOKUP(BS30,#REF!,11,FALSE))))</f>
        <v/>
      </c>
      <c r="DK30" s="756" t="str">
        <f>IF(BS30="","",IF(VLOOKUP(BS30,#REF!,7,FALSE)="","",(VLOOKUP(BS30,#REF!,7,FALSE)*-1)))</f>
        <v/>
      </c>
      <c r="DL30" s="756" t="str">
        <f>IF(BS30="","",IF(VLOOKUP(BS30,#REF!,8,FALSE)="",VLOOKUP(AU30,$DF$2:$DN$9,6,FALSE),(VLOOKUP(BS30,#REF!,8,FALSE))))</f>
        <v/>
      </c>
      <c r="DM30" s="756" t="str">
        <f>IF(BS30="","",VLOOKUP(BS30,#REF!,9,FALSE))</f>
        <v/>
      </c>
      <c r="DN30" s="757">
        <f t="shared" si="36"/>
        <v>0</v>
      </c>
      <c r="DO30" s="759">
        <f t="shared" si="37"/>
        <v>0</v>
      </c>
      <c r="DP30" s="763" t="str">
        <f t="shared" si="38"/>
        <v/>
      </c>
      <c r="DQ30" s="763" t="str">
        <f t="shared" si="39"/>
        <v/>
      </c>
      <c r="DR30" s="763" t="str">
        <f t="shared" si="40"/>
        <v/>
      </c>
      <c r="DS30" s="762">
        <f t="shared" si="41"/>
        <v>0</v>
      </c>
      <c r="DT30" s="762" t="e">
        <f t="shared" si="42"/>
        <v>#REF!</v>
      </c>
      <c r="DU30" s="762" t="str">
        <f t="shared" si="43"/>
        <v/>
      </c>
      <c r="DV30" s="763" t="str">
        <f t="shared" si="44"/>
        <v/>
      </c>
      <c r="DW30" s="795" t="str">
        <f t="shared" si="45"/>
        <v/>
      </c>
      <c r="DX30" s="926">
        <f t="shared" si="46"/>
        <v>0</v>
      </c>
      <c r="DY30" s="763">
        <f t="shared" si="47"/>
        <v>0</v>
      </c>
      <c r="DZ30" s="762" t="e">
        <f t="shared" si="48"/>
        <v>#REF!</v>
      </c>
      <c r="EA30" s="762" t="str">
        <f t="shared" si="49"/>
        <v/>
      </c>
      <c r="EB30" s="763" t="str">
        <f t="shared" si="50"/>
        <v/>
      </c>
      <c r="EC30" s="795" t="str">
        <f t="shared" si="51"/>
        <v/>
      </c>
      <c r="ED30" s="926">
        <f t="shared" si="52"/>
        <v>0</v>
      </c>
      <c r="EE30" s="1210" t="str">
        <f t="shared" si="53"/>
        <v/>
      </c>
      <c r="EF30" s="1210" t="str">
        <f t="shared" si="54"/>
        <v/>
      </c>
      <c r="EG30" s="1210" t="str">
        <f t="shared" si="55"/>
        <v/>
      </c>
      <c r="EH30" s="795" t="e">
        <f t="shared" si="56"/>
        <v>#N/A</v>
      </c>
      <c r="EI30" s="795" t="e">
        <f t="shared" si="57"/>
        <v>#N/A</v>
      </c>
      <c r="EJ30" s="763" t="str">
        <f t="shared" si="58"/>
        <v/>
      </c>
      <c r="EK30" s="763" t="str">
        <f t="shared" si="58"/>
        <v/>
      </c>
      <c r="EL30" s="1210" t="str">
        <f t="shared" si="59"/>
        <v/>
      </c>
      <c r="EM30" s="763" t="str">
        <f t="shared" si="60"/>
        <v/>
      </c>
      <c r="EN30" s="763" t="str">
        <f t="shared" si="61"/>
        <v/>
      </c>
      <c r="EO30" s="795" t="e">
        <f t="shared" si="62"/>
        <v>#N/A</v>
      </c>
      <c r="EP30" s="795" t="e">
        <f t="shared" si="63"/>
        <v>#N/A</v>
      </c>
      <c r="EQ30" s="1210" t="str">
        <f t="shared" si="64"/>
        <v/>
      </c>
      <c r="ER30" s="763" t="str">
        <f t="shared" si="64"/>
        <v/>
      </c>
      <c r="ES30" s="763" t="str">
        <f t="shared" si="65"/>
        <v/>
      </c>
      <c r="ET30" s="763" t="str">
        <f t="shared" si="66"/>
        <v/>
      </c>
      <c r="EU30" s="770" t="str">
        <f t="shared" si="67"/>
        <v/>
      </c>
      <c r="EV30" s="765" t="str">
        <f t="shared" si="68"/>
        <v/>
      </c>
      <c r="EW30" s="770"/>
      <c r="EX30" s="770" t="str">
        <f>IF(AND(CU30="G", ISBLANK(BK30), ISBLANK(BL30)),VLOOKUP(MIN(BH30:BI30),#REF!,2),IF(OR(CU30="B",CU30="G"),MIN(BK30:BL30),""))</f>
        <v/>
      </c>
      <c r="EY30" s="770" t="str">
        <f>IF(AND(CU30="G", ISBLANK(BK30), ISBLANK(BL30)),VLOOKUP(MAX(BH30:BI30),#REF!,2),IF(OR(CU30="B",CU30="G"),MAX(BK30:BL30),""))</f>
        <v/>
      </c>
      <c r="EZ30" s="770" t="str">
        <f t="shared" si="69"/>
        <v/>
      </c>
      <c r="FA30" s="770" t="str">
        <f>IF(AND(DE30="G", ISBLANK(BW30), ISBLANK(BX30)),VLOOKUP(MIN(BT30:BU30),#REF!,2),IF(OR(DE30="B", DE30="G"),MIN(BW30:BX30),""))</f>
        <v/>
      </c>
      <c r="FB30" s="770" t="str">
        <f>IF(AND(DE30="G", ISBLANK(BW30), ISBLANK(BX30)),VLOOKUP(MAX(BT30:BU30),#REF!,2),IF(OR(DE30="B", DE30="G"),MAX(BW30:BX30),""))</f>
        <v/>
      </c>
      <c r="FC30" s="770" t="str">
        <f t="shared" si="70"/>
        <v/>
      </c>
      <c r="FD30" s="762">
        <f t="shared" si="97"/>
        <v>0</v>
      </c>
      <c r="FE30" s="762">
        <f t="shared" si="71"/>
        <v>0</v>
      </c>
      <c r="FF30" s="762">
        <f t="shared" si="72"/>
        <v>0</v>
      </c>
      <c r="FG30" s="762" t="str">
        <f t="shared" si="73"/>
        <v/>
      </c>
      <c r="FH30" s="763" t="str">
        <f t="shared" si="74"/>
        <v/>
      </c>
      <c r="FI30" s="762">
        <f t="shared" si="98"/>
        <v>0</v>
      </c>
      <c r="FJ30" s="762">
        <f t="shared" si="75"/>
        <v>0</v>
      </c>
      <c r="FK30" s="762">
        <f t="shared" si="76"/>
        <v>0</v>
      </c>
      <c r="FL30" s="762" t="str">
        <f t="shared" si="77"/>
        <v/>
      </c>
      <c r="FM30" s="763" t="str">
        <f t="shared" si="78"/>
        <v/>
      </c>
      <c r="FN30" s="763" t="e">
        <f t="shared" si="79"/>
        <v>#VALUE!</v>
      </c>
      <c r="FO30" s="872" t="e">
        <f t="shared" si="80"/>
        <v>#VALUE!</v>
      </c>
      <c r="FP30" s="872" t="e">
        <f t="shared" si="81"/>
        <v>#VALUE!</v>
      </c>
      <c r="FQ30" s="771" t="e">
        <f t="shared" si="82"/>
        <v>#VALUE!</v>
      </c>
      <c r="FR30" s="772" t="e">
        <f t="shared" si="83"/>
        <v>#VALUE!</v>
      </c>
      <c r="FS30" s="773" t="str">
        <f t="shared" si="84"/>
        <v/>
      </c>
      <c r="FT30" s="774" t="str">
        <f t="shared" si="85"/>
        <v/>
      </c>
      <c r="FU30" s="809">
        <f t="shared" si="86"/>
        <v>0</v>
      </c>
      <c r="FV30" s="810">
        <f t="shared" si="87"/>
        <v>0</v>
      </c>
      <c r="GA30" s="542" t="str">
        <f t="shared" si="88"/>
        <v/>
      </c>
      <c r="GB30" s="562" t="str">
        <f t="shared" si="89"/>
        <v/>
      </c>
      <c r="GC30" s="564" t="str">
        <f t="shared" si="90"/>
        <v/>
      </c>
      <c r="GD30" s="565" t="str">
        <f t="shared" si="91"/>
        <v/>
      </c>
      <c r="GE30" s="563" t="str">
        <f t="shared" si="92"/>
        <v/>
      </c>
      <c r="GF30" s="543" t="str">
        <f t="shared" si="93"/>
        <v/>
      </c>
      <c r="GG30" s="1052"/>
      <c r="GH30" s="1053"/>
      <c r="GI30" s="1052"/>
      <c r="GJ30" s="1053"/>
      <c r="GK30" s="1521">
        <f t="shared" si="94"/>
        <v>0</v>
      </c>
      <c r="GL30" s="1519" t="e">
        <f t="shared" si="95"/>
        <v>#VALUE!</v>
      </c>
      <c r="GM30" s="1520" t="e">
        <f>IF(ABS(GK30-GL30)&gt;=#REF!,ABS(GK30-GL30),0)</f>
        <v>#VALUE!</v>
      </c>
      <c r="HA30" s="1187"/>
      <c r="HB30" s="1188"/>
      <c r="HC30" s="1188"/>
      <c r="HD30" s="1189"/>
      <c r="HE30" s="1190"/>
      <c r="HF30" s="1188"/>
      <c r="HG30" s="1188"/>
      <c r="HH30" s="1188"/>
      <c r="HI30" s="1191"/>
      <c r="HJ30" s="1188"/>
      <c r="HK30" s="1188"/>
      <c r="HL30" s="1188"/>
      <c r="HM30" s="1188"/>
      <c r="HN30" s="1188"/>
      <c r="HO30" s="1188"/>
      <c r="HP30" s="1188"/>
      <c r="HQ30" s="1191"/>
      <c r="HR30" s="1188"/>
      <c r="HS30" s="1188"/>
      <c r="HT30" s="1188"/>
      <c r="HU30" s="1188"/>
      <c r="HV30" s="1188"/>
      <c r="HW30" s="1190"/>
      <c r="HX30" s="1190"/>
      <c r="HY30" s="1190"/>
      <c r="HZ30" s="1190"/>
      <c r="IA30" s="1190"/>
      <c r="IB30" s="1190"/>
      <c r="IC30" s="1190"/>
      <c r="ID30" s="1190"/>
      <c r="IE30" s="1190"/>
      <c r="IF30" s="1192"/>
    </row>
    <row r="31" spans="1:240" ht="12.6" customHeight="1" x14ac:dyDescent="0.25">
      <c r="A31" s="1132"/>
      <c r="B31" s="1586"/>
      <c r="C31" s="1133"/>
      <c r="D31" s="1134"/>
      <c r="E31" s="1135"/>
      <c r="F31" s="1143"/>
      <c r="G31" s="1138"/>
      <c r="H31" s="1645"/>
      <c r="I31" s="1134"/>
      <c r="J31" s="1138"/>
      <c r="K31" s="1657"/>
      <c r="L31" s="1141"/>
      <c r="M31" s="1142"/>
      <c r="N31" s="1137"/>
      <c r="O31" s="1138"/>
      <c r="P31" s="1139"/>
      <c r="Q31" s="1134"/>
      <c r="R31" s="1138"/>
      <c r="S31" s="1140"/>
      <c r="T31" s="1143"/>
      <c r="U31" s="1138"/>
      <c r="V31" s="1134"/>
      <c r="W31" s="1138"/>
      <c r="X31" s="1142"/>
      <c r="Y31" s="1647"/>
      <c r="Z31" s="1648"/>
      <c r="AA31" s="1649"/>
      <c r="AB31" s="1288"/>
      <c r="AC31" s="898" t="b">
        <v>0</v>
      </c>
      <c r="AD31" s="374">
        <f t="shared" si="1"/>
        <v>0</v>
      </c>
      <c r="AE31" s="375">
        <f t="shared" si="2"/>
        <v>0</v>
      </c>
      <c r="AF31" s="375">
        <f t="shared" si="3"/>
        <v>0</v>
      </c>
      <c r="AG31" s="375">
        <f t="shared" si="4"/>
        <v>0</v>
      </c>
      <c r="AH31" s="376">
        <f t="shared" si="5"/>
        <v>0</v>
      </c>
      <c r="AI31" s="377" t="b">
        <v>0</v>
      </c>
      <c r="AJ31" s="143">
        <f t="shared" si="6"/>
        <v>0</v>
      </c>
      <c r="AK31" s="771" t="str">
        <f t="shared" si="7"/>
        <v/>
      </c>
      <c r="AL31" s="877" t="str">
        <f t="shared" si="8"/>
        <v/>
      </c>
      <c r="AM31" s="771" t="str">
        <f t="shared" si="9"/>
        <v/>
      </c>
      <c r="AN31" s="771" t="str">
        <f t="shared" si="10"/>
        <v/>
      </c>
      <c r="AO31" s="771" t="str">
        <f t="shared" si="11"/>
        <v/>
      </c>
      <c r="AP31" s="771" t="b">
        <f>IF(ISERROR(AJ31),FALSE,IF(OR(AJ31=0,ISERROR(AL31),ISERROR(AM31),ISERROR(AN31),ISERROR(AO31)),FALSE,IF(AL31&lt;&gt;"",IF(ISERROR(VLOOKUP(SUBSTITUTE(SUBSTITUTE(C31,"R",""),"A",""),#REF!,1,FALSE)),FALSE,TRUE),TRUE)))</f>
        <v>0</v>
      </c>
      <c r="AQ31" s="945" t="e">
        <f t="shared" si="12"/>
        <v>#N/A</v>
      </c>
      <c r="AR31" s="877" t="b">
        <f t="shared" si="13"/>
        <v>0</v>
      </c>
      <c r="AS31" s="945" t="e">
        <f t="shared" si="14"/>
        <v>#N/A</v>
      </c>
      <c r="AT31" s="877" t="b">
        <f t="shared" si="15"/>
        <v>0</v>
      </c>
      <c r="AU31" s="878" t="str">
        <f t="shared" si="16"/>
        <v/>
      </c>
      <c r="AV31" s="771" t="str">
        <f t="shared" si="17"/>
        <v/>
      </c>
      <c r="AW31" s="771" t="str">
        <f t="shared" si="18"/>
        <v/>
      </c>
      <c r="AX31" s="771" t="str">
        <f t="shared" si="96"/>
        <v/>
      </c>
      <c r="AY31" s="946" t="e">
        <f t="shared" si="19"/>
        <v>#REF!</v>
      </c>
      <c r="AZ31" s="795" t="str">
        <f t="shared" si="20"/>
        <v/>
      </c>
      <c r="BA31" s="496"/>
      <c r="BB31" s="616"/>
      <c r="BC31" s="1567"/>
      <c r="BD31" s="682"/>
      <c r="BE31" s="683"/>
      <c r="BF31" s="684"/>
      <c r="BG31" s="660"/>
      <c r="BH31" s="901"/>
      <c r="BI31" s="902"/>
      <c r="BJ31" s="1508"/>
      <c r="BK31" s="661"/>
      <c r="BL31" s="662"/>
      <c r="BM31" s="663"/>
      <c r="BN31" s="664"/>
      <c r="BO31" s="616" t="str">
        <f>IF(ISERROR(CU31),"",IF(CU31="","",IF(VLOOKUP(BG31,#REF!,10,FALSE)="","","X")))</f>
        <v/>
      </c>
      <c r="BP31" s="687"/>
      <c r="BQ31" s="1430" t="str">
        <f t="shared" si="21"/>
        <v/>
      </c>
      <c r="BR31" s="839"/>
      <c r="BS31" s="660"/>
      <c r="BT31" s="661"/>
      <c r="BU31" s="662"/>
      <c r="BV31" s="1508"/>
      <c r="BW31" s="661"/>
      <c r="BX31" s="662"/>
      <c r="BY31" s="663"/>
      <c r="BZ31" s="664"/>
      <c r="CA31" s="625" t="str">
        <f>IF(ISERROR(DE31),"",IF(DE31="","",IF(VLOOKUP(BS31,#REF!,10,FALSE)="","","X")))</f>
        <v/>
      </c>
      <c r="CB31" s="687"/>
      <c r="CC31" s="1430" t="str">
        <f t="shared" si="22"/>
        <v/>
      </c>
      <c r="CD31" s="839"/>
      <c r="CE31" s="665"/>
      <c r="CF31" s="685"/>
      <c r="CG31" s="686"/>
      <c r="CH31" s="534" t="str">
        <f t="shared" si="23"/>
        <v/>
      </c>
      <c r="CI31" s="535" t="str">
        <f t="shared" si="24"/>
        <v/>
      </c>
      <c r="CJ31" s="536" t="str">
        <f t="shared" si="25"/>
        <v/>
      </c>
      <c r="CK31" s="537" t="str">
        <f t="shared" si="26"/>
        <v/>
      </c>
      <c r="CL31" s="538" t="str">
        <f t="shared" si="27"/>
        <v/>
      </c>
      <c r="CM31" s="539" t="str">
        <f t="shared" si="28"/>
        <v/>
      </c>
      <c r="CN31" s="540" t="str">
        <f t="shared" si="29"/>
        <v/>
      </c>
      <c r="CO31" s="541" t="str">
        <f t="shared" si="30"/>
        <v/>
      </c>
      <c r="CP31" s="558" t="str">
        <f t="shared" si="31"/>
        <v/>
      </c>
      <c r="CQ31" s="559" t="str">
        <f t="shared" si="32"/>
        <v/>
      </c>
      <c r="CR31" s="699" t="str">
        <f t="shared" si="33"/>
        <v/>
      </c>
      <c r="CS31" s="700" t="str">
        <f t="shared" si="34"/>
        <v/>
      </c>
      <c r="CU31" s="758" t="str">
        <f>IF(BG31="","",VLOOKUP(BG31,#REF!,12,FALSE))</f>
        <v/>
      </c>
      <c r="CV31" s="756" t="str">
        <f>IF(BG31="","",IF(ISBLANK(BP31),VLOOKUP(BG31,#REF!,13,FALSE),BP31))</f>
        <v/>
      </c>
      <c r="CW31" s="756" t="str">
        <f>IF(BG31="","",IF(VLOOKUP(BG31,#REF!,5,FALSE)="","R",UPPER(VLOOKUP(BG31,#REF!,5,FALSE))))</f>
        <v/>
      </c>
      <c r="CX31" s="756" t="str">
        <f>IF(BG31="","",IF(ISBLANK(BR31),VLOOKUP(BG31,#REF!,6,FALSE),BR31))</f>
        <v/>
      </c>
      <c r="CY31" s="1203" t="str">
        <f>IF(BG31="","",IF(VLOOKUP(BG31,#REF!,10,FALSE)="","",(IF(BO31="X",VLOOKUP(BG31,#REF!,10,FALSE),VALUE(BO31))*-1)))</f>
        <v/>
      </c>
      <c r="CZ31" s="1042" t="str">
        <f>IF(BG31="","",IF(VLOOKUP(BG31,#REF!,11,FALSE)="","2",(VLOOKUP(BG31,#REF!,11,FALSE))))</f>
        <v/>
      </c>
      <c r="DA31" s="756" t="str">
        <f>IF(BG31="","",IF(VLOOKUP(BG31,#REF!,7,FALSE)="","",(VLOOKUP(BG31,#REF!,7,FALSE)*-1)))</f>
        <v/>
      </c>
      <c r="DB31" s="756" t="str">
        <f>IF(BG31="","",IF(VLOOKUP(BG31,#REF!,8,FALSE)="",VLOOKUP(AU31,$DF$2:$DN$9,6,FALSE),(VLOOKUP(BG31,#REF!,8,FALSE))))</f>
        <v/>
      </c>
      <c r="DC31" s="756" t="str">
        <f>IF(BG31="","",VLOOKUP(BG31,#REF!,9,FALSE))</f>
        <v/>
      </c>
      <c r="DD31" s="757">
        <f t="shared" si="35"/>
        <v>0</v>
      </c>
      <c r="DE31" s="758" t="str">
        <f>IF(BS31="","",VLOOKUP(BS31,#REF!,12,FALSE))</f>
        <v/>
      </c>
      <c r="DF31" s="756" t="str">
        <f>IF(BS31="","",IF(ISBLANK(CB31),VLOOKUP(BS31,#REF!,13,FALSE),CB31))</f>
        <v/>
      </c>
      <c r="DG31" s="756" t="str">
        <f>IF(BS31="","",IF(VLOOKUP(BS31,#REF!,5,FALSE)="","R",UPPER(VLOOKUP(BS31,#REF!,5,FALSE))))</f>
        <v/>
      </c>
      <c r="DH31" s="756" t="str">
        <f>IF(BS31="","",IF(ISBLANK(CD31),VLOOKUP(BS31,#REF!,6,FALSE),CD31))</f>
        <v/>
      </c>
      <c r="DI31" s="1203" t="str">
        <f>IF(BS31="","",IF(VLOOKUP(BS31,#REF!,10,FALSE)="","",(IF(CA31="X",VLOOKUP(BS31,#REF!,10,FALSE),VALUE(CA31))*-1)))</f>
        <v/>
      </c>
      <c r="DJ31" s="1042" t="str">
        <f>IF(BS31="","",IF(VLOOKUP(BS31,#REF!,11,FALSE)="","2",(VLOOKUP(BS31,#REF!,11,FALSE))))</f>
        <v/>
      </c>
      <c r="DK31" s="756" t="str">
        <f>IF(BS31="","",IF(VLOOKUP(BS31,#REF!,7,FALSE)="","",(VLOOKUP(BS31,#REF!,7,FALSE)*-1)))</f>
        <v/>
      </c>
      <c r="DL31" s="756" t="str">
        <f>IF(BS31="","",IF(VLOOKUP(BS31,#REF!,8,FALSE)="",VLOOKUP(AU31,$DF$2:$DN$9,6,FALSE),(VLOOKUP(BS31,#REF!,8,FALSE))))</f>
        <v/>
      </c>
      <c r="DM31" s="756" t="str">
        <f>IF(BS31="","",VLOOKUP(BS31,#REF!,9,FALSE))</f>
        <v/>
      </c>
      <c r="DN31" s="757">
        <f t="shared" si="36"/>
        <v>0</v>
      </c>
      <c r="DO31" s="759">
        <f t="shared" si="37"/>
        <v>0</v>
      </c>
      <c r="DP31" s="763" t="str">
        <f t="shared" si="38"/>
        <v/>
      </c>
      <c r="DQ31" s="763" t="str">
        <f t="shared" si="39"/>
        <v/>
      </c>
      <c r="DR31" s="763" t="str">
        <f t="shared" si="40"/>
        <v/>
      </c>
      <c r="DS31" s="762">
        <f t="shared" si="41"/>
        <v>0</v>
      </c>
      <c r="DT31" s="762" t="e">
        <f t="shared" si="42"/>
        <v>#REF!</v>
      </c>
      <c r="DU31" s="762" t="str">
        <f t="shared" si="43"/>
        <v/>
      </c>
      <c r="DV31" s="763" t="str">
        <f t="shared" si="44"/>
        <v/>
      </c>
      <c r="DW31" s="795" t="str">
        <f t="shared" si="45"/>
        <v/>
      </c>
      <c r="DX31" s="926">
        <f t="shared" si="46"/>
        <v>0</v>
      </c>
      <c r="DY31" s="763">
        <f t="shared" si="47"/>
        <v>0</v>
      </c>
      <c r="DZ31" s="762" t="e">
        <f t="shared" si="48"/>
        <v>#REF!</v>
      </c>
      <c r="EA31" s="762" t="str">
        <f t="shared" si="49"/>
        <v/>
      </c>
      <c r="EB31" s="763" t="str">
        <f t="shared" si="50"/>
        <v/>
      </c>
      <c r="EC31" s="795" t="str">
        <f t="shared" si="51"/>
        <v/>
      </c>
      <c r="ED31" s="926">
        <f t="shared" si="52"/>
        <v>0</v>
      </c>
      <c r="EE31" s="1210" t="str">
        <f t="shared" si="53"/>
        <v/>
      </c>
      <c r="EF31" s="1210" t="str">
        <f t="shared" si="54"/>
        <v/>
      </c>
      <c r="EG31" s="1210" t="str">
        <f t="shared" si="55"/>
        <v/>
      </c>
      <c r="EH31" s="795" t="e">
        <f t="shared" si="56"/>
        <v>#N/A</v>
      </c>
      <c r="EI31" s="795" t="e">
        <f t="shared" si="57"/>
        <v>#N/A</v>
      </c>
      <c r="EJ31" s="763" t="str">
        <f t="shared" si="58"/>
        <v/>
      </c>
      <c r="EK31" s="763" t="str">
        <f t="shared" si="58"/>
        <v/>
      </c>
      <c r="EL31" s="1210" t="str">
        <f t="shared" si="59"/>
        <v/>
      </c>
      <c r="EM31" s="763" t="str">
        <f t="shared" si="60"/>
        <v/>
      </c>
      <c r="EN31" s="763" t="str">
        <f t="shared" si="61"/>
        <v/>
      </c>
      <c r="EO31" s="795" t="e">
        <f t="shared" si="62"/>
        <v>#N/A</v>
      </c>
      <c r="EP31" s="795" t="e">
        <f t="shared" si="63"/>
        <v>#N/A</v>
      </c>
      <c r="EQ31" s="1210" t="str">
        <f t="shared" si="64"/>
        <v/>
      </c>
      <c r="ER31" s="763" t="str">
        <f t="shared" si="64"/>
        <v/>
      </c>
      <c r="ES31" s="763" t="str">
        <f t="shared" si="65"/>
        <v/>
      </c>
      <c r="ET31" s="763" t="str">
        <f t="shared" si="66"/>
        <v/>
      </c>
      <c r="EU31" s="770" t="str">
        <f t="shared" si="67"/>
        <v/>
      </c>
      <c r="EV31" s="765" t="str">
        <f t="shared" si="68"/>
        <v/>
      </c>
      <c r="EW31" s="770"/>
      <c r="EX31" s="770" t="str">
        <f>IF(AND(CU31="G", ISBLANK(BK31), ISBLANK(BL31)),VLOOKUP(MIN(BH31:BI31),#REF!,2),IF(OR(CU31="B",CU31="G"),MIN(BK31:BL31),""))</f>
        <v/>
      </c>
      <c r="EY31" s="770" t="str">
        <f>IF(AND(CU31="G", ISBLANK(BK31), ISBLANK(BL31)),VLOOKUP(MAX(BH31:BI31),#REF!,2),IF(OR(CU31="B",CU31="G"),MAX(BK31:BL31),""))</f>
        <v/>
      </c>
      <c r="EZ31" s="770" t="str">
        <f t="shared" si="69"/>
        <v/>
      </c>
      <c r="FA31" s="770" t="str">
        <f>IF(AND(DE31="G", ISBLANK(BW31), ISBLANK(BX31)),VLOOKUP(MIN(BT31:BU31),#REF!,2),IF(OR(DE31="B", DE31="G"),MIN(BW31:BX31),""))</f>
        <v/>
      </c>
      <c r="FB31" s="770" t="str">
        <f>IF(AND(DE31="G", ISBLANK(BW31), ISBLANK(BX31)),VLOOKUP(MAX(BT31:BU31),#REF!,2),IF(OR(DE31="B", DE31="G"),MAX(BW31:BX31),""))</f>
        <v/>
      </c>
      <c r="FC31" s="770" t="str">
        <f t="shared" si="70"/>
        <v/>
      </c>
      <c r="FD31" s="762">
        <f t="shared" si="97"/>
        <v>0</v>
      </c>
      <c r="FE31" s="762">
        <f t="shared" si="71"/>
        <v>0</v>
      </c>
      <c r="FF31" s="762">
        <f t="shared" si="72"/>
        <v>0</v>
      </c>
      <c r="FG31" s="762" t="str">
        <f t="shared" si="73"/>
        <v/>
      </c>
      <c r="FH31" s="763" t="str">
        <f t="shared" si="74"/>
        <v/>
      </c>
      <c r="FI31" s="762">
        <f t="shared" si="98"/>
        <v>0</v>
      </c>
      <c r="FJ31" s="762">
        <f t="shared" si="75"/>
        <v>0</v>
      </c>
      <c r="FK31" s="762">
        <f t="shared" si="76"/>
        <v>0</v>
      </c>
      <c r="FL31" s="762" t="str">
        <f t="shared" si="77"/>
        <v/>
      </c>
      <c r="FM31" s="763" t="str">
        <f t="shared" si="78"/>
        <v/>
      </c>
      <c r="FN31" s="763" t="e">
        <f t="shared" si="79"/>
        <v>#VALUE!</v>
      </c>
      <c r="FO31" s="872" t="e">
        <f t="shared" si="80"/>
        <v>#VALUE!</v>
      </c>
      <c r="FP31" s="872" t="e">
        <f t="shared" si="81"/>
        <v>#VALUE!</v>
      </c>
      <c r="FQ31" s="771" t="e">
        <f t="shared" si="82"/>
        <v>#VALUE!</v>
      </c>
      <c r="FR31" s="772" t="e">
        <f t="shared" si="83"/>
        <v>#VALUE!</v>
      </c>
      <c r="FS31" s="773" t="str">
        <f t="shared" si="84"/>
        <v/>
      </c>
      <c r="FT31" s="774" t="str">
        <f t="shared" si="85"/>
        <v/>
      </c>
      <c r="FU31" s="809">
        <f t="shared" si="86"/>
        <v>0</v>
      </c>
      <c r="FV31" s="810">
        <f t="shared" si="87"/>
        <v>0</v>
      </c>
      <c r="GA31" s="542" t="str">
        <f t="shared" si="88"/>
        <v/>
      </c>
      <c r="GB31" s="562" t="str">
        <f t="shared" si="89"/>
        <v/>
      </c>
      <c r="GC31" s="564" t="str">
        <f t="shared" si="90"/>
        <v/>
      </c>
      <c r="GD31" s="565" t="str">
        <f t="shared" si="91"/>
        <v/>
      </c>
      <c r="GE31" s="563" t="str">
        <f t="shared" si="92"/>
        <v/>
      </c>
      <c r="GF31" s="543" t="str">
        <f t="shared" si="93"/>
        <v/>
      </c>
      <c r="GG31" s="1052"/>
      <c r="GH31" s="1053"/>
      <c r="GI31" s="1052"/>
      <c r="GJ31" s="1053"/>
      <c r="GK31" s="1521">
        <f t="shared" si="94"/>
        <v>0</v>
      </c>
      <c r="GL31" s="1519" t="e">
        <f t="shared" si="95"/>
        <v>#VALUE!</v>
      </c>
      <c r="GM31" s="1520" t="e">
        <f>IF(ABS(GK31-GL31)&gt;=#REF!,ABS(GK31-GL31),0)</f>
        <v>#VALUE!</v>
      </c>
      <c r="HA31" s="1187"/>
      <c r="HB31" s="1188"/>
      <c r="HC31" s="1188"/>
      <c r="HD31" s="1189"/>
      <c r="HE31" s="1190"/>
      <c r="HF31" s="1188"/>
      <c r="HG31" s="1188"/>
      <c r="HH31" s="1188"/>
      <c r="HI31" s="1191"/>
      <c r="HJ31" s="1188"/>
      <c r="HK31" s="1188"/>
      <c r="HL31" s="1188"/>
      <c r="HM31" s="1188"/>
      <c r="HN31" s="1188"/>
      <c r="HO31" s="1188"/>
      <c r="HP31" s="1188"/>
      <c r="HQ31" s="1191"/>
      <c r="HR31" s="1188"/>
      <c r="HS31" s="1188"/>
      <c r="HT31" s="1188"/>
      <c r="HU31" s="1188"/>
      <c r="HV31" s="1188"/>
      <c r="HW31" s="1190"/>
      <c r="HX31" s="1190"/>
      <c r="HY31" s="1190"/>
      <c r="HZ31" s="1190"/>
      <c r="IA31" s="1190"/>
      <c r="IB31" s="1190"/>
      <c r="IC31" s="1190"/>
      <c r="ID31" s="1190"/>
      <c r="IE31" s="1190"/>
      <c r="IF31" s="1192"/>
    </row>
    <row r="32" spans="1:240" ht="12.6" customHeight="1" x14ac:dyDescent="0.25">
      <c r="A32" s="1132"/>
      <c r="B32" s="1586"/>
      <c r="C32" s="1133"/>
      <c r="D32" s="1134"/>
      <c r="E32" s="1135"/>
      <c r="F32" s="1143"/>
      <c r="G32" s="1138"/>
      <c r="H32" s="1645"/>
      <c r="I32" s="1134"/>
      <c r="J32" s="1138"/>
      <c r="K32" s="1657"/>
      <c r="L32" s="1141"/>
      <c r="M32" s="1142"/>
      <c r="N32" s="1137"/>
      <c r="O32" s="1138"/>
      <c r="P32" s="1139"/>
      <c r="Q32" s="1134"/>
      <c r="R32" s="1138"/>
      <c r="S32" s="1140"/>
      <c r="T32" s="1143"/>
      <c r="U32" s="1138"/>
      <c r="V32" s="1134"/>
      <c r="W32" s="1138"/>
      <c r="X32" s="1142"/>
      <c r="Y32" s="1647"/>
      <c r="Z32" s="1648"/>
      <c r="AA32" s="1649"/>
      <c r="AB32" s="1288"/>
      <c r="AC32" s="898" t="b">
        <v>0</v>
      </c>
      <c r="AD32" s="374">
        <f t="shared" si="1"/>
        <v>0</v>
      </c>
      <c r="AE32" s="375">
        <f t="shared" si="2"/>
        <v>0</v>
      </c>
      <c r="AF32" s="375">
        <f t="shared" si="3"/>
        <v>0</v>
      </c>
      <c r="AG32" s="375">
        <f t="shared" si="4"/>
        <v>0</v>
      </c>
      <c r="AH32" s="376">
        <f t="shared" si="5"/>
        <v>0</v>
      </c>
      <c r="AI32" s="377" t="b">
        <v>0</v>
      </c>
      <c r="AJ32" s="143">
        <f t="shared" si="6"/>
        <v>0</v>
      </c>
      <c r="AK32" s="771" t="str">
        <f t="shared" si="7"/>
        <v/>
      </c>
      <c r="AL32" s="877" t="str">
        <f t="shared" si="8"/>
        <v/>
      </c>
      <c r="AM32" s="771" t="str">
        <f t="shared" si="9"/>
        <v/>
      </c>
      <c r="AN32" s="771" t="str">
        <f t="shared" si="10"/>
        <v/>
      </c>
      <c r="AO32" s="771" t="str">
        <f t="shared" si="11"/>
        <v/>
      </c>
      <c r="AP32" s="771" t="b">
        <f>IF(ISERROR(AJ32),FALSE,IF(OR(AJ32=0,ISERROR(AL32),ISERROR(AM32),ISERROR(AN32),ISERROR(AO32)),FALSE,IF(AL32&lt;&gt;"",IF(ISERROR(VLOOKUP(SUBSTITUTE(SUBSTITUTE(C32,"R",""),"A",""),#REF!,1,FALSE)),FALSE,TRUE),TRUE)))</f>
        <v>0</v>
      </c>
      <c r="AQ32" s="945" t="e">
        <f t="shared" si="12"/>
        <v>#N/A</v>
      </c>
      <c r="AR32" s="877" t="b">
        <f t="shared" si="13"/>
        <v>0</v>
      </c>
      <c r="AS32" s="945" t="e">
        <f t="shared" si="14"/>
        <v>#N/A</v>
      </c>
      <c r="AT32" s="877" t="b">
        <f t="shared" si="15"/>
        <v>0</v>
      </c>
      <c r="AU32" s="878" t="str">
        <f t="shared" si="16"/>
        <v/>
      </c>
      <c r="AV32" s="771" t="str">
        <f t="shared" si="17"/>
        <v/>
      </c>
      <c r="AW32" s="771" t="str">
        <f t="shared" si="18"/>
        <v/>
      </c>
      <c r="AX32" s="771" t="str">
        <f t="shared" si="96"/>
        <v/>
      </c>
      <c r="AY32" s="946" t="e">
        <f t="shared" si="19"/>
        <v>#REF!</v>
      </c>
      <c r="AZ32" s="795" t="str">
        <f t="shared" si="20"/>
        <v/>
      </c>
      <c r="BA32" s="496"/>
      <c r="BB32" s="616"/>
      <c r="BC32" s="1567"/>
      <c r="BD32" s="682"/>
      <c r="BE32" s="683"/>
      <c r="BF32" s="684"/>
      <c r="BG32" s="660"/>
      <c r="BH32" s="901"/>
      <c r="BI32" s="902"/>
      <c r="BJ32" s="1508"/>
      <c r="BK32" s="661"/>
      <c r="BL32" s="662"/>
      <c r="BM32" s="663"/>
      <c r="BN32" s="664"/>
      <c r="BO32" s="616" t="str">
        <f>IF(ISERROR(CU32),"",IF(CU32="","",IF(VLOOKUP(BG32,#REF!,10,FALSE)="","","X")))</f>
        <v/>
      </c>
      <c r="BP32" s="687"/>
      <c r="BQ32" s="1430" t="str">
        <f t="shared" si="21"/>
        <v/>
      </c>
      <c r="BR32" s="839"/>
      <c r="BS32" s="660"/>
      <c r="BT32" s="661"/>
      <c r="BU32" s="662"/>
      <c r="BV32" s="1508"/>
      <c r="BW32" s="661"/>
      <c r="BX32" s="662"/>
      <c r="BY32" s="663"/>
      <c r="BZ32" s="664"/>
      <c r="CA32" s="625" t="str">
        <f>IF(ISERROR(DE32),"",IF(DE32="","",IF(VLOOKUP(BS32,#REF!,10,FALSE)="","","X")))</f>
        <v/>
      </c>
      <c r="CB32" s="687"/>
      <c r="CC32" s="1430" t="str">
        <f t="shared" si="22"/>
        <v/>
      </c>
      <c r="CD32" s="839"/>
      <c r="CE32" s="665"/>
      <c r="CF32" s="685"/>
      <c r="CG32" s="686"/>
      <c r="CH32" s="534" t="str">
        <f t="shared" si="23"/>
        <v/>
      </c>
      <c r="CI32" s="535" t="str">
        <f t="shared" si="24"/>
        <v/>
      </c>
      <c r="CJ32" s="536" t="str">
        <f t="shared" si="25"/>
        <v/>
      </c>
      <c r="CK32" s="537" t="str">
        <f t="shared" si="26"/>
        <v/>
      </c>
      <c r="CL32" s="538" t="str">
        <f t="shared" si="27"/>
        <v/>
      </c>
      <c r="CM32" s="539" t="str">
        <f t="shared" si="28"/>
        <v/>
      </c>
      <c r="CN32" s="540" t="str">
        <f t="shared" si="29"/>
        <v/>
      </c>
      <c r="CO32" s="541" t="str">
        <f t="shared" si="30"/>
        <v/>
      </c>
      <c r="CP32" s="558" t="str">
        <f t="shared" si="31"/>
        <v/>
      </c>
      <c r="CQ32" s="559" t="str">
        <f t="shared" si="32"/>
        <v/>
      </c>
      <c r="CR32" s="699" t="str">
        <f t="shared" si="33"/>
        <v/>
      </c>
      <c r="CS32" s="700" t="str">
        <f t="shared" si="34"/>
        <v/>
      </c>
      <c r="CU32" s="758" t="str">
        <f>IF(BG32="","",VLOOKUP(BG32,#REF!,12,FALSE))</f>
        <v/>
      </c>
      <c r="CV32" s="756" t="str">
        <f>IF(BG32="","",IF(ISBLANK(BP32),VLOOKUP(BG32,#REF!,13,FALSE),BP32))</f>
        <v/>
      </c>
      <c r="CW32" s="756" t="str">
        <f>IF(BG32="","",IF(VLOOKUP(BG32,#REF!,5,FALSE)="","R",UPPER(VLOOKUP(BG32,#REF!,5,FALSE))))</f>
        <v/>
      </c>
      <c r="CX32" s="756" t="str">
        <f>IF(BG32="","",IF(ISBLANK(BR32),VLOOKUP(BG32,#REF!,6,FALSE),BR32))</f>
        <v/>
      </c>
      <c r="CY32" s="1203" t="str">
        <f>IF(BG32="","",IF(VLOOKUP(BG32,#REF!,10,FALSE)="","",(IF(BO32="X",VLOOKUP(BG32,#REF!,10,FALSE),VALUE(BO32))*-1)))</f>
        <v/>
      </c>
      <c r="CZ32" s="1042" t="str">
        <f>IF(BG32="","",IF(VLOOKUP(BG32,#REF!,11,FALSE)="","2",(VLOOKUP(BG32,#REF!,11,FALSE))))</f>
        <v/>
      </c>
      <c r="DA32" s="756" t="str">
        <f>IF(BG32="","",IF(VLOOKUP(BG32,#REF!,7,FALSE)="","",(VLOOKUP(BG32,#REF!,7,FALSE)*-1)))</f>
        <v/>
      </c>
      <c r="DB32" s="756" t="str">
        <f>IF(BG32="","",IF(VLOOKUP(BG32,#REF!,8,FALSE)="",VLOOKUP(AU32,$DF$2:$DN$9,6,FALSE),(VLOOKUP(BG32,#REF!,8,FALSE))))</f>
        <v/>
      </c>
      <c r="DC32" s="756" t="str">
        <f>IF(BG32="","",VLOOKUP(BG32,#REF!,9,FALSE))</f>
        <v/>
      </c>
      <c r="DD32" s="757">
        <f t="shared" si="35"/>
        <v>0</v>
      </c>
      <c r="DE32" s="758" t="str">
        <f>IF(BS32="","",VLOOKUP(BS32,#REF!,12,FALSE))</f>
        <v/>
      </c>
      <c r="DF32" s="756" t="str">
        <f>IF(BS32="","",IF(ISBLANK(CB32),VLOOKUP(BS32,#REF!,13,FALSE),CB32))</f>
        <v/>
      </c>
      <c r="DG32" s="756" t="str">
        <f>IF(BS32="","",IF(VLOOKUP(BS32,#REF!,5,FALSE)="","R",UPPER(VLOOKUP(BS32,#REF!,5,FALSE))))</f>
        <v/>
      </c>
      <c r="DH32" s="756" t="str">
        <f>IF(BS32="","",IF(ISBLANK(CD32),VLOOKUP(BS32,#REF!,6,FALSE),CD32))</f>
        <v/>
      </c>
      <c r="DI32" s="1203" t="str">
        <f>IF(BS32="","",IF(VLOOKUP(BS32,#REF!,10,FALSE)="","",(IF(CA32="X",VLOOKUP(BS32,#REF!,10,FALSE),VALUE(CA32))*-1)))</f>
        <v/>
      </c>
      <c r="DJ32" s="1042" t="str">
        <f>IF(BS32="","",IF(VLOOKUP(BS32,#REF!,11,FALSE)="","2",(VLOOKUP(BS32,#REF!,11,FALSE))))</f>
        <v/>
      </c>
      <c r="DK32" s="756" t="str">
        <f>IF(BS32="","",IF(VLOOKUP(BS32,#REF!,7,FALSE)="","",(VLOOKUP(BS32,#REF!,7,FALSE)*-1)))</f>
        <v/>
      </c>
      <c r="DL32" s="756" t="str">
        <f>IF(BS32="","",IF(VLOOKUP(BS32,#REF!,8,FALSE)="",VLOOKUP(AU32,$DF$2:$DN$9,6,FALSE),(VLOOKUP(BS32,#REF!,8,FALSE))))</f>
        <v/>
      </c>
      <c r="DM32" s="756" t="str">
        <f>IF(BS32="","",VLOOKUP(BS32,#REF!,9,FALSE))</f>
        <v/>
      </c>
      <c r="DN32" s="757">
        <f t="shared" si="36"/>
        <v>0</v>
      </c>
      <c r="DO32" s="759">
        <f t="shared" si="37"/>
        <v>0</v>
      </c>
      <c r="DP32" s="763" t="str">
        <f t="shared" si="38"/>
        <v/>
      </c>
      <c r="DQ32" s="763" t="str">
        <f t="shared" si="39"/>
        <v/>
      </c>
      <c r="DR32" s="763" t="str">
        <f t="shared" si="40"/>
        <v/>
      </c>
      <c r="DS32" s="762">
        <f t="shared" si="41"/>
        <v>0</v>
      </c>
      <c r="DT32" s="762" t="e">
        <f t="shared" si="42"/>
        <v>#REF!</v>
      </c>
      <c r="DU32" s="762" t="str">
        <f t="shared" si="43"/>
        <v/>
      </c>
      <c r="DV32" s="763" t="str">
        <f t="shared" si="44"/>
        <v/>
      </c>
      <c r="DW32" s="795" t="str">
        <f t="shared" si="45"/>
        <v/>
      </c>
      <c r="DX32" s="926">
        <f t="shared" si="46"/>
        <v>0</v>
      </c>
      <c r="DY32" s="763">
        <f t="shared" si="47"/>
        <v>0</v>
      </c>
      <c r="DZ32" s="762" t="e">
        <f t="shared" si="48"/>
        <v>#REF!</v>
      </c>
      <c r="EA32" s="762" t="str">
        <f t="shared" si="49"/>
        <v/>
      </c>
      <c r="EB32" s="763" t="str">
        <f t="shared" si="50"/>
        <v/>
      </c>
      <c r="EC32" s="795" t="str">
        <f t="shared" si="51"/>
        <v/>
      </c>
      <c r="ED32" s="926">
        <f t="shared" si="52"/>
        <v>0</v>
      </c>
      <c r="EE32" s="1210" t="str">
        <f t="shared" si="53"/>
        <v/>
      </c>
      <c r="EF32" s="1210" t="str">
        <f t="shared" si="54"/>
        <v/>
      </c>
      <c r="EG32" s="1210" t="str">
        <f t="shared" si="55"/>
        <v/>
      </c>
      <c r="EH32" s="795" t="e">
        <f t="shared" si="56"/>
        <v>#N/A</v>
      </c>
      <c r="EI32" s="795" t="e">
        <f t="shared" si="57"/>
        <v>#N/A</v>
      </c>
      <c r="EJ32" s="763" t="str">
        <f t="shared" si="58"/>
        <v/>
      </c>
      <c r="EK32" s="763" t="str">
        <f t="shared" si="58"/>
        <v/>
      </c>
      <c r="EL32" s="1210" t="str">
        <f t="shared" si="59"/>
        <v/>
      </c>
      <c r="EM32" s="763" t="str">
        <f t="shared" si="60"/>
        <v/>
      </c>
      <c r="EN32" s="763" t="str">
        <f t="shared" si="61"/>
        <v/>
      </c>
      <c r="EO32" s="795" t="e">
        <f t="shared" si="62"/>
        <v>#N/A</v>
      </c>
      <c r="EP32" s="795" t="e">
        <f t="shared" si="63"/>
        <v>#N/A</v>
      </c>
      <c r="EQ32" s="1210" t="str">
        <f t="shared" si="64"/>
        <v/>
      </c>
      <c r="ER32" s="763" t="str">
        <f t="shared" si="64"/>
        <v/>
      </c>
      <c r="ES32" s="763" t="str">
        <f t="shared" si="65"/>
        <v/>
      </c>
      <c r="ET32" s="763" t="str">
        <f t="shared" si="66"/>
        <v/>
      </c>
      <c r="EU32" s="770" t="str">
        <f t="shared" si="67"/>
        <v/>
      </c>
      <c r="EV32" s="765" t="str">
        <f t="shared" si="68"/>
        <v/>
      </c>
      <c r="EW32" s="770"/>
      <c r="EX32" s="770" t="str">
        <f>IF(AND(CU32="G", ISBLANK(BK32), ISBLANK(BL32)),VLOOKUP(MIN(BH32:BI32),#REF!,2),IF(OR(CU32="B",CU32="G"),MIN(BK32:BL32),""))</f>
        <v/>
      </c>
      <c r="EY32" s="770" t="str">
        <f>IF(AND(CU32="G", ISBLANK(BK32), ISBLANK(BL32)),VLOOKUP(MAX(BH32:BI32),#REF!,2),IF(OR(CU32="B",CU32="G"),MAX(BK32:BL32),""))</f>
        <v/>
      </c>
      <c r="EZ32" s="770" t="str">
        <f t="shared" si="69"/>
        <v/>
      </c>
      <c r="FA32" s="770" t="str">
        <f>IF(AND(DE32="G", ISBLANK(BW32), ISBLANK(BX32)),VLOOKUP(MIN(BT32:BU32),#REF!,2),IF(OR(DE32="B", DE32="G"),MIN(BW32:BX32),""))</f>
        <v/>
      </c>
      <c r="FB32" s="770" t="str">
        <f>IF(AND(DE32="G", ISBLANK(BW32), ISBLANK(BX32)),VLOOKUP(MAX(BT32:BU32),#REF!,2),IF(OR(DE32="B", DE32="G"),MAX(BW32:BX32),""))</f>
        <v/>
      </c>
      <c r="FC32" s="770" t="str">
        <f t="shared" si="70"/>
        <v/>
      </c>
      <c r="FD32" s="762">
        <f t="shared" si="97"/>
        <v>0</v>
      </c>
      <c r="FE32" s="762">
        <f t="shared" si="71"/>
        <v>0</v>
      </c>
      <c r="FF32" s="762">
        <f t="shared" si="72"/>
        <v>0</v>
      </c>
      <c r="FG32" s="762" t="str">
        <f t="shared" si="73"/>
        <v/>
      </c>
      <c r="FH32" s="763" t="str">
        <f t="shared" si="74"/>
        <v/>
      </c>
      <c r="FI32" s="762">
        <f t="shared" si="98"/>
        <v>0</v>
      </c>
      <c r="FJ32" s="762">
        <f t="shared" si="75"/>
        <v>0</v>
      </c>
      <c r="FK32" s="762">
        <f t="shared" si="76"/>
        <v>0</v>
      </c>
      <c r="FL32" s="762" t="str">
        <f t="shared" si="77"/>
        <v/>
      </c>
      <c r="FM32" s="763" t="str">
        <f t="shared" si="78"/>
        <v/>
      </c>
      <c r="FN32" s="763" t="e">
        <f t="shared" si="79"/>
        <v>#VALUE!</v>
      </c>
      <c r="FO32" s="872" t="e">
        <f t="shared" si="80"/>
        <v>#VALUE!</v>
      </c>
      <c r="FP32" s="872" t="e">
        <f t="shared" si="81"/>
        <v>#VALUE!</v>
      </c>
      <c r="FQ32" s="771" t="e">
        <f t="shared" si="82"/>
        <v>#VALUE!</v>
      </c>
      <c r="FR32" s="772" t="e">
        <f t="shared" si="83"/>
        <v>#VALUE!</v>
      </c>
      <c r="FS32" s="773" t="str">
        <f t="shared" si="84"/>
        <v/>
      </c>
      <c r="FT32" s="774" t="str">
        <f t="shared" si="85"/>
        <v/>
      </c>
      <c r="FU32" s="809">
        <f t="shared" si="86"/>
        <v>0</v>
      </c>
      <c r="FV32" s="810">
        <f t="shared" si="87"/>
        <v>0</v>
      </c>
      <c r="GA32" s="542" t="str">
        <f t="shared" si="88"/>
        <v/>
      </c>
      <c r="GB32" s="562" t="str">
        <f t="shared" si="89"/>
        <v/>
      </c>
      <c r="GC32" s="564" t="str">
        <f t="shared" si="90"/>
        <v/>
      </c>
      <c r="GD32" s="565" t="str">
        <f t="shared" si="91"/>
        <v/>
      </c>
      <c r="GE32" s="563" t="str">
        <f t="shared" si="92"/>
        <v/>
      </c>
      <c r="GF32" s="543" t="str">
        <f t="shared" si="93"/>
        <v/>
      </c>
      <c r="GG32" s="1052"/>
      <c r="GH32" s="1053"/>
      <c r="GI32" s="1052"/>
      <c r="GJ32" s="1053"/>
      <c r="GK32" s="1521">
        <f t="shared" si="94"/>
        <v>0</v>
      </c>
      <c r="GL32" s="1519" t="e">
        <f t="shared" si="95"/>
        <v>#VALUE!</v>
      </c>
      <c r="GM32" s="1520" t="e">
        <f>IF(ABS(GK32-GL32)&gt;=#REF!,ABS(GK32-GL32),0)</f>
        <v>#VALUE!</v>
      </c>
      <c r="HA32" s="1187"/>
      <c r="HB32" s="1188"/>
      <c r="HC32" s="1188"/>
      <c r="HD32" s="1189"/>
      <c r="HE32" s="1190"/>
      <c r="HF32" s="1188"/>
      <c r="HG32" s="1188"/>
      <c r="HH32" s="1188"/>
      <c r="HI32" s="1191"/>
      <c r="HJ32" s="1188"/>
      <c r="HK32" s="1188"/>
      <c r="HL32" s="1188"/>
      <c r="HM32" s="1188"/>
      <c r="HN32" s="1188"/>
      <c r="HO32" s="1188"/>
      <c r="HP32" s="1188"/>
      <c r="HQ32" s="1191"/>
      <c r="HR32" s="1188"/>
      <c r="HS32" s="1188"/>
      <c r="HT32" s="1188"/>
      <c r="HU32" s="1188"/>
      <c r="HV32" s="1188"/>
      <c r="HW32" s="1190"/>
      <c r="HX32" s="1190"/>
      <c r="HY32" s="1190"/>
      <c r="HZ32" s="1190"/>
      <c r="IA32" s="1190"/>
      <c r="IB32" s="1190"/>
      <c r="IC32" s="1190"/>
      <c r="ID32" s="1190"/>
      <c r="IE32" s="1190"/>
      <c r="IF32" s="1192"/>
    </row>
    <row r="33" spans="1:240" ht="12.6" customHeight="1" x14ac:dyDescent="0.25">
      <c r="A33" s="1132"/>
      <c r="B33" s="1586"/>
      <c r="C33" s="1133"/>
      <c r="D33" s="1134"/>
      <c r="E33" s="1135"/>
      <c r="F33" s="1143"/>
      <c r="G33" s="1138"/>
      <c r="H33" s="1645"/>
      <c r="I33" s="1134"/>
      <c r="J33" s="1138"/>
      <c r="K33" s="1657"/>
      <c r="L33" s="1141"/>
      <c r="M33" s="1142"/>
      <c r="N33" s="1137"/>
      <c r="O33" s="1138"/>
      <c r="P33" s="1139"/>
      <c r="Q33" s="1134"/>
      <c r="R33" s="1138"/>
      <c r="S33" s="1140"/>
      <c r="T33" s="1143"/>
      <c r="U33" s="1138"/>
      <c r="V33" s="1134"/>
      <c r="W33" s="1138"/>
      <c r="X33" s="1142"/>
      <c r="Y33" s="1647"/>
      <c r="Z33" s="1648"/>
      <c r="AA33" s="1649"/>
      <c r="AB33" s="1288"/>
      <c r="AC33" s="898" t="b">
        <v>0</v>
      </c>
      <c r="AD33" s="374">
        <f t="shared" si="1"/>
        <v>0</v>
      </c>
      <c r="AE33" s="375">
        <f t="shared" si="2"/>
        <v>0</v>
      </c>
      <c r="AF33" s="375">
        <f t="shared" si="3"/>
        <v>0</v>
      </c>
      <c r="AG33" s="375">
        <f t="shared" si="4"/>
        <v>0</v>
      </c>
      <c r="AH33" s="376">
        <f t="shared" si="5"/>
        <v>0</v>
      </c>
      <c r="AI33" s="377" t="b">
        <v>0</v>
      </c>
      <c r="AJ33" s="143">
        <f t="shared" si="6"/>
        <v>0</v>
      </c>
      <c r="AK33" s="771" t="str">
        <f t="shared" si="7"/>
        <v/>
      </c>
      <c r="AL33" s="877" t="str">
        <f t="shared" si="8"/>
        <v/>
      </c>
      <c r="AM33" s="771" t="str">
        <f t="shared" si="9"/>
        <v/>
      </c>
      <c r="AN33" s="771" t="str">
        <f t="shared" si="10"/>
        <v/>
      </c>
      <c r="AO33" s="771" t="str">
        <f t="shared" si="11"/>
        <v/>
      </c>
      <c r="AP33" s="771" t="b">
        <f>IF(ISERROR(AJ33),FALSE,IF(OR(AJ33=0,ISERROR(AL33),ISERROR(AM33),ISERROR(AN33),ISERROR(AO33)),FALSE,IF(AL33&lt;&gt;"",IF(ISERROR(VLOOKUP(SUBSTITUTE(SUBSTITUTE(C33,"R",""),"A",""),#REF!,1,FALSE)),FALSE,TRUE),TRUE)))</f>
        <v>0</v>
      </c>
      <c r="AQ33" s="945" t="e">
        <f t="shared" si="12"/>
        <v>#N/A</v>
      </c>
      <c r="AR33" s="877" t="b">
        <f t="shared" si="13"/>
        <v>0</v>
      </c>
      <c r="AS33" s="945" t="e">
        <f t="shared" si="14"/>
        <v>#N/A</v>
      </c>
      <c r="AT33" s="877" t="b">
        <f t="shared" si="15"/>
        <v>0</v>
      </c>
      <c r="AU33" s="878" t="str">
        <f t="shared" si="16"/>
        <v/>
      </c>
      <c r="AV33" s="771" t="str">
        <f t="shared" si="17"/>
        <v/>
      </c>
      <c r="AW33" s="771" t="str">
        <f t="shared" si="18"/>
        <v/>
      </c>
      <c r="AX33" s="771" t="str">
        <f t="shared" si="96"/>
        <v/>
      </c>
      <c r="AY33" s="946" t="e">
        <f t="shared" si="19"/>
        <v>#REF!</v>
      </c>
      <c r="AZ33" s="795" t="str">
        <f t="shared" si="20"/>
        <v/>
      </c>
      <c r="BA33" s="496"/>
      <c r="BB33" s="616"/>
      <c r="BC33" s="1567"/>
      <c r="BD33" s="682"/>
      <c r="BE33" s="683"/>
      <c r="BF33" s="684"/>
      <c r="BG33" s="660"/>
      <c r="BH33" s="901"/>
      <c r="BI33" s="902"/>
      <c r="BJ33" s="1508"/>
      <c r="BK33" s="661"/>
      <c r="BL33" s="662"/>
      <c r="BM33" s="663"/>
      <c r="BN33" s="664"/>
      <c r="BO33" s="616" t="str">
        <f>IF(ISERROR(CU33),"",IF(CU33="","",IF(VLOOKUP(BG33,#REF!,10,FALSE)="","","X")))</f>
        <v/>
      </c>
      <c r="BP33" s="687"/>
      <c r="BQ33" s="1430" t="str">
        <f t="shared" si="21"/>
        <v/>
      </c>
      <c r="BR33" s="839"/>
      <c r="BS33" s="660"/>
      <c r="BT33" s="661"/>
      <c r="BU33" s="662"/>
      <c r="BV33" s="1508"/>
      <c r="BW33" s="661"/>
      <c r="BX33" s="662"/>
      <c r="BY33" s="663"/>
      <c r="BZ33" s="664"/>
      <c r="CA33" s="625" t="str">
        <f>IF(ISERROR(DE33),"",IF(DE33="","",IF(VLOOKUP(BS33,#REF!,10,FALSE)="","","X")))</f>
        <v/>
      </c>
      <c r="CB33" s="687"/>
      <c r="CC33" s="1430" t="str">
        <f t="shared" si="22"/>
        <v/>
      </c>
      <c r="CD33" s="839"/>
      <c r="CE33" s="665"/>
      <c r="CF33" s="685"/>
      <c r="CG33" s="686"/>
      <c r="CH33" s="534" t="str">
        <f t="shared" si="23"/>
        <v/>
      </c>
      <c r="CI33" s="535" t="str">
        <f t="shared" si="24"/>
        <v/>
      </c>
      <c r="CJ33" s="536" t="str">
        <f t="shared" si="25"/>
        <v/>
      </c>
      <c r="CK33" s="537" t="str">
        <f t="shared" si="26"/>
        <v/>
      </c>
      <c r="CL33" s="538" t="str">
        <f t="shared" si="27"/>
        <v/>
      </c>
      <c r="CM33" s="539" t="str">
        <f t="shared" si="28"/>
        <v/>
      </c>
      <c r="CN33" s="540" t="str">
        <f t="shared" si="29"/>
        <v/>
      </c>
      <c r="CO33" s="541" t="str">
        <f t="shared" si="30"/>
        <v/>
      </c>
      <c r="CP33" s="558" t="str">
        <f t="shared" si="31"/>
        <v/>
      </c>
      <c r="CQ33" s="559" t="str">
        <f t="shared" si="32"/>
        <v/>
      </c>
      <c r="CR33" s="699" t="str">
        <f t="shared" si="33"/>
        <v/>
      </c>
      <c r="CS33" s="700" t="str">
        <f t="shared" si="34"/>
        <v/>
      </c>
      <c r="CU33" s="758" t="str">
        <f>IF(BG33="","",VLOOKUP(BG33,#REF!,12,FALSE))</f>
        <v/>
      </c>
      <c r="CV33" s="756" t="str">
        <f>IF(BG33="","",IF(ISBLANK(BP33),VLOOKUP(BG33,#REF!,13,FALSE),BP33))</f>
        <v/>
      </c>
      <c r="CW33" s="756" t="str">
        <f>IF(BG33="","",IF(VLOOKUP(BG33,#REF!,5,FALSE)="","R",UPPER(VLOOKUP(BG33,#REF!,5,FALSE))))</f>
        <v/>
      </c>
      <c r="CX33" s="756" t="str">
        <f>IF(BG33="","",IF(ISBLANK(BR33),VLOOKUP(BG33,#REF!,6,FALSE),BR33))</f>
        <v/>
      </c>
      <c r="CY33" s="1203" t="str">
        <f>IF(BG33="","",IF(VLOOKUP(BG33,#REF!,10,FALSE)="","",(IF(BO33="X",VLOOKUP(BG33,#REF!,10,FALSE),VALUE(BO33))*-1)))</f>
        <v/>
      </c>
      <c r="CZ33" s="1042" t="str">
        <f>IF(BG33="","",IF(VLOOKUP(BG33,#REF!,11,FALSE)="","2",(VLOOKUP(BG33,#REF!,11,FALSE))))</f>
        <v/>
      </c>
      <c r="DA33" s="756" t="str">
        <f>IF(BG33="","",IF(VLOOKUP(BG33,#REF!,7,FALSE)="","",(VLOOKUP(BG33,#REF!,7,FALSE)*-1)))</f>
        <v/>
      </c>
      <c r="DB33" s="756" t="str">
        <f>IF(BG33="","",IF(VLOOKUP(BG33,#REF!,8,FALSE)="",VLOOKUP(AU33,$DF$2:$DN$9,6,FALSE),(VLOOKUP(BG33,#REF!,8,FALSE))))</f>
        <v/>
      </c>
      <c r="DC33" s="756" t="str">
        <f>IF(BG33="","",VLOOKUP(BG33,#REF!,9,FALSE))</f>
        <v/>
      </c>
      <c r="DD33" s="757">
        <f t="shared" si="35"/>
        <v>0</v>
      </c>
      <c r="DE33" s="758" t="str">
        <f>IF(BS33="","",VLOOKUP(BS33,#REF!,12,FALSE))</f>
        <v/>
      </c>
      <c r="DF33" s="756" t="str">
        <f>IF(BS33="","",IF(ISBLANK(CB33),VLOOKUP(BS33,#REF!,13,FALSE),CB33))</f>
        <v/>
      </c>
      <c r="DG33" s="756" t="str">
        <f>IF(BS33="","",IF(VLOOKUP(BS33,#REF!,5,FALSE)="","R",UPPER(VLOOKUP(BS33,#REF!,5,FALSE))))</f>
        <v/>
      </c>
      <c r="DH33" s="756" t="str">
        <f>IF(BS33="","",IF(ISBLANK(CD33),VLOOKUP(BS33,#REF!,6,FALSE),CD33))</f>
        <v/>
      </c>
      <c r="DI33" s="1203" t="str">
        <f>IF(BS33="","",IF(VLOOKUP(BS33,#REF!,10,FALSE)="","",(IF(CA33="X",VLOOKUP(BS33,#REF!,10,FALSE),VALUE(CA33))*-1)))</f>
        <v/>
      </c>
      <c r="DJ33" s="1042" t="str">
        <f>IF(BS33="","",IF(VLOOKUP(BS33,#REF!,11,FALSE)="","2",(VLOOKUP(BS33,#REF!,11,FALSE))))</f>
        <v/>
      </c>
      <c r="DK33" s="756" t="str">
        <f>IF(BS33="","",IF(VLOOKUP(BS33,#REF!,7,FALSE)="","",(VLOOKUP(BS33,#REF!,7,FALSE)*-1)))</f>
        <v/>
      </c>
      <c r="DL33" s="756" t="str">
        <f>IF(BS33="","",IF(VLOOKUP(BS33,#REF!,8,FALSE)="",VLOOKUP(AU33,$DF$2:$DN$9,6,FALSE),(VLOOKUP(BS33,#REF!,8,FALSE))))</f>
        <v/>
      </c>
      <c r="DM33" s="756" t="str">
        <f>IF(BS33="","",VLOOKUP(BS33,#REF!,9,FALSE))</f>
        <v/>
      </c>
      <c r="DN33" s="757">
        <f t="shared" si="36"/>
        <v>0</v>
      </c>
      <c r="DO33" s="759">
        <f t="shared" si="37"/>
        <v>0</v>
      </c>
      <c r="DP33" s="763" t="str">
        <f t="shared" si="38"/>
        <v/>
      </c>
      <c r="DQ33" s="763" t="str">
        <f t="shared" si="39"/>
        <v/>
      </c>
      <c r="DR33" s="763" t="str">
        <f t="shared" si="40"/>
        <v/>
      </c>
      <c r="DS33" s="762">
        <f t="shared" si="41"/>
        <v>0</v>
      </c>
      <c r="DT33" s="762" t="e">
        <f t="shared" si="42"/>
        <v>#REF!</v>
      </c>
      <c r="DU33" s="762" t="str">
        <f t="shared" si="43"/>
        <v/>
      </c>
      <c r="DV33" s="763" t="str">
        <f t="shared" si="44"/>
        <v/>
      </c>
      <c r="DW33" s="795" t="str">
        <f t="shared" si="45"/>
        <v/>
      </c>
      <c r="DX33" s="926">
        <f t="shared" si="46"/>
        <v>0</v>
      </c>
      <c r="DY33" s="763">
        <f t="shared" si="47"/>
        <v>0</v>
      </c>
      <c r="DZ33" s="762" t="e">
        <f t="shared" si="48"/>
        <v>#REF!</v>
      </c>
      <c r="EA33" s="762" t="str">
        <f t="shared" si="49"/>
        <v/>
      </c>
      <c r="EB33" s="763" t="str">
        <f t="shared" si="50"/>
        <v/>
      </c>
      <c r="EC33" s="795" t="str">
        <f t="shared" si="51"/>
        <v/>
      </c>
      <c r="ED33" s="926">
        <f t="shared" si="52"/>
        <v>0</v>
      </c>
      <c r="EE33" s="1210" t="str">
        <f t="shared" si="53"/>
        <v/>
      </c>
      <c r="EF33" s="1210" t="str">
        <f t="shared" si="54"/>
        <v/>
      </c>
      <c r="EG33" s="1210" t="str">
        <f t="shared" si="55"/>
        <v/>
      </c>
      <c r="EH33" s="795" t="e">
        <f t="shared" si="56"/>
        <v>#N/A</v>
      </c>
      <c r="EI33" s="795" t="e">
        <f t="shared" si="57"/>
        <v>#N/A</v>
      </c>
      <c r="EJ33" s="763" t="str">
        <f t="shared" si="58"/>
        <v/>
      </c>
      <c r="EK33" s="763" t="str">
        <f t="shared" si="58"/>
        <v/>
      </c>
      <c r="EL33" s="1210" t="str">
        <f t="shared" si="59"/>
        <v/>
      </c>
      <c r="EM33" s="763" t="str">
        <f t="shared" si="60"/>
        <v/>
      </c>
      <c r="EN33" s="763" t="str">
        <f t="shared" si="61"/>
        <v/>
      </c>
      <c r="EO33" s="795" t="e">
        <f t="shared" si="62"/>
        <v>#N/A</v>
      </c>
      <c r="EP33" s="795" t="e">
        <f t="shared" si="63"/>
        <v>#N/A</v>
      </c>
      <c r="EQ33" s="1210" t="str">
        <f t="shared" si="64"/>
        <v/>
      </c>
      <c r="ER33" s="763" t="str">
        <f t="shared" si="64"/>
        <v/>
      </c>
      <c r="ES33" s="763" t="str">
        <f t="shared" si="65"/>
        <v/>
      </c>
      <c r="ET33" s="763" t="str">
        <f t="shared" si="66"/>
        <v/>
      </c>
      <c r="EU33" s="770" t="str">
        <f t="shared" si="67"/>
        <v/>
      </c>
      <c r="EV33" s="765" t="str">
        <f t="shared" si="68"/>
        <v/>
      </c>
      <c r="EW33" s="770"/>
      <c r="EX33" s="770" t="str">
        <f>IF(AND(CU33="G", ISBLANK(BK33), ISBLANK(BL33)),VLOOKUP(MIN(BH33:BI33),#REF!,2),IF(OR(CU33="B",CU33="G"),MIN(BK33:BL33),""))</f>
        <v/>
      </c>
      <c r="EY33" s="770" t="str">
        <f>IF(AND(CU33="G", ISBLANK(BK33), ISBLANK(BL33)),VLOOKUP(MAX(BH33:BI33),#REF!,2),IF(OR(CU33="B",CU33="G"),MAX(BK33:BL33),""))</f>
        <v/>
      </c>
      <c r="EZ33" s="770" t="str">
        <f t="shared" si="69"/>
        <v/>
      </c>
      <c r="FA33" s="770" t="str">
        <f>IF(AND(DE33="G", ISBLANK(BW33), ISBLANK(BX33)),VLOOKUP(MIN(BT33:BU33),#REF!,2),IF(OR(DE33="B", DE33="G"),MIN(BW33:BX33),""))</f>
        <v/>
      </c>
      <c r="FB33" s="770" t="str">
        <f>IF(AND(DE33="G", ISBLANK(BW33), ISBLANK(BX33)),VLOOKUP(MAX(BT33:BU33),#REF!,2),IF(OR(DE33="B", DE33="G"),MAX(BW33:BX33),""))</f>
        <v/>
      </c>
      <c r="FC33" s="770" t="str">
        <f t="shared" si="70"/>
        <v/>
      </c>
      <c r="FD33" s="762">
        <f t="shared" si="97"/>
        <v>0</v>
      </c>
      <c r="FE33" s="762">
        <f t="shared" si="71"/>
        <v>0</v>
      </c>
      <c r="FF33" s="762">
        <f t="shared" si="72"/>
        <v>0</v>
      </c>
      <c r="FG33" s="762" t="str">
        <f t="shared" si="73"/>
        <v/>
      </c>
      <c r="FH33" s="763" t="str">
        <f t="shared" si="74"/>
        <v/>
      </c>
      <c r="FI33" s="762">
        <f t="shared" si="98"/>
        <v>0</v>
      </c>
      <c r="FJ33" s="762">
        <f t="shared" si="75"/>
        <v>0</v>
      </c>
      <c r="FK33" s="762">
        <f t="shared" si="76"/>
        <v>0</v>
      </c>
      <c r="FL33" s="762" t="str">
        <f t="shared" si="77"/>
        <v/>
      </c>
      <c r="FM33" s="763" t="str">
        <f t="shared" si="78"/>
        <v/>
      </c>
      <c r="FN33" s="763" t="e">
        <f t="shared" si="79"/>
        <v>#VALUE!</v>
      </c>
      <c r="FO33" s="872" t="e">
        <f t="shared" si="80"/>
        <v>#VALUE!</v>
      </c>
      <c r="FP33" s="872" t="e">
        <f t="shared" si="81"/>
        <v>#VALUE!</v>
      </c>
      <c r="FQ33" s="771" t="e">
        <f t="shared" si="82"/>
        <v>#VALUE!</v>
      </c>
      <c r="FR33" s="772" t="e">
        <f t="shared" si="83"/>
        <v>#VALUE!</v>
      </c>
      <c r="FS33" s="773" t="str">
        <f t="shared" si="84"/>
        <v/>
      </c>
      <c r="FT33" s="774" t="str">
        <f t="shared" si="85"/>
        <v/>
      </c>
      <c r="FU33" s="809">
        <f t="shared" si="86"/>
        <v>0</v>
      </c>
      <c r="FV33" s="810">
        <f t="shared" si="87"/>
        <v>0</v>
      </c>
      <c r="GA33" s="542" t="str">
        <f t="shared" si="88"/>
        <v/>
      </c>
      <c r="GB33" s="562" t="str">
        <f t="shared" si="89"/>
        <v/>
      </c>
      <c r="GC33" s="564" t="str">
        <f t="shared" si="90"/>
        <v/>
      </c>
      <c r="GD33" s="565" t="str">
        <f t="shared" si="91"/>
        <v/>
      </c>
      <c r="GE33" s="563" t="str">
        <f t="shared" si="92"/>
        <v/>
      </c>
      <c r="GF33" s="543" t="str">
        <f t="shared" si="93"/>
        <v/>
      </c>
      <c r="GG33" s="1052"/>
      <c r="GH33" s="1053"/>
      <c r="GI33" s="1052"/>
      <c r="GJ33" s="1053"/>
      <c r="GK33" s="1521">
        <f t="shared" si="94"/>
        <v>0</v>
      </c>
      <c r="GL33" s="1519" t="e">
        <f t="shared" si="95"/>
        <v>#VALUE!</v>
      </c>
      <c r="GM33" s="1520" t="e">
        <f>IF(ABS(GK33-GL33)&gt;=#REF!,ABS(GK33-GL33),0)</f>
        <v>#VALUE!</v>
      </c>
      <c r="HA33" s="1187"/>
      <c r="HB33" s="1188"/>
      <c r="HC33" s="1188"/>
      <c r="HD33" s="1189"/>
      <c r="HE33" s="1190"/>
      <c r="HF33" s="1188"/>
      <c r="HG33" s="1188"/>
      <c r="HH33" s="1188"/>
      <c r="HI33" s="1191"/>
      <c r="HJ33" s="1188"/>
      <c r="HK33" s="1188"/>
      <c r="HL33" s="1188"/>
      <c r="HM33" s="1188"/>
      <c r="HN33" s="1188"/>
      <c r="HO33" s="1188"/>
      <c r="HP33" s="1188"/>
      <c r="HQ33" s="1191"/>
      <c r="HR33" s="1188"/>
      <c r="HS33" s="1188"/>
      <c r="HT33" s="1188"/>
      <c r="HU33" s="1188"/>
      <c r="HV33" s="1188"/>
      <c r="HW33" s="1190"/>
      <c r="HX33" s="1190"/>
      <c r="HY33" s="1190"/>
      <c r="HZ33" s="1190"/>
      <c r="IA33" s="1190"/>
      <c r="IB33" s="1190"/>
      <c r="IC33" s="1190"/>
      <c r="ID33" s="1190"/>
      <c r="IE33" s="1190"/>
      <c r="IF33" s="1192"/>
    </row>
    <row r="34" spans="1:240" ht="12.6" customHeight="1" x14ac:dyDescent="0.25">
      <c r="A34" s="1132"/>
      <c r="B34" s="1586"/>
      <c r="C34" s="1133"/>
      <c r="D34" s="1134"/>
      <c r="E34" s="1135"/>
      <c r="F34" s="1143"/>
      <c r="G34" s="1138"/>
      <c r="H34" s="1645"/>
      <c r="I34" s="1134"/>
      <c r="J34" s="1138"/>
      <c r="K34" s="1657"/>
      <c r="L34" s="1141"/>
      <c r="M34" s="1142"/>
      <c r="N34" s="1137"/>
      <c r="O34" s="1138"/>
      <c r="P34" s="1139"/>
      <c r="Q34" s="1134"/>
      <c r="R34" s="1138"/>
      <c r="S34" s="1140"/>
      <c r="T34" s="1143"/>
      <c r="U34" s="1138"/>
      <c r="V34" s="1134"/>
      <c r="W34" s="1138"/>
      <c r="X34" s="1142"/>
      <c r="Y34" s="1647"/>
      <c r="Z34" s="1648"/>
      <c r="AA34" s="1649"/>
      <c r="AB34" s="1288"/>
      <c r="AC34" s="898" t="b">
        <v>0</v>
      </c>
      <c r="AD34" s="374">
        <f t="shared" si="1"/>
        <v>0</v>
      </c>
      <c r="AE34" s="375">
        <f t="shared" si="2"/>
        <v>0</v>
      </c>
      <c r="AF34" s="375">
        <f t="shared" si="3"/>
        <v>0</v>
      </c>
      <c r="AG34" s="375">
        <f t="shared" si="4"/>
        <v>0</v>
      </c>
      <c r="AH34" s="376">
        <f t="shared" si="5"/>
        <v>0</v>
      </c>
      <c r="AI34" s="377" t="b">
        <v>0</v>
      </c>
      <c r="AJ34" s="143">
        <f t="shared" si="6"/>
        <v>0</v>
      </c>
      <c r="AK34" s="771" t="str">
        <f t="shared" si="7"/>
        <v/>
      </c>
      <c r="AL34" s="877" t="str">
        <f t="shared" si="8"/>
        <v/>
      </c>
      <c r="AM34" s="771" t="str">
        <f t="shared" si="9"/>
        <v/>
      </c>
      <c r="AN34" s="771" t="str">
        <f t="shared" si="10"/>
        <v/>
      </c>
      <c r="AO34" s="771" t="str">
        <f t="shared" si="11"/>
        <v/>
      </c>
      <c r="AP34" s="771" t="b">
        <f>IF(ISERROR(AJ34),FALSE,IF(OR(AJ34=0,ISERROR(AL34),ISERROR(AM34),ISERROR(AN34),ISERROR(AO34)),FALSE,IF(AL34&lt;&gt;"",IF(ISERROR(VLOOKUP(SUBSTITUTE(SUBSTITUTE(C34,"R",""),"A",""),#REF!,1,FALSE)),FALSE,TRUE),TRUE)))</f>
        <v>0</v>
      </c>
      <c r="AQ34" s="945" t="e">
        <f t="shared" si="12"/>
        <v>#N/A</v>
      </c>
      <c r="AR34" s="877" t="b">
        <f t="shared" si="13"/>
        <v>0</v>
      </c>
      <c r="AS34" s="945" t="e">
        <f t="shared" si="14"/>
        <v>#N/A</v>
      </c>
      <c r="AT34" s="877" t="b">
        <f t="shared" si="15"/>
        <v>0</v>
      </c>
      <c r="AU34" s="878" t="str">
        <f t="shared" si="16"/>
        <v/>
      </c>
      <c r="AV34" s="771" t="str">
        <f t="shared" si="17"/>
        <v/>
      </c>
      <c r="AW34" s="771" t="str">
        <f t="shared" si="18"/>
        <v/>
      </c>
      <c r="AX34" s="771" t="str">
        <f t="shared" si="96"/>
        <v/>
      </c>
      <c r="AY34" s="946" t="e">
        <f t="shared" si="19"/>
        <v>#REF!</v>
      </c>
      <c r="AZ34" s="795" t="str">
        <f t="shared" si="20"/>
        <v/>
      </c>
      <c r="BA34" s="496"/>
      <c r="BB34" s="616"/>
      <c r="BC34" s="1567"/>
      <c r="BD34" s="682"/>
      <c r="BE34" s="683"/>
      <c r="BF34" s="684"/>
      <c r="BG34" s="660"/>
      <c r="BH34" s="901"/>
      <c r="BI34" s="902"/>
      <c r="BJ34" s="1508"/>
      <c r="BK34" s="661"/>
      <c r="BL34" s="662"/>
      <c r="BM34" s="663"/>
      <c r="BN34" s="664"/>
      <c r="BO34" s="616" t="str">
        <f>IF(ISERROR(CU34),"",IF(CU34="","",IF(VLOOKUP(BG34,#REF!,10,FALSE)="","","X")))</f>
        <v/>
      </c>
      <c r="BP34" s="687"/>
      <c r="BQ34" s="1430" t="str">
        <f t="shared" si="21"/>
        <v/>
      </c>
      <c r="BR34" s="839"/>
      <c r="BS34" s="660"/>
      <c r="BT34" s="661"/>
      <c r="BU34" s="662"/>
      <c r="BV34" s="1508"/>
      <c r="BW34" s="661"/>
      <c r="BX34" s="662"/>
      <c r="BY34" s="663"/>
      <c r="BZ34" s="664"/>
      <c r="CA34" s="625" t="str">
        <f>IF(ISERROR(DE34),"",IF(DE34="","",IF(VLOOKUP(BS34,#REF!,10,FALSE)="","","X")))</f>
        <v/>
      </c>
      <c r="CB34" s="687"/>
      <c r="CC34" s="1430" t="str">
        <f t="shared" si="22"/>
        <v/>
      </c>
      <c r="CD34" s="839"/>
      <c r="CE34" s="665"/>
      <c r="CF34" s="685"/>
      <c r="CG34" s="686"/>
      <c r="CH34" s="534" t="str">
        <f t="shared" si="23"/>
        <v/>
      </c>
      <c r="CI34" s="535" t="str">
        <f t="shared" si="24"/>
        <v/>
      </c>
      <c r="CJ34" s="536" t="str">
        <f t="shared" si="25"/>
        <v/>
      </c>
      <c r="CK34" s="537" t="str">
        <f t="shared" si="26"/>
        <v/>
      </c>
      <c r="CL34" s="538" t="str">
        <f t="shared" si="27"/>
        <v/>
      </c>
      <c r="CM34" s="539" t="str">
        <f t="shared" si="28"/>
        <v/>
      </c>
      <c r="CN34" s="540" t="str">
        <f t="shared" si="29"/>
        <v/>
      </c>
      <c r="CO34" s="541" t="str">
        <f t="shared" si="30"/>
        <v/>
      </c>
      <c r="CP34" s="558" t="str">
        <f t="shared" si="31"/>
        <v/>
      </c>
      <c r="CQ34" s="559" t="str">
        <f t="shared" si="32"/>
        <v/>
      </c>
      <c r="CR34" s="699" t="str">
        <f t="shared" si="33"/>
        <v/>
      </c>
      <c r="CS34" s="700" t="str">
        <f t="shared" si="34"/>
        <v/>
      </c>
      <c r="CU34" s="758" t="str">
        <f>IF(BG34="","",VLOOKUP(BG34,#REF!,12,FALSE))</f>
        <v/>
      </c>
      <c r="CV34" s="756" t="str">
        <f>IF(BG34="","",IF(ISBLANK(BP34),VLOOKUP(BG34,#REF!,13,FALSE),BP34))</f>
        <v/>
      </c>
      <c r="CW34" s="756" t="str">
        <f>IF(BG34="","",IF(VLOOKUP(BG34,#REF!,5,FALSE)="","R",UPPER(VLOOKUP(BG34,#REF!,5,FALSE))))</f>
        <v/>
      </c>
      <c r="CX34" s="756" t="str">
        <f>IF(BG34="","",IF(ISBLANK(BR34),VLOOKUP(BG34,#REF!,6,FALSE),BR34))</f>
        <v/>
      </c>
      <c r="CY34" s="1203" t="str">
        <f>IF(BG34="","",IF(VLOOKUP(BG34,#REF!,10,FALSE)="","",(IF(BO34="X",VLOOKUP(BG34,#REF!,10,FALSE),VALUE(BO34))*-1)))</f>
        <v/>
      </c>
      <c r="CZ34" s="1042" t="str">
        <f>IF(BG34="","",IF(VLOOKUP(BG34,#REF!,11,FALSE)="","2",(VLOOKUP(BG34,#REF!,11,FALSE))))</f>
        <v/>
      </c>
      <c r="DA34" s="756" t="str">
        <f>IF(BG34="","",IF(VLOOKUP(BG34,#REF!,7,FALSE)="","",(VLOOKUP(BG34,#REF!,7,FALSE)*-1)))</f>
        <v/>
      </c>
      <c r="DB34" s="756" t="str">
        <f>IF(BG34="","",IF(VLOOKUP(BG34,#REF!,8,FALSE)="",VLOOKUP(AU34,$DF$2:$DN$9,6,FALSE),(VLOOKUP(BG34,#REF!,8,FALSE))))</f>
        <v/>
      </c>
      <c r="DC34" s="756" t="str">
        <f>IF(BG34="","",VLOOKUP(BG34,#REF!,9,FALSE))</f>
        <v/>
      </c>
      <c r="DD34" s="757">
        <f t="shared" si="35"/>
        <v>0</v>
      </c>
      <c r="DE34" s="758" t="str">
        <f>IF(BS34="","",VLOOKUP(BS34,#REF!,12,FALSE))</f>
        <v/>
      </c>
      <c r="DF34" s="756" t="str">
        <f>IF(BS34="","",IF(ISBLANK(CB34),VLOOKUP(BS34,#REF!,13,FALSE),CB34))</f>
        <v/>
      </c>
      <c r="DG34" s="756" t="str">
        <f>IF(BS34="","",IF(VLOOKUP(BS34,#REF!,5,FALSE)="","R",UPPER(VLOOKUP(BS34,#REF!,5,FALSE))))</f>
        <v/>
      </c>
      <c r="DH34" s="756" t="str">
        <f>IF(BS34="","",IF(ISBLANK(CD34),VLOOKUP(BS34,#REF!,6,FALSE),CD34))</f>
        <v/>
      </c>
      <c r="DI34" s="1203" t="str">
        <f>IF(BS34="","",IF(VLOOKUP(BS34,#REF!,10,FALSE)="","",(IF(CA34="X",VLOOKUP(BS34,#REF!,10,FALSE),VALUE(CA34))*-1)))</f>
        <v/>
      </c>
      <c r="DJ34" s="1042" t="str">
        <f>IF(BS34="","",IF(VLOOKUP(BS34,#REF!,11,FALSE)="","2",(VLOOKUP(BS34,#REF!,11,FALSE))))</f>
        <v/>
      </c>
      <c r="DK34" s="756" t="str">
        <f>IF(BS34="","",IF(VLOOKUP(BS34,#REF!,7,FALSE)="","",(VLOOKUP(BS34,#REF!,7,FALSE)*-1)))</f>
        <v/>
      </c>
      <c r="DL34" s="756" t="str">
        <f>IF(BS34="","",IF(VLOOKUP(BS34,#REF!,8,FALSE)="",VLOOKUP(AU34,$DF$2:$DN$9,6,FALSE),(VLOOKUP(BS34,#REF!,8,FALSE))))</f>
        <v/>
      </c>
      <c r="DM34" s="756" t="str">
        <f>IF(BS34="","",VLOOKUP(BS34,#REF!,9,FALSE))</f>
        <v/>
      </c>
      <c r="DN34" s="757">
        <f t="shared" si="36"/>
        <v>0</v>
      </c>
      <c r="DO34" s="759">
        <f t="shared" si="37"/>
        <v>0</v>
      </c>
      <c r="DP34" s="763" t="str">
        <f t="shared" si="38"/>
        <v/>
      </c>
      <c r="DQ34" s="763" t="str">
        <f t="shared" si="39"/>
        <v/>
      </c>
      <c r="DR34" s="763" t="str">
        <f t="shared" si="40"/>
        <v/>
      </c>
      <c r="DS34" s="762">
        <f t="shared" si="41"/>
        <v>0</v>
      </c>
      <c r="DT34" s="762" t="e">
        <f t="shared" si="42"/>
        <v>#REF!</v>
      </c>
      <c r="DU34" s="762" t="str">
        <f t="shared" si="43"/>
        <v/>
      </c>
      <c r="DV34" s="763" t="str">
        <f t="shared" si="44"/>
        <v/>
      </c>
      <c r="DW34" s="795" t="str">
        <f t="shared" si="45"/>
        <v/>
      </c>
      <c r="DX34" s="926">
        <f t="shared" si="46"/>
        <v>0</v>
      </c>
      <c r="DY34" s="763">
        <f t="shared" si="47"/>
        <v>0</v>
      </c>
      <c r="DZ34" s="762" t="e">
        <f t="shared" si="48"/>
        <v>#REF!</v>
      </c>
      <c r="EA34" s="762" t="str">
        <f t="shared" si="49"/>
        <v/>
      </c>
      <c r="EB34" s="763" t="str">
        <f t="shared" si="50"/>
        <v/>
      </c>
      <c r="EC34" s="795" t="str">
        <f t="shared" si="51"/>
        <v/>
      </c>
      <c r="ED34" s="926">
        <f t="shared" si="52"/>
        <v>0</v>
      </c>
      <c r="EE34" s="1210" t="str">
        <f t="shared" si="53"/>
        <v/>
      </c>
      <c r="EF34" s="1210" t="str">
        <f t="shared" si="54"/>
        <v/>
      </c>
      <c r="EG34" s="1210" t="str">
        <f t="shared" si="55"/>
        <v/>
      </c>
      <c r="EH34" s="795" t="e">
        <f t="shared" si="56"/>
        <v>#N/A</v>
      </c>
      <c r="EI34" s="795" t="e">
        <f t="shared" si="57"/>
        <v>#N/A</v>
      </c>
      <c r="EJ34" s="763" t="str">
        <f t="shared" si="58"/>
        <v/>
      </c>
      <c r="EK34" s="763" t="str">
        <f t="shared" si="58"/>
        <v/>
      </c>
      <c r="EL34" s="1210" t="str">
        <f t="shared" si="59"/>
        <v/>
      </c>
      <c r="EM34" s="763" t="str">
        <f t="shared" si="60"/>
        <v/>
      </c>
      <c r="EN34" s="763" t="str">
        <f t="shared" si="61"/>
        <v/>
      </c>
      <c r="EO34" s="795" t="e">
        <f t="shared" si="62"/>
        <v>#N/A</v>
      </c>
      <c r="EP34" s="795" t="e">
        <f t="shared" si="63"/>
        <v>#N/A</v>
      </c>
      <c r="EQ34" s="1210" t="str">
        <f t="shared" si="64"/>
        <v/>
      </c>
      <c r="ER34" s="763" t="str">
        <f t="shared" si="64"/>
        <v/>
      </c>
      <c r="ES34" s="763" t="str">
        <f t="shared" si="65"/>
        <v/>
      </c>
      <c r="ET34" s="763" t="str">
        <f t="shared" si="66"/>
        <v/>
      </c>
      <c r="EU34" s="770" t="str">
        <f t="shared" si="67"/>
        <v/>
      </c>
      <c r="EV34" s="765" t="str">
        <f t="shared" si="68"/>
        <v/>
      </c>
      <c r="EW34" s="770"/>
      <c r="EX34" s="770" t="str">
        <f>IF(AND(CU34="G", ISBLANK(BK34), ISBLANK(BL34)),VLOOKUP(MIN(BH34:BI34),#REF!,2),IF(OR(CU34="B",CU34="G"),MIN(BK34:BL34),""))</f>
        <v/>
      </c>
      <c r="EY34" s="770" t="str">
        <f>IF(AND(CU34="G", ISBLANK(BK34), ISBLANK(BL34)),VLOOKUP(MAX(BH34:BI34),#REF!,2),IF(OR(CU34="B",CU34="G"),MAX(BK34:BL34),""))</f>
        <v/>
      </c>
      <c r="EZ34" s="770" t="str">
        <f t="shared" si="69"/>
        <v/>
      </c>
      <c r="FA34" s="770" t="str">
        <f>IF(AND(DE34="G", ISBLANK(BW34), ISBLANK(BX34)),VLOOKUP(MIN(BT34:BU34),#REF!,2),IF(OR(DE34="B", DE34="G"),MIN(BW34:BX34),""))</f>
        <v/>
      </c>
      <c r="FB34" s="770" t="str">
        <f>IF(AND(DE34="G", ISBLANK(BW34), ISBLANK(BX34)),VLOOKUP(MAX(BT34:BU34),#REF!,2),IF(OR(DE34="B", DE34="G"),MAX(BW34:BX34),""))</f>
        <v/>
      </c>
      <c r="FC34" s="770" t="str">
        <f t="shared" si="70"/>
        <v/>
      </c>
      <c r="FD34" s="762">
        <f t="shared" si="97"/>
        <v>0</v>
      </c>
      <c r="FE34" s="762">
        <f t="shared" si="71"/>
        <v>0</v>
      </c>
      <c r="FF34" s="762">
        <f t="shared" si="72"/>
        <v>0</v>
      </c>
      <c r="FG34" s="762" t="str">
        <f t="shared" si="73"/>
        <v/>
      </c>
      <c r="FH34" s="763" t="str">
        <f t="shared" si="74"/>
        <v/>
      </c>
      <c r="FI34" s="762">
        <f t="shared" si="98"/>
        <v>0</v>
      </c>
      <c r="FJ34" s="762">
        <f t="shared" si="75"/>
        <v>0</v>
      </c>
      <c r="FK34" s="762">
        <f t="shared" si="76"/>
        <v>0</v>
      </c>
      <c r="FL34" s="762" t="str">
        <f t="shared" si="77"/>
        <v/>
      </c>
      <c r="FM34" s="763" t="str">
        <f t="shared" si="78"/>
        <v/>
      </c>
      <c r="FN34" s="763" t="e">
        <f t="shared" si="79"/>
        <v>#VALUE!</v>
      </c>
      <c r="FO34" s="872" t="e">
        <f t="shared" si="80"/>
        <v>#VALUE!</v>
      </c>
      <c r="FP34" s="872" t="e">
        <f t="shared" si="81"/>
        <v>#VALUE!</v>
      </c>
      <c r="FQ34" s="771" t="e">
        <f t="shared" si="82"/>
        <v>#VALUE!</v>
      </c>
      <c r="FR34" s="772" t="e">
        <f t="shared" si="83"/>
        <v>#VALUE!</v>
      </c>
      <c r="FS34" s="773" t="str">
        <f t="shared" si="84"/>
        <v/>
      </c>
      <c r="FT34" s="774" t="str">
        <f t="shared" si="85"/>
        <v/>
      </c>
      <c r="FU34" s="809">
        <f t="shared" si="86"/>
        <v>0</v>
      </c>
      <c r="FV34" s="810">
        <f t="shared" si="87"/>
        <v>0</v>
      </c>
      <c r="GA34" s="542" t="str">
        <f t="shared" si="88"/>
        <v/>
      </c>
      <c r="GB34" s="562" t="str">
        <f t="shared" si="89"/>
        <v/>
      </c>
      <c r="GC34" s="564" t="str">
        <f t="shared" si="90"/>
        <v/>
      </c>
      <c r="GD34" s="565" t="str">
        <f t="shared" si="91"/>
        <v/>
      </c>
      <c r="GE34" s="563" t="str">
        <f t="shared" si="92"/>
        <v/>
      </c>
      <c r="GF34" s="543" t="str">
        <f t="shared" si="93"/>
        <v/>
      </c>
      <c r="GG34" s="1052"/>
      <c r="GH34" s="1053"/>
      <c r="GI34" s="1052"/>
      <c r="GJ34" s="1053"/>
      <c r="GK34" s="1521">
        <f t="shared" si="94"/>
        <v>0</v>
      </c>
      <c r="GL34" s="1519" t="e">
        <f t="shared" si="95"/>
        <v>#VALUE!</v>
      </c>
      <c r="GM34" s="1520" t="e">
        <f>IF(ABS(GK34-GL34)&gt;=#REF!,ABS(GK34-GL34),0)</f>
        <v>#VALUE!</v>
      </c>
      <c r="HA34" s="1187"/>
      <c r="HB34" s="1188"/>
      <c r="HC34" s="1188"/>
      <c r="HD34" s="1189"/>
      <c r="HE34" s="1190"/>
      <c r="HF34" s="1188"/>
      <c r="HG34" s="1188"/>
      <c r="HH34" s="1188"/>
      <c r="HI34" s="1191"/>
      <c r="HJ34" s="1188"/>
      <c r="HK34" s="1188"/>
      <c r="HL34" s="1188"/>
      <c r="HM34" s="1188"/>
      <c r="HN34" s="1188"/>
      <c r="HO34" s="1188"/>
      <c r="HP34" s="1188"/>
      <c r="HQ34" s="1191"/>
      <c r="HR34" s="1188"/>
      <c r="HS34" s="1188"/>
      <c r="HT34" s="1188"/>
      <c r="HU34" s="1188"/>
      <c r="HV34" s="1188"/>
      <c r="HW34" s="1190"/>
      <c r="HX34" s="1190"/>
      <c r="HY34" s="1190"/>
      <c r="HZ34" s="1190"/>
      <c r="IA34" s="1190"/>
      <c r="IB34" s="1190"/>
      <c r="IC34" s="1190"/>
      <c r="ID34" s="1190"/>
      <c r="IE34" s="1190"/>
      <c r="IF34" s="1192"/>
    </row>
    <row r="35" spans="1:240" ht="12.6" customHeight="1" x14ac:dyDescent="0.25">
      <c r="A35" s="1132"/>
      <c r="B35" s="1586"/>
      <c r="C35" s="1133"/>
      <c r="D35" s="1134"/>
      <c r="E35" s="1135"/>
      <c r="F35" s="1143"/>
      <c r="G35" s="1138"/>
      <c r="H35" s="1645"/>
      <c r="I35" s="1134"/>
      <c r="J35" s="1138"/>
      <c r="K35" s="1657"/>
      <c r="L35" s="1141"/>
      <c r="M35" s="1142"/>
      <c r="N35" s="1137"/>
      <c r="O35" s="1138"/>
      <c r="P35" s="1139"/>
      <c r="Q35" s="1134"/>
      <c r="R35" s="1138"/>
      <c r="S35" s="1140"/>
      <c r="T35" s="1143"/>
      <c r="U35" s="1138"/>
      <c r="V35" s="1134"/>
      <c r="W35" s="1138"/>
      <c r="X35" s="1142"/>
      <c r="Y35" s="1647"/>
      <c r="Z35" s="1648"/>
      <c r="AA35" s="1649"/>
      <c r="AB35" s="1288"/>
      <c r="AC35" s="898" t="b">
        <v>0</v>
      </c>
      <c r="AD35" s="374">
        <f t="shared" si="1"/>
        <v>0</v>
      </c>
      <c r="AE35" s="375">
        <f t="shared" si="2"/>
        <v>0</v>
      </c>
      <c r="AF35" s="375">
        <f t="shared" si="3"/>
        <v>0</v>
      </c>
      <c r="AG35" s="375">
        <f t="shared" si="4"/>
        <v>0</v>
      </c>
      <c r="AH35" s="376">
        <f t="shared" si="5"/>
        <v>0</v>
      </c>
      <c r="AI35" s="377" t="b">
        <v>0</v>
      </c>
      <c r="AJ35" s="143">
        <f t="shared" si="6"/>
        <v>0</v>
      </c>
      <c r="AK35" s="771" t="str">
        <f t="shared" si="7"/>
        <v/>
      </c>
      <c r="AL35" s="877" t="str">
        <f t="shared" si="8"/>
        <v/>
      </c>
      <c r="AM35" s="771" t="str">
        <f t="shared" si="9"/>
        <v/>
      </c>
      <c r="AN35" s="771" t="str">
        <f t="shared" si="10"/>
        <v/>
      </c>
      <c r="AO35" s="771" t="str">
        <f t="shared" si="11"/>
        <v/>
      </c>
      <c r="AP35" s="771" t="b">
        <f>IF(ISERROR(AJ35),FALSE,IF(OR(AJ35=0,ISERROR(AL35),ISERROR(AM35),ISERROR(AN35),ISERROR(AO35)),FALSE,IF(AL35&lt;&gt;"",IF(ISERROR(VLOOKUP(SUBSTITUTE(SUBSTITUTE(C35,"R",""),"A",""),#REF!,1,FALSE)),FALSE,TRUE),TRUE)))</f>
        <v>0</v>
      </c>
      <c r="AQ35" s="945" t="e">
        <f t="shared" si="12"/>
        <v>#N/A</v>
      </c>
      <c r="AR35" s="877" t="b">
        <f t="shared" si="13"/>
        <v>0</v>
      </c>
      <c r="AS35" s="945" t="e">
        <f t="shared" si="14"/>
        <v>#N/A</v>
      </c>
      <c r="AT35" s="877" t="b">
        <f t="shared" si="15"/>
        <v>0</v>
      </c>
      <c r="AU35" s="878" t="str">
        <f t="shared" si="16"/>
        <v/>
      </c>
      <c r="AV35" s="771" t="str">
        <f t="shared" si="17"/>
        <v/>
      </c>
      <c r="AW35" s="771" t="str">
        <f t="shared" si="18"/>
        <v/>
      </c>
      <c r="AX35" s="771" t="str">
        <f t="shared" si="96"/>
        <v/>
      </c>
      <c r="AY35" s="946" t="e">
        <f t="shared" si="19"/>
        <v>#REF!</v>
      </c>
      <c r="AZ35" s="795" t="str">
        <f t="shared" si="20"/>
        <v/>
      </c>
      <c r="BA35" s="496"/>
      <c r="BB35" s="616"/>
      <c r="BC35" s="1567"/>
      <c r="BD35" s="682"/>
      <c r="BE35" s="683"/>
      <c r="BF35" s="684"/>
      <c r="BG35" s="660"/>
      <c r="BH35" s="901"/>
      <c r="BI35" s="902"/>
      <c r="BJ35" s="1508"/>
      <c r="BK35" s="661"/>
      <c r="BL35" s="662"/>
      <c r="BM35" s="663"/>
      <c r="BN35" s="664"/>
      <c r="BO35" s="616" t="str">
        <f>IF(ISERROR(CU35),"",IF(CU35="","",IF(VLOOKUP(BG35,#REF!,10,FALSE)="","","X")))</f>
        <v/>
      </c>
      <c r="BP35" s="687"/>
      <c r="BQ35" s="1430" t="str">
        <f t="shared" si="21"/>
        <v/>
      </c>
      <c r="BR35" s="839"/>
      <c r="BS35" s="660"/>
      <c r="BT35" s="661"/>
      <c r="BU35" s="662"/>
      <c r="BV35" s="1508"/>
      <c r="BW35" s="661"/>
      <c r="BX35" s="662"/>
      <c r="BY35" s="663"/>
      <c r="BZ35" s="664"/>
      <c r="CA35" s="625" t="str">
        <f>IF(ISERROR(DE35),"",IF(DE35="","",IF(VLOOKUP(BS35,#REF!,10,FALSE)="","","X")))</f>
        <v/>
      </c>
      <c r="CB35" s="687"/>
      <c r="CC35" s="1430" t="str">
        <f t="shared" si="22"/>
        <v/>
      </c>
      <c r="CD35" s="839"/>
      <c r="CE35" s="665"/>
      <c r="CF35" s="685"/>
      <c r="CG35" s="686"/>
      <c r="CH35" s="534" t="str">
        <f t="shared" si="23"/>
        <v/>
      </c>
      <c r="CI35" s="535" t="str">
        <f t="shared" si="24"/>
        <v/>
      </c>
      <c r="CJ35" s="536" t="str">
        <f t="shared" si="25"/>
        <v/>
      </c>
      <c r="CK35" s="537" t="str">
        <f t="shared" si="26"/>
        <v/>
      </c>
      <c r="CL35" s="538" t="str">
        <f t="shared" si="27"/>
        <v/>
      </c>
      <c r="CM35" s="539" t="str">
        <f t="shared" si="28"/>
        <v/>
      </c>
      <c r="CN35" s="540" t="str">
        <f t="shared" si="29"/>
        <v/>
      </c>
      <c r="CO35" s="541" t="str">
        <f t="shared" si="30"/>
        <v/>
      </c>
      <c r="CP35" s="558" t="str">
        <f t="shared" si="31"/>
        <v/>
      </c>
      <c r="CQ35" s="559" t="str">
        <f t="shared" si="32"/>
        <v/>
      </c>
      <c r="CR35" s="699" t="str">
        <f t="shared" si="33"/>
        <v/>
      </c>
      <c r="CS35" s="700" t="str">
        <f t="shared" si="34"/>
        <v/>
      </c>
      <c r="CU35" s="758" t="str">
        <f>IF(BG35="","",VLOOKUP(BG35,#REF!,12,FALSE))</f>
        <v/>
      </c>
      <c r="CV35" s="756" t="str">
        <f>IF(BG35="","",IF(ISBLANK(BP35),VLOOKUP(BG35,#REF!,13,FALSE),BP35))</f>
        <v/>
      </c>
      <c r="CW35" s="756" t="str">
        <f>IF(BG35="","",IF(VLOOKUP(BG35,#REF!,5,FALSE)="","R",UPPER(VLOOKUP(BG35,#REF!,5,FALSE))))</f>
        <v/>
      </c>
      <c r="CX35" s="756" t="str">
        <f>IF(BG35="","",IF(ISBLANK(BR35),VLOOKUP(BG35,#REF!,6,FALSE),BR35))</f>
        <v/>
      </c>
      <c r="CY35" s="1203" t="str">
        <f>IF(BG35="","",IF(VLOOKUP(BG35,#REF!,10,FALSE)="","",(IF(BO35="X",VLOOKUP(BG35,#REF!,10,FALSE),VALUE(BO35))*-1)))</f>
        <v/>
      </c>
      <c r="CZ35" s="1042" t="str">
        <f>IF(BG35="","",IF(VLOOKUP(BG35,#REF!,11,FALSE)="","2",(VLOOKUP(BG35,#REF!,11,FALSE))))</f>
        <v/>
      </c>
      <c r="DA35" s="756" t="str">
        <f>IF(BG35="","",IF(VLOOKUP(BG35,#REF!,7,FALSE)="","",(VLOOKUP(BG35,#REF!,7,FALSE)*-1)))</f>
        <v/>
      </c>
      <c r="DB35" s="756" t="str">
        <f>IF(BG35="","",IF(VLOOKUP(BG35,#REF!,8,FALSE)="",VLOOKUP(AU35,$DF$2:$DN$9,6,FALSE),(VLOOKUP(BG35,#REF!,8,FALSE))))</f>
        <v/>
      </c>
      <c r="DC35" s="756" t="str">
        <f>IF(BG35="","",VLOOKUP(BG35,#REF!,9,FALSE))</f>
        <v/>
      </c>
      <c r="DD35" s="757">
        <f t="shared" si="35"/>
        <v>0</v>
      </c>
      <c r="DE35" s="758" t="str">
        <f>IF(BS35="","",VLOOKUP(BS35,#REF!,12,FALSE))</f>
        <v/>
      </c>
      <c r="DF35" s="756" t="str">
        <f>IF(BS35="","",IF(ISBLANK(CB35),VLOOKUP(BS35,#REF!,13,FALSE),CB35))</f>
        <v/>
      </c>
      <c r="DG35" s="756" t="str">
        <f>IF(BS35="","",IF(VLOOKUP(BS35,#REF!,5,FALSE)="","R",UPPER(VLOOKUP(BS35,#REF!,5,FALSE))))</f>
        <v/>
      </c>
      <c r="DH35" s="756" t="str">
        <f>IF(BS35="","",IF(ISBLANK(CD35),VLOOKUP(BS35,#REF!,6,FALSE),CD35))</f>
        <v/>
      </c>
      <c r="DI35" s="1203" t="str">
        <f>IF(BS35="","",IF(VLOOKUP(BS35,#REF!,10,FALSE)="","",(IF(CA35="X",VLOOKUP(BS35,#REF!,10,FALSE),VALUE(CA35))*-1)))</f>
        <v/>
      </c>
      <c r="DJ35" s="1042" t="str">
        <f>IF(BS35="","",IF(VLOOKUP(BS35,#REF!,11,FALSE)="","2",(VLOOKUP(BS35,#REF!,11,FALSE))))</f>
        <v/>
      </c>
      <c r="DK35" s="756" t="str">
        <f>IF(BS35="","",IF(VLOOKUP(BS35,#REF!,7,FALSE)="","",(VLOOKUP(BS35,#REF!,7,FALSE)*-1)))</f>
        <v/>
      </c>
      <c r="DL35" s="756" t="str">
        <f>IF(BS35="","",IF(VLOOKUP(BS35,#REF!,8,FALSE)="",VLOOKUP(AU35,$DF$2:$DN$9,6,FALSE),(VLOOKUP(BS35,#REF!,8,FALSE))))</f>
        <v/>
      </c>
      <c r="DM35" s="756" t="str">
        <f>IF(BS35="","",VLOOKUP(BS35,#REF!,9,FALSE))</f>
        <v/>
      </c>
      <c r="DN35" s="757">
        <f t="shared" si="36"/>
        <v>0</v>
      </c>
      <c r="DO35" s="759">
        <f t="shared" si="37"/>
        <v>0</v>
      </c>
      <c r="DP35" s="763" t="str">
        <f t="shared" si="38"/>
        <v/>
      </c>
      <c r="DQ35" s="763" t="str">
        <f t="shared" si="39"/>
        <v/>
      </c>
      <c r="DR35" s="763" t="str">
        <f t="shared" si="40"/>
        <v/>
      </c>
      <c r="DS35" s="762">
        <f t="shared" si="41"/>
        <v>0</v>
      </c>
      <c r="DT35" s="762" t="e">
        <f t="shared" si="42"/>
        <v>#REF!</v>
      </c>
      <c r="DU35" s="762" t="str">
        <f t="shared" si="43"/>
        <v/>
      </c>
      <c r="DV35" s="763" t="str">
        <f t="shared" si="44"/>
        <v/>
      </c>
      <c r="DW35" s="795" t="str">
        <f t="shared" si="45"/>
        <v/>
      </c>
      <c r="DX35" s="926">
        <f t="shared" si="46"/>
        <v>0</v>
      </c>
      <c r="DY35" s="763">
        <f t="shared" si="47"/>
        <v>0</v>
      </c>
      <c r="DZ35" s="762" t="e">
        <f t="shared" si="48"/>
        <v>#REF!</v>
      </c>
      <c r="EA35" s="762" t="str">
        <f t="shared" si="49"/>
        <v/>
      </c>
      <c r="EB35" s="763" t="str">
        <f t="shared" si="50"/>
        <v/>
      </c>
      <c r="EC35" s="795" t="str">
        <f t="shared" si="51"/>
        <v/>
      </c>
      <c r="ED35" s="926">
        <f t="shared" si="52"/>
        <v>0</v>
      </c>
      <c r="EE35" s="1210" t="str">
        <f t="shared" si="53"/>
        <v/>
      </c>
      <c r="EF35" s="1210" t="str">
        <f t="shared" si="54"/>
        <v/>
      </c>
      <c r="EG35" s="1210" t="str">
        <f t="shared" si="55"/>
        <v/>
      </c>
      <c r="EH35" s="795" t="e">
        <f t="shared" si="56"/>
        <v>#N/A</v>
      </c>
      <c r="EI35" s="795" t="e">
        <f t="shared" si="57"/>
        <v>#N/A</v>
      </c>
      <c r="EJ35" s="763" t="str">
        <f t="shared" si="58"/>
        <v/>
      </c>
      <c r="EK35" s="763" t="str">
        <f t="shared" si="58"/>
        <v/>
      </c>
      <c r="EL35" s="1210" t="str">
        <f t="shared" si="59"/>
        <v/>
      </c>
      <c r="EM35" s="763" t="str">
        <f t="shared" si="60"/>
        <v/>
      </c>
      <c r="EN35" s="763" t="str">
        <f t="shared" si="61"/>
        <v/>
      </c>
      <c r="EO35" s="795" t="e">
        <f t="shared" si="62"/>
        <v>#N/A</v>
      </c>
      <c r="EP35" s="795" t="e">
        <f t="shared" si="63"/>
        <v>#N/A</v>
      </c>
      <c r="EQ35" s="1210" t="str">
        <f t="shared" si="64"/>
        <v/>
      </c>
      <c r="ER35" s="763" t="str">
        <f t="shared" si="64"/>
        <v/>
      </c>
      <c r="ES35" s="763" t="str">
        <f t="shared" si="65"/>
        <v/>
      </c>
      <c r="ET35" s="763" t="str">
        <f t="shared" si="66"/>
        <v/>
      </c>
      <c r="EU35" s="770" t="str">
        <f t="shared" si="67"/>
        <v/>
      </c>
      <c r="EV35" s="765" t="str">
        <f t="shared" si="68"/>
        <v/>
      </c>
      <c r="EW35" s="770"/>
      <c r="EX35" s="770" t="str">
        <f>IF(AND(CU35="G", ISBLANK(BK35), ISBLANK(BL35)),VLOOKUP(MIN(BH35:BI35),#REF!,2),IF(OR(CU35="B",CU35="G"),MIN(BK35:BL35),""))</f>
        <v/>
      </c>
      <c r="EY35" s="770" t="str">
        <f>IF(AND(CU35="G", ISBLANK(BK35), ISBLANK(BL35)),VLOOKUP(MAX(BH35:BI35),#REF!,2),IF(OR(CU35="B",CU35="G"),MAX(BK35:BL35),""))</f>
        <v/>
      </c>
      <c r="EZ35" s="770" t="str">
        <f t="shared" si="69"/>
        <v/>
      </c>
      <c r="FA35" s="770" t="str">
        <f>IF(AND(DE35="G", ISBLANK(BW35), ISBLANK(BX35)),VLOOKUP(MIN(BT35:BU35),#REF!,2),IF(OR(DE35="B", DE35="G"),MIN(BW35:BX35),""))</f>
        <v/>
      </c>
      <c r="FB35" s="770" t="str">
        <f>IF(AND(DE35="G", ISBLANK(BW35), ISBLANK(BX35)),VLOOKUP(MAX(BT35:BU35),#REF!,2),IF(OR(DE35="B", DE35="G"),MAX(BW35:BX35),""))</f>
        <v/>
      </c>
      <c r="FC35" s="770" t="str">
        <f t="shared" si="70"/>
        <v/>
      </c>
      <c r="FD35" s="762">
        <f t="shared" si="97"/>
        <v>0</v>
      </c>
      <c r="FE35" s="762">
        <f t="shared" si="71"/>
        <v>0</v>
      </c>
      <c r="FF35" s="762">
        <f t="shared" si="72"/>
        <v>0</v>
      </c>
      <c r="FG35" s="762" t="str">
        <f t="shared" si="73"/>
        <v/>
      </c>
      <c r="FH35" s="763" t="str">
        <f t="shared" si="74"/>
        <v/>
      </c>
      <c r="FI35" s="762">
        <f t="shared" si="98"/>
        <v>0</v>
      </c>
      <c r="FJ35" s="762">
        <f t="shared" si="75"/>
        <v>0</v>
      </c>
      <c r="FK35" s="762">
        <f t="shared" si="76"/>
        <v>0</v>
      </c>
      <c r="FL35" s="762" t="str">
        <f t="shared" si="77"/>
        <v/>
      </c>
      <c r="FM35" s="763" t="str">
        <f t="shared" si="78"/>
        <v/>
      </c>
      <c r="FN35" s="763" t="e">
        <f t="shared" si="79"/>
        <v>#VALUE!</v>
      </c>
      <c r="FO35" s="872" t="e">
        <f t="shared" si="80"/>
        <v>#VALUE!</v>
      </c>
      <c r="FP35" s="872" t="e">
        <f t="shared" si="81"/>
        <v>#VALUE!</v>
      </c>
      <c r="FQ35" s="771" t="e">
        <f t="shared" si="82"/>
        <v>#VALUE!</v>
      </c>
      <c r="FR35" s="772" t="e">
        <f t="shared" si="83"/>
        <v>#VALUE!</v>
      </c>
      <c r="FS35" s="773" t="str">
        <f t="shared" si="84"/>
        <v/>
      </c>
      <c r="FT35" s="774" t="str">
        <f t="shared" si="85"/>
        <v/>
      </c>
      <c r="FU35" s="809">
        <f t="shared" si="86"/>
        <v>0</v>
      </c>
      <c r="FV35" s="810">
        <f t="shared" si="87"/>
        <v>0</v>
      </c>
      <c r="GA35" s="542" t="str">
        <f t="shared" si="88"/>
        <v/>
      </c>
      <c r="GB35" s="562" t="str">
        <f t="shared" si="89"/>
        <v/>
      </c>
      <c r="GC35" s="564" t="str">
        <f t="shared" si="90"/>
        <v/>
      </c>
      <c r="GD35" s="565" t="str">
        <f t="shared" si="91"/>
        <v/>
      </c>
      <c r="GE35" s="563" t="str">
        <f t="shared" si="92"/>
        <v/>
      </c>
      <c r="GF35" s="543" t="str">
        <f t="shared" si="93"/>
        <v/>
      </c>
      <c r="GG35" s="1052"/>
      <c r="GH35" s="1053"/>
      <c r="GI35" s="1052"/>
      <c r="GJ35" s="1053"/>
      <c r="GK35" s="1521">
        <f t="shared" si="94"/>
        <v>0</v>
      </c>
      <c r="GL35" s="1519" t="e">
        <f t="shared" si="95"/>
        <v>#VALUE!</v>
      </c>
      <c r="GM35" s="1520" t="e">
        <f>IF(ABS(GK35-GL35)&gt;=#REF!,ABS(GK35-GL35),0)</f>
        <v>#VALUE!</v>
      </c>
      <c r="HA35" s="1187"/>
      <c r="HB35" s="1188"/>
      <c r="HC35" s="1188"/>
      <c r="HD35" s="1189"/>
      <c r="HE35" s="1190"/>
      <c r="HF35" s="1188"/>
      <c r="HG35" s="1188"/>
      <c r="HH35" s="1188"/>
      <c r="HI35" s="1191"/>
      <c r="HJ35" s="1188"/>
      <c r="HK35" s="1188"/>
      <c r="HL35" s="1188"/>
      <c r="HM35" s="1188"/>
      <c r="HN35" s="1188"/>
      <c r="HO35" s="1188"/>
      <c r="HP35" s="1188"/>
      <c r="HQ35" s="1191"/>
      <c r="HR35" s="1188"/>
      <c r="HS35" s="1188"/>
      <c r="HT35" s="1188"/>
      <c r="HU35" s="1188"/>
      <c r="HV35" s="1188"/>
      <c r="HW35" s="1190"/>
      <c r="HX35" s="1190"/>
      <c r="HY35" s="1190"/>
      <c r="HZ35" s="1190"/>
      <c r="IA35" s="1190"/>
      <c r="IB35" s="1190"/>
      <c r="IC35" s="1190"/>
      <c r="ID35" s="1190"/>
      <c r="IE35" s="1190"/>
      <c r="IF35" s="1192"/>
    </row>
    <row r="36" spans="1:240" ht="12.6" customHeight="1" x14ac:dyDescent="0.25">
      <c r="A36" s="1132"/>
      <c r="B36" s="1586"/>
      <c r="C36" s="1133"/>
      <c r="D36" s="1134"/>
      <c r="E36" s="1135"/>
      <c r="F36" s="1143"/>
      <c r="G36" s="1138"/>
      <c r="H36" s="1645"/>
      <c r="I36" s="1134"/>
      <c r="J36" s="1138"/>
      <c r="K36" s="1657"/>
      <c r="L36" s="1141"/>
      <c r="M36" s="1142"/>
      <c r="N36" s="1137"/>
      <c r="O36" s="1138"/>
      <c r="P36" s="1139"/>
      <c r="Q36" s="1134"/>
      <c r="R36" s="1138"/>
      <c r="S36" s="1140"/>
      <c r="T36" s="1143"/>
      <c r="U36" s="1138"/>
      <c r="V36" s="1134"/>
      <c r="W36" s="1138"/>
      <c r="X36" s="1142"/>
      <c r="Y36" s="1647"/>
      <c r="Z36" s="1648"/>
      <c r="AA36" s="1649"/>
      <c r="AB36" s="1288"/>
      <c r="AC36" s="898" t="b">
        <v>0</v>
      </c>
      <c r="AD36" s="374">
        <f t="shared" si="1"/>
        <v>0</v>
      </c>
      <c r="AE36" s="375">
        <f t="shared" si="2"/>
        <v>0</v>
      </c>
      <c r="AF36" s="375">
        <f t="shared" si="3"/>
        <v>0</v>
      </c>
      <c r="AG36" s="375">
        <f t="shared" si="4"/>
        <v>0</v>
      </c>
      <c r="AH36" s="376">
        <f t="shared" si="5"/>
        <v>0</v>
      </c>
      <c r="AI36" s="377" t="b">
        <v>0</v>
      </c>
      <c r="AJ36" s="143">
        <f t="shared" si="6"/>
        <v>0</v>
      </c>
      <c r="AK36" s="771" t="str">
        <f t="shared" si="7"/>
        <v/>
      </c>
      <c r="AL36" s="877" t="str">
        <f t="shared" si="8"/>
        <v/>
      </c>
      <c r="AM36" s="771" t="str">
        <f t="shared" si="9"/>
        <v/>
      </c>
      <c r="AN36" s="771" t="str">
        <f t="shared" si="10"/>
        <v/>
      </c>
      <c r="AO36" s="771" t="str">
        <f t="shared" si="11"/>
        <v/>
      </c>
      <c r="AP36" s="771" t="b">
        <f>IF(ISERROR(AJ36),FALSE,IF(OR(AJ36=0,ISERROR(AL36),ISERROR(AM36),ISERROR(AN36),ISERROR(AO36)),FALSE,IF(AL36&lt;&gt;"",IF(ISERROR(VLOOKUP(SUBSTITUTE(SUBSTITUTE(C36,"R",""),"A",""),#REF!,1,FALSE)),FALSE,TRUE),TRUE)))</f>
        <v>0</v>
      </c>
      <c r="AQ36" s="945" t="e">
        <f t="shared" si="12"/>
        <v>#N/A</v>
      </c>
      <c r="AR36" s="877" t="b">
        <f t="shared" si="13"/>
        <v>0</v>
      </c>
      <c r="AS36" s="945" t="e">
        <f t="shared" si="14"/>
        <v>#N/A</v>
      </c>
      <c r="AT36" s="877" t="b">
        <f t="shared" si="15"/>
        <v>0</v>
      </c>
      <c r="AU36" s="878" t="str">
        <f t="shared" si="16"/>
        <v/>
      </c>
      <c r="AV36" s="771" t="str">
        <f t="shared" si="17"/>
        <v/>
      </c>
      <c r="AW36" s="771" t="str">
        <f t="shared" si="18"/>
        <v/>
      </c>
      <c r="AX36" s="771" t="str">
        <f t="shared" si="96"/>
        <v/>
      </c>
      <c r="AY36" s="946" t="e">
        <f t="shared" si="19"/>
        <v>#REF!</v>
      </c>
      <c r="AZ36" s="795" t="str">
        <f t="shared" si="20"/>
        <v/>
      </c>
      <c r="BA36" s="496"/>
      <c r="BB36" s="616"/>
      <c r="BC36" s="1567"/>
      <c r="BD36" s="682"/>
      <c r="BE36" s="683"/>
      <c r="BF36" s="684"/>
      <c r="BG36" s="660"/>
      <c r="BH36" s="901"/>
      <c r="BI36" s="902"/>
      <c r="BJ36" s="1508"/>
      <c r="BK36" s="661"/>
      <c r="BL36" s="662"/>
      <c r="BM36" s="663"/>
      <c r="BN36" s="664"/>
      <c r="BO36" s="616" t="str">
        <f>IF(ISERROR(CU36),"",IF(CU36="","",IF(VLOOKUP(BG36,#REF!,10,FALSE)="","","X")))</f>
        <v/>
      </c>
      <c r="BP36" s="687"/>
      <c r="BQ36" s="1430" t="str">
        <f t="shared" si="21"/>
        <v/>
      </c>
      <c r="BR36" s="839"/>
      <c r="BS36" s="660"/>
      <c r="BT36" s="661"/>
      <c r="BU36" s="662"/>
      <c r="BV36" s="1508"/>
      <c r="BW36" s="661"/>
      <c r="BX36" s="662"/>
      <c r="BY36" s="663"/>
      <c r="BZ36" s="664"/>
      <c r="CA36" s="625" t="str">
        <f>IF(ISERROR(DE36),"",IF(DE36="","",IF(VLOOKUP(BS36,#REF!,10,FALSE)="","","X")))</f>
        <v/>
      </c>
      <c r="CB36" s="687"/>
      <c r="CC36" s="1430" t="str">
        <f t="shared" si="22"/>
        <v/>
      </c>
      <c r="CD36" s="839"/>
      <c r="CE36" s="665"/>
      <c r="CF36" s="685"/>
      <c r="CG36" s="686"/>
      <c r="CH36" s="534" t="str">
        <f t="shared" si="23"/>
        <v/>
      </c>
      <c r="CI36" s="535" t="str">
        <f t="shared" si="24"/>
        <v/>
      </c>
      <c r="CJ36" s="536" t="str">
        <f t="shared" si="25"/>
        <v/>
      </c>
      <c r="CK36" s="537" t="str">
        <f t="shared" si="26"/>
        <v/>
      </c>
      <c r="CL36" s="538" t="str">
        <f t="shared" si="27"/>
        <v/>
      </c>
      <c r="CM36" s="539" t="str">
        <f t="shared" si="28"/>
        <v/>
      </c>
      <c r="CN36" s="540" t="str">
        <f t="shared" si="29"/>
        <v/>
      </c>
      <c r="CO36" s="541" t="str">
        <f t="shared" si="30"/>
        <v/>
      </c>
      <c r="CP36" s="558" t="str">
        <f t="shared" si="31"/>
        <v/>
      </c>
      <c r="CQ36" s="559" t="str">
        <f t="shared" si="32"/>
        <v/>
      </c>
      <c r="CR36" s="699" t="str">
        <f t="shared" si="33"/>
        <v/>
      </c>
      <c r="CS36" s="700" t="str">
        <f t="shared" si="34"/>
        <v/>
      </c>
      <c r="CU36" s="758" t="str">
        <f>IF(BG36="","",VLOOKUP(BG36,#REF!,12,FALSE))</f>
        <v/>
      </c>
      <c r="CV36" s="756" t="str">
        <f>IF(BG36="","",IF(ISBLANK(BP36),VLOOKUP(BG36,#REF!,13,FALSE),BP36))</f>
        <v/>
      </c>
      <c r="CW36" s="756" t="str">
        <f>IF(BG36="","",IF(VLOOKUP(BG36,#REF!,5,FALSE)="","R",UPPER(VLOOKUP(BG36,#REF!,5,FALSE))))</f>
        <v/>
      </c>
      <c r="CX36" s="756" t="str">
        <f>IF(BG36="","",IF(ISBLANK(BR36),VLOOKUP(BG36,#REF!,6,FALSE),BR36))</f>
        <v/>
      </c>
      <c r="CY36" s="1203" t="str">
        <f>IF(BG36="","",IF(VLOOKUP(BG36,#REF!,10,FALSE)="","",(IF(BO36="X",VLOOKUP(BG36,#REF!,10,FALSE),VALUE(BO36))*-1)))</f>
        <v/>
      </c>
      <c r="CZ36" s="1042" t="str">
        <f>IF(BG36="","",IF(VLOOKUP(BG36,#REF!,11,FALSE)="","2",(VLOOKUP(BG36,#REF!,11,FALSE))))</f>
        <v/>
      </c>
      <c r="DA36" s="756" t="str">
        <f>IF(BG36="","",IF(VLOOKUP(BG36,#REF!,7,FALSE)="","",(VLOOKUP(BG36,#REF!,7,FALSE)*-1)))</f>
        <v/>
      </c>
      <c r="DB36" s="756" t="str">
        <f>IF(BG36="","",IF(VLOOKUP(BG36,#REF!,8,FALSE)="",VLOOKUP(AU36,$DF$2:$DN$9,6,FALSE),(VLOOKUP(BG36,#REF!,8,FALSE))))</f>
        <v/>
      </c>
      <c r="DC36" s="756" t="str">
        <f>IF(BG36="","",VLOOKUP(BG36,#REF!,9,FALSE))</f>
        <v/>
      </c>
      <c r="DD36" s="757">
        <f t="shared" si="35"/>
        <v>0</v>
      </c>
      <c r="DE36" s="758" t="str">
        <f>IF(BS36="","",VLOOKUP(BS36,#REF!,12,FALSE))</f>
        <v/>
      </c>
      <c r="DF36" s="756" t="str">
        <f>IF(BS36="","",IF(ISBLANK(CB36),VLOOKUP(BS36,#REF!,13,FALSE),CB36))</f>
        <v/>
      </c>
      <c r="DG36" s="756" t="str">
        <f>IF(BS36="","",IF(VLOOKUP(BS36,#REF!,5,FALSE)="","R",UPPER(VLOOKUP(BS36,#REF!,5,FALSE))))</f>
        <v/>
      </c>
      <c r="DH36" s="756" t="str">
        <f>IF(BS36="","",IF(ISBLANK(CD36),VLOOKUP(BS36,#REF!,6,FALSE),CD36))</f>
        <v/>
      </c>
      <c r="DI36" s="1203" t="str">
        <f>IF(BS36="","",IF(VLOOKUP(BS36,#REF!,10,FALSE)="","",(IF(CA36="X",VLOOKUP(BS36,#REF!,10,FALSE),VALUE(CA36))*-1)))</f>
        <v/>
      </c>
      <c r="DJ36" s="1042" t="str">
        <f>IF(BS36="","",IF(VLOOKUP(BS36,#REF!,11,FALSE)="","2",(VLOOKUP(BS36,#REF!,11,FALSE))))</f>
        <v/>
      </c>
      <c r="DK36" s="756" t="str">
        <f>IF(BS36="","",IF(VLOOKUP(BS36,#REF!,7,FALSE)="","",(VLOOKUP(BS36,#REF!,7,FALSE)*-1)))</f>
        <v/>
      </c>
      <c r="DL36" s="756" t="str">
        <f>IF(BS36="","",IF(VLOOKUP(BS36,#REF!,8,FALSE)="",VLOOKUP(AU36,$DF$2:$DN$9,6,FALSE),(VLOOKUP(BS36,#REF!,8,FALSE))))</f>
        <v/>
      </c>
      <c r="DM36" s="756" t="str">
        <f>IF(BS36="","",VLOOKUP(BS36,#REF!,9,FALSE))</f>
        <v/>
      </c>
      <c r="DN36" s="757">
        <f t="shared" si="36"/>
        <v>0</v>
      </c>
      <c r="DO36" s="759">
        <f t="shared" si="37"/>
        <v>0</v>
      </c>
      <c r="DP36" s="763" t="str">
        <f t="shared" si="38"/>
        <v/>
      </c>
      <c r="DQ36" s="763" t="str">
        <f t="shared" si="39"/>
        <v/>
      </c>
      <c r="DR36" s="763" t="str">
        <f t="shared" si="40"/>
        <v/>
      </c>
      <c r="DS36" s="762">
        <f t="shared" si="41"/>
        <v>0</v>
      </c>
      <c r="DT36" s="762" t="e">
        <f t="shared" si="42"/>
        <v>#REF!</v>
      </c>
      <c r="DU36" s="762" t="str">
        <f t="shared" si="43"/>
        <v/>
      </c>
      <c r="DV36" s="763" t="str">
        <f t="shared" si="44"/>
        <v/>
      </c>
      <c r="DW36" s="795" t="str">
        <f t="shared" si="45"/>
        <v/>
      </c>
      <c r="DX36" s="926">
        <f t="shared" si="46"/>
        <v>0</v>
      </c>
      <c r="DY36" s="763">
        <f t="shared" si="47"/>
        <v>0</v>
      </c>
      <c r="DZ36" s="762" t="e">
        <f t="shared" si="48"/>
        <v>#REF!</v>
      </c>
      <c r="EA36" s="762" t="str">
        <f t="shared" si="49"/>
        <v/>
      </c>
      <c r="EB36" s="763" t="str">
        <f t="shared" si="50"/>
        <v/>
      </c>
      <c r="EC36" s="795" t="str">
        <f t="shared" si="51"/>
        <v/>
      </c>
      <c r="ED36" s="926">
        <f t="shared" si="52"/>
        <v>0</v>
      </c>
      <c r="EE36" s="1210" t="str">
        <f t="shared" si="53"/>
        <v/>
      </c>
      <c r="EF36" s="1210" t="str">
        <f t="shared" si="54"/>
        <v/>
      </c>
      <c r="EG36" s="1210" t="str">
        <f t="shared" si="55"/>
        <v/>
      </c>
      <c r="EH36" s="795" t="e">
        <f t="shared" si="56"/>
        <v>#N/A</v>
      </c>
      <c r="EI36" s="795" t="e">
        <f t="shared" si="57"/>
        <v>#N/A</v>
      </c>
      <c r="EJ36" s="763" t="str">
        <f t="shared" si="58"/>
        <v/>
      </c>
      <c r="EK36" s="763" t="str">
        <f t="shared" si="58"/>
        <v/>
      </c>
      <c r="EL36" s="1210" t="str">
        <f t="shared" si="59"/>
        <v/>
      </c>
      <c r="EM36" s="763" t="str">
        <f t="shared" si="60"/>
        <v/>
      </c>
      <c r="EN36" s="763" t="str">
        <f t="shared" si="61"/>
        <v/>
      </c>
      <c r="EO36" s="795" t="e">
        <f t="shared" si="62"/>
        <v>#N/A</v>
      </c>
      <c r="EP36" s="795" t="e">
        <f t="shared" si="63"/>
        <v>#N/A</v>
      </c>
      <c r="EQ36" s="1210" t="str">
        <f t="shared" si="64"/>
        <v/>
      </c>
      <c r="ER36" s="763" t="str">
        <f t="shared" si="64"/>
        <v/>
      </c>
      <c r="ES36" s="763" t="str">
        <f t="shared" si="65"/>
        <v/>
      </c>
      <c r="ET36" s="763" t="str">
        <f t="shared" si="66"/>
        <v/>
      </c>
      <c r="EU36" s="770" t="str">
        <f t="shared" si="67"/>
        <v/>
      </c>
      <c r="EV36" s="765" t="str">
        <f t="shared" si="68"/>
        <v/>
      </c>
      <c r="EW36" s="770"/>
      <c r="EX36" s="770" t="str">
        <f>IF(AND(CU36="G", ISBLANK(BK36), ISBLANK(BL36)),VLOOKUP(MIN(BH36:BI36),#REF!,2),IF(OR(CU36="B",CU36="G"),MIN(BK36:BL36),""))</f>
        <v/>
      </c>
      <c r="EY36" s="770" t="str">
        <f>IF(AND(CU36="G", ISBLANK(BK36), ISBLANK(BL36)),VLOOKUP(MAX(BH36:BI36),#REF!,2),IF(OR(CU36="B",CU36="G"),MAX(BK36:BL36),""))</f>
        <v/>
      </c>
      <c r="EZ36" s="770" t="str">
        <f t="shared" si="69"/>
        <v/>
      </c>
      <c r="FA36" s="770" t="str">
        <f>IF(AND(DE36="G", ISBLANK(BW36), ISBLANK(BX36)),VLOOKUP(MIN(BT36:BU36),#REF!,2),IF(OR(DE36="B", DE36="G"),MIN(BW36:BX36),""))</f>
        <v/>
      </c>
      <c r="FB36" s="770" t="str">
        <f>IF(AND(DE36="G", ISBLANK(BW36), ISBLANK(BX36)),VLOOKUP(MAX(BT36:BU36),#REF!,2),IF(OR(DE36="B", DE36="G"),MAX(BW36:BX36),""))</f>
        <v/>
      </c>
      <c r="FC36" s="770" t="str">
        <f t="shared" si="70"/>
        <v/>
      </c>
      <c r="FD36" s="762">
        <f t="shared" si="97"/>
        <v>0</v>
      </c>
      <c r="FE36" s="762">
        <f t="shared" si="71"/>
        <v>0</v>
      </c>
      <c r="FF36" s="762">
        <f t="shared" si="72"/>
        <v>0</v>
      </c>
      <c r="FG36" s="762" t="str">
        <f t="shared" si="73"/>
        <v/>
      </c>
      <c r="FH36" s="763" t="str">
        <f t="shared" si="74"/>
        <v/>
      </c>
      <c r="FI36" s="762">
        <f t="shared" si="98"/>
        <v>0</v>
      </c>
      <c r="FJ36" s="762">
        <f t="shared" si="75"/>
        <v>0</v>
      </c>
      <c r="FK36" s="762">
        <f t="shared" si="76"/>
        <v>0</v>
      </c>
      <c r="FL36" s="762" t="str">
        <f t="shared" si="77"/>
        <v/>
      </c>
      <c r="FM36" s="763" t="str">
        <f t="shared" si="78"/>
        <v/>
      </c>
      <c r="FN36" s="763" t="e">
        <f t="shared" si="79"/>
        <v>#VALUE!</v>
      </c>
      <c r="FO36" s="872" t="e">
        <f t="shared" si="80"/>
        <v>#VALUE!</v>
      </c>
      <c r="FP36" s="872" t="e">
        <f t="shared" si="81"/>
        <v>#VALUE!</v>
      </c>
      <c r="FQ36" s="771" t="e">
        <f t="shared" si="82"/>
        <v>#VALUE!</v>
      </c>
      <c r="FR36" s="772" t="e">
        <f t="shared" si="83"/>
        <v>#VALUE!</v>
      </c>
      <c r="FS36" s="773" t="str">
        <f t="shared" si="84"/>
        <v/>
      </c>
      <c r="FT36" s="774" t="str">
        <f t="shared" si="85"/>
        <v/>
      </c>
      <c r="FU36" s="809">
        <f t="shared" si="86"/>
        <v>0</v>
      </c>
      <c r="FV36" s="810">
        <f t="shared" si="87"/>
        <v>0</v>
      </c>
      <c r="GA36" s="542" t="str">
        <f t="shared" si="88"/>
        <v/>
      </c>
      <c r="GB36" s="562" t="str">
        <f t="shared" si="89"/>
        <v/>
      </c>
      <c r="GC36" s="564" t="str">
        <f t="shared" si="90"/>
        <v/>
      </c>
      <c r="GD36" s="565" t="str">
        <f t="shared" si="91"/>
        <v/>
      </c>
      <c r="GE36" s="563" t="str">
        <f t="shared" si="92"/>
        <v/>
      </c>
      <c r="GF36" s="543" t="str">
        <f t="shared" si="93"/>
        <v/>
      </c>
      <c r="GG36" s="1052"/>
      <c r="GH36" s="1053"/>
      <c r="GI36" s="1052"/>
      <c r="GJ36" s="1053"/>
      <c r="GK36" s="1521">
        <f t="shared" si="94"/>
        <v>0</v>
      </c>
      <c r="GL36" s="1519" t="e">
        <f t="shared" si="95"/>
        <v>#VALUE!</v>
      </c>
      <c r="GM36" s="1520" t="e">
        <f>IF(ABS(GK36-GL36)&gt;=#REF!,ABS(GK36-GL36),0)</f>
        <v>#VALUE!</v>
      </c>
      <c r="HA36" s="1187"/>
      <c r="HB36" s="1188"/>
      <c r="HC36" s="1188"/>
      <c r="HD36" s="1189"/>
      <c r="HE36" s="1190"/>
      <c r="HF36" s="1188"/>
      <c r="HG36" s="1188"/>
      <c r="HH36" s="1188"/>
      <c r="HI36" s="1191"/>
      <c r="HJ36" s="1188"/>
      <c r="HK36" s="1188"/>
      <c r="HL36" s="1188"/>
      <c r="HM36" s="1188"/>
      <c r="HN36" s="1188"/>
      <c r="HO36" s="1188"/>
      <c r="HP36" s="1188"/>
      <c r="HQ36" s="1191"/>
      <c r="HR36" s="1188"/>
      <c r="HS36" s="1188"/>
      <c r="HT36" s="1188"/>
      <c r="HU36" s="1188"/>
      <c r="HV36" s="1188"/>
      <c r="HW36" s="1190"/>
      <c r="HX36" s="1190"/>
      <c r="HY36" s="1190"/>
      <c r="HZ36" s="1190"/>
      <c r="IA36" s="1190"/>
      <c r="IB36" s="1190"/>
      <c r="IC36" s="1190"/>
      <c r="ID36" s="1190"/>
      <c r="IE36" s="1190"/>
      <c r="IF36" s="1192"/>
    </row>
    <row r="37" spans="1:240" ht="12.6" customHeight="1" x14ac:dyDescent="0.25">
      <c r="A37" s="1132"/>
      <c r="B37" s="1586"/>
      <c r="C37" s="1133"/>
      <c r="D37" s="1134"/>
      <c r="E37" s="1135"/>
      <c r="F37" s="1143"/>
      <c r="G37" s="1138"/>
      <c r="H37" s="1645"/>
      <c r="I37" s="1134"/>
      <c r="J37" s="1138"/>
      <c r="K37" s="1657"/>
      <c r="L37" s="1141"/>
      <c r="M37" s="1142"/>
      <c r="N37" s="1137"/>
      <c r="O37" s="1138"/>
      <c r="P37" s="1139"/>
      <c r="Q37" s="1134"/>
      <c r="R37" s="1138"/>
      <c r="S37" s="1140"/>
      <c r="T37" s="1143"/>
      <c r="U37" s="1138"/>
      <c r="V37" s="1134"/>
      <c r="W37" s="1138"/>
      <c r="X37" s="1142"/>
      <c r="Y37" s="1647"/>
      <c r="Z37" s="1648"/>
      <c r="AA37" s="1649"/>
      <c r="AB37" s="1288"/>
      <c r="AC37" s="898" t="b">
        <v>0</v>
      </c>
      <c r="AD37" s="374">
        <f t="shared" si="1"/>
        <v>0</v>
      </c>
      <c r="AE37" s="375">
        <f t="shared" si="2"/>
        <v>0</v>
      </c>
      <c r="AF37" s="375">
        <f t="shared" si="3"/>
        <v>0</v>
      </c>
      <c r="AG37" s="375">
        <f t="shared" si="4"/>
        <v>0</v>
      </c>
      <c r="AH37" s="376">
        <f t="shared" si="5"/>
        <v>0</v>
      </c>
      <c r="AI37" s="377" t="b">
        <v>0</v>
      </c>
      <c r="AJ37" s="143">
        <f t="shared" si="6"/>
        <v>0</v>
      </c>
      <c r="AK37" s="771" t="str">
        <f t="shared" si="7"/>
        <v/>
      </c>
      <c r="AL37" s="877" t="str">
        <f t="shared" si="8"/>
        <v/>
      </c>
      <c r="AM37" s="771" t="str">
        <f t="shared" si="9"/>
        <v/>
      </c>
      <c r="AN37" s="771" t="str">
        <f t="shared" si="10"/>
        <v/>
      </c>
      <c r="AO37" s="771" t="str">
        <f t="shared" si="11"/>
        <v/>
      </c>
      <c r="AP37" s="771" t="b">
        <f>IF(ISERROR(AJ37),FALSE,IF(OR(AJ37=0,ISERROR(AL37),ISERROR(AM37),ISERROR(AN37),ISERROR(AO37)),FALSE,IF(AL37&lt;&gt;"",IF(ISERROR(VLOOKUP(SUBSTITUTE(SUBSTITUTE(C37,"R",""),"A",""),#REF!,1,FALSE)),FALSE,TRUE),TRUE)))</f>
        <v>0</v>
      </c>
      <c r="AQ37" s="945" t="e">
        <f t="shared" si="12"/>
        <v>#N/A</v>
      </c>
      <c r="AR37" s="877" t="b">
        <f t="shared" si="13"/>
        <v>0</v>
      </c>
      <c r="AS37" s="945" t="e">
        <f t="shared" si="14"/>
        <v>#N/A</v>
      </c>
      <c r="AT37" s="877" t="b">
        <f t="shared" si="15"/>
        <v>0</v>
      </c>
      <c r="AU37" s="878" t="str">
        <f t="shared" si="16"/>
        <v/>
      </c>
      <c r="AV37" s="771" t="str">
        <f t="shared" si="17"/>
        <v/>
      </c>
      <c r="AW37" s="771" t="str">
        <f t="shared" si="18"/>
        <v/>
      </c>
      <c r="AX37" s="771" t="str">
        <f t="shared" si="96"/>
        <v/>
      </c>
      <c r="AY37" s="946" t="e">
        <f t="shared" si="19"/>
        <v>#REF!</v>
      </c>
      <c r="AZ37" s="795" t="str">
        <f t="shared" si="20"/>
        <v/>
      </c>
      <c r="BA37" s="496"/>
      <c r="BB37" s="616"/>
      <c r="BC37" s="1567"/>
      <c r="BD37" s="682"/>
      <c r="BE37" s="683"/>
      <c r="BF37" s="684"/>
      <c r="BG37" s="660"/>
      <c r="BH37" s="901"/>
      <c r="BI37" s="902"/>
      <c r="BJ37" s="1508"/>
      <c r="BK37" s="661"/>
      <c r="BL37" s="662"/>
      <c r="BM37" s="663"/>
      <c r="BN37" s="664"/>
      <c r="BO37" s="616" t="str">
        <f>IF(ISERROR(CU37),"",IF(CU37="","",IF(VLOOKUP(BG37,#REF!,10,FALSE)="","","X")))</f>
        <v/>
      </c>
      <c r="BP37" s="687"/>
      <c r="BQ37" s="1430" t="str">
        <f t="shared" si="21"/>
        <v/>
      </c>
      <c r="BR37" s="839"/>
      <c r="BS37" s="660"/>
      <c r="BT37" s="661"/>
      <c r="BU37" s="662"/>
      <c r="BV37" s="1508"/>
      <c r="BW37" s="661"/>
      <c r="BX37" s="662"/>
      <c r="BY37" s="663"/>
      <c r="BZ37" s="664"/>
      <c r="CA37" s="625" t="str">
        <f>IF(ISERROR(DE37),"",IF(DE37="","",IF(VLOOKUP(BS37,#REF!,10,FALSE)="","","X")))</f>
        <v/>
      </c>
      <c r="CB37" s="687"/>
      <c r="CC37" s="1430" t="str">
        <f t="shared" si="22"/>
        <v/>
      </c>
      <c r="CD37" s="839"/>
      <c r="CE37" s="665"/>
      <c r="CF37" s="685"/>
      <c r="CG37" s="686"/>
      <c r="CH37" s="534" t="str">
        <f t="shared" si="23"/>
        <v/>
      </c>
      <c r="CI37" s="535" t="str">
        <f t="shared" si="24"/>
        <v/>
      </c>
      <c r="CJ37" s="536" t="str">
        <f t="shared" si="25"/>
        <v/>
      </c>
      <c r="CK37" s="537" t="str">
        <f t="shared" si="26"/>
        <v/>
      </c>
      <c r="CL37" s="538" t="str">
        <f t="shared" si="27"/>
        <v/>
      </c>
      <c r="CM37" s="539" t="str">
        <f t="shared" si="28"/>
        <v/>
      </c>
      <c r="CN37" s="540" t="str">
        <f t="shared" si="29"/>
        <v/>
      </c>
      <c r="CO37" s="541" t="str">
        <f t="shared" si="30"/>
        <v/>
      </c>
      <c r="CP37" s="558" t="str">
        <f t="shared" si="31"/>
        <v/>
      </c>
      <c r="CQ37" s="559" t="str">
        <f t="shared" si="32"/>
        <v/>
      </c>
      <c r="CR37" s="699" t="str">
        <f t="shared" si="33"/>
        <v/>
      </c>
      <c r="CS37" s="700" t="str">
        <f t="shared" si="34"/>
        <v/>
      </c>
      <c r="CU37" s="758" t="str">
        <f>IF(BG37="","",VLOOKUP(BG37,#REF!,12,FALSE))</f>
        <v/>
      </c>
      <c r="CV37" s="756" t="str">
        <f>IF(BG37="","",IF(ISBLANK(BP37),VLOOKUP(BG37,#REF!,13,FALSE),BP37))</f>
        <v/>
      </c>
      <c r="CW37" s="756" t="str">
        <f>IF(BG37="","",IF(VLOOKUP(BG37,#REF!,5,FALSE)="","R",UPPER(VLOOKUP(BG37,#REF!,5,FALSE))))</f>
        <v/>
      </c>
      <c r="CX37" s="756" t="str">
        <f>IF(BG37="","",IF(ISBLANK(BR37),VLOOKUP(BG37,#REF!,6,FALSE),BR37))</f>
        <v/>
      </c>
      <c r="CY37" s="1203" t="str">
        <f>IF(BG37="","",IF(VLOOKUP(BG37,#REF!,10,FALSE)="","",(IF(BO37="X",VLOOKUP(BG37,#REF!,10,FALSE),VALUE(BO37))*-1)))</f>
        <v/>
      </c>
      <c r="CZ37" s="1042" t="str">
        <f>IF(BG37="","",IF(VLOOKUP(BG37,#REF!,11,FALSE)="","2",(VLOOKUP(BG37,#REF!,11,FALSE))))</f>
        <v/>
      </c>
      <c r="DA37" s="756" t="str">
        <f>IF(BG37="","",IF(VLOOKUP(BG37,#REF!,7,FALSE)="","",(VLOOKUP(BG37,#REF!,7,FALSE)*-1)))</f>
        <v/>
      </c>
      <c r="DB37" s="756" t="str">
        <f>IF(BG37="","",IF(VLOOKUP(BG37,#REF!,8,FALSE)="",VLOOKUP(AU37,$DF$2:$DN$9,6,FALSE),(VLOOKUP(BG37,#REF!,8,FALSE))))</f>
        <v/>
      </c>
      <c r="DC37" s="756" t="str">
        <f>IF(BG37="","",VLOOKUP(BG37,#REF!,9,FALSE))</f>
        <v/>
      </c>
      <c r="DD37" s="757">
        <f t="shared" si="35"/>
        <v>0</v>
      </c>
      <c r="DE37" s="758" t="str">
        <f>IF(BS37="","",VLOOKUP(BS37,#REF!,12,FALSE))</f>
        <v/>
      </c>
      <c r="DF37" s="756" t="str">
        <f>IF(BS37="","",IF(ISBLANK(CB37),VLOOKUP(BS37,#REF!,13,FALSE),CB37))</f>
        <v/>
      </c>
      <c r="DG37" s="756" t="str">
        <f>IF(BS37="","",IF(VLOOKUP(BS37,#REF!,5,FALSE)="","R",UPPER(VLOOKUP(BS37,#REF!,5,FALSE))))</f>
        <v/>
      </c>
      <c r="DH37" s="756" t="str">
        <f>IF(BS37="","",IF(ISBLANK(CD37),VLOOKUP(BS37,#REF!,6,FALSE),CD37))</f>
        <v/>
      </c>
      <c r="DI37" s="1203" t="str">
        <f>IF(BS37="","",IF(VLOOKUP(BS37,#REF!,10,FALSE)="","",(IF(CA37="X",VLOOKUP(BS37,#REF!,10,FALSE),VALUE(CA37))*-1)))</f>
        <v/>
      </c>
      <c r="DJ37" s="1042" t="str">
        <f>IF(BS37="","",IF(VLOOKUP(BS37,#REF!,11,FALSE)="","2",(VLOOKUP(BS37,#REF!,11,FALSE))))</f>
        <v/>
      </c>
      <c r="DK37" s="756" t="str">
        <f>IF(BS37="","",IF(VLOOKUP(BS37,#REF!,7,FALSE)="","",(VLOOKUP(BS37,#REF!,7,FALSE)*-1)))</f>
        <v/>
      </c>
      <c r="DL37" s="756" t="str">
        <f>IF(BS37="","",IF(VLOOKUP(BS37,#REF!,8,FALSE)="",VLOOKUP(AU37,$DF$2:$DN$9,6,FALSE),(VLOOKUP(BS37,#REF!,8,FALSE))))</f>
        <v/>
      </c>
      <c r="DM37" s="756" t="str">
        <f>IF(BS37="","",VLOOKUP(BS37,#REF!,9,FALSE))</f>
        <v/>
      </c>
      <c r="DN37" s="757">
        <f t="shared" si="36"/>
        <v>0</v>
      </c>
      <c r="DO37" s="759">
        <f t="shared" si="37"/>
        <v>0</v>
      </c>
      <c r="DP37" s="763" t="str">
        <f t="shared" si="38"/>
        <v/>
      </c>
      <c r="DQ37" s="763" t="str">
        <f t="shared" si="39"/>
        <v/>
      </c>
      <c r="DR37" s="763" t="str">
        <f t="shared" si="40"/>
        <v/>
      </c>
      <c r="DS37" s="762">
        <f t="shared" si="41"/>
        <v>0</v>
      </c>
      <c r="DT37" s="762" t="e">
        <f t="shared" si="42"/>
        <v>#REF!</v>
      </c>
      <c r="DU37" s="762" t="str">
        <f t="shared" si="43"/>
        <v/>
      </c>
      <c r="DV37" s="763" t="str">
        <f t="shared" si="44"/>
        <v/>
      </c>
      <c r="DW37" s="795" t="str">
        <f t="shared" si="45"/>
        <v/>
      </c>
      <c r="DX37" s="926">
        <f t="shared" si="46"/>
        <v>0</v>
      </c>
      <c r="DY37" s="763">
        <f t="shared" si="47"/>
        <v>0</v>
      </c>
      <c r="DZ37" s="762" t="e">
        <f t="shared" si="48"/>
        <v>#REF!</v>
      </c>
      <c r="EA37" s="762" t="str">
        <f t="shared" si="49"/>
        <v/>
      </c>
      <c r="EB37" s="763" t="str">
        <f t="shared" si="50"/>
        <v/>
      </c>
      <c r="EC37" s="795" t="str">
        <f t="shared" si="51"/>
        <v/>
      </c>
      <c r="ED37" s="926">
        <f t="shared" si="52"/>
        <v>0</v>
      </c>
      <c r="EE37" s="1210" t="str">
        <f t="shared" si="53"/>
        <v/>
      </c>
      <c r="EF37" s="1210" t="str">
        <f t="shared" si="54"/>
        <v/>
      </c>
      <c r="EG37" s="1210" t="str">
        <f t="shared" si="55"/>
        <v/>
      </c>
      <c r="EH37" s="795" t="e">
        <f t="shared" si="56"/>
        <v>#N/A</v>
      </c>
      <c r="EI37" s="795" t="e">
        <f t="shared" si="57"/>
        <v>#N/A</v>
      </c>
      <c r="EJ37" s="763" t="str">
        <f t="shared" si="58"/>
        <v/>
      </c>
      <c r="EK37" s="763" t="str">
        <f t="shared" si="58"/>
        <v/>
      </c>
      <c r="EL37" s="1210" t="str">
        <f t="shared" si="59"/>
        <v/>
      </c>
      <c r="EM37" s="763" t="str">
        <f t="shared" si="60"/>
        <v/>
      </c>
      <c r="EN37" s="763" t="str">
        <f t="shared" si="61"/>
        <v/>
      </c>
      <c r="EO37" s="795" t="e">
        <f t="shared" si="62"/>
        <v>#N/A</v>
      </c>
      <c r="EP37" s="795" t="e">
        <f t="shared" si="63"/>
        <v>#N/A</v>
      </c>
      <c r="EQ37" s="1210" t="str">
        <f t="shared" si="64"/>
        <v/>
      </c>
      <c r="ER37" s="763" t="str">
        <f t="shared" si="64"/>
        <v/>
      </c>
      <c r="ES37" s="763" t="str">
        <f t="shared" si="65"/>
        <v/>
      </c>
      <c r="ET37" s="763" t="str">
        <f t="shared" si="66"/>
        <v/>
      </c>
      <c r="EU37" s="770" t="str">
        <f t="shared" si="67"/>
        <v/>
      </c>
      <c r="EV37" s="765" t="str">
        <f t="shared" si="68"/>
        <v/>
      </c>
      <c r="EW37" s="770"/>
      <c r="EX37" s="770" t="str">
        <f>IF(AND(CU37="G", ISBLANK(BK37), ISBLANK(BL37)),VLOOKUP(MIN(BH37:BI37),#REF!,2),IF(OR(CU37="B",CU37="G"),MIN(BK37:BL37),""))</f>
        <v/>
      </c>
      <c r="EY37" s="770" t="str">
        <f>IF(AND(CU37="G", ISBLANK(BK37), ISBLANK(BL37)),VLOOKUP(MAX(BH37:BI37),#REF!,2),IF(OR(CU37="B",CU37="G"),MAX(BK37:BL37),""))</f>
        <v/>
      </c>
      <c r="EZ37" s="770" t="str">
        <f t="shared" si="69"/>
        <v/>
      </c>
      <c r="FA37" s="770" t="str">
        <f>IF(AND(DE37="G", ISBLANK(BW37), ISBLANK(BX37)),VLOOKUP(MIN(BT37:BU37),#REF!,2),IF(OR(DE37="B", DE37="G"),MIN(BW37:BX37),""))</f>
        <v/>
      </c>
      <c r="FB37" s="770" t="str">
        <f>IF(AND(DE37="G", ISBLANK(BW37), ISBLANK(BX37)),VLOOKUP(MAX(BT37:BU37),#REF!,2),IF(OR(DE37="B", DE37="G"),MAX(BW37:BX37),""))</f>
        <v/>
      </c>
      <c r="FC37" s="770" t="str">
        <f t="shared" si="70"/>
        <v/>
      </c>
      <c r="FD37" s="762">
        <f t="shared" si="97"/>
        <v>0</v>
      </c>
      <c r="FE37" s="762">
        <f t="shared" si="71"/>
        <v>0</v>
      </c>
      <c r="FF37" s="762">
        <f t="shared" si="72"/>
        <v>0</v>
      </c>
      <c r="FG37" s="762" t="str">
        <f t="shared" si="73"/>
        <v/>
      </c>
      <c r="FH37" s="763" t="str">
        <f t="shared" si="74"/>
        <v/>
      </c>
      <c r="FI37" s="762">
        <f t="shared" si="98"/>
        <v>0</v>
      </c>
      <c r="FJ37" s="762">
        <f t="shared" si="75"/>
        <v>0</v>
      </c>
      <c r="FK37" s="762">
        <f t="shared" si="76"/>
        <v>0</v>
      </c>
      <c r="FL37" s="762" t="str">
        <f t="shared" si="77"/>
        <v/>
      </c>
      <c r="FM37" s="763" t="str">
        <f t="shared" si="78"/>
        <v/>
      </c>
      <c r="FN37" s="763" t="e">
        <f t="shared" si="79"/>
        <v>#VALUE!</v>
      </c>
      <c r="FO37" s="872" t="e">
        <f t="shared" si="80"/>
        <v>#VALUE!</v>
      </c>
      <c r="FP37" s="872" t="e">
        <f t="shared" si="81"/>
        <v>#VALUE!</v>
      </c>
      <c r="FQ37" s="771" t="e">
        <f t="shared" si="82"/>
        <v>#VALUE!</v>
      </c>
      <c r="FR37" s="772" t="e">
        <f t="shared" si="83"/>
        <v>#VALUE!</v>
      </c>
      <c r="FS37" s="773" t="str">
        <f t="shared" si="84"/>
        <v/>
      </c>
      <c r="FT37" s="774" t="str">
        <f t="shared" si="85"/>
        <v/>
      </c>
      <c r="FU37" s="809">
        <f t="shared" si="86"/>
        <v>0</v>
      </c>
      <c r="FV37" s="810">
        <f t="shared" si="87"/>
        <v>0</v>
      </c>
      <c r="GA37" s="542" t="str">
        <f t="shared" si="88"/>
        <v/>
      </c>
      <c r="GB37" s="562" t="str">
        <f t="shared" si="89"/>
        <v/>
      </c>
      <c r="GC37" s="564" t="str">
        <f t="shared" si="90"/>
        <v/>
      </c>
      <c r="GD37" s="565" t="str">
        <f t="shared" si="91"/>
        <v/>
      </c>
      <c r="GE37" s="563" t="str">
        <f t="shared" si="92"/>
        <v/>
      </c>
      <c r="GF37" s="543" t="str">
        <f t="shared" si="93"/>
        <v/>
      </c>
      <c r="GG37" s="1052"/>
      <c r="GH37" s="1053"/>
      <c r="GI37" s="1052"/>
      <c r="GJ37" s="1053"/>
      <c r="GK37" s="1521">
        <f t="shared" si="94"/>
        <v>0</v>
      </c>
      <c r="GL37" s="1519" t="e">
        <f t="shared" si="95"/>
        <v>#VALUE!</v>
      </c>
      <c r="GM37" s="1520" t="e">
        <f>IF(ABS(GK37-GL37)&gt;=#REF!,ABS(GK37-GL37),0)</f>
        <v>#VALUE!</v>
      </c>
      <c r="HA37" s="1187"/>
      <c r="HB37" s="1188"/>
      <c r="HC37" s="1188"/>
      <c r="HD37" s="1189"/>
      <c r="HE37" s="1190"/>
      <c r="HF37" s="1188"/>
      <c r="HG37" s="1188"/>
      <c r="HH37" s="1188"/>
      <c r="HI37" s="1191"/>
      <c r="HJ37" s="1188"/>
      <c r="HK37" s="1188"/>
      <c r="HL37" s="1188"/>
      <c r="HM37" s="1188"/>
      <c r="HN37" s="1188"/>
      <c r="HO37" s="1188"/>
      <c r="HP37" s="1188"/>
      <c r="HQ37" s="1191"/>
      <c r="HR37" s="1188"/>
      <c r="HS37" s="1188"/>
      <c r="HT37" s="1188"/>
      <c r="HU37" s="1188"/>
      <c r="HV37" s="1188"/>
      <c r="HW37" s="1190"/>
      <c r="HX37" s="1190"/>
      <c r="HY37" s="1190"/>
      <c r="HZ37" s="1190"/>
      <c r="IA37" s="1190"/>
      <c r="IB37" s="1190"/>
      <c r="IC37" s="1190"/>
      <c r="ID37" s="1190"/>
      <c r="IE37" s="1190"/>
      <c r="IF37" s="1192"/>
    </row>
    <row r="38" spans="1:240" ht="12.6" customHeight="1" x14ac:dyDescent="0.25">
      <c r="A38" s="1132"/>
      <c r="B38" s="1586"/>
      <c r="C38" s="1133"/>
      <c r="D38" s="1134"/>
      <c r="E38" s="1135"/>
      <c r="F38" s="1143"/>
      <c r="G38" s="1138"/>
      <c r="H38" s="1645"/>
      <c r="I38" s="1134"/>
      <c r="J38" s="1138"/>
      <c r="K38" s="1657"/>
      <c r="L38" s="1141"/>
      <c r="M38" s="1142"/>
      <c r="N38" s="1137"/>
      <c r="O38" s="1138"/>
      <c r="P38" s="1139"/>
      <c r="Q38" s="1134"/>
      <c r="R38" s="1138"/>
      <c r="S38" s="1140"/>
      <c r="T38" s="1143"/>
      <c r="U38" s="1138"/>
      <c r="V38" s="1134"/>
      <c r="W38" s="1138"/>
      <c r="X38" s="1142"/>
      <c r="Y38" s="1647"/>
      <c r="Z38" s="1648"/>
      <c r="AA38" s="1649"/>
      <c r="AB38" s="1288"/>
      <c r="AC38" s="898" t="b">
        <v>0</v>
      </c>
      <c r="AD38" s="374">
        <f t="shared" si="1"/>
        <v>0</v>
      </c>
      <c r="AE38" s="375">
        <f t="shared" si="2"/>
        <v>0</v>
      </c>
      <c r="AF38" s="375">
        <f t="shared" si="3"/>
        <v>0</v>
      </c>
      <c r="AG38" s="375">
        <f t="shared" si="4"/>
        <v>0</v>
      </c>
      <c r="AH38" s="376">
        <f t="shared" si="5"/>
        <v>0</v>
      </c>
      <c r="AI38" s="377" t="b">
        <v>0</v>
      </c>
      <c r="AJ38" s="143">
        <f t="shared" si="6"/>
        <v>0</v>
      </c>
      <c r="AK38" s="771" t="str">
        <f t="shared" si="7"/>
        <v/>
      </c>
      <c r="AL38" s="877" t="str">
        <f t="shared" si="8"/>
        <v/>
      </c>
      <c r="AM38" s="771" t="str">
        <f t="shared" si="9"/>
        <v/>
      </c>
      <c r="AN38" s="771" t="str">
        <f t="shared" si="10"/>
        <v/>
      </c>
      <c r="AO38" s="771" t="str">
        <f t="shared" si="11"/>
        <v/>
      </c>
      <c r="AP38" s="771" t="b">
        <f>IF(ISERROR(AJ38),FALSE,IF(OR(AJ38=0,ISERROR(AL38),ISERROR(AM38),ISERROR(AN38),ISERROR(AO38)),FALSE,IF(AL38&lt;&gt;"",IF(ISERROR(VLOOKUP(SUBSTITUTE(SUBSTITUTE(C38,"R",""),"A",""),#REF!,1,FALSE)),FALSE,TRUE),TRUE)))</f>
        <v>0</v>
      </c>
      <c r="AQ38" s="945" t="e">
        <f t="shared" si="12"/>
        <v>#N/A</v>
      </c>
      <c r="AR38" s="877" t="b">
        <f t="shared" si="13"/>
        <v>0</v>
      </c>
      <c r="AS38" s="945" t="e">
        <f t="shared" si="14"/>
        <v>#N/A</v>
      </c>
      <c r="AT38" s="877" t="b">
        <f t="shared" si="15"/>
        <v>0</v>
      </c>
      <c r="AU38" s="878" t="str">
        <f t="shared" si="16"/>
        <v/>
      </c>
      <c r="AV38" s="771" t="str">
        <f t="shared" si="17"/>
        <v/>
      </c>
      <c r="AW38" s="771" t="str">
        <f t="shared" si="18"/>
        <v/>
      </c>
      <c r="AX38" s="771" t="str">
        <f t="shared" si="96"/>
        <v/>
      </c>
      <c r="AY38" s="946" t="e">
        <f t="shared" si="19"/>
        <v>#REF!</v>
      </c>
      <c r="AZ38" s="795" t="str">
        <f t="shared" si="20"/>
        <v/>
      </c>
      <c r="BA38" s="496"/>
      <c r="BB38" s="616"/>
      <c r="BC38" s="1567"/>
      <c r="BD38" s="682"/>
      <c r="BE38" s="683"/>
      <c r="BF38" s="684"/>
      <c r="BG38" s="660"/>
      <c r="BH38" s="901"/>
      <c r="BI38" s="902"/>
      <c r="BJ38" s="1508"/>
      <c r="BK38" s="661"/>
      <c r="BL38" s="662"/>
      <c r="BM38" s="663"/>
      <c r="BN38" s="664"/>
      <c r="BO38" s="616" t="str">
        <f>IF(ISERROR(CU38),"",IF(CU38="","",IF(VLOOKUP(BG38,#REF!,10,FALSE)="","","X")))</f>
        <v/>
      </c>
      <c r="BP38" s="687"/>
      <c r="BQ38" s="1430" t="str">
        <f t="shared" si="21"/>
        <v/>
      </c>
      <c r="BR38" s="839"/>
      <c r="BS38" s="660"/>
      <c r="BT38" s="661"/>
      <c r="BU38" s="662"/>
      <c r="BV38" s="1508"/>
      <c r="BW38" s="661"/>
      <c r="BX38" s="662"/>
      <c r="BY38" s="663"/>
      <c r="BZ38" s="664"/>
      <c r="CA38" s="625" t="str">
        <f>IF(ISERROR(DE38),"",IF(DE38="","",IF(VLOOKUP(BS38,#REF!,10,FALSE)="","","X")))</f>
        <v/>
      </c>
      <c r="CB38" s="687"/>
      <c r="CC38" s="1430" t="str">
        <f t="shared" si="22"/>
        <v/>
      </c>
      <c r="CD38" s="839"/>
      <c r="CE38" s="665"/>
      <c r="CF38" s="685"/>
      <c r="CG38" s="686"/>
      <c r="CH38" s="534" t="str">
        <f t="shared" si="23"/>
        <v/>
      </c>
      <c r="CI38" s="535" t="str">
        <f t="shared" si="24"/>
        <v/>
      </c>
      <c r="CJ38" s="536" t="str">
        <f t="shared" si="25"/>
        <v/>
      </c>
      <c r="CK38" s="537" t="str">
        <f t="shared" si="26"/>
        <v/>
      </c>
      <c r="CL38" s="538" t="str">
        <f t="shared" si="27"/>
        <v/>
      </c>
      <c r="CM38" s="539" t="str">
        <f t="shared" si="28"/>
        <v/>
      </c>
      <c r="CN38" s="540" t="str">
        <f t="shared" si="29"/>
        <v/>
      </c>
      <c r="CO38" s="541" t="str">
        <f t="shared" si="30"/>
        <v/>
      </c>
      <c r="CP38" s="558" t="str">
        <f t="shared" si="31"/>
        <v/>
      </c>
      <c r="CQ38" s="559" t="str">
        <f t="shared" si="32"/>
        <v/>
      </c>
      <c r="CR38" s="699" t="str">
        <f t="shared" si="33"/>
        <v/>
      </c>
      <c r="CS38" s="700" t="str">
        <f t="shared" si="34"/>
        <v/>
      </c>
      <c r="CU38" s="758" t="str">
        <f>IF(BG38="","",VLOOKUP(BG38,#REF!,12,FALSE))</f>
        <v/>
      </c>
      <c r="CV38" s="756" t="str">
        <f>IF(BG38="","",IF(ISBLANK(BP38),VLOOKUP(BG38,#REF!,13,FALSE),BP38))</f>
        <v/>
      </c>
      <c r="CW38" s="756" t="str">
        <f>IF(BG38="","",IF(VLOOKUP(BG38,#REF!,5,FALSE)="","R",UPPER(VLOOKUP(BG38,#REF!,5,FALSE))))</f>
        <v/>
      </c>
      <c r="CX38" s="756" t="str">
        <f>IF(BG38="","",IF(ISBLANK(BR38),VLOOKUP(BG38,#REF!,6,FALSE),BR38))</f>
        <v/>
      </c>
      <c r="CY38" s="1203" t="str">
        <f>IF(BG38="","",IF(VLOOKUP(BG38,#REF!,10,FALSE)="","",(IF(BO38="X",VLOOKUP(BG38,#REF!,10,FALSE),VALUE(BO38))*-1)))</f>
        <v/>
      </c>
      <c r="CZ38" s="1042" t="str">
        <f>IF(BG38="","",IF(VLOOKUP(BG38,#REF!,11,FALSE)="","2",(VLOOKUP(BG38,#REF!,11,FALSE))))</f>
        <v/>
      </c>
      <c r="DA38" s="756" t="str">
        <f>IF(BG38="","",IF(VLOOKUP(BG38,#REF!,7,FALSE)="","",(VLOOKUP(BG38,#REF!,7,FALSE)*-1)))</f>
        <v/>
      </c>
      <c r="DB38" s="756" t="str">
        <f>IF(BG38="","",IF(VLOOKUP(BG38,#REF!,8,FALSE)="",VLOOKUP(AU38,$DF$2:$DN$9,6,FALSE),(VLOOKUP(BG38,#REF!,8,FALSE))))</f>
        <v/>
      </c>
      <c r="DC38" s="756" t="str">
        <f>IF(BG38="","",VLOOKUP(BG38,#REF!,9,FALSE))</f>
        <v/>
      </c>
      <c r="DD38" s="757">
        <f t="shared" si="35"/>
        <v>0</v>
      </c>
      <c r="DE38" s="758" t="str">
        <f>IF(BS38="","",VLOOKUP(BS38,#REF!,12,FALSE))</f>
        <v/>
      </c>
      <c r="DF38" s="756" t="str">
        <f>IF(BS38="","",IF(ISBLANK(CB38),VLOOKUP(BS38,#REF!,13,FALSE),CB38))</f>
        <v/>
      </c>
      <c r="DG38" s="756" t="str">
        <f>IF(BS38="","",IF(VLOOKUP(BS38,#REF!,5,FALSE)="","R",UPPER(VLOOKUP(BS38,#REF!,5,FALSE))))</f>
        <v/>
      </c>
      <c r="DH38" s="756" t="str">
        <f>IF(BS38="","",IF(ISBLANK(CD38),VLOOKUP(BS38,#REF!,6,FALSE),CD38))</f>
        <v/>
      </c>
      <c r="DI38" s="1203" t="str">
        <f>IF(BS38="","",IF(VLOOKUP(BS38,#REF!,10,FALSE)="","",(IF(CA38="X",VLOOKUP(BS38,#REF!,10,FALSE),VALUE(CA38))*-1)))</f>
        <v/>
      </c>
      <c r="DJ38" s="1042" t="str">
        <f>IF(BS38="","",IF(VLOOKUP(BS38,#REF!,11,FALSE)="","2",(VLOOKUP(BS38,#REF!,11,FALSE))))</f>
        <v/>
      </c>
      <c r="DK38" s="756" t="str">
        <f>IF(BS38="","",IF(VLOOKUP(BS38,#REF!,7,FALSE)="","",(VLOOKUP(BS38,#REF!,7,FALSE)*-1)))</f>
        <v/>
      </c>
      <c r="DL38" s="756" t="str">
        <f>IF(BS38="","",IF(VLOOKUP(BS38,#REF!,8,FALSE)="",VLOOKUP(AU38,$DF$2:$DN$9,6,FALSE),(VLOOKUP(BS38,#REF!,8,FALSE))))</f>
        <v/>
      </c>
      <c r="DM38" s="756" t="str">
        <f>IF(BS38="","",VLOOKUP(BS38,#REF!,9,FALSE))</f>
        <v/>
      </c>
      <c r="DN38" s="757">
        <f t="shared" si="36"/>
        <v>0</v>
      </c>
      <c r="DO38" s="759">
        <f t="shared" si="37"/>
        <v>0</v>
      </c>
      <c r="DP38" s="763" t="str">
        <f t="shared" si="38"/>
        <v/>
      </c>
      <c r="DQ38" s="763" t="str">
        <f t="shared" si="39"/>
        <v/>
      </c>
      <c r="DR38" s="763" t="str">
        <f t="shared" si="40"/>
        <v/>
      </c>
      <c r="DS38" s="762">
        <f t="shared" si="41"/>
        <v>0</v>
      </c>
      <c r="DT38" s="762" t="e">
        <f t="shared" si="42"/>
        <v>#REF!</v>
      </c>
      <c r="DU38" s="762" t="str">
        <f t="shared" si="43"/>
        <v/>
      </c>
      <c r="DV38" s="763" t="str">
        <f t="shared" si="44"/>
        <v/>
      </c>
      <c r="DW38" s="795" t="str">
        <f t="shared" si="45"/>
        <v/>
      </c>
      <c r="DX38" s="926">
        <f t="shared" si="46"/>
        <v>0</v>
      </c>
      <c r="DY38" s="763">
        <f t="shared" si="47"/>
        <v>0</v>
      </c>
      <c r="DZ38" s="762" t="e">
        <f t="shared" si="48"/>
        <v>#REF!</v>
      </c>
      <c r="EA38" s="762" t="str">
        <f t="shared" si="49"/>
        <v/>
      </c>
      <c r="EB38" s="763" t="str">
        <f t="shared" si="50"/>
        <v/>
      </c>
      <c r="EC38" s="795" t="str">
        <f t="shared" si="51"/>
        <v/>
      </c>
      <c r="ED38" s="926">
        <f t="shared" si="52"/>
        <v>0</v>
      </c>
      <c r="EE38" s="1210" t="str">
        <f t="shared" si="53"/>
        <v/>
      </c>
      <c r="EF38" s="1210" t="str">
        <f t="shared" si="54"/>
        <v/>
      </c>
      <c r="EG38" s="1210" t="str">
        <f t="shared" si="55"/>
        <v/>
      </c>
      <c r="EH38" s="795" t="e">
        <f t="shared" si="56"/>
        <v>#N/A</v>
      </c>
      <c r="EI38" s="795" t="e">
        <f t="shared" si="57"/>
        <v>#N/A</v>
      </c>
      <c r="EJ38" s="763" t="str">
        <f t="shared" si="58"/>
        <v/>
      </c>
      <c r="EK38" s="763" t="str">
        <f t="shared" si="58"/>
        <v/>
      </c>
      <c r="EL38" s="1210" t="str">
        <f t="shared" si="59"/>
        <v/>
      </c>
      <c r="EM38" s="763" t="str">
        <f t="shared" si="60"/>
        <v/>
      </c>
      <c r="EN38" s="763" t="str">
        <f t="shared" si="61"/>
        <v/>
      </c>
      <c r="EO38" s="795" t="e">
        <f t="shared" si="62"/>
        <v>#N/A</v>
      </c>
      <c r="EP38" s="795" t="e">
        <f t="shared" si="63"/>
        <v>#N/A</v>
      </c>
      <c r="EQ38" s="1210" t="str">
        <f t="shared" si="64"/>
        <v/>
      </c>
      <c r="ER38" s="763" t="str">
        <f t="shared" si="64"/>
        <v/>
      </c>
      <c r="ES38" s="763" t="str">
        <f t="shared" si="65"/>
        <v/>
      </c>
      <c r="ET38" s="763" t="str">
        <f t="shared" si="66"/>
        <v/>
      </c>
      <c r="EU38" s="770" t="str">
        <f t="shared" si="67"/>
        <v/>
      </c>
      <c r="EV38" s="765" t="str">
        <f t="shared" si="68"/>
        <v/>
      </c>
      <c r="EW38" s="770"/>
      <c r="EX38" s="770" t="str">
        <f>IF(AND(CU38="G", ISBLANK(BK38), ISBLANK(BL38)),VLOOKUP(MIN(BH38:BI38),#REF!,2),IF(OR(CU38="B",CU38="G"),MIN(BK38:BL38),""))</f>
        <v/>
      </c>
      <c r="EY38" s="770" t="str">
        <f>IF(AND(CU38="G", ISBLANK(BK38), ISBLANK(BL38)),VLOOKUP(MAX(BH38:BI38),#REF!,2),IF(OR(CU38="B",CU38="G"),MAX(BK38:BL38),""))</f>
        <v/>
      </c>
      <c r="EZ38" s="770" t="str">
        <f t="shared" si="69"/>
        <v/>
      </c>
      <c r="FA38" s="770" t="str">
        <f>IF(AND(DE38="G", ISBLANK(BW38), ISBLANK(BX38)),VLOOKUP(MIN(BT38:BU38),#REF!,2),IF(OR(DE38="B", DE38="G"),MIN(BW38:BX38),""))</f>
        <v/>
      </c>
      <c r="FB38" s="770" t="str">
        <f>IF(AND(DE38="G", ISBLANK(BW38), ISBLANK(BX38)),VLOOKUP(MAX(BT38:BU38),#REF!,2),IF(OR(DE38="B", DE38="G"),MAX(BW38:BX38),""))</f>
        <v/>
      </c>
      <c r="FC38" s="770" t="str">
        <f t="shared" si="70"/>
        <v/>
      </c>
      <c r="FD38" s="762">
        <f t="shared" si="97"/>
        <v>0</v>
      </c>
      <c r="FE38" s="762">
        <f t="shared" si="71"/>
        <v>0</v>
      </c>
      <c r="FF38" s="762">
        <f t="shared" si="72"/>
        <v>0</v>
      </c>
      <c r="FG38" s="762" t="str">
        <f t="shared" si="73"/>
        <v/>
      </c>
      <c r="FH38" s="763" t="str">
        <f t="shared" si="74"/>
        <v/>
      </c>
      <c r="FI38" s="762">
        <f t="shared" si="98"/>
        <v>0</v>
      </c>
      <c r="FJ38" s="762">
        <f t="shared" si="75"/>
        <v>0</v>
      </c>
      <c r="FK38" s="762">
        <f t="shared" si="76"/>
        <v>0</v>
      </c>
      <c r="FL38" s="762" t="str">
        <f t="shared" si="77"/>
        <v/>
      </c>
      <c r="FM38" s="763" t="str">
        <f t="shared" si="78"/>
        <v/>
      </c>
      <c r="FN38" s="763" t="e">
        <f t="shared" si="79"/>
        <v>#VALUE!</v>
      </c>
      <c r="FO38" s="872" t="e">
        <f t="shared" si="80"/>
        <v>#VALUE!</v>
      </c>
      <c r="FP38" s="872" t="e">
        <f t="shared" si="81"/>
        <v>#VALUE!</v>
      </c>
      <c r="FQ38" s="771" t="e">
        <f t="shared" si="82"/>
        <v>#VALUE!</v>
      </c>
      <c r="FR38" s="772" t="e">
        <f t="shared" si="83"/>
        <v>#VALUE!</v>
      </c>
      <c r="FS38" s="773" t="str">
        <f t="shared" si="84"/>
        <v/>
      </c>
      <c r="FT38" s="774" t="str">
        <f t="shared" si="85"/>
        <v/>
      </c>
      <c r="FU38" s="809">
        <f t="shared" si="86"/>
        <v>0</v>
      </c>
      <c r="FV38" s="810">
        <f t="shared" si="87"/>
        <v>0</v>
      </c>
      <c r="GA38" s="542" t="str">
        <f t="shared" si="88"/>
        <v/>
      </c>
      <c r="GB38" s="562" t="str">
        <f t="shared" si="89"/>
        <v/>
      </c>
      <c r="GC38" s="564" t="str">
        <f t="shared" si="90"/>
        <v/>
      </c>
      <c r="GD38" s="565" t="str">
        <f t="shared" si="91"/>
        <v/>
      </c>
      <c r="GE38" s="563" t="str">
        <f t="shared" si="92"/>
        <v/>
      </c>
      <c r="GF38" s="543" t="str">
        <f t="shared" si="93"/>
        <v/>
      </c>
      <c r="GG38" s="1052"/>
      <c r="GH38" s="1053"/>
      <c r="GI38" s="1052"/>
      <c r="GJ38" s="1053"/>
      <c r="GK38" s="1521">
        <f t="shared" si="94"/>
        <v>0</v>
      </c>
      <c r="GL38" s="1519" t="e">
        <f t="shared" si="95"/>
        <v>#VALUE!</v>
      </c>
      <c r="GM38" s="1520" t="e">
        <f>IF(ABS(GK38-GL38)&gt;=#REF!,ABS(GK38-GL38),0)</f>
        <v>#VALUE!</v>
      </c>
      <c r="HA38" s="1187"/>
      <c r="HB38" s="1188"/>
      <c r="HC38" s="1188"/>
      <c r="HD38" s="1189"/>
      <c r="HE38" s="1190"/>
      <c r="HF38" s="1188"/>
      <c r="HG38" s="1188"/>
      <c r="HH38" s="1188"/>
      <c r="HI38" s="1191"/>
      <c r="HJ38" s="1188"/>
      <c r="HK38" s="1188"/>
      <c r="HL38" s="1188"/>
      <c r="HM38" s="1188"/>
      <c r="HN38" s="1188"/>
      <c r="HO38" s="1188"/>
      <c r="HP38" s="1188"/>
      <c r="HQ38" s="1191"/>
      <c r="HR38" s="1188"/>
      <c r="HS38" s="1188"/>
      <c r="HT38" s="1188"/>
      <c r="HU38" s="1188"/>
      <c r="HV38" s="1188"/>
      <c r="HW38" s="1190"/>
      <c r="HX38" s="1190"/>
      <c r="HY38" s="1190"/>
      <c r="HZ38" s="1190"/>
      <c r="IA38" s="1190"/>
      <c r="IB38" s="1190"/>
      <c r="IC38" s="1190"/>
      <c r="ID38" s="1190"/>
      <c r="IE38" s="1190"/>
      <c r="IF38" s="1192"/>
    </row>
    <row r="39" spans="1:240" ht="12.6" customHeight="1" x14ac:dyDescent="0.25">
      <c r="A39" s="1132"/>
      <c r="B39" s="1586"/>
      <c r="C39" s="1133"/>
      <c r="D39" s="1134"/>
      <c r="E39" s="1135"/>
      <c r="F39" s="1143"/>
      <c r="G39" s="1138"/>
      <c r="H39" s="1645"/>
      <c r="I39" s="1134"/>
      <c r="J39" s="1138"/>
      <c r="K39" s="1657"/>
      <c r="L39" s="1141"/>
      <c r="M39" s="1142"/>
      <c r="N39" s="1137"/>
      <c r="O39" s="1138"/>
      <c r="P39" s="1139"/>
      <c r="Q39" s="1134"/>
      <c r="R39" s="1138"/>
      <c r="S39" s="1140"/>
      <c r="T39" s="1143"/>
      <c r="U39" s="1138"/>
      <c r="V39" s="1134"/>
      <c r="W39" s="1138"/>
      <c r="X39" s="1142"/>
      <c r="Y39" s="1647"/>
      <c r="Z39" s="1648"/>
      <c r="AA39" s="1649"/>
      <c r="AB39" s="1288"/>
      <c r="AC39" s="898" t="b">
        <v>0</v>
      </c>
      <c r="AD39" s="374">
        <f t="shared" si="1"/>
        <v>0</v>
      </c>
      <c r="AE39" s="375">
        <f t="shared" si="2"/>
        <v>0</v>
      </c>
      <c r="AF39" s="375">
        <f t="shared" si="3"/>
        <v>0</v>
      </c>
      <c r="AG39" s="375">
        <f t="shared" si="4"/>
        <v>0</v>
      </c>
      <c r="AH39" s="376">
        <f t="shared" si="5"/>
        <v>0</v>
      </c>
      <c r="AI39" s="377" t="b">
        <v>0</v>
      </c>
      <c r="AJ39" s="143">
        <f t="shared" si="6"/>
        <v>0</v>
      </c>
      <c r="AK39" s="771" t="str">
        <f t="shared" si="7"/>
        <v/>
      </c>
      <c r="AL39" s="877" t="str">
        <f t="shared" si="8"/>
        <v/>
      </c>
      <c r="AM39" s="771" t="str">
        <f t="shared" si="9"/>
        <v/>
      </c>
      <c r="AN39" s="771" t="str">
        <f t="shared" si="10"/>
        <v/>
      </c>
      <c r="AO39" s="771" t="str">
        <f t="shared" si="11"/>
        <v/>
      </c>
      <c r="AP39" s="771" t="b">
        <f>IF(ISERROR(AJ39),FALSE,IF(OR(AJ39=0,ISERROR(AL39),ISERROR(AM39),ISERROR(AN39),ISERROR(AO39)),FALSE,IF(AL39&lt;&gt;"",IF(ISERROR(VLOOKUP(SUBSTITUTE(SUBSTITUTE(C39,"R",""),"A",""),#REF!,1,FALSE)),FALSE,TRUE),TRUE)))</f>
        <v>0</v>
      </c>
      <c r="AQ39" s="945" t="e">
        <f t="shared" si="12"/>
        <v>#N/A</v>
      </c>
      <c r="AR39" s="877" t="b">
        <f t="shared" si="13"/>
        <v>0</v>
      </c>
      <c r="AS39" s="945" t="e">
        <f t="shared" si="14"/>
        <v>#N/A</v>
      </c>
      <c r="AT39" s="877" t="b">
        <f t="shared" si="15"/>
        <v>0</v>
      </c>
      <c r="AU39" s="878" t="str">
        <f t="shared" si="16"/>
        <v/>
      </c>
      <c r="AV39" s="771" t="str">
        <f t="shared" si="17"/>
        <v/>
      </c>
      <c r="AW39" s="771" t="str">
        <f t="shared" si="18"/>
        <v/>
      </c>
      <c r="AX39" s="771" t="str">
        <f t="shared" si="96"/>
        <v/>
      </c>
      <c r="AY39" s="946" t="e">
        <f t="shared" si="19"/>
        <v>#REF!</v>
      </c>
      <c r="AZ39" s="795" t="str">
        <f t="shared" si="20"/>
        <v/>
      </c>
      <c r="BA39" s="496"/>
      <c r="BB39" s="616"/>
      <c r="BC39" s="1567"/>
      <c r="BD39" s="682"/>
      <c r="BE39" s="683"/>
      <c r="BF39" s="684"/>
      <c r="BG39" s="660"/>
      <c r="BH39" s="901"/>
      <c r="BI39" s="902"/>
      <c r="BJ39" s="1508"/>
      <c r="BK39" s="661"/>
      <c r="BL39" s="662"/>
      <c r="BM39" s="663"/>
      <c r="BN39" s="664"/>
      <c r="BO39" s="616" t="str">
        <f>IF(ISERROR(CU39),"",IF(CU39="","",IF(VLOOKUP(BG39,#REF!,10,FALSE)="","","X")))</f>
        <v/>
      </c>
      <c r="BP39" s="687"/>
      <c r="BQ39" s="1430" t="str">
        <f t="shared" si="21"/>
        <v/>
      </c>
      <c r="BR39" s="839"/>
      <c r="BS39" s="660"/>
      <c r="BT39" s="661"/>
      <c r="BU39" s="662"/>
      <c r="BV39" s="1508"/>
      <c r="BW39" s="661"/>
      <c r="BX39" s="662"/>
      <c r="BY39" s="663"/>
      <c r="BZ39" s="664"/>
      <c r="CA39" s="625" t="str">
        <f>IF(ISERROR(DE39),"",IF(DE39="","",IF(VLOOKUP(BS39,#REF!,10,FALSE)="","","X")))</f>
        <v/>
      </c>
      <c r="CB39" s="687"/>
      <c r="CC39" s="1430" t="str">
        <f t="shared" si="22"/>
        <v/>
      </c>
      <c r="CD39" s="839"/>
      <c r="CE39" s="665"/>
      <c r="CF39" s="685"/>
      <c r="CG39" s="686"/>
      <c r="CH39" s="534" t="str">
        <f t="shared" si="23"/>
        <v/>
      </c>
      <c r="CI39" s="535" t="str">
        <f t="shared" si="24"/>
        <v/>
      </c>
      <c r="CJ39" s="536" t="str">
        <f t="shared" si="25"/>
        <v/>
      </c>
      <c r="CK39" s="537" t="str">
        <f t="shared" si="26"/>
        <v/>
      </c>
      <c r="CL39" s="538" t="str">
        <f t="shared" si="27"/>
        <v/>
      </c>
      <c r="CM39" s="539" t="str">
        <f t="shared" si="28"/>
        <v/>
      </c>
      <c r="CN39" s="540" t="str">
        <f t="shared" si="29"/>
        <v/>
      </c>
      <c r="CO39" s="541" t="str">
        <f t="shared" si="30"/>
        <v/>
      </c>
      <c r="CP39" s="558" t="str">
        <f t="shared" si="31"/>
        <v/>
      </c>
      <c r="CQ39" s="559" t="str">
        <f t="shared" si="32"/>
        <v/>
      </c>
      <c r="CR39" s="699" t="str">
        <f t="shared" si="33"/>
        <v/>
      </c>
      <c r="CS39" s="700" t="str">
        <f t="shared" si="34"/>
        <v/>
      </c>
      <c r="CU39" s="758" t="str">
        <f>IF(BG39="","",VLOOKUP(BG39,#REF!,12,FALSE))</f>
        <v/>
      </c>
      <c r="CV39" s="756" t="str">
        <f>IF(BG39="","",IF(ISBLANK(BP39),VLOOKUP(BG39,#REF!,13,FALSE),BP39))</f>
        <v/>
      </c>
      <c r="CW39" s="756" t="str">
        <f>IF(BG39="","",IF(VLOOKUP(BG39,#REF!,5,FALSE)="","R",UPPER(VLOOKUP(BG39,#REF!,5,FALSE))))</f>
        <v/>
      </c>
      <c r="CX39" s="756" t="str">
        <f>IF(BG39="","",IF(ISBLANK(BR39),VLOOKUP(BG39,#REF!,6,FALSE),BR39))</f>
        <v/>
      </c>
      <c r="CY39" s="1203" t="str">
        <f>IF(BG39="","",IF(VLOOKUP(BG39,#REF!,10,FALSE)="","",(IF(BO39="X",VLOOKUP(BG39,#REF!,10,FALSE),VALUE(BO39))*-1)))</f>
        <v/>
      </c>
      <c r="CZ39" s="1042" t="str">
        <f>IF(BG39="","",IF(VLOOKUP(BG39,#REF!,11,FALSE)="","2",(VLOOKUP(BG39,#REF!,11,FALSE))))</f>
        <v/>
      </c>
      <c r="DA39" s="756" t="str">
        <f>IF(BG39="","",IF(VLOOKUP(BG39,#REF!,7,FALSE)="","",(VLOOKUP(BG39,#REF!,7,FALSE)*-1)))</f>
        <v/>
      </c>
      <c r="DB39" s="756" t="str">
        <f>IF(BG39="","",IF(VLOOKUP(BG39,#REF!,8,FALSE)="",VLOOKUP(AU39,$DF$2:$DN$9,6,FALSE),(VLOOKUP(BG39,#REF!,8,FALSE))))</f>
        <v/>
      </c>
      <c r="DC39" s="756" t="str">
        <f>IF(BG39="","",VLOOKUP(BG39,#REF!,9,FALSE))</f>
        <v/>
      </c>
      <c r="DD39" s="757">
        <f t="shared" si="35"/>
        <v>0</v>
      </c>
      <c r="DE39" s="758" t="str">
        <f>IF(BS39="","",VLOOKUP(BS39,#REF!,12,FALSE))</f>
        <v/>
      </c>
      <c r="DF39" s="756" t="str">
        <f>IF(BS39="","",IF(ISBLANK(CB39),VLOOKUP(BS39,#REF!,13,FALSE),CB39))</f>
        <v/>
      </c>
      <c r="DG39" s="756" t="str">
        <f>IF(BS39="","",IF(VLOOKUP(BS39,#REF!,5,FALSE)="","R",UPPER(VLOOKUP(BS39,#REF!,5,FALSE))))</f>
        <v/>
      </c>
      <c r="DH39" s="756" t="str">
        <f>IF(BS39="","",IF(ISBLANK(CD39),VLOOKUP(BS39,#REF!,6,FALSE),CD39))</f>
        <v/>
      </c>
      <c r="DI39" s="1203" t="str">
        <f>IF(BS39="","",IF(VLOOKUP(BS39,#REF!,10,FALSE)="","",(IF(CA39="X",VLOOKUP(BS39,#REF!,10,FALSE),VALUE(CA39))*-1)))</f>
        <v/>
      </c>
      <c r="DJ39" s="1042" t="str">
        <f>IF(BS39="","",IF(VLOOKUP(BS39,#REF!,11,FALSE)="","2",(VLOOKUP(BS39,#REF!,11,FALSE))))</f>
        <v/>
      </c>
      <c r="DK39" s="756" t="str">
        <f>IF(BS39="","",IF(VLOOKUP(BS39,#REF!,7,FALSE)="","",(VLOOKUP(BS39,#REF!,7,FALSE)*-1)))</f>
        <v/>
      </c>
      <c r="DL39" s="756" t="str">
        <f>IF(BS39="","",IF(VLOOKUP(BS39,#REF!,8,FALSE)="",VLOOKUP(AU39,$DF$2:$DN$9,6,FALSE),(VLOOKUP(BS39,#REF!,8,FALSE))))</f>
        <v/>
      </c>
      <c r="DM39" s="756" t="str">
        <f>IF(BS39="","",VLOOKUP(BS39,#REF!,9,FALSE))</f>
        <v/>
      </c>
      <c r="DN39" s="757">
        <f t="shared" si="36"/>
        <v>0</v>
      </c>
      <c r="DO39" s="759">
        <f t="shared" si="37"/>
        <v>0</v>
      </c>
      <c r="DP39" s="763" t="str">
        <f t="shared" si="38"/>
        <v/>
      </c>
      <c r="DQ39" s="763" t="str">
        <f t="shared" si="39"/>
        <v/>
      </c>
      <c r="DR39" s="763" t="str">
        <f t="shared" si="40"/>
        <v/>
      </c>
      <c r="DS39" s="762">
        <f t="shared" si="41"/>
        <v>0</v>
      </c>
      <c r="DT39" s="762" t="e">
        <f t="shared" si="42"/>
        <v>#REF!</v>
      </c>
      <c r="DU39" s="762" t="str">
        <f t="shared" si="43"/>
        <v/>
      </c>
      <c r="DV39" s="763" t="str">
        <f t="shared" si="44"/>
        <v/>
      </c>
      <c r="DW39" s="795" t="str">
        <f t="shared" si="45"/>
        <v/>
      </c>
      <c r="DX39" s="926">
        <f t="shared" si="46"/>
        <v>0</v>
      </c>
      <c r="DY39" s="763">
        <f t="shared" si="47"/>
        <v>0</v>
      </c>
      <c r="DZ39" s="762" t="e">
        <f t="shared" si="48"/>
        <v>#REF!</v>
      </c>
      <c r="EA39" s="762" t="str">
        <f t="shared" si="49"/>
        <v/>
      </c>
      <c r="EB39" s="763" t="str">
        <f t="shared" si="50"/>
        <v/>
      </c>
      <c r="EC39" s="795" t="str">
        <f t="shared" si="51"/>
        <v/>
      </c>
      <c r="ED39" s="926">
        <f t="shared" si="52"/>
        <v>0</v>
      </c>
      <c r="EE39" s="1210" t="str">
        <f t="shared" si="53"/>
        <v/>
      </c>
      <c r="EF39" s="1210" t="str">
        <f t="shared" si="54"/>
        <v/>
      </c>
      <c r="EG39" s="1210" t="str">
        <f t="shared" si="55"/>
        <v/>
      </c>
      <c r="EH39" s="795" t="e">
        <f t="shared" si="56"/>
        <v>#N/A</v>
      </c>
      <c r="EI39" s="795" t="e">
        <f t="shared" si="57"/>
        <v>#N/A</v>
      </c>
      <c r="EJ39" s="763" t="str">
        <f t="shared" si="58"/>
        <v/>
      </c>
      <c r="EK39" s="763" t="str">
        <f t="shared" si="58"/>
        <v/>
      </c>
      <c r="EL39" s="1210" t="str">
        <f t="shared" si="59"/>
        <v/>
      </c>
      <c r="EM39" s="763" t="str">
        <f t="shared" si="60"/>
        <v/>
      </c>
      <c r="EN39" s="763" t="str">
        <f t="shared" si="61"/>
        <v/>
      </c>
      <c r="EO39" s="795" t="e">
        <f t="shared" si="62"/>
        <v>#N/A</v>
      </c>
      <c r="EP39" s="795" t="e">
        <f t="shared" si="63"/>
        <v>#N/A</v>
      </c>
      <c r="EQ39" s="1210" t="str">
        <f t="shared" si="64"/>
        <v/>
      </c>
      <c r="ER39" s="763" t="str">
        <f t="shared" si="64"/>
        <v/>
      </c>
      <c r="ES39" s="763" t="str">
        <f t="shared" si="65"/>
        <v/>
      </c>
      <c r="ET39" s="763" t="str">
        <f t="shared" si="66"/>
        <v/>
      </c>
      <c r="EU39" s="770" t="str">
        <f t="shared" si="67"/>
        <v/>
      </c>
      <c r="EV39" s="765" t="str">
        <f t="shared" si="68"/>
        <v/>
      </c>
      <c r="EW39" s="770"/>
      <c r="EX39" s="770" t="str">
        <f>IF(AND(CU39="G", ISBLANK(BK39), ISBLANK(BL39)),VLOOKUP(MIN(BH39:BI39),#REF!,2),IF(OR(CU39="B",CU39="G"),MIN(BK39:BL39),""))</f>
        <v/>
      </c>
      <c r="EY39" s="770" t="str">
        <f>IF(AND(CU39="G", ISBLANK(BK39), ISBLANK(BL39)),VLOOKUP(MAX(BH39:BI39),#REF!,2),IF(OR(CU39="B",CU39="G"),MAX(BK39:BL39),""))</f>
        <v/>
      </c>
      <c r="EZ39" s="770" t="str">
        <f t="shared" si="69"/>
        <v/>
      </c>
      <c r="FA39" s="770" t="str">
        <f>IF(AND(DE39="G", ISBLANK(BW39), ISBLANK(BX39)),VLOOKUP(MIN(BT39:BU39),#REF!,2),IF(OR(DE39="B", DE39="G"),MIN(BW39:BX39),""))</f>
        <v/>
      </c>
      <c r="FB39" s="770" t="str">
        <f>IF(AND(DE39="G", ISBLANK(BW39), ISBLANK(BX39)),VLOOKUP(MAX(BT39:BU39),#REF!,2),IF(OR(DE39="B", DE39="G"),MAX(BW39:BX39),""))</f>
        <v/>
      </c>
      <c r="FC39" s="770" t="str">
        <f t="shared" si="70"/>
        <v/>
      </c>
      <c r="FD39" s="762">
        <f t="shared" si="97"/>
        <v>0</v>
      </c>
      <c r="FE39" s="762">
        <f t="shared" si="71"/>
        <v>0</v>
      </c>
      <c r="FF39" s="762">
        <f t="shared" si="72"/>
        <v>0</v>
      </c>
      <c r="FG39" s="762" t="str">
        <f t="shared" si="73"/>
        <v/>
      </c>
      <c r="FH39" s="763" t="str">
        <f t="shared" si="74"/>
        <v/>
      </c>
      <c r="FI39" s="762">
        <f t="shared" si="98"/>
        <v>0</v>
      </c>
      <c r="FJ39" s="762">
        <f t="shared" si="75"/>
        <v>0</v>
      </c>
      <c r="FK39" s="762">
        <f t="shared" si="76"/>
        <v>0</v>
      </c>
      <c r="FL39" s="762" t="str">
        <f t="shared" si="77"/>
        <v/>
      </c>
      <c r="FM39" s="763" t="str">
        <f t="shared" si="78"/>
        <v/>
      </c>
      <c r="FN39" s="763" t="e">
        <f t="shared" si="79"/>
        <v>#VALUE!</v>
      </c>
      <c r="FO39" s="872" t="e">
        <f t="shared" si="80"/>
        <v>#VALUE!</v>
      </c>
      <c r="FP39" s="872" t="e">
        <f t="shared" si="81"/>
        <v>#VALUE!</v>
      </c>
      <c r="FQ39" s="771" t="e">
        <f t="shared" si="82"/>
        <v>#VALUE!</v>
      </c>
      <c r="FR39" s="772" t="e">
        <f t="shared" si="83"/>
        <v>#VALUE!</v>
      </c>
      <c r="FS39" s="773" t="str">
        <f t="shared" si="84"/>
        <v/>
      </c>
      <c r="FT39" s="774" t="str">
        <f t="shared" si="85"/>
        <v/>
      </c>
      <c r="FU39" s="809">
        <f t="shared" si="86"/>
        <v>0</v>
      </c>
      <c r="FV39" s="810">
        <f t="shared" si="87"/>
        <v>0</v>
      </c>
      <c r="GA39" s="542" t="str">
        <f t="shared" si="88"/>
        <v/>
      </c>
      <c r="GB39" s="562" t="str">
        <f t="shared" si="89"/>
        <v/>
      </c>
      <c r="GC39" s="564" t="str">
        <f t="shared" si="90"/>
        <v/>
      </c>
      <c r="GD39" s="565" t="str">
        <f t="shared" si="91"/>
        <v/>
      </c>
      <c r="GE39" s="563" t="str">
        <f t="shared" si="92"/>
        <v/>
      </c>
      <c r="GF39" s="543" t="str">
        <f t="shared" si="93"/>
        <v/>
      </c>
      <c r="GG39" s="1052"/>
      <c r="GH39" s="1053"/>
      <c r="GI39" s="1052"/>
      <c r="GJ39" s="1053"/>
      <c r="GK39" s="1521">
        <f t="shared" si="94"/>
        <v>0</v>
      </c>
      <c r="GL39" s="1519" t="e">
        <f t="shared" si="95"/>
        <v>#VALUE!</v>
      </c>
      <c r="GM39" s="1520" t="e">
        <f>IF(ABS(GK39-GL39)&gt;=#REF!,ABS(GK39-GL39),0)</f>
        <v>#VALUE!</v>
      </c>
      <c r="HA39" s="1187"/>
      <c r="HB39" s="1188"/>
      <c r="HC39" s="1188"/>
      <c r="HD39" s="1189"/>
      <c r="HE39" s="1190"/>
      <c r="HF39" s="1188"/>
      <c r="HG39" s="1188"/>
      <c r="HH39" s="1188"/>
      <c r="HI39" s="1191"/>
      <c r="HJ39" s="1188"/>
      <c r="HK39" s="1188"/>
      <c r="HL39" s="1188"/>
      <c r="HM39" s="1188"/>
      <c r="HN39" s="1188"/>
      <c r="HO39" s="1188"/>
      <c r="HP39" s="1188"/>
      <c r="HQ39" s="1191"/>
      <c r="HR39" s="1188"/>
      <c r="HS39" s="1188"/>
      <c r="HT39" s="1188"/>
      <c r="HU39" s="1188"/>
      <c r="HV39" s="1188"/>
      <c r="HW39" s="1190"/>
      <c r="HX39" s="1190"/>
      <c r="HY39" s="1190"/>
      <c r="HZ39" s="1190"/>
      <c r="IA39" s="1190"/>
      <c r="IB39" s="1190"/>
      <c r="IC39" s="1190"/>
      <c r="ID39" s="1190"/>
      <c r="IE39" s="1190"/>
      <c r="IF39" s="1192"/>
    </row>
    <row r="40" spans="1:240" ht="12.6" customHeight="1" x14ac:dyDescent="0.25">
      <c r="A40" s="1132"/>
      <c r="B40" s="1586"/>
      <c r="C40" s="1133"/>
      <c r="D40" s="1134"/>
      <c r="E40" s="1135"/>
      <c r="F40" s="1143"/>
      <c r="G40" s="1138"/>
      <c r="H40" s="1645"/>
      <c r="I40" s="1134"/>
      <c r="J40" s="1138"/>
      <c r="K40" s="1657"/>
      <c r="L40" s="1141"/>
      <c r="M40" s="1142"/>
      <c r="N40" s="1137"/>
      <c r="O40" s="1138"/>
      <c r="P40" s="1139"/>
      <c r="Q40" s="1134"/>
      <c r="R40" s="1138"/>
      <c r="S40" s="1140"/>
      <c r="T40" s="1143"/>
      <c r="U40" s="1138"/>
      <c r="V40" s="1134"/>
      <c r="W40" s="1138"/>
      <c r="X40" s="1142"/>
      <c r="Y40" s="1647"/>
      <c r="Z40" s="1648"/>
      <c r="AA40" s="1649"/>
      <c r="AB40" s="1288"/>
      <c r="AC40" s="898" t="b">
        <v>0</v>
      </c>
      <c r="AD40" s="374">
        <f t="shared" si="1"/>
        <v>0</v>
      </c>
      <c r="AE40" s="375">
        <f t="shared" si="2"/>
        <v>0</v>
      </c>
      <c r="AF40" s="375">
        <f t="shared" si="3"/>
        <v>0</v>
      </c>
      <c r="AG40" s="375">
        <f t="shared" si="4"/>
        <v>0</v>
      </c>
      <c r="AH40" s="376">
        <f t="shared" si="5"/>
        <v>0</v>
      </c>
      <c r="AI40" s="377" t="b">
        <v>0</v>
      </c>
      <c r="AJ40" s="143">
        <f t="shared" si="6"/>
        <v>0</v>
      </c>
      <c r="AK40" s="771" t="str">
        <f t="shared" si="7"/>
        <v/>
      </c>
      <c r="AL40" s="877" t="str">
        <f t="shared" si="8"/>
        <v/>
      </c>
      <c r="AM40" s="771" t="str">
        <f t="shared" si="9"/>
        <v/>
      </c>
      <c r="AN40" s="771" t="str">
        <f t="shared" si="10"/>
        <v/>
      </c>
      <c r="AO40" s="771" t="str">
        <f t="shared" si="11"/>
        <v/>
      </c>
      <c r="AP40" s="771" t="b">
        <f>IF(ISERROR(AJ40),FALSE,IF(OR(AJ40=0,ISERROR(AL40),ISERROR(AM40),ISERROR(AN40),ISERROR(AO40)),FALSE,IF(AL40&lt;&gt;"",IF(ISERROR(VLOOKUP(SUBSTITUTE(SUBSTITUTE(C40,"R",""),"A",""),#REF!,1,FALSE)),FALSE,TRUE),TRUE)))</f>
        <v>0</v>
      </c>
      <c r="AQ40" s="945" t="e">
        <f t="shared" si="12"/>
        <v>#N/A</v>
      </c>
      <c r="AR40" s="877" t="b">
        <f t="shared" si="13"/>
        <v>0</v>
      </c>
      <c r="AS40" s="945" t="e">
        <f t="shared" si="14"/>
        <v>#N/A</v>
      </c>
      <c r="AT40" s="877" t="b">
        <f t="shared" si="15"/>
        <v>0</v>
      </c>
      <c r="AU40" s="878" t="str">
        <f t="shared" si="16"/>
        <v/>
      </c>
      <c r="AV40" s="771" t="str">
        <f t="shared" si="17"/>
        <v/>
      </c>
      <c r="AW40" s="771" t="str">
        <f t="shared" si="18"/>
        <v/>
      </c>
      <c r="AX40" s="771" t="str">
        <f t="shared" si="96"/>
        <v/>
      </c>
      <c r="AY40" s="946" t="e">
        <f t="shared" si="19"/>
        <v>#REF!</v>
      </c>
      <c r="AZ40" s="795" t="str">
        <f t="shared" si="20"/>
        <v/>
      </c>
      <c r="BA40" s="496"/>
      <c r="BB40" s="616"/>
      <c r="BC40" s="1567"/>
      <c r="BD40" s="682"/>
      <c r="BE40" s="683"/>
      <c r="BF40" s="684"/>
      <c r="BG40" s="660"/>
      <c r="BH40" s="901"/>
      <c r="BI40" s="902"/>
      <c r="BJ40" s="1508"/>
      <c r="BK40" s="661"/>
      <c r="BL40" s="662"/>
      <c r="BM40" s="663"/>
      <c r="BN40" s="664"/>
      <c r="BO40" s="616" t="str">
        <f>IF(ISERROR(CU40),"",IF(CU40="","",IF(VLOOKUP(BG40,#REF!,10,FALSE)="","","X")))</f>
        <v/>
      </c>
      <c r="BP40" s="687"/>
      <c r="BQ40" s="1430" t="str">
        <f t="shared" si="21"/>
        <v/>
      </c>
      <c r="BR40" s="839"/>
      <c r="BS40" s="660"/>
      <c r="BT40" s="661"/>
      <c r="BU40" s="662"/>
      <c r="BV40" s="1508"/>
      <c r="BW40" s="661"/>
      <c r="BX40" s="662"/>
      <c r="BY40" s="663"/>
      <c r="BZ40" s="664"/>
      <c r="CA40" s="625" t="str">
        <f>IF(ISERROR(DE40),"",IF(DE40="","",IF(VLOOKUP(BS40,#REF!,10,FALSE)="","","X")))</f>
        <v/>
      </c>
      <c r="CB40" s="687"/>
      <c r="CC40" s="1430" t="str">
        <f t="shared" si="22"/>
        <v/>
      </c>
      <c r="CD40" s="839"/>
      <c r="CE40" s="665"/>
      <c r="CF40" s="685"/>
      <c r="CG40" s="686"/>
      <c r="CH40" s="534" t="str">
        <f t="shared" si="23"/>
        <v/>
      </c>
      <c r="CI40" s="535" t="str">
        <f t="shared" si="24"/>
        <v/>
      </c>
      <c r="CJ40" s="536" t="str">
        <f t="shared" si="25"/>
        <v/>
      </c>
      <c r="CK40" s="537" t="str">
        <f t="shared" si="26"/>
        <v/>
      </c>
      <c r="CL40" s="538" t="str">
        <f t="shared" si="27"/>
        <v/>
      </c>
      <c r="CM40" s="539" t="str">
        <f t="shared" si="28"/>
        <v/>
      </c>
      <c r="CN40" s="540" t="str">
        <f t="shared" si="29"/>
        <v/>
      </c>
      <c r="CO40" s="541" t="str">
        <f t="shared" si="30"/>
        <v/>
      </c>
      <c r="CP40" s="558" t="str">
        <f t="shared" si="31"/>
        <v/>
      </c>
      <c r="CQ40" s="559" t="str">
        <f t="shared" si="32"/>
        <v/>
      </c>
      <c r="CR40" s="699" t="str">
        <f t="shared" si="33"/>
        <v/>
      </c>
      <c r="CS40" s="700" t="str">
        <f t="shared" si="34"/>
        <v/>
      </c>
      <c r="CU40" s="758" t="str">
        <f>IF(BG40="","",VLOOKUP(BG40,#REF!,12,FALSE))</f>
        <v/>
      </c>
      <c r="CV40" s="756" t="str">
        <f>IF(BG40="","",IF(ISBLANK(BP40),VLOOKUP(BG40,#REF!,13,FALSE),BP40))</f>
        <v/>
      </c>
      <c r="CW40" s="756" t="str">
        <f>IF(BG40="","",IF(VLOOKUP(BG40,#REF!,5,FALSE)="","R",UPPER(VLOOKUP(BG40,#REF!,5,FALSE))))</f>
        <v/>
      </c>
      <c r="CX40" s="756" t="str">
        <f>IF(BG40="","",IF(ISBLANK(BR40),VLOOKUP(BG40,#REF!,6,FALSE),BR40))</f>
        <v/>
      </c>
      <c r="CY40" s="1203" t="str">
        <f>IF(BG40="","",IF(VLOOKUP(BG40,#REF!,10,FALSE)="","",(IF(BO40="X",VLOOKUP(BG40,#REF!,10,FALSE),VALUE(BO40))*-1)))</f>
        <v/>
      </c>
      <c r="CZ40" s="1042" t="str">
        <f>IF(BG40="","",IF(VLOOKUP(BG40,#REF!,11,FALSE)="","2",(VLOOKUP(BG40,#REF!,11,FALSE))))</f>
        <v/>
      </c>
      <c r="DA40" s="756" t="str">
        <f>IF(BG40="","",IF(VLOOKUP(BG40,#REF!,7,FALSE)="","",(VLOOKUP(BG40,#REF!,7,FALSE)*-1)))</f>
        <v/>
      </c>
      <c r="DB40" s="756" t="str">
        <f>IF(BG40="","",IF(VLOOKUP(BG40,#REF!,8,FALSE)="",VLOOKUP(AU40,$DF$2:$DN$9,6,FALSE),(VLOOKUP(BG40,#REF!,8,FALSE))))</f>
        <v/>
      </c>
      <c r="DC40" s="756" t="str">
        <f>IF(BG40="","",VLOOKUP(BG40,#REF!,9,FALSE))</f>
        <v/>
      </c>
      <c r="DD40" s="757">
        <f t="shared" si="35"/>
        <v>0</v>
      </c>
      <c r="DE40" s="758" t="str">
        <f>IF(BS40="","",VLOOKUP(BS40,#REF!,12,FALSE))</f>
        <v/>
      </c>
      <c r="DF40" s="756" t="str">
        <f>IF(BS40="","",IF(ISBLANK(CB40),VLOOKUP(BS40,#REF!,13,FALSE),CB40))</f>
        <v/>
      </c>
      <c r="DG40" s="756" t="str">
        <f>IF(BS40="","",IF(VLOOKUP(BS40,#REF!,5,FALSE)="","R",UPPER(VLOOKUP(BS40,#REF!,5,FALSE))))</f>
        <v/>
      </c>
      <c r="DH40" s="756" t="str">
        <f>IF(BS40="","",IF(ISBLANK(CD40),VLOOKUP(BS40,#REF!,6,FALSE),CD40))</f>
        <v/>
      </c>
      <c r="DI40" s="1203" t="str">
        <f>IF(BS40="","",IF(VLOOKUP(BS40,#REF!,10,FALSE)="","",(IF(CA40="X",VLOOKUP(BS40,#REF!,10,FALSE),VALUE(CA40))*-1)))</f>
        <v/>
      </c>
      <c r="DJ40" s="1042" t="str">
        <f>IF(BS40="","",IF(VLOOKUP(BS40,#REF!,11,FALSE)="","2",(VLOOKUP(BS40,#REF!,11,FALSE))))</f>
        <v/>
      </c>
      <c r="DK40" s="756" t="str">
        <f>IF(BS40="","",IF(VLOOKUP(BS40,#REF!,7,FALSE)="","",(VLOOKUP(BS40,#REF!,7,FALSE)*-1)))</f>
        <v/>
      </c>
      <c r="DL40" s="756" t="str">
        <f>IF(BS40="","",IF(VLOOKUP(BS40,#REF!,8,FALSE)="",VLOOKUP(AU40,$DF$2:$DN$9,6,FALSE),(VLOOKUP(BS40,#REF!,8,FALSE))))</f>
        <v/>
      </c>
      <c r="DM40" s="756" t="str">
        <f>IF(BS40="","",VLOOKUP(BS40,#REF!,9,FALSE))</f>
        <v/>
      </c>
      <c r="DN40" s="757">
        <f t="shared" si="36"/>
        <v>0</v>
      </c>
      <c r="DO40" s="759">
        <f t="shared" si="37"/>
        <v>0</v>
      </c>
      <c r="DP40" s="763" t="str">
        <f t="shared" si="38"/>
        <v/>
      </c>
      <c r="DQ40" s="763" t="str">
        <f t="shared" si="39"/>
        <v/>
      </c>
      <c r="DR40" s="763" t="str">
        <f t="shared" si="40"/>
        <v/>
      </c>
      <c r="DS40" s="762">
        <f t="shared" si="41"/>
        <v>0</v>
      </c>
      <c r="DT40" s="762" t="e">
        <f t="shared" si="42"/>
        <v>#REF!</v>
      </c>
      <c r="DU40" s="762" t="str">
        <f t="shared" si="43"/>
        <v/>
      </c>
      <c r="DV40" s="763" t="str">
        <f t="shared" si="44"/>
        <v/>
      </c>
      <c r="DW40" s="795" t="str">
        <f t="shared" si="45"/>
        <v/>
      </c>
      <c r="DX40" s="926">
        <f t="shared" si="46"/>
        <v>0</v>
      </c>
      <c r="DY40" s="763">
        <f t="shared" si="47"/>
        <v>0</v>
      </c>
      <c r="DZ40" s="762" t="e">
        <f t="shared" si="48"/>
        <v>#REF!</v>
      </c>
      <c r="EA40" s="762" t="str">
        <f t="shared" si="49"/>
        <v/>
      </c>
      <c r="EB40" s="763" t="str">
        <f t="shared" si="50"/>
        <v/>
      </c>
      <c r="EC40" s="795" t="str">
        <f t="shared" si="51"/>
        <v/>
      </c>
      <c r="ED40" s="926">
        <f t="shared" si="52"/>
        <v>0</v>
      </c>
      <c r="EE40" s="1210" t="str">
        <f t="shared" si="53"/>
        <v/>
      </c>
      <c r="EF40" s="1210" t="str">
        <f t="shared" si="54"/>
        <v/>
      </c>
      <c r="EG40" s="1210" t="str">
        <f t="shared" si="55"/>
        <v/>
      </c>
      <c r="EH40" s="795" t="e">
        <f t="shared" si="56"/>
        <v>#N/A</v>
      </c>
      <c r="EI40" s="795" t="e">
        <f t="shared" si="57"/>
        <v>#N/A</v>
      </c>
      <c r="EJ40" s="763" t="str">
        <f t="shared" si="58"/>
        <v/>
      </c>
      <c r="EK40" s="763" t="str">
        <f t="shared" si="58"/>
        <v/>
      </c>
      <c r="EL40" s="1210" t="str">
        <f t="shared" si="59"/>
        <v/>
      </c>
      <c r="EM40" s="763" t="str">
        <f t="shared" si="60"/>
        <v/>
      </c>
      <c r="EN40" s="763" t="str">
        <f t="shared" si="61"/>
        <v/>
      </c>
      <c r="EO40" s="795" t="e">
        <f t="shared" si="62"/>
        <v>#N/A</v>
      </c>
      <c r="EP40" s="795" t="e">
        <f t="shared" si="63"/>
        <v>#N/A</v>
      </c>
      <c r="EQ40" s="1210" t="str">
        <f t="shared" si="64"/>
        <v/>
      </c>
      <c r="ER40" s="763" t="str">
        <f t="shared" si="64"/>
        <v/>
      </c>
      <c r="ES40" s="763" t="str">
        <f t="shared" si="65"/>
        <v/>
      </c>
      <c r="ET40" s="763" t="str">
        <f t="shared" si="66"/>
        <v/>
      </c>
      <c r="EU40" s="770" t="str">
        <f t="shared" si="67"/>
        <v/>
      </c>
      <c r="EV40" s="765" t="str">
        <f t="shared" si="68"/>
        <v/>
      </c>
      <c r="EW40" s="770"/>
      <c r="EX40" s="770" t="str">
        <f>IF(AND(CU40="G", ISBLANK(BK40), ISBLANK(BL40)),VLOOKUP(MIN(BH40:BI40),#REF!,2),IF(OR(CU40="B",CU40="G"),MIN(BK40:BL40),""))</f>
        <v/>
      </c>
      <c r="EY40" s="770" t="str">
        <f>IF(AND(CU40="G", ISBLANK(BK40), ISBLANK(BL40)),VLOOKUP(MAX(BH40:BI40),#REF!,2),IF(OR(CU40="B",CU40="G"),MAX(BK40:BL40),""))</f>
        <v/>
      </c>
      <c r="EZ40" s="770" t="str">
        <f t="shared" si="69"/>
        <v/>
      </c>
      <c r="FA40" s="770" t="str">
        <f>IF(AND(DE40="G", ISBLANK(BW40), ISBLANK(BX40)),VLOOKUP(MIN(BT40:BU40),#REF!,2),IF(OR(DE40="B", DE40="G"),MIN(BW40:BX40),""))</f>
        <v/>
      </c>
      <c r="FB40" s="770" t="str">
        <f>IF(AND(DE40="G", ISBLANK(BW40), ISBLANK(BX40)),VLOOKUP(MAX(BT40:BU40),#REF!,2),IF(OR(DE40="B", DE40="G"),MAX(BW40:BX40),""))</f>
        <v/>
      </c>
      <c r="FC40" s="770" t="str">
        <f t="shared" si="70"/>
        <v/>
      </c>
      <c r="FD40" s="762">
        <f t="shared" si="97"/>
        <v>0</v>
      </c>
      <c r="FE40" s="762">
        <f t="shared" si="71"/>
        <v>0</v>
      </c>
      <c r="FF40" s="762">
        <f t="shared" si="72"/>
        <v>0</v>
      </c>
      <c r="FG40" s="762" t="str">
        <f t="shared" si="73"/>
        <v/>
      </c>
      <c r="FH40" s="763" t="str">
        <f t="shared" si="74"/>
        <v/>
      </c>
      <c r="FI40" s="762">
        <f t="shared" si="98"/>
        <v>0</v>
      </c>
      <c r="FJ40" s="762">
        <f t="shared" si="75"/>
        <v>0</v>
      </c>
      <c r="FK40" s="762">
        <f t="shared" si="76"/>
        <v>0</v>
      </c>
      <c r="FL40" s="762" t="str">
        <f t="shared" si="77"/>
        <v/>
      </c>
      <c r="FM40" s="763" t="str">
        <f t="shared" si="78"/>
        <v/>
      </c>
      <c r="FN40" s="763" t="e">
        <f t="shared" si="79"/>
        <v>#VALUE!</v>
      </c>
      <c r="FO40" s="872" t="e">
        <f t="shared" si="80"/>
        <v>#VALUE!</v>
      </c>
      <c r="FP40" s="872" t="e">
        <f t="shared" si="81"/>
        <v>#VALUE!</v>
      </c>
      <c r="FQ40" s="771" t="e">
        <f t="shared" si="82"/>
        <v>#VALUE!</v>
      </c>
      <c r="FR40" s="772" t="e">
        <f t="shared" si="83"/>
        <v>#VALUE!</v>
      </c>
      <c r="FS40" s="773" t="str">
        <f t="shared" si="84"/>
        <v/>
      </c>
      <c r="FT40" s="774" t="str">
        <f t="shared" si="85"/>
        <v/>
      </c>
      <c r="FU40" s="809">
        <f t="shared" si="86"/>
        <v>0</v>
      </c>
      <c r="FV40" s="810">
        <f t="shared" si="87"/>
        <v>0</v>
      </c>
      <c r="GA40" s="542" t="str">
        <f t="shared" si="88"/>
        <v/>
      </c>
      <c r="GB40" s="562" t="str">
        <f t="shared" si="89"/>
        <v/>
      </c>
      <c r="GC40" s="564" t="str">
        <f t="shared" si="90"/>
        <v/>
      </c>
      <c r="GD40" s="565" t="str">
        <f t="shared" si="91"/>
        <v/>
      </c>
      <c r="GE40" s="563" t="str">
        <f t="shared" si="92"/>
        <v/>
      </c>
      <c r="GF40" s="543" t="str">
        <f t="shared" si="93"/>
        <v/>
      </c>
      <c r="GG40" s="1052"/>
      <c r="GH40" s="1053"/>
      <c r="GI40" s="1052"/>
      <c r="GJ40" s="1053"/>
      <c r="GK40" s="1521">
        <f t="shared" si="94"/>
        <v>0</v>
      </c>
      <c r="GL40" s="1519" t="e">
        <f t="shared" si="95"/>
        <v>#VALUE!</v>
      </c>
      <c r="GM40" s="1520" t="e">
        <f>IF(ABS(GK40-GL40)&gt;=#REF!,ABS(GK40-GL40),0)</f>
        <v>#VALUE!</v>
      </c>
      <c r="HA40" s="1187"/>
      <c r="HB40" s="1188"/>
      <c r="HC40" s="1188"/>
      <c r="HD40" s="1189"/>
      <c r="HE40" s="1190"/>
      <c r="HF40" s="1188"/>
      <c r="HG40" s="1188"/>
      <c r="HH40" s="1188"/>
      <c r="HI40" s="1191"/>
      <c r="HJ40" s="1188"/>
      <c r="HK40" s="1188"/>
      <c r="HL40" s="1188"/>
      <c r="HM40" s="1188"/>
      <c r="HN40" s="1188"/>
      <c r="HO40" s="1188"/>
      <c r="HP40" s="1188"/>
      <c r="HQ40" s="1191"/>
      <c r="HR40" s="1188"/>
      <c r="HS40" s="1188"/>
      <c r="HT40" s="1188"/>
      <c r="HU40" s="1188"/>
      <c r="HV40" s="1188"/>
      <c r="HW40" s="1190"/>
      <c r="HX40" s="1190"/>
      <c r="HY40" s="1190"/>
      <c r="HZ40" s="1190"/>
      <c r="IA40" s="1190"/>
      <c r="IB40" s="1190"/>
      <c r="IC40" s="1190"/>
      <c r="ID40" s="1190"/>
      <c r="IE40" s="1190"/>
      <c r="IF40" s="1192"/>
    </row>
    <row r="41" spans="1:240" ht="12.6" customHeight="1" x14ac:dyDescent="0.25">
      <c r="A41" s="1132"/>
      <c r="B41" s="1586"/>
      <c r="C41" s="1133"/>
      <c r="D41" s="1134"/>
      <c r="E41" s="1135"/>
      <c r="F41" s="1143"/>
      <c r="G41" s="1138"/>
      <c r="H41" s="1645"/>
      <c r="I41" s="1134"/>
      <c r="J41" s="1138"/>
      <c r="K41" s="1657"/>
      <c r="L41" s="1141"/>
      <c r="M41" s="1142"/>
      <c r="N41" s="1137"/>
      <c r="O41" s="1138"/>
      <c r="P41" s="1139"/>
      <c r="Q41" s="1134"/>
      <c r="R41" s="1138"/>
      <c r="S41" s="1140"/>
      <c r="T41" s="1143"/>
      <c r="U41" s="1138"/>
      <c r="V41" s="1134"/>
      <c r="W41" s="1138"/>
      <c r="X41" s="1142"/>
      <c r="Y41" s="1647"/>
      <c r="Z41" s="1648"/>
      <c r="AA41" s="1649"/>
      <c r="AB41" s="1288"/>
      <c r="AC41" s="898" t="b">
        <v>0</v>
      </c>
      <c r="AD41" s="374">
        <f t="shared" si="1"/>
        <v>0</v>
      </c>
      <c r="AE41" s="375">
        <f t="shared" si="2"/>
        <v>0</v>
      </c>
      <c r="AF41" s="375">
        <f t="shared" si="3"/>
        <v>0</v>
      </c>
      <c r="AG41" s="375">
        <f t="shared" si="4"/>
        <v>0</v>
      </c>
      <c r="AH41" s="376">
        <f t="shared" si="5"/>
        <v>0</v>
      </c>
      <c r="AI41" s="377" t="b">
        <v>0</v>
      </c>
      <c r="AJ41" s="143">
        <f t="shared" si="6"/>
        <v>0</v>
      </c>
      <c r="AK41" s="771" t="str">
        <f t="shared" si="7"/>
        <v/>
      </c>
      <c r="AL41" s="877" t="str">
        <f t="shared" si="8"/>
        <v/>
      </c>
      <c r="AM41" s="771" t="str">
        <f t="shared" si="9"/>
        <v/>
      </c>
      <c r="AN41" s="771" t="str">
        <f t="shared" si="10"/>
        <v/>
      </c>
      <c r="AO41" s="771" t="str">
        <f t="shared" si="11"/>
        <v/>
      </c>
      <c r="AP41" s="771" t="b">
        <f>IF(ISERROR(AJ41),FALSE,IF(OR(AJ41=0,ISERROR(AL41),ISERROR(AM41),ISERROR(AN41),ISERROR(AO41)),FALSE,IF(AL41&lt;&gt;"",IF(ISERROR(VLOOKUP(SUBSTITUTE(SUBSTITUTE(C41,"R",""),"A",""),#REF!,1,FALSE)),FALSE,TRUE),TRUE)))</f>
        <v>0</v>
      </c>
      <c r="AQ41" s="945" t="e">
        <f t="shared" si="12"/>
        <v>#N/A</v>
      </c>
      <c r="AR41" s="877" t="b">
        <f t="shared" si="13"/>
        <v>0</v>
      </c>
      <c r="AS41" s="945" t="e">
        <f t="shared" si="14"/>
        <v>#N/A</v>
      </c>
      <c r="AT41" s="877" t="b">
        <f t="shared" si="15"/>
        <v>0</v>
      </c>
      <c r="AU41" s="878" t="str">
        <f t="shared" si="16"/>
        <v/>
      </c>
      <c r="AV41" s="771" t="str">
        <f t="shared" si="17"/>
        <v/>
      </c>
      <c r="AW41" s="771" t="str">
        <f t="shared" si="18"/>
        <v/>
      </c>
      <c r="AX41" s="771" t="str">
        <f t="shared" si="96"/>
        <v/>
      </c>
      <c r="AY41" s="946" t="e">
        <f t="shared" si="19"/>
        <v>#REF!</v>
      </c>
      <c r="AZ41" s="795" t="str">
        <f t="shared" si="20"/>
        <v/>
      </c>
      <c r="BA41" s="496"/>
      <c r="BB41" s="616"/>
      <c r="BC41" s="1567"/>
      <c r="BD41" s="682"/>
      <c r="BE41" s="683"/>
      <c r="BF41" s="684"/>
      <c r="BG41" s="660"/>
      <c r="BH41" s="901"/>
      <c r="BI41" s="902"/>
      <c r="BJ41" s="1508"/>
      <c r="BK41" s="661"/>
      <c r="BL41" s="662"/>
      <c r="BM41" s="663"/>
      <c r="BN41" s="664"/>
      <c r="BO41" s="616" t="str">
        <f>IF(ISERROR(CU41),"",IF(CU41="","",IF(VLOOKUP(BG41,#REF!,10,FALSE)="","","X")))</f>
        <v/>
      </c>
      <c r="BP41" s="687"/>
      <c r="BQ41" s="1430" t="str">
        <f t="shared" si="21"/>
        <v/>
      </c>
      <c r="BR41" s="839"/>
      <c r="BS41" s="660"/>
      <c r="BT41" s="661"/>
      <c r="BU41" s="662"/>
      <c r="BV41" s="1508"/>
      <c r="BW41" s="661"/>
      <c r="BX41" s="662"/>
      <c r="BY41" s="663"/>
      <c r="BZ41" s="664"/>
      <c r="CA41" s="625" t="str">
        <f>IF(ISERROR(DE41),"",IF(DE41="","",IF(VLOOKUP(BS41,#REF!,10,FALSE)="","","X")))</f>
        <v/>
      </c>
      <c r="CB41" s="687"/>
      <c r="CC41" s="1430" t="str">
        <f t="shared" si="22"/>
        <v/>
      </c>
      <c r="CD41" s="839"/>
      <c r="CE41" s="665"/>
      <c r="CF41" s="685"/>
      <c r="CG41" s="686"/>
      <c r="CH41" s="534" t="str">
        <f t="shared" si="23"/>
        <v/>
      </c>
      <c r="CI41" s="535" t="str">
        <f t="shared" si="24"/>
        <v/>
      </c>
      <c r="CJ41" s="536" t="str">
        <f t="shared" si="25"/>
        <v/>
      </c>
      <c r="CK41" s="537" t="str">
        <f t="shared" si="26"/>
        <v/>
      </c>
      <c r="CL41" s="538" t="str">
        <f t="shared" si="27"/>
        <v/>
      </c>
      <c r="CM41" s="539" t="str">
        <f t="shared" si="28"/>
        <v/>
      </c>
      <c r="CN41" s="540" t="str">
        <f t="shared" si="29"/>
        <v/>
      </c>
      <c r="CO41" s="541" t="str">
        <f t="shared" si="30"/>
        <v/>
      </c>
      <c r="CP41" s="558" t="str">
        <f t="shared" si="31"/>
        <v/>
      </c>
      <c r="CQ41" s="559" t="str">
        <f t="shared" si="32"/>
        <v/>
      </c>
      <c r="CR41" s="699" t="str">
        <f t="shared" si="33"/>
        <v/>
      </c>
      <c r="CS41" s="700" t="str">
        <f t="shared" si="34"/>
        <v/>
      </c>
      <c r="CU41" s="758" t="str">
        <f>IF(BG41="","",VLOOKUP(BG41,#REF!,12,FALSE))</f>
        <v/>
      </c>
      <c r="CV41" s="756" t="str">
        <f>IF(BG41="","",IF(ISBLANK(BP41),VLOOKUP(BG41,#REF!,13,FALSE),BP41))</f>
        <v/>
      </c>
      <c r="CW41" s="756" t="str">
        <f>IF(BG41="","",IF(VLOOKUP(BG41,#REF!,5,FALSE)="","R",UPPER(VLOOKUP(BG41,#REF!,5,FALSE))))</f>
        <v/>
      </c>
      <c r="CX41" s="756" t="str">
        <f>IF(BG41="","",IF(ISBLANK(BR41),VLOOKUP(BG41,#REF!,6,FALSE),BR41))</f>
        <v/>
      </c>
      <c r="CY41" s="1203" t="str">
        <f>IF(BG41="","",IF(VLOOKUP(BG41,#REF!,10,FALSE)="","",(IF(BO41="X",VLOOKUP(BG41,#REF!,10,FALSE),VALUE(BO41))*-1)))</f>
        <v/>
      </c>
      <c r="CZ41" s="1042" t="str">
        <f>IF(BG41="","",IF(VLOOKUP(BG41,#REF!,11,FALSE)="","2",(VLOOKUP(BG41,#REF!,11,FALSE))))</f>
        <v/>
      </c>
      <c r="DA41" s="756" t="str">
        <f>IF(BG41="","",IF(VLOOKUP(BG41,#REF!,7,FALSE)="","",(VLOOKUP(BG41,#REF!,7,FALSE)*-1)))</f>
        <v/>
      </c>
      <c r="DB41" s="756" t="str">
        <f>IF(BG41="","",IF(VLOOKUP(BG41,#REF!,8,FALSE)="",VLOOKUP(AU41,$DF$2:$DN$9,6,FALSE),(VLOOKUP(BG41,#REF!,8,FALSE))))</f>
        <v/>
      </c>
      <c r="DC41" s="756" t="str">
        <f>IF(BG41="","",VLOOKUP(BG41,#REF!,9,FALSE))</f>
        <v/>
      </c>
      <c r="DD41" s="757">
        <f t="shared" si="35"/>
        <v>0</v>
      </c>
      <c r="DE41" s="758" t="str">
        <f>IF(BS41="","",VLOOKUP(BS41,#REF!,12,FALSE))</f>
        <v/>
      </c>
      <c r="DF41" s="756" t="str">
        <f>IF(BS41="","",IF(ISBLANK(CB41),VLOOKUP(BS41,#REF!,13,FALSE),CB41))</f>
        <v/>
      </c>
      <c r="DG41" s="756" t="str">
        <f>IF(BS41="","",IF(VLOOKUP(BS41,#REF!,5,FALSE)="","R",UPPER(VLOOKUP(BS41,#REF!,5,FALSE))))</f>
        <v/>
      </c>
      <c r="DH41" s="756" t="str">
        <f>IF(BS41="","",IF(ISBLANK(CD41),VLOOKUP(BS41,#REF!,6,FALSE),CD41))</f>
        <v/>
      </c>
      <c r="DI41" s="1203" t="str">
        <f>IF(BS41="","",IF(VLOOKUP(BS41,#REF!,10,FALSE)="","",(IF(CA41="X",VLOOKUP(BS41,#REF!,10,FALSE),VALUE(CA41))*-1)))</f>
        <v/>
      </c>
      <c r="DJ41" s="1042" t="str">
        <f>IF(BS41="","",IF(VLOOKUP(BS41,#REF!,11,FALSE)="","2",(VLOOKUP(BS41,#REF!,11,FALSE))))</f>
        <v/>
      </c>
      <c r="DK41" s="756" t="str">
        <f>IF(BS41="","",IF(VLOOKUP(BS41,#REF!,7,FALSE)="","",(VLOOKUP(BS41,#REF!,7,FALSE)*-1)))</f>
        <v/>
      </c>
      <c r="DL41" s="756" t="str">
        <f>IF(BS41="","",IF(VLOOKUP(BS41,#REF!,8,FALSE)="",VLOOKUP(AU41,$DF$2:$DN$9,6,FALSE),(VLOOKUP(BS41,#REF!,8,FALSE))))</f>
        <v/>
      </c>
      <c r="DM41" s="756" t="str">
        <f>IF(BS41="","",VLOOKUP(BS41,#REF!,9,FALSE))</f>
        <v/>
      </c>
      <c r="DN41" s="757">
        <f t="shared" si="36"/>
        <v>0</v>
      </c>
      <c r="DO41" s="759">
        <f t="shared" si="37"/>
        <v>0</v>
      </c>
      <c r="DP41" s="763" t="str">
        <f t="shared" si="38"/>
        <v/>
      </c>
      <c r="DQ41" s="763" t="str">
        <f t="shared" si="39"/>
        <v/>
      </c>
      <c r="DR41" s="763" t="str">
        <f t="shared" si="40"/>
        <v/>
      </c>
      <c r="DS41" s="762">
        <f t="shared" si="41"/>
        <v>0</v>
      </c>
      <c r="DT41" s="762" t="e">
        <f t="shared" si="42"/>
        <v>#REF!</v>
      </c>
      <c r="DU41" s="762" t="str">
        <f t="shared" si="43"/>
        <v/>
      </c>
      <c r="DV41" s="763" t="str">
        <f t="shared" si="44"/>
        <v/>
      </c>
      <c r="DW41" s="795" t="str">
        <f t="shared" si="45"/>
        <v/>
      </c>
      <c r="DX41" s="926">
        <f t="shared" si="46"/>
        <v>0</v>
      </c>
      <c r="DY41" s="763">
        <f t="shared" si="47"/>
        <v>0</v>
      </c>
      <c r="DZ41" s="762" t="e">
        <f t="shared" si="48"/>
        <v>#REF!</v>
      </c>
      <c r="EA41" s="762" t="str">
        <f t="shared" si="49"/>
        <v/>
      </c>
      <c r="EB41" s="763" t="str">
        <f t="shared" si="50"/>
        <v/>
      </c>
      <c r="EC41" s="795" t="str">
        <f t="shared" si="51"/>
        <v/>
      </c>
      <c r="ED41" s="926">
        <f t="shared" si="52"/>
        <v>0</v>
      </c>
      <c r="EE41" s="1210" t="str">
        <f t="shared" si="53"/>
        <v/>
      </c>
      <c r="EF41" s="1210" t="str">
        <f t="shared" si="54"/>
        <v/>
      </c>
      <c r="EG41" s="1210" t="str">
        <f t="shared" si="55"/>
        <v/>
      </c>
      <c r="EH41" s="795" t="e">
        <f t="shared" si="56"/>
        <v>#N/A</v>
      </c>
      <c r="EI41" s="795" t="e">
        <f t="shared" si="57"/>
        <v>#N/A</v>
      </c>
      <c r="EJ41" s="763" t="str">
        <f t="shared" si="58"/>
        <v/>
      </c>
      <c r="EK41" s="763" t="str">
        <f t="shared" si="58"/>
        <v/>
      </c>
      <c r="EL41" s="1210" t="str">
        <f t="shared" si="59"/>
        <v/>
      </c>
      <c r="EM41" s="763" t="str">
        <f t="shared" si="60"/>
        <v/>
      </c>
      <c r="EN41" s="763" t="str">
        <f t="shared" si="61"/>
        <v/>
      </c>
      <c r="EO41" s="795" t="e">
        <f t="shared" si="62"/>
        <v>#N/A</v>
      </c>
      <c r="EP41" s="795" t="e">
        <f t="shared" si="63"/>
        <v>#N/A</v>
      </c>
      <c r="EQ41" s="1210" t="str">
        <f t="shared" si="64"/>
        <v/>
      </c>
      <c r="ER41" s="763" t="str">
        <f t="shared" si="64"/>
        <v/>
      </c>
      <c r="ES41" s="763" t="str">
        <f t="shared" si="65"/>
        <v/>
      </c>
      <c r="ET41" s="763" t="str">
        <f t="shared" si="66"/>
        <v/>
      </c>
      <c r="EU41" s="770" t="str">
        <f t="shared" si="67"/>
        <v/>
      </c>
      <c r="EV41" s="765" t="str">
        <f t="shared" si="68"/>
        <v/>
      </c>
      <c r="EW41" s="770"/>
      <c r="EX41" s="770" t="str">
        <f>IF(AND(CU41="G", ISBLANK(BK41), ISBLANK(BL41)),VLOOKUP(MIN(BH41:BI41),#REF!,2),IF(OR(CU41="B",CU41="G"),MIN(BK41:BL41),""))</f>
        <v/>
      </c>
      <c r="EY41" s="770" t="str">
        <f>IF(AND(CU41="G", ISBLANK(BK41), ISBLANK(BL41)),VLOOKUP(MAX(BH41:BI41),#REF!,2),IF(OR(CU41="B",CU41="G"),MAX(BK41:BL41),""))</f>
        <v/>
      </c>
      <c r="EZ41" s="770" t="str">
        <f t="shared" si="69"/>
        <v/>
      </c>
      <c r="FA41" s="770" t="str">
        <f>IF(AND(DE41="G", ISBLANK(BW41), ISBLANK(BX41)),VLOOKUP(MIN(BT41:BU41),#REF!,2),IF(OR(DE41="B", DE41="G"),MIN(BW41:BX41),""))</f>
        <v/>
      </c>
      <c r="FB41" s="770" t="str">
        <f>IF(AND(DE41="G", ISBLANK(BW41), ISBLANK(BX41)),VLOOKUP(MAX(BT41:BU41),#REF!,2),IF(OR(DE41="B", DE41="G"),MAX(BW41:BX41),""))</f>
        <v/>
      </c>
      <c r="FC41" s="770" t="str">
        <f t="shared" si="70"/>
        <v/>
      </c>
      <c r="FD41" s="762">
        <f t="shared" si="97"/>
        <v>0</v>
      </c>
      <c r="FE41" s="762">
        <f t="shared" si="71"/>
        <v>0</v>
      </c>
      <c r="FF41" s="762">
        <f t="shared" si="72"/>
        <v>0</v>
      </c>
      <c r="FG41" s="762" t="str">
        <f t="shared" si="73"/>
        <v/>
      </c>
      <c r="FH41" s="763" t="str">
        <f t="shared" si="74"/>
        <v/>
      </c>
      <c r="FI41" s="762">
        <f t="shared" si="98"/>
        <v>0</v>
      </c>
      <c r="FJ41" s="762">
        <f t="shared" si="75"/>
        <v>0</v>
      </c>
      <c r="FK41" s="762">
        <f t="shared" si="76"/>
        <v>0</v>
      </c>
      <c r="FL41" s="762" t="str">
        <f t="shared" si="77"/>
        <v/>
      </c>
      <c r="FM41" s="763" t="str">
        <f t="shared" si="78"/>
        <v/>
      </c>
      <c r="FN41" s="763" t="e">
        <f t="shared" si="79"/>
        <v>#VALUE!</v>
      </c>
      <c r="FO41" s="872" t="e">
        <f t="shared" si="80"/>
        <v>#VALUE!</v>
      </c>
      <c r="FP41" s="872" t="e">
        <f t="shared" si="81"/>
        <v>#VALUE!</v>
      </c>
      <c r="FQ41" s="771" t="e">
        <f t="shared" si="82"/>
        <v>#VALUE!</v>
      </c>
      <c r="FR41" s="772" t="e">
        <f t="shared" si="83"/>
        <v>#VALUE!</v>
      </c>
      <c r="FS41" s="773" t="str">
        <f t="shared" si="84"/>
        <v/>
      </c>
      <c r="FT41" s="774" t="str">
        <f t="shared" si="85"/>
        <v/>
      </c>
      <c r="FU41" s="809">
        <f t="shared" si="86"/>
        <v>0</v>
      </c>
      <c r="FV41" s="810">
        <f t="shared" si="87"/>
        <v>0</v>
      </c>
      <c r="GA41" s="542" t="str">
        <f t="shared" si="88"/>
        <v/>
      </c>
      <c r="GB41" s="562" t="str">
        <f t="shared" si="89"/>
        <v/>
      </c>
      <c r="GC41" s="564" t="str">
        <f t="shared" si="90"/>
        <v/>
      </c>
      <c r="GD41" s="565" t="str">
        <f t="shared" si="91"/>
        <v/>
      </c>
      <c r="GE41" s="563" t="str">
        <f t="shared" si="92"/>
        <v/>
      </c>
      <c r="GF41" s="543" t="str">
        <f t="shared" si="93"/>
        <v/>
      </c>
      <c r="GG41" s="1052"/>
      <c r="GH41" s="1053"/>
      <c r="GI41" s="1052"/>
      <c r="GJ41" s="1053"/>
      <c r="GK41" s="1521">
        <f t="shared" si="94"/>
        <v>0</v>
      </c>
      <c r="GL41" s="1519" t="e">
        <f t="shared" si="95"/>
        <v>#VALUE!</v>
      </c>
      <c r="GM41" s="1520" t="e">
        <f>IF(ABS(GK41-GL41)&gt;=#REF!,ABS(GK41-GL41),0)</f>
        <v>#VALUE!</v>
      </c>
      <c r="HA41" s="1187"/>
      <c r="HB41" s="1188"/>
      <c r="HC41" s="1188"/>
      <c r="HD41" s="1189"/>
      <c r="HE41" s="1190"/>
      <c r="HF41" s="1188"/>
      <c r="HG41" s="1188"/>
      <c r="HH41" s="1188"/>
      <c r="HI41" s="1191"/>
      <c r="HJ41" s="1188"/>
      <c r="HK41" s="1188"/>
      <c r="HL41" s="1188"/>
      <c r="HM41" s="1188"/>
      <c r="HN41" s="1188"/>
      <c r="HO41" s="1188"/>
      <c r="HP41" s="1188"/>
      <c r="HQ41" s="1191"/>
      <c r="HR41" s="1188"/>
      <c r="HS41" s="1188"/>
      <c r="HT41" s="1188"/>
      <c r="HU41" s="1188"/>
      <c r="HV41" s="1188"/>
      <c r="HW41" s="1190"/>
      <c r="HX41" s="1190"/>
      <c r="HY41" s="1190"/>
      <c r="HZ41" s="1190"/>
      <c r="IA41" s="1190"/>
      <c r="IB41" s="1190"/>
      <c r="IC41" s="1190"/>
      <c r="ID41" s="1190"/>
      <c r="IE41" s="1190"/>
      <c r="IF41" s="1192"/>
    </row>
    <row r="42" spans="1:240" ht="12.6" customHeight="1" x14ac:dyDescent="0.25">
      <c r="A42" s="1132"/>
      <c r="B42" s="1586"/>
      <c r="C42" s="1133"/>
      <c r="D42" s="1134"/>
      <c r="E42" s="1135"/>
      <c r="F42" s="1143"/>
      <c r="G42" s="1138"/>
      <c r="H42" s="1645"/>
      <c r="I42" s="1134"/>
      <c r="J42" s="1138"/>
      <c r="K42" s="1657"/>
      <c r="L42" s="1141"/>
      <c r="M42" s="1142"/>
      <c r="N42" s="1137"/>
      <c r="O42" s="1138"/>
      <c r="P42" s="1139"/>
      <c r="Q42" s="1134"/>
      <c r="R42" s="1138"/>
      <c r="S42" s="1140"/>
      <c r="T42" s="1143"/>
      <c r="U42" s="1138"/>
      <c r="V42" s="1134"/>
      <c r="W42" s="1138"/>
      <c r="X42" s="1142"/>
      <c r="Y42" s="1647"/>
      <c r="Z42" s="1648"/>
      <c r="AA42" s="1649"/>
      <c r="AB42" s="1288"/>
      <c r="AC42" s="898" t="b">
        <v>0</v>
      </c>
      <c r="AD42" s="374">
        <f t="shared" si="1"/>
        <v>0</v>
      </c>
      <c r="AE42" s="375">
        <f t="shared" si="2"/>
        <v>0</v>
      </c>
      <c r="AF42" s="375">
        <f t="shared" si="3"/>
        <v>0</v>
      </c>
      <c r="AG42" s="375">
        <f t="shared" si="4"/>
        <v>0</v>
      </c>
      <c r="AH42" s="376">
        <f t="shared" si="5"/>
        <v>0</v>
      </c>
      <c r="AI42" s="377" t="b">
        <v>0</v>
      </c>
      <c r="AJ42" s="143">
        <f t="shared" si="6"/>
        <v>0</v>
      </c>
      <c r="AK42" s="771" t="str">
        <f t="shared" si="7"/>
        <v/>
      </c>
      <c r="AL42" s="877" t="str">
        <f t="shared" si="8"/>
        <v/>
      </c>
      <c r="AM42" s="771" t="str">
        <f t="shared" si="9"/>
        <v/>
      </c>
      <c r="AN42" s="771" t="str">
        <f t="shared" si="10"/>
        <v/>
      </c>
      <c r="AO42" s="771" t="str">
        <f t="shared" si="11"/>
        <v/>
      </c>
      <c r="AP42" s="771" t="b">
        <f>IF(ISERROR(AJ42),FALSE,IF(OR(AJ42=0,ISERROR(AL42),ISERROR(AM42),ISERROR(AN42),ISERROR(AO42)),FALSE,IF(AL42&lt;&gt;"",IF(ISERROR(VLOOKUP(SUBSTITUTE(SUBSTITUTE(C42,"R",""),"A",""),#REF!,1,FALSE)),FALSE,TRUE),TRUE)))</f>
        <v>0</v>
      </c>
      <c r="AQ42" s="945" t="e">
        <f t="shared" si="12"/>
        <v>#N/A</v>
      </c>
      <c r="AR42" s="877" t="b">
        <f t="shared" si="13"/>
        <v>0</v>
      </c>
      <c r="AS42" s="945" t="e">
        <f t="shared" si="14"/>
        <v>#N/A</v>
      </c>
      <c r="AT42" s="877" t="b">
        <f t="shared" si="15"/>
        <v>0</v>
      </c>
      <c r="AU42" s="878" t="str">
        <f t="shared" si="16"/>
        <v/>
      </c>
      <c r="AV42" s="771" t="str">
        <f t="shared" si="17"/>
        <v/>
      </c>
      <c r="AW42" s="771" t="str">
        <f t="shared" si="18"/>
        <v/>
      </c>
      <c r="AX42" s="771" t="str">
        <f t="shared" si="96"/>
        <v/>
      </c>
      <c r="AY42" s="946" t="e">
        <f t="shared" si="19"/>
        <v>#REF!</v>
      </c>
      <c r="AZ42" s="795" t="str">
        <f t="shared" si="20"/>
        <v/>
      </c>
      <c r="BA42" s="496"/>
      <c r="BB42" s="616"/>
      <c r="BC42" s="1567"/>
      <c r="BD42" s="682"/>
      <c r="BE42" s="683"/>
      <c r="BF42" s="684"/>
      <c r="BG42" s="660"/>
      <c r="BH42" s="901"/>
      <c r="BI42" s="902"/>
      <c r="BJ42" s="1508"/>
      <c r="BK42" s="661"/>
      <c r="BL42" s="662"/>
      <c r="BM42" s="663"/>
      <c r="BN42" s="664"/>
      <c r="BO42" s="616" t="str">
        <f>IF(ISERROR(CU42),"",IF(CU42="","",IF(VLOOKUP(BG42,#REF!,10,FALSE)="","","X")))</f>
        <v/>
      </c>
      <c r="BP42" s="687"/>
      <c r="BQ42" s="1430" t="str">
        <f t="shared" si="21"/>
        <v/>
      </c>
      <c r="BR42" s="839"/>
      <c r="BS42" s="660"/>
      <c r="BT42" s="661"/>
      <c r="BU42" s="662"/>
      <c r="BV42" s="1508"/>
      <c r="BW42" s="661"/>
      <c r="BX42" s="662"/>
      <c r="BY42" s="663"/>
      <c r="BZ42" s="664"/>
      <c r="CA42" s="625" t="str">
        <f>IF(ISERROR(DE42),"",IF(DE42="","",IF(VLOOKUP(BS42,#REF!,10,FALSE)="","","X")))</f>
        <v/>
      </c>
      <c r="CB42" s="687"/>
      <c r="CC42" s="1430" t="str">
        <f t="shared" si="22"/>
        <v/>
      </c>
      <c r="CD42" s="839"/>
      <c r="CE42" s="665"/>
      <c r="CF42" s="685"/>
      <c r="CG42" s="686"/>
      <c r="CH42" s="534" t="str">
        <f t="shared" si="23"/>
        <v/>
      </c>
      <c r="CI42" s="535" t="str">
        <f t="shared" si="24"/>
        <v/>
      </c>
      <c r="CJ42" s="536" t="str">
        <f t="shared" si="25"/>
        <v/>
      </c>
      <c r="CK42" s="537" t="str">
        <f t="shared" si="26"/>
        <v/>
      </c>
      <c r="CL42" s="538" t="str">
        <f t="shared" si="27"/>
        <v/>
      </c>
      <c r="CM42" s="539" t="str">
        <f t="shared" si="28"/>
        <v/>
      </c>
      <c r="CN42" s="540" t="str">
        <f t="shared" si="29"/>
        <v/>
      </c>
      <c r="CO42" s="541" t="str">
        <f t="shared" si="30"/>
        <v/>
      </c>
      <c r="CP42" s="558" t="str">
        <f t="shared" si="31"/>
        <v/>
      </c>
      <c r="CQ42" s="559" t="str">
        <f t="shared" si="32"/>
        <v/>
      </c>
      <c r="CR42" s="699" t="str">
        <f t="shared" si="33"/>
        <v/>
      </c>
      <c r="CS42" s="700" t="str">
        <f t="shared" si="34"/>
        <v/>
      </c>
      <c r="CU42" s="758" t="str">
        <f>IF(BG42="","",VLOOKUP(BG42,#REF!,12,FALSE))</f>
        <v/>
      </c>
      <c r="CV42" s="756" t="str">
        <f>IF(BG42="","",IF(ISBLANK(BP42),VLOOKUP(BG42,#REF!,13,FALSE),BP42))</f>
        <v/>
      </c>
      <c r="CW42" s="756" t="str">
        <f>IF(BG42="","",IF(VLOOKUP(BG42,#REF!,5,FALSE)="","R",UPPER(VLOOKUP(BG42,#REF!,5,FALSE))))</f>
        <v/>
      </c>
      <c r="CX42" s="756" t="str">
        <f>IF(BG42="","",IF(ISBLANK(BR42),VLOOKUP(BG42,#REF!,6,FALSE),BR42))</f>
        <v/>
      </c>
      <c r="CY42" s="1203" t="str">
        <f>IF(BG42="","",IF(VLOOKUP(BG42,#REF!,10,FALSE)="","",(IF(BO42="X",VLOOKUP(BG42,#REF!,10,FALSE),VALUE(BO42))*-1)))</f>
        <v/>
      </c>
      <c r="CZ42" s="1042" t="str">
        <f>IF(BG42="","",IF(VLOOKUP(BG42,#REF!,11,FALSE)="","2",(VLOOKUP(BG42,#REF!,11,FALSE))))</f>
        <v/>
      </c>
      <c r="DA42" s="756" t="str">
        <f>IF(BG42="","",IF(VLOOKUP(BG42,#REF!,7,FALSE)="","",(VLOOKUP(BG42,#REF!,7,FALSE)*-1)))</f>
        <v/>
      </c>
      <c r="DB42" s="756" t="str">
        <f>IF(BG42="","",IF(VLOOKUP(BG42,#REF!,8,FALSE)="",VLOOKUP(AU42,$DF$2:$DN$9,6,FALSE),(VLOOKUP(BG42,#REF!,8,FALSE))))</f>
        <v/>
      </c>
      <c r="DC42" s="756" t="str">
        <f>IF(BG42="","",VLOOKUP(BG42,#REF!,9,FALSE))</f>
        <v/>
      </c>
      <c r="DD42" s="757">
        <f t="shared" si="35"/>
        <v>0</v>
      </c>
      <c r="DE42" s="758" t="str">
        <f>IF(BS42="","",VLOOKUP(BS42,#REF!,12,FALSE))</f>
        <v/>
      </c>
      <c r="DF42" s="756" t="str">
        <f>IF(BS42="","",IF(ISBLANK(CB42),VLOOKUP(BS42,#REF!,13,FALSE),CB42))</f>
        <v/>
      </c>
      <c r="DG42" s="756" t="str">
        <f>IF(BS42="","",IF(VLOOKUP(BS42,#REF!,5,FALSE)="","R",UPPER(VLOOKUP(BS42,#REF!,5,FALSE))))</f>
        <v/>
      </c>
      <c r="DH42" s="756" t="str">
        <f>IF(BS42="","",IF(ISBLANK(CD42),VLOOKUP(BS42,#REF!,6,FALSE),CD42))</f>
        <v/>
      </c>
      <c r="DI42" s="1203" t="str">
        <f>IF(BS42="","",IF(VLOOKUP(BS42,#REF!,10,FALSE)="","",(IF(CA42="X",VLOOKUP(BS42,#REF!,10,FALSE),VALUE(CA42))*-1)))</f>
        <v/>
      </c>
      <c r="DJ42" s="1042" t="str">
        <f>IF(BS42="","",IF(VLOOKUP(BS42,#REF!,11,FALSE)="","2",(VLOOKUP(BS42,#REF!,11,FALSE))))</f>
        <v/>
      </c>
      <c r="DK42" s="756" t="str">
        <f>IF(BS42="","",IF(VLOOKUP(BS42,#REF!,7,FALSE)="","",(VLOOKUP(BS42,#REF!,7,FALSE)*-1)))</f>
        <v/>
      </c>
      <c r="DL42" s="756" t="str">
        <f>IF(BS42="","",IF(VLOOKUP(BS42,#REF!,8,FALSE)="",VLOOKUP(AU42,$DF$2:$DN$9,6,FALSE),(VLOOKUP(BS42,#REF!,8,FALSE))))</f>
        <v/>
      </c>
      <c r="DM42" s="756" t="str">
        <f>IF(BS42="","",VLOOKUP(BS42,#REF!,9,FALSE))</f>
        <v/>
      </c>
      <c r="DN42" s="757">
        <f t="shared" si="36"/>
        <v>0</v>
      </c>
      <c r="DO42" s="759">
        <f t="shared" si="37"/>
        <v>0</v>
      </c>
      <c r="DP42" s="763" t="str">
        <f t="shared" si="38"/>
        <v/>
      </c>
      <c r="DQ42" s="763" t="str">
        <f t="shared" si="39"/>
        <v/>
      </c>
      <c r="DR42" s="763" t="str">
        <f t="shared" si="40"/>
        <v/>
      </c>
      <c r="DS42" s="762">
        <f t="shared" si="41"/>
        <v>0</v>
      </c>
      <c r="DT42" s="762" t="e">
        <f t="shared" si="42"/>
        <v>#REF!</v>
      </c>
      <c r="DU42" s="762" t="str">
        <f t="shared" si="43"/>
        <v/>
      </c>
      <c r="DV42" s="763" t="str">
        <f t="shared" si="44"/>
        <v/>
      </c>
      <c r="DW42" s="795" t="str">
        <f t="shared" si="45"/>
        <v/>
      </c>
      <c r="DX42" s="926">
        <f t="shared" si="46"/>
        <v>0</v>
      </c>
      <c r="DY42" s="763">
        <f t="shared" si="47"/>
        <v>0</v>
      </c>
      <c r="DZ42" s="762" t="e">
        <f t="shared" si="48"/>
        <v>#REF!</v>
      </c>
      <c r="EA42" s="762" t="str">
        <f t="shared" si="49"/>
        <v/>
      </c>
      <c r="EB42" s="763" t="str">
        <f t="shared" si="50"/>
        <v/>
      </c>
      <c r="EC42" s="795" t="str">
        <f t="shared" si="51"/>
        <v/>
      </c>
      <c r="ED42" s="926">
        <f t="shared" si="52"/>
        <v>0</v>
      </c>
      <c r="EE42" s="1210" t="str">
        <f t="shared" si="53"/>
        <v/>
      </c>
      <c r="EF42" s="1210" t="str">
        <f t="shared" si="54"/>
        <v/>
      </c>
      <c r="EG42" s="1210" t="str">
        <f t="shared" si="55"/>
        <v/>
      </c>
      <c r="EH42" s="795" t="e">
        <f t="shared" si="56"/>
        <v>#N/A</v>
      </c>
      <c r="EI42" s="795" t="e">
        <f t="shared" si="57"/>
        <v>#N/A</v>
      </c>
      <c r="EJ42" s="763" t="str">
        <f t="shared" si="58"/>
        <v/>
      </c>
      <c r="EK42" s="763" t="str">
        <f t="shared" si="58"/>
        <v/>
      </c>
      <c r="EL42" s="1210" t="str">
        <f t="shared" si="59"/>
        <v/>
      </c>
      <c r="EM42" s="763" t="str">
        <f t="shared" si="60"/>
        <v/>
      </c>
      <c r="EN42" s="763" t="str">
        <f t="shared" si="61"/>
        <v/>
      </c>
      <c r="EO42" s="795" t="e">
        <f t="shared" si="62"/>
        <v>#N/A</v>
      </c>
      <c r="EP42" s="795" t="e">
        <f t="shared" si="63"/>
        <v>#N/A</v>
      </c>
      <c r="EQ42" s="1210" t="str">
        <f t="shared" si="64"/>
        <v/>
      </c>
      <c r="ER42" s="763" t="str">
        <f t="shared" si="64"/>
        <v/>
      </c>
      <c r="ES42" s="763" t="str">
        <f t="shared" si="65"/>
        <v/>
      </c>
      <c r="ET42" s="763" t="str">
        <f t="shared" si="66"/>
        <v/>
      </c>
      <c r="EU42" s="770" t="str">
        <f t="shared" si="67"/>
        <v/>
      </c>
      <c r="EV42" s="765" t="str">
        <f t="shared" si="68"/>
        <v/>
      </c>
      <c r="EW42" s="770"/>
      <c r="EX42" s="770" t="str">
        <f>IF(AND(CU42="G", ISBLANK(BK42), ISBLANK(BL42)),VLOOKUP(MIN(BH42:BI42),#REF!,2),IF(OR(CU42="B",CU42="G"),MIN(BK42:BL42),""))</f>
        <v/>
      </c>
      <c r="EY42" s="770" t="str">
        <f>IF(AND(CU42="G", ISBLANK(BK42), ISBLANK(BL42)),VLOOKUP(MAX(BH42:BI42),#REF!,2),IF(OR(CU42="B",CU42="G"),MAX(BK42:BL42),""))</f>
        <v/>
      </c>
      <c r="EZ42" s="770" t="str">
        <f t="shared" si="69"/>
        <v/>
      </c>
      <c r="FA42" s="770" t="str">
        <f>IF(AND(DE42="G", ISBLANK(BW42), ISBLANK(BX42)),VLOOKUP(MIN(BT42:BU42),#REF!,2),IF(OR(DE42="B", DE42="G"),MIN(BW42:BX42),""))</f>
        <v/>
      </c>
      <c r="FB42" s="770" t="str">
        <f>IF(AND(DE42="G", ISBLANK(BW42), ISBLANK(BX42)),VLOOKUP(MAX(BT42:BU42),#REF!,2),IF(OR(DE42="B", DE42="G"),MAX(BW42:BX42),""))</f>
        <v/>
      </c>
      <c r="FC42" s="770" t="str">
        <f t="shared" si="70"/>
        <v/>
      </c>
      <c r="FD42" s="762">
        <f t="shared" si="97"/>
        <v>0</v>
      </c>
      <c r="FE42" s="762">
        <f t="shared" si="71"/>
        <v>0</v>
      </c>
      <c r="FF42" s="762">
        <f t="shared" si="72"/>
        <v>0</v>
      </c>
      <c r="FG42" s="762" t="str">
        <f t="shared" si="73"/>
        <v/>
      </c>
      <c r="FH42" s="763" t="str">
        <f t="shared" si="74"/>
        <v/>
      </c>
      <c r="FI42" s="762">
        <f t="shared" si="98"/>
        <v>0</v>
      </c>
      <c r="FJ42" s="762">
        <f t="shared" si="75"/>
        <v>0</v>
      </c>
      <c r="FK42" s="762">
        <f t="shared" si="76"/>
        <v>0</v>
      </c>
      <c r="FL42" s="762" t="str">
        <f t="shared" si="77"/>
        <v/>
      </c>
      <c r="FM42" s="763" t="str">
        <f t="shared" si="78"/>
        <v/>
      </c>
      <c r="FN42" s="763" t="e">
        <f t="shared" si="79"/>
        <v>#VALUE!</v>
      </c>
      <c r="FO42" s="872" t="e">
        <f t="shared" si="80"/>
        <v>#VALUE!</v>
      </c>
      <c r="FP42" s="872" t="e">
        <f t="shared" si="81"/>
        <v>#VALUE!</v>
      </c>
      <c r="FQ42" s="771" t="e">
        <f t="shared" si="82"/>
        <v>#VALUE!</v>
      </c>
      <c r="FR42" s="772" t="e">
        <f t="shared" si="83"/>
        <v>#VALUE!</v>
      </c>
      <c r="FS42" s="773" t="str">
        <f t="shared" si="84"/>
        <v/>
      </c>
      <c r="FT42" s="774" t="str">
        <f t="shared" si="85"/>
        <v/>
      </c>
      <c r="FU42" s="809">
        <f t="shared" si="86"/>
        <v>0</v>
      </c>
      <c r="FV42" s="810">
        <f t="shared" si="87"/>
        <v>0</v>
      </c>
      <c r="GA42" s="542" t="str">
        <f t="shared" si="88"/>
        <v/>
      </c>
      <c r="GB42" s="562" t="str">
        <f t="shared" si="89"/>
        <v/>
      </c>
      <c r="GC42" s="564" t="str">
        <f t="shared" si="90"/>
        <v/>
      </c>
      <c r="GD42" s="565" t="str">
        <f t="shared" si="91"/>
        <v/>
      </c>
      <c r="GE42" s="563" t="str">
        <f t="shared" si="92"/>
        <v/>
      </c>
      <c r="GF42" s="543" t="str">
        <f t="shared" si="93"/>
        <v/>
      </c>
      <c r="GG42" s="1052"/>
      <c r="GH42" s="1053"/>
      <c r="GI42" s="1052"/>
      <c r="GJ42" s="1053"/>
      <c r="GK42" s="1521">
        <f t="shared" si="94"/>
        <v>0</v>
      </c>
      <c r="GL42" s="1519" t="e">
        <f t="shared" si="95"/>
        <v>#VALUE!</v>
      </c>
      <c r="GM42" s="1520" t="e">
        <f>IF(ABS(GK42-GL42)&gt;=#REF!,ABS(GK42-GL42),0)</f>
        <v>#VALUE!</v>
      </c>
      <c r="HA42" s="1187"/>
      <c r="HB42" s="1188"/>
      <c r="HC42" s="1188"/>
      <c r="HD42" s="1189"/>
      <c r="HE42" s="1190"/>
      <c r="HF42" s="1188"/>
      <c r="HG42" s="1188"/>
      <c r="HH42" s="1188"/>
      <c r="HI42" s="1191"/>
      <c r="HJ42" s="1188"/>
      <c r="HK42" s="1188"/>
      <c r="HL42" s="1188"/>
      <c r="HM42" s="1188"/>
      <c r="HN42" s="1188"/>
      <c r="HO42" s="1188"/>
      <c r="HP42" s="1188"/>
      <c r="HQ42" s="1191"/>
      <c r="HR42" s="1188"/>
      <c r="HS42" s="1188"/>
      <c r="HT42" s="1188"/>
      <c r="HU42" s="1188"/>
      <c r="HV42" s="1188"/>
      <c r="HW42" s="1190"/>
      <c r="HX42" s="1190"/>
      <c r="HY42" s="1190"/>
      <c r="HZ42" s="1190"/>
      <c r="IA42" s="1190"/>
      <c r="IB42" s="1190"/>
      <c r="IC42" s="1190"/>
      <c r="ID42" s="1190"/>
      <c r="IE42" s="1190"/>
      <c r="IF42" s="1192"/>
    </row>
    <row r="43" spans="1:240" ht="12.6" customHeight="1" x14ac:dyDescent="0.25">
      <c r="A43" s="1132"/>
      <c r="B43" s="1586"/>
      <c r="C43" s="1133"/>
      <c r="D43" s="1134"/>
      <c r="E43" s="1135"/>
      <c r="F43" s="1143"/>
      <c r="G43" s="1138"/>
      <c r="H43" s="1645"/>
      <c r="I43" s="1134"/>
      <c r="J43" s="1138"/>
      <c r="K43" s="1657"/>
      <c r="L43" s="1141"/>
      <c r="M43" s="1142"/>
      <c r="N43" s="1137"/>
      <c r="O43" s="1138"/>
      <c r="P43" s="1139"/>
      <c r="Q43" s="1134"/>
      <c r="R43" s="1138"/>
      <c r="S43" s="1140"/>
      <c r="T43" s="1143"/>
      <c r="U43" s="1138"/>
      <c r="V43" s="1134"/>
      <c r="W43" s="1138"/>
      <c r="X43" s="1142"/>
      <c r="Y43" s="1647"/>
      <c r="Z43" s="1648"/>
      <c r="AA43" s="1649"/>
      <c r="AB43" s="1288"/>
      <c r="AC43" s="898" t="b">
        <v>0</v>
      </c>
      <c r="AD43" s="374">
        <f t="shared" si="1"/>
        <v>0</v>
      </c>
      <c r="AE43" s="375">
        <f t="shared" si="2"/>
        <v>0</v>
      </c>
      <c r="AF43" s="375">
        <f t="shared" si="3"/>
        <v>0</v>
      </c>
      <c r="AG43" s="375">
        <f t="shared" si="4"/>
        <v>0</v>
      </c>
      <c r="AH43" s="376">
        <f t="shared" si="5"/>
        <v>0</v>
      </c>
      <c r="AI43" s="377" t="b">
        <v>0</v>
      </c>
      <c r="AJ43" s="143">
        <f t="shared" si="6"/>
        <v>0</v>
      </c>
      <c r="AK43" s="771" t="str">
        <f t="shared" si="7"/>
        <v/>
      </c>
      <c r="AL43" s="877" t="str">
        <f t="shared" si="8"/>
        <v/>
      </c>
      <c r="AM43" s="771" t="str">
        <f t="shared" si="9"/>
        <v/>
      </c>
      <c r="AN43" s="771" t="str">
        <f t="shared" si="10"/>
        <v/>
      </c>
      <c r="AO43" s="771" t="str">
        <f t="shared" si="11"/>
        <v/>
      </c>
      <c r="AP43" s="771" t="b">
        <f>IF(ISERROR(AJ43),FALSE,IF(OR(AJ43=0,ISERROR(AL43),ISERROR(AM43),ISERROR(AN43),ISERROR(AO43)),FALSE,IF(AL43&lt;&gt;"",IF(ISERROR(VLOOKUP(SUBSTITUTE(SUBSTITUTE(C43,"R",""),"A",""),#REF!,1,FALSE)),FALSE,TRUE),TRUE)))</f>
        <v>0</v>
      </c>
      <c r="AQ43" s="945" t="e">
        <f t="shared" si="12"/>
        <v>#N/A</v>
      </c>
      <c r="AR43" s="877" t="b">
        <f t="shared" si="13"/>
        <v>0</v>
      </c>
      <c r="AS43" s="945" t="e">
        <f t="shared" si="14"/>
        <v>#N/A</v>
      </c>
      <c r="AT43" s="877" t="b">
        <f t="shared" si="15"/>
        <v>0</v>
      </c>
      <c r="AU43" s="878" t="str">
        <f t="shared" si="16"/>
        <v/>
      </c>
      <c r="AV43" s="771" t="str">
        <f t="shared" si="17"/>
        <v/>
      </c>
      <c r="AW43" s="771" t="str">
        <f t="shared" si="18"/>
        <v/>
      </c>
      <c r="AX43" s="771" t="str">
        <f t="shared" si="96"/>
        <v/>
      </c>
      <c r="AY43" s="946" t="e">
        <f t="shared" si="19"/>
        <v>#REF!</v>
      </c>
      <c r="AZ43" s="795" t="str">
        <f t="shared" si="20"/>
        <v/>
      </c>
      <c r="BA43" s="496"/>
      <c r="BB43" s="616"/>
      <c r="BC43" s="1567"/>
      <c r="BD43" s="682"/>
      <c r="BE43" s="683"/>
      <c r="BF43" s="684"/>
      <c r="BG43" s="660"/>
      <c r="BH43" s="901"/>
      <c r="BI43" s="902"/>
      <c r="BJ43" s="1508"/>
      <c r="BK43" s="661"/>
      <c r="BL43" s="662"/>
      <c r="BM43" s="663"/>
      <c r="BN43" s="664"/>
      <c r="BO43" s="616" t="str">
        <f>IF(ISERROR(CU43),"",IF(CU43="","",IF(VLOOKUP(BG43,#REF!,10,FALSE)="","","X")))</f>
        <v/>
      </c>
      <c r="BP43" s="687"/>
      <c r="BQ43" s="1430" t="str">
        <f t="shared" si="21"/>
        <v/>
      </c>
      <c r="BR43" s="839"/>
      <c r="BS43" s="660"/>
      <c r="BT43" s="661"/>
      <c r="BU43" s="662"/>
      <c r="BV43" s="1508"/>
      <c r="BW43" s="661"/>
      <c r="BX43" s="662"/>
      <c r="BY43" s="663"/>
      <c r="BZ43" s="664"/>
      <c r="CA43" s="625" t="str">
        <f>IF(ISERROR(DE43),"",IF(DE43="","",IF(VLOOKUP(BS43,#REF!,10,FALSE)="","","X")))</f>
        <v/>
      </c>
      <c r="CB43" s="687"/>
      <c r="CC43" s="1430" t="str">
        <f t="shared" si="22"/>
        <v/>
      </c>
      <c r="CD43" s="839"/>
      <c r="CE43" s="665"/>
      <c r="CF43" s="685"/>
      <c r="CG43" s="686"/>
      <c r="CH43" s="534" t="str">
        <f t="shared" si="23"/>
        <v/>
      </c>
      <c r="CI43" s="535" t="str">
        <f t="shared" si="24"/>
        <v/>
      </c>
      <c r="CJ43" s="536" t="str">
        <f t="shared" si="25"/>
        <v/>
      </c>
      <c r="CK43" s="537" t="str">
        <f t="shared" si="26"/>
        <v/>
      </c>
      <c r="CL43" s="538" t="str">
        <f t="shared" si="27"/>
        <v/>
      </c>
      <c r="CM43" s="539" t="str">
        <f t="shared" si="28"/>
        <v/>
      </c>
      <c r="CN43" s="540" t="str">
        <f t="shared" si="29"/>
        <v/>
      </c>
      <c r="CO43" s="541" t="str">
        <f t="shared" si="30"/>
        <v/>
      </c>
      <c r="CP43" s="558" t="str">
        <f t="shared" si="31"/>
        <v/>
      </c>
      <c r="CQ43" s="559" t="str">
        <f t="shared" si="32"/>
        <v/>
      </c>
      <c r="CR43" s="699" t="str">
        <f t="shared" si="33"/>
        <v/>
      </c>
      <c r="CS43" s="700" t="str">
        <f t="shared" si="34"/>
        <v/>
      </c>
      <c r="CU43" s="758" t="str">
        <f>IF(BG43="","",VLOOKUP(BG43,#REF!,12,FALSE))</f>
        <v/>
      </c>
      <c r="CV43" s="756" t="str">
        <f>IF(BG43="","",IF(ISBLANK(BP43),VLOOKUP(BG43,#REF!,13,FALSE),BP43))</f>
        <v/>
      </c>
      <c r="CW43" s="756" t="str">
        <f>IF(BG43="","",IF(VLOOKUP(BG43,#REF!,5,FALSE)="","R",UPPER(VLOOKUP(BG43,#REF!,5,FALSE))))</f>
        <v/>
      </c>
      <c r="CX43" s="756" t="str">
        <f>IF(BG43="","",IF(ISBLANK(BR43),VLOOKUP(BG43,#REF!,6,FALSE),BR43))</f>
        <v/>
      </c>
      <c r="CY43" s="1203" t="str">
        <f>IF(BG43="","",IF(VLOOKUP(BG43,#REF!,10,FALSE)="","",(IF(BO43="X",VLOOKUP(BG43,#REF!,10,FALSE),VALUE(BO43))*-1)))</f>
        <v/>
      </c>
      <c r="CZ43" s="1042" t="str">
        <f>IF(BG43="","",IF(VLOOKUP(BG43,#REF!,11,FALSE)="","2",(VLOOKUP(BG43,#REF!,11,FALSE))))</f>
        <v/>
      </c>
      <c r="DA43" s="756" t="str">
        <f>IF(BG43="","",IF(VLOOKUP(BG43,#REF!,7,FALSE)="","",(VLOOKUP(BG43,#REF!,7,FALSE)*-1)))</f>
        <v/>
      </c>
      <c r="DB43" s="756" t="str">
        <f>IF(BG43="","",IF(VLOOKUP(BG43,#REF!,8,FALSE)="",VLOOKUP(AU43,$DF$2:$DN$9,6,FALSE),(VLOOKUP(BG43,#REF!,8,FALSE))))</f>
        <v/>
      </c>
      <c r="DC43" s="756" t="str">
        <f>IF(BG43="","",VLOOKUP(BG43,#REF!,9,FALSE))</f>
        <v/>
      </c>
      <c r="DD43" s="757">
        <f t="shared" si="35"/>
        <v>0</v>
      </c>
      <c r="DE43" s="758" t="str">
        <f>IF(BS43="","",VLOOKUP(BS43,#REF!,12,FALSE))</f>
        <v/>
      </c>
      <c r="DF43" s="756" t="str">
        <f>IF(BS43="","",IF(ISBLANK(CB43),VLOOKUP(BS43,#REF!,13,FALSE),CB43))</f>
        <v/>
      </c>
      <c r="DG43" s="756" t="str">
        <f>IF(BS43="","",IF(VLOOKUP(BS43,#REF!,5,FALSE)="","R",UPPER(VLOOKUP(BS43,#REF!,5,FALSE))))</f>
        <v/>
      </c>
      <c r="DH43" s="756" t="str">
        <f>IF(BS43="","",IF(ISBLANK(CD43),VLOOKUP(BS43,#REF!,6,FALSE),CD43))</f>
        <v/>
      </c>
      <c r="DI43" s="1203" t="str">
        <f>IF(BS43="","",IF(VLOOKUP(BS43,#REF!,10,FALSE)="","",(IF(CA43="X",VLOOKUP(BS43,#REF!,10,FALSE),VALUE(CA43))*-1)))</f>
        <v/>
      </c>
      <c r="DJ43" s="1042" t="str">
        <f>IF(BS43="","",IF(VLOOKUP(BS43,#REF!,11,FALSE)="","2",(VLOOKUP(BS43,#REF!,11,FALSE))))</f>
        <v/>
      </c>
      <c r="DK43" s="756" t="str">
        <f>IF(BS43="","",IF(VLOOKUP(BS43,#REF!,7,FALSE)="","",(VLOOKUP(BS43,#REF!,7,FALSE)*-1)))</f>
        <v/>
      </c>
      <c r="DL43" s="756" t="str">
        <f>IF(BS43="","",IF(VLOOKUP(BS43,#REF!,8,FALSE)="",VLOOKUP(AU43,$DF$2:$DN$9,6,FALSE),(VLOOKUP(BS43,#REF!,8,FALSE))))</f>
        <v/>
      </c>
      <c r="DM43" s="756" t="str">
        <f>IF(BS43="","",VLOOKUP(BS43,#REF!,9,FALSE))</f>
        <v/>
      </c>
      <c r="DN43" s="757">
        <f t="shared" si="36"/>
        <v>0</v>
      </c>
      <c r="DO43" s="759">
        <f t="shared" si="37"/>
        <v>0</v>
      </c>
      <c r="DP43" s="763" t="str">
        <f t="shared" si="38"/>
        <v/>
      </c>
      <c r="DQ43" s="763" t="str">
        <f t="shared" si="39"/>
        <v/>
      </c>
      <c r="DR43" s="763" t="str">
        <f t="shared" si="40"/>
        <v/>
      </c>
      <c r="DS43" s="762">
        <f t="shared" si="41"/>
        <v>0</v>
      </c>
      <c r="DT43" s="762" t="e">
        <f t="shared" si="42"/>
        <v>#REF!</v>
      </c>
      <c r="DU43" s="762" t="str">
        <f t="shared" si="43"/>
        <v/>
      </c>
      <c r="DV43" s="763" t="str">
        <f t="shared" si="44"/>
        <v/>
      </c>
      <c r="DW43" s="795" t="str">
        <f t="shared" si="45"/>
        <v/>
      </c>
      <c r="DX43" s="926">
        <f t="shared" si="46"/>
        <v>0</v>
      </c>
      <c r="DY43" s="763">
        <f t="shared" si="47"/>
        <v>0</v>
      </c>
      <c r="DZ43" s="762" t="e">
        <f t="shared" si="48"/>
        <v>#REF!</v>
      </c>
      <c r="EA43" s="762" t="str">
        <f t="shared" si="49"/>
        <v/>
      </c>
      <c r="EB43" s="763" t="str">
        <f t="shared" si="50"/>
        <v/>
      </c>
      <c r="EC43" s="795" t="str">
        <f t="shared" si="51"/>
        <v/>
      </c>
      <c r="ED43" s="926">
        <f t="shared" si="52"/>
        <v>0</v>
      </c>
      <c r="EE43" s="1210" t="str">
        <f t="shared" si="53"/>
        <v/>
      </c>
      <c r="EF43" s="1210" t="str">
        <f t="shared" si="54"/>
        <v/>
      </c>
      <c r="EG43" s="1210" t="str">
        <f t="shared" si="55"/>
        <v/>
      </c>
      <c r="EH43" s="795" t="e">
        <f t="shared" si="56"/>
        <v>#N/A</v>
      </c>
      <c r="EI43" s="795" t="e">
        <f t="shared" si="57"/>
        <v>#N/A</v>
      </c>
      <c r="EJ43" s="763" t="str">
        <f t="shared" si="58"/>
        <v/>
      </c>
      <c r="EK43" s="763" t="str">
        <f t="shared" si="58"/>
        <v/>
      </c>
      <c r="EL43" s="1210" t="str">
        <f t="shared" si="59"/>
        <v/>
      </c>
      <c r="EM43" s="763" t="str">
        <f t="shared" si="60"/>
        <v/>
      </c>
      <c r="EN43" s="763" t="str">
        <f t="shared" si="61"/>
        <v/>
      </c>
      <c r="EO43" s="795" t="e">
        <f t="shared" si="62"/>
        <v>#N/A</v>
      </c>
      <c r="EP43" s="795" t="e">
        <f t="shared" si="63"/>
        <v>#N/A</v>
      </c>
      <c r="EQ43" s="1210" t="str">
        <f t="shared" si="64"/>
        <v/>
      </c>
      <c r="ER43" s="763" t="str">
        <f t="shared" si="64"/>
        <v/>
      </c>
      <c r="ES43" s="763" t="str">
        <f t="shared" si="65"/>
        <v/>
      </c>
      <c r="ET43" s="763" t="str">
        <f t="shared" si="66"/>
        <v/>
      </c>
      <c r="EU43" s="770" t="str">
        <f t="shared" si="67"/>
        <v/>
      </c>
      <c r="EV43" s="765" t="str">
        <f t="shared" si="68"/>
        <v/>
      </c>
      <c r="EW43" s="770"/>
      <c r="EX43" s="770" t="str">
        <f>IF(AND(CU43="G", ISBLANK(BK43), ISBLANK(BL43)),VLOOKUP(MIN(BH43:BI43),#REF!,2),IF(OR(CU43="B",CU43="G"),MIN(BK43:BL43),""))</f>
        <v/>
      </c>
      <c r="EY43" s="770" t="str">
        <f>IF(AND(CU43="G", ISBLANK(BK43), ISBLANK(BL43)),VLOOKUP(MAX(BH43:BI43),#REF!,2),IF(OR(CU43="B",CU43="G"),MAX(BK43:BL43),""))</f>
        <v/>
      </c>
      <c r="EZ43" s="770" t="str">
        <f t="shared" si="69"/>
        <v/>
      </c>
      <c r="FA43" s="770" t="str">
        <f>IF(AND(DE43="G", ISBLANK(BW43), ISBLANK(BX43)),VLOOKUP(MIN(BT43:BU43),#REF!,2),IF(OR(DE43="B", DE43="G"),MIN(BW43:BX43),""))</f>
        <v/>
      </c>
      <c r="FB43" s="770" t="str">
        <f>IF(AND(DE43="G", ISBLANK(BW43), ISBLANK(BX43)),VLOOKUP(MAX(BT43:BU43),#REF!,2),IF(OR(DE43="B", DE43="G"),MAX(BW43:BX43),""))</f>
        <v/>
      </c>
      <c r="FC43" s="770" t="str">
        <f t="shared" si="70"/>
        <v/>
      </c>
      <c r="FD43" s="762">
        <f t="shared" si="97"/>
        <v>0</v>
      </c>
      <c r="FE43" s="762">
        <f t="shared" si="71"/>
        <v>0</v>
      </c>
      <c r="FF43" s="762">
        <f t="shared" si="72"/>
        <v>0</v>
      </c>
      <c r="FG43" s="762" t="str">
        <f t="shared" si="73"/>
        <v/>
      </c>
      <c r="FH43" s="763" t="str">
        <f t="shared" si="74"/>
        <v/>
      </c>
      <c r="FI43" s="762">
        <f t="shared" si="98"/>
        <v>0</v>
      </c>
      <c r="FJ43" s="762">
        <f t="shared" si="75"/>
        <v>0</v>
      </c>
      <c r="FK43" s="762">
        <f t="shared" si="76"/>
        <v>0</v>
      </c>
      <c r="FL43" s="762" t="str">
        <f t="shared" si="77"/>
        <v/>
      </c>
      <c r="FM43" s="763" t="str">
        <f t="shared" si="78"/>
        <v/>
      </c>
      <c r="FN43" s="763" t="e">
        <f t="shared" si="79"/>
        <v>#VALUE!</v>
      </c>
      <c r="FO43" s="872" t="e">
        <f t="shared" si="80"/>
        <v>#VALUE!</v>
      </c>
      <c r="FP43" s="872" t="e">
        <f t="shared" si="81"/>
        <v>#VALUE!</v>
      </c>
      <c r="FQ43" s="771" t="e">
        <f t="shared" si="82"/>
        <v>#VALUE!</v>
      </c>
      <c r="FR43" s="772" t="e">
        <f t="shared" si="83"/>
        <v>#VALUE!</v>
      </c>
      <c r="FS43" s="773" t="str">
        <f t="shared" si="84"/>
        <v/>
      </c>
      <c r="FT43" s="774" t="str">
        <f t="shared" si="85"/>
        <v/>
      </c>
      <c r="FU43" s="809">
        <f t="shared" si="86"/>
        <v>0</v>
      </c>
      <c r="FV43" s="810">
        <f t="shared" si="87"/>
        <v>0</v>
      </c>
      <c r="GA43" s="542" t="str">
        <f t="shared" si="88"/>
        <v/>
      </c>
      <c r="GB43" s="562" t="str">
        <f t="shared" si="89"/>
        <v/>
      </c>
      <c r="GC43" s="564" t="str">
        <f t="shared" si="90"/>
        <v/>
      </c>
      <c r="GD43" s="565" t="str">
        <f t="shared" si="91"/>
        <v/>
      </c>
      <c r="GE43" s="563" t="str">
        <f t="shared" si="92"/>
        <v/>
      </c>
      <c r="GF43" s="543" t="str">
        <f t="shared" si="93"/>
        <v/>
      </c>
      <c r="GG43" s="1052"/>
      <c r="GH43" s="1053"/>
      <c r="GI43" s="1052"/>
      <c r="GJ43" s="1053"/>
      <c r="GK43" s="1521">
        <f t="shared" si="94"/>
        <v>0</v>
      </c>
      <c r="GL43" s="1519" t="e">
        <f t="shared" si="95"/>
        <v>#VALUE!</v>
      </c>
      <c r="GM43" s="1520" t="e">
        <f>IF(ABS(GK43-GL43)&gt;=#REF!,ABS(GK43-GL43),0)</f>
        <v>#VALUE!</v>
      </c>
      <c r="HA43" s="1187"/>
      <c r="HB43" s="1188"/>
      <c r="HC43" s="1188"/>
      <c r="HD43" s="1189"/>
      <c r="HE43" s="1190"/>
      <c r="HF43" s="1188"/>
      <c r="HG43" s="1188"/>
      <c r="HH43" s="1188"/>
      <c r="HI43" s="1191"/>
      <c r="HJ43" s="1188"/>
      <c r="HK43" s="1188"/>
      <c r="HL43" s="1188"/>
      <c r="HM43" s="1188"/>
      <c r="HN43" s="1188"/>
      <c r="HO43" s="1188"/>
      <c r="HP43" s="1188"/>
      <c r="HQ43" s="1191"/>
      <c r="HR43" s="1188"/>
      <c r="HS43" s="1188"/>
      <c r="HT43" s="1188"/>
      <c r="HU43" s="1188"/>
      <c r="HV43" s="1188"/>
      <c r="HW43" s="1190"/>
      <c r="HX43" s="1190"/>
      <c r="HY43" s="1190"/>
      <c r="HZ43" s="1190"/>
      <c r="IA43" s="1190"/>
      <c r="IB43" s="1190"/>
      <c r="IC43" s="1190"/>
      <c r="ID43" s="1190"/>
      <c r="IE43" s="1190"/>
      <c r="IF43" s="1192"/>
    </row>
    <row r="44" spans="1:240" ht="12.6" customHeight="1" x14ac:dyDescent="0.25">
      <c r="A44" s="1132"/>
      <c r="B44" s="1586"/>
      <c r="C44" s="1133"/>
      <c r="D44" s="1134"/>
      <c r="E44" s="1135"/>
      <c r="F44" s="1143"/>
      <c r="G44" s="1138"/>
      <c r="H44" s="1645"/>
      <c r="I44" s="1134"/>
      <c r="J44" s="1138"/>
      <c r="K44" s="1657"/>
      <c r="L44" s="1141"/>
      <c r="M44" s="1142"/>
      <c r="N44" s="1137"/>
      <c r="O44" s="1138"/>
      <c r="P44" s="1139"/>
      <c r="Q44" s="1134"/>
      <c r="R44" s="1138"/>
      <c r="S44" s="1140"/>
      <c r="T44" s="1143"/>
      <c r="U44" s="1138"/>
      <c r="V44" s="1134"/>
      <c r="W44" s="1138"/>
      <c r="X44" s="1142"/>
      <c r="Y44" s="1647"/>
      <c r="Z44" s="1648"/>
      <c r="AA44" s="1649"/>
      <c r="AB44" s="1288"/>
      <c r="AC44" s="898" t="b">
        <v>0</v>
      </c>
      <c r="AD44" s="374">
        <f t="shared" si="1"/>
        <v>0</v>
      </c>
      <c r="AE44" s="375">
        <f t="shared" si="2"/>
        <v>0</v>
      </c>
      <c r="AF44" s="375">
        <f t="shared" si="3"/>
        <v>0</v>
      </c>
      <c r="AG44" s="375">
        <f t="shared" si="4"/>
        <v>0</v>
      </c>
      <c r="AH44" s="376">
        <f t="shared" si="5"/>
        <v>0</v>
      </c>
      <c r="AI44" s="377" t="b">
        <v>0</v>
      </c>
      <c r="AJ44" s="143">
        <f t="shared" si="6"/>
        <v>0</v>
      </c>
      <c r="AK44" s="771" t="str">
        <f t="shared" si="7"/>
        <v/>
      </c>
      <c r="AL44" s="877" t="str">
        <f t="shared" si="8"/>
        <v/>
      </c>
      <c r="AM44" s="771" t="str">
        <f t="shared" si="9"/>
        <v/>
      </c>
      <c r="AN44" s="771" t="str">
        <f t="shared" si="10"/>
        <v/>
      </c>
      <c r="AO44" s="771" t="str">
        <f t="shared" si="11"/>
        <v/>
      </c>
      <c r="AP44" s="771" t="b">
        <f>IF(ISERROR(AJ44),FALSE,IF(OR(AJ44=0,ISERROR(AL44),ISERROR(AM44),ISERROR(AN44),ISERROR(AO44)),FALSE,IF(AL44&lt;&gt;"",IF(ISERROR(VLOOKUP(SUBSTITUTE(SUBSTITUTE(C44,"R",""),"A",""),#REF!,1,FALSE)),FALSE,TRUE),TRUE)))</f>
        <v>0</v>
      </c>
      <c r="AQ44" s="945" t="e">
        <f t="shared" si="12"/>
        <v>#N/A</v>
      </c>
      <c r="AR44" s="877" t="b">
        <f t="shared" si="13"/>
        <v>0</v>
      </c>
      <c r="AS44" s="945" t="e">
        <f t="shared" si="14"/>
        <v>#N/A</v>
      </c>
      <c r="AT44" s="877" t="b">
        <f t="shared" si="15"/>
        <v>0</v>
      </c>
      <c r="AU44" s="878" t="str">
        <f t="shared" si="16"/>
        <v/>
      </c>
      <c r="AV44" s="771" t="str">
        <f t="shared" si="17"/>
        <v/>
      </c>
      <c r="AW44" s="771" t="str">
        <f t="shared" si="18"/>
        <v/>
      </c>
      <c r="AX44" s="771" t="str">
        <f t="shared" si="96"/>
        <v/>
      </c>
      <c r="AY44" s="946" t="e">
        <f t="shared" si="19"/>
        <v>#REF!</v>
      </c>
      <c r="AZ44" s="795" t="str">
        <f t="shared" si="20"/>
        <v/>
      </c>
      <c r="BA44" s="496"/>
      <c r="BB44" s="616"/>
      <c r="BC44" s="1567"/>
      <c r="BD44" s="682"/>
      <c r="BE44" s="683"/>
      <c r="BF44" s="684"/>
      <c r="BG44" s="660"/>
      <c r="BH44" s="901"/>
      <c r="BI44" s="902"/>
      <c r="BJ44" s="1508"/>
      <c r="BK44" s="661"/>
      <c r="BL44" s="662"/>
      <c r="BM44" s="663"/>
      <c r="BN44" s="664"/>
      <c r="BO44" s="616" t="str">
        <f>IF(ISERROR(CU44),"",IF(CU44="","",IF(VLOOKUP(BG44,#REF!,10,FALSE)="","","X")))</f>
        <v/>
      </c>
      <c r="BP44" s="687"/>
      <c r="BQ44" s="1430" t="str">
        <f t="shared" si="21"/>
        <v/>
      </c>
      <c r="BR44" s="839"/>
      <c r="BS44" s="660"/>
      <c r="BT44" s="661"/>
      <c r="BU44" s="662"/>
      <c r="BV44" s="1508"/>
      <c r="BW44" s="661"/>
      <c r="BX44" s="662"/>
      <c r="BY44" s="663"/>
      <c r="BZ44" s="664"/>
      <c r="CA44" s="625" t="str">
        <f>IF(ISERROR(DE44),"",IF(DE44="","",IF(VLOOKUP(BS44,#REF!,10,FALSE)="","","X")))</f>
        <v/>
      </c>
      <c r="CB44" s="687"/>
      <c r="CC44" s="1430" t="str">
        <f t="shared" si="22"/>
        <v/>
      </c>
      <c r="CD44" s="839"/>
      <c r="CE44" s="665"/>
      <c r="CF44" s="685"/>
      <c r="CG44" s="686"/>
      <c r="CH44" s="534" t="str">
        <f t="shared" si="23"/>
        <v/>
      </c>
      <c r="CI44" s="535" t="str">
        <f t="shared" si="24"/>
        <v/>
      </c>
      <c r="CJ44" s="536" t="str">
        <f t="shared" si="25"/>
        <v/>
      </c>
      <c r="CK44" s="537" t="str">
        <f t="shared" si="26"/>
        <v/>
      </c>
      <c r="CL44" s="538" t="str">
        <f t="shared" si="27"/>
        <v/>
      </c>
      <c r="CM44" s="539" t="str">
        <f t="shared" si="28"/>
        <v/>
      </c>
      <c r="CN44" s="540" t="str">
        <f t="shared" si="29"/>
        <v/>
      </c>
      <c r="CO44" s="541" t="str">
        <f t="shared" si="30"/>
        <v/>
      </c>
      <c r="CP44" s="558" t="str">
        <f t="shared" si="31"/>
        <v/>
      </c>
      <c r="CQ44" s="559" t="str">
        <f t="shared" si="32"/>
        <v/>
      </c>
      <c r="CR44" s="699" t="str">
        <f t="shared" si="33"/>
        <v/>
      </c>
      <c r="CS44" s="700" t="str">
        <f t="shared" si="34"/>
        <v/>
      </c>
      <c r="CU44" s="758" t="str">
        <f>IF(BG44="","",VLOOKUP(BG44,#REF!,12,FALSE))</f>
        <v/>
      </c>
      <c r="CV44" s="756" t="str">
        <f>IF(BG44="","",IF(ISBLANK(BP44),VLOOKUP(BG44,#REF!,13,FALSE),BP44))</f>
        <v/>
      </c>
      <c r="CW44" s="756" t="str">
        <f>IF(BG44="","",IF(VLOOKUP(BG44,#REF!,5,FALSE)="","R",UPPER(VLOOKUP(BG44,#REF!,5,FALSE))))</f>
        <v/>
      </c>
      <c r="CX44" s="756" t="str">
        <f>IF(BG44="","",IF(ISBLANK(BR44),VLOOKUP(BG44,#REF!,6,FALSE),BR44))</f>
        <v/>
      </c>
      <c r="CY44" s="1203" t="str">
        <f>IF(BG44="","",IF(VLOOKUP(BG44,#REF!,10,FALSE)="","",(IF(BO44="X",VLOOKUP(BG44,#REF!,10,FALSE),VALUE(BO44))*-1)))</f>
        <v/>
      </c>
      <c r="CZ44" s="1042" t="str">
        <f>IF(BG44="","",IF(VLOOKUP(BG44,#REF!,11,FALSE)="","2",(VLOOKUP(BG44,#REF!,11,FALSE))))</f>
        <v/>
      </c>
      <c r="DA44" s="756" t="str">
        <f>IF(BG44="","",IF(VLOOKUP(BG44,#REF!,7,FALSE)="","",(VLOOKUP(BG44,#REF!,7,FALSE)*-1)))</f>
        <v/>
      </c>
      <c r="DB44" s="756" t="str">
        <f>IF(BG44="","",IF(VLOOKUP(BG44,#REF!,8,FALSE)="",VLOOKUP(AU44,$DF$2:$DN$9,6,FALSE),(VLOOKUP(BG44,#REF!,8,FALSE))))</f>
        <v/>
      </c>
      <c r="DC44" s="756" t="str">
        <f>IF(BG44="","",VLOOKUP(BG44,#REF!,9,FALSE))</f>
        <v/>
      </c>
      <c r="DD44" s="757">
        <f t="shared" si="35"/>
        <v>0</v>
      </c>
      <c r="DE44" s="758" t="str">
        <f>IF(BS44="","",VLOOKUP(BS44,#REF!,12,FALSE))</f>
        <v/>
      </c>
      <c r="DF44" s="756" t="str">
        <f>IF(BS44="","",IF(ISBLANK(CB44),VLOOKUP(BS44,#REF!,13,FALSE),CB44))</f>
        <v/>
      </c>
      <c r="DG44" s="756" t="str">
        <f>IF(BS44="","",IF(VLOOKUP(BS44,#REF!,5,FALSE)="","R",UPPER(VLOOKUP(BS44,#REF!,5,FALSE))))</f>
        <v/>
      </c>
      <c r="DH44" s="756" t="str">
        <f>IF(BS44="","",IF(ISBLANK(CD44),VLOOKUP(BS44,#REF!,6,FALSE),CD44))</f>
        <v/>
      </c>
      <c r="DI44" s="1203" t="str">
        <f>IF(BS44="","",IF(VLOOKUP(BS44,#REF!,10,FALSE)="","",(IF(CA44="X",VLOOKUP(BS44,#REF!,10,FALSE),VALUE(CA44))*-1)))</f>
        <v/>
      </c>
      <c r="DJ44" s="1042" t="str">
        <f>IF(BS44="","",IF(VLOOKUP(BS44,#REF!,11,FALSE)="","2",(VLOOKUP(BS44,#REF!,11,FALSE))))</f>
        <v/>
      </c>
      <c r="DK44" s="756" t="str">
        <f>IF(BS44="","",IF(VLOOKUP(BS44,#REF!,7,FALSE)="","",(VLOOKUP(BS44,#REF!,7,FALSE)*-1)))</f>
        <v/>
      </c>
      <c r="DL44" s="756" t="str">
        <f>IF(BS44="","",IF(VLOOKUP(BS44,#REF!,8,FALSE)="",VLOOKUP(AU44,$DF$2:$DN$9,6,FALSE),(VLOOKUP(BS44,#REF!,8,FALSE))))</f>
        <v/>
      </c>
      <c r="DM44" s="756" t="str">
        <f>IF(BS44="","",VLOOKUP(BS44,#REF!,9,FALSE))</f>
        <v/>
      </c>
      <c r="DN44" s="757">
        <f t="shared" si="36"/>
        <v>0</v>
      </c>
      <c r="DO44" s="759">
        <f t="shared" si="37"/>
        <v>0</v>
      </c>
      <c r="DP44" s="763" t="str">
        <f t="shared" si="38"/>
        <v/>
      </c>
      <c r="DQ44" s="763" t="str">
        <f t="shared" si="39"/>
        <v/>
      </c>
      <c r="DR44" s="763" t="str">
        <f t="shared" si="40"/>
        <v/>
      </c>
      <c r="DS44" s="762">
        <f t="shared" si="41"/>
        <v>0</v>
      </c>
      <c r="DT44" s="762" t="e">
        <f t="shared" si="42"/>
        <v>#REF!</v>
      </c>
      <c r="DU44" s="762" t="str">
        <f t="shared" si="43"/>
        <v/>
      </c>
      <c r="DV44" s="763" t="str">
        <f t="shared" si="44"/>
        <v/>
      </c>
      <c r="DW44" s="795" t="str">
        <f t="shared" si="45"/>
        <v/>
      </c>
      <c r="DX44" s="926">
        <f t="shared" si="46"/>
        <v>0</v>
      </c>
      <c r="DY44" s="763">
        <f t="shared" si="47"/>
        <v>0</v>
      </c>
      <c r="DZ44" s="762" t="e">
        <f t="shared" si="48"/>
        <v>#REF!</v>
      </c>
      <c r="EA44" s="762" t="str">
        <f t="shared" si="49"/>
        <v/>
      </c>
      <c r="EB44" s="763" t="str">
        <f t="shared" si="50"/>
        <v/>
      </c>
      <c r="EC44" s="795" t="str">
        <f t="shared" si="51"/>
        <v/>
      </c>
      <c r="ED44" s="926">
        <f t="shared" si="52"/>
        <v>0</v>
      </c>
      <c r="EE44" s="1210" t="str">
        <f t="shared" si="53"/>
        <v/>
      </c>
      <c r="EF44" s="1210" t="str">
        <f t="shared" si="54"/>
        <v/>
      </c>
      <c r="EG44" s="1210" t="str">
        <f t="shared" si="55"/>
        <v/>
      </c>
      <c r="EH44" s="795" t="e">
        <f t="shared" si="56"/>
        <v>#N/A</v>
      </c>
      <c r="EI44" s="795" t="e">
        <f t="shared" si="57"/>
        <v>#N/A</v>
      </c>
      <c r="EJ44" s="763" t="str">
        <f t="shared" si="58"/>
        <v/>
      </c>
      <c r="EK44" s="763" t="str">
        <f t="shared" si="58"/>
        <v/>
      </c>
      <c r="EL44" s="1210" t="str">
        <f t="shared" si="59"/>
        <v/>
      </c>
      <c r="EM44" s="763" t="str">
        <f t="shared" si="60"/>
        <v/>
      </c>
      <c r="EN44" s="763" t="str">
        <f t="shared" si="61"/>
        <v/>
      </c>
      <c r="EO44" s="795" t="e">
        <f t="shared" si="62"/>
        <v>#N/A</v>
      </c>
      <c r="EP44" s="795" t="e">
        <f t="shared" si="63"/>
        <v>#N/A</v>
      </c>
      <c r="EQ44" s="1210" t="str">
        <f t="shared" si="64"/>
        <v/>
      </c>
      <c r="ER44" s="763" t="str">
        <f t="shared" si="64"/>
        <v/>
      </c>
      <c r="ES44" s="763" t="str">
        <f t="shared" si="65"/>
        <v/>
      </c>
      <c r="ET44" s="763" t="str">
        <f t="shared" si="66"/>
        <v/>
      </c>
      <c r="EU44" s="770" t="str">
        <f t="shared" si="67"/>
        <v/>
      </c>
      <c r="EV44" s="765" t="str">
        <f t="shared" si="68"/>
        <v/>
      </c>
      <c r="EW44" s="770"/>
      <c r="EX44" s="770" t="str">
        <f>IF(AND(CU44="G", ISBLANK(BK44), ISBLANK(BL44)),VLOOKUP(MIN(BH44:BI44),#REF!,2),IF(OR(CU44="B",CU44="G"),MIN(BK44:BL44),""))</f>
        <v/>
      </c>
      <c r="EY44" s="770" t="str">
        <f>IF(AND(CU44="G", ISBLANK(BK44), ISBLANK(BL44)),VLOOKUP(MAX(BH44:BI44),#REF!,2),IF(OR(CU44="B",CU44="G"),MAX(BK44:BL44),""))</f>
        <v/>
      </c>
      <c r="EZ44" s="770" t="str">
        <f t="shared" si="69"/>
        <v/>
      </c>
      <c r="FA44" s="770" t="str">
        <f>IF(AND(DE44="G", ISBLANK(BW44), ISBLANK(BX44)),VLOOKUP(MIN(BT44:BU44),#REF!,2),IF(OR(DE44="B", DE44="G"),MIN(BW44:BX44),""))</f>
        <v/>
      </c>
      <c r="FB44" s="770" t="str">
        <f>IF(AND(DE44="G", ISBLANK(BW44), ISBLANK(BX44)),VLOOKUP(MAX(BT44:BU44),#REF!,2),IF(OR(DE44="B", DE44="G"),MAX(BW44:BX44),""))</f>
        <v/>
      </c>
      <c r="FC44" s="770" t="str">
        <f t="shared" si="70"/>
        <v/>
      </c>
      <c r="FD44" s="762">
        <f t="shared" si="97"/>
        <v>0</v>
      </c>
      <c r="FE44" s="762">
        <f t="shared" si="71"/>
        <v>0</v>
      </c>
      <c r="FF44" s="762">
        <f t="shared" si="72"/>
        <v>0</v>
      </c>
      <c r="FG44" s="762" t="str">
        <f t="shared" si="73"/>
        <v/>
      </c>
      <c r="FH44" s="763" t="str">
        <f t="shared" si="74"/>
        <v/>
      </c>
      <c r="FI44" s="762">
        <f t="shared" si="98"/>
        <v>0</v>
      </c>
      <c r="FJ44" s="762">
        <f t="shared" si="75"/>
        <v>0</v>
      </c>
      <c r="FK44" s="762">
        <f t="shared" si="76"/>
        <v>0</v>
      </c>
      <c r="FL44" s="762" t="str">
        <f t="shared" si="77"/>
        <v/>
      </c>
      <c r="FM44" s="763" t="str">
        <f t="shared" si="78"/>
        <v/>
      </c>
      <c r="FN44" s="763" t="e">
        <f t="shared" si="79"/>
        <v>#VALUE!</v>
      </c>
      <c r="FO44" s="872" t="e">
        <f t="shared" si="80"/>
        <v>#VALUE!</v>
      </c>
      <c r="FP44" s="872" t="e">
        <f t="shared" si="81"/>
        <v>#VALUE!</v>
      </c>
      <c r="FQ44" s="771" t="e">
        <f t="shared" si="82"/>
        <v>#VALUE!</v>
      </c>
      <c r="FR44" s="772" t="e">
        <f t="shared" si="83"/>
        <v>#VALUE!</v>
      </c>
      <c r="FS44" s="773" t="str">
        <f t="shared" si="84"/>
        <v/>
      </c>
      <c r="FT44" s="774" t="str">
        <f t="shared" si="85"/>
        <v/>
      </c>
      <c r="FU44" s="809">
        <f t="shared" si="86"/>
        <v>0</v>
      </c>
      <c r="FV44" s="810">
        <f t="shared" si="87"/>
        <v>0</v>
      </c>
      <c r="GA44" s="542" t="str">
        <f t="shared" si="88"/>
        <v/>
      </c>
      <c r="GB44" s="562" t="str">
        <f t="shared" si="89"/>
        <v/>
      </c>
      <c r="GC44" s="564" t="str">
        <f t="shared" si="90"/>
        <v/>
      </c>
      <c r="GD44" s="565" t="str">
        <f t="shared" si="91"/>
        <v/>
      </c>
      <c r="GE44" s="563" t="str">
        <f t="shared" si="92"/>
        <v/>
      </c>
      <c r="GF44" s="543" t="str">
        <f t="shared" si="93"/>
        <v/>
      </c>
      <c r="GG44" s="1052"/>
      <c r="GH44" s="1053"/>
      <c r="GI44" s="1052"/>
      <c r="GJ44" s="1053"/>
      <c r="GK44" s="1521">
        <f t="shared" si="94"/>
        <v>0</v>
      </c>
      <c r="GL44" s="1519" t="e">
        <f t="shared" si="95"/>
        <v>#VALUE!</v>
      </c>
      <c r="GM44" s="1520" t="e">
        <f>IF(ABS(GK44-GL44)&gt;=#REF!,ABS(GK44-GL44),0)</f>
        <v>#VALUE!</v>
      </c>
      <c r="HA44" s="1187"/>
      <c r="HB44" s="1188"/>
      <c r="HC44" s="1188"/>
      <c r="HD44" s="1189"/>
      <c r="HE44" s="1190"/>
      <c r="HF44" s="1188"/>
      <c r="HG44" s="1188"/>
      <c r="HH44" s="1188"/>
      <c r="HI44" s="1191"/>
      <c r="HJ44" s="1188"/>
      <c r="HK44" s="1188"/>
      <c r="HL44" s="1188"/>
      <c r="HM44" s="1188"/>
      <c r="HN44" s="1188"/>
      <c r="HO44" s="1188"/>
      <c r="HP44" s="1188"/>
      <c r="HQ44" s="1191"/>
      <c r="HR44" s="1188"/>
      <c r="HS44" s="1188"/>
      <c r="HT44" s="1188"/>
      <c r="HU44" s="1188"/>
      <c r="HV44" s="1188"/>
      <c r="HW44" s="1190"/>
      <c r="HX44" s="1190"/>
      <c r="HY44" s="1190"/>
      <c r="HZ44" s="1190"/>
      <c r="IA44" s="1190"/>
      <c r="IB44" s="1190"/>
      <c r="IC44" s="1190"/>
      <c r="ID44" s="1190"/>
      <c r="IE44" s="1190"/>
      <c r="IF44" s="1192"/>
    </row>
    <row r="45" spans="1:240" ht="12.6" customHeight="1" thickBot="1" x14ac:dyDescent="0.3">
      <c r="A45" s="1588"/>
      <c r="B45" s="1589"/>
      <c r="C45" s="1590"/>
      <c r="D45" s="1591"/>
      <c r="E45" s="1592"/>
      <c r="F45" s="1600"/>
      <c r="G45" s="1595"/>
      <c r="H45" s="1651"/>
      <c r="I45" s="1591"/>
      <c r="J45" s="1595"/>
      <c r="K45" s="1658"/>
      <c r="L45" s="1598"/>
      <c r="M45" s="1599"/>
      <c r="N45" s="1594"/>
      <c r="O45" s="1595"/>
      <c r="P45" s="1596"/>
      <c r="Q45" s="1591"/>
      <c r="R45" s="1595"/>
      <c r="S45" s="1597"/>
      <c r="T45" s="1600"/>
      <c r="U45" s="1595"/>
      <c r="V45" s="1591"/>
      <c r="W45" s="1595"/>
      <c r="X45" s="1599"/>
      <c r="Y45" s="1653"/>
      <c r="Z45" s="1654"/>
      <c r="AA45" s="1655"/>
      <c r="AB45" s="1288"/>
      <c r="AC45" s="898" t="b">
        <v>0</v>
      </c>
      <c r="AD45" s="374">
        <f t="shared" si="1"/>
        <v>0</v>
      </c>
      <c r="AE45" s="375">
        <f t="shared" si="2"/>
        <v>0</v>
      </c>
      <c r="AF45" s="375">
        <f t="shared" si="3"/>
        <v>0</v>
      </c>
      <c r="AG45" s="375">
        <f t="shared" si="4"/>
        <v>0</v>
      </c>
      <c r="AH45" s="376">
        <f t="shared" si="5"/>
        <v>0</v>
      </c>
      <c r="AI45" s="377" t="b">
        <v>0</v>
      </c>
      <c r="AJ45" s="143">
        <f t="shared" si="6"/>
        <v>0</v>
      </c>
      <c r="AK45" s="771" t="str">
        <f t="shared" si="7"/>
        <v/>
      </c>
      <c r="AL45" s="877" t="str">
        <f t="shared" si="8"/>
        <v/>
      </c>
      <c r="AM45" s="771" t="str">
        <f t="shared" si="9"/>
        <v/>
      </c>
      <c r="AN45" s="771" t="str">
        <f t="shared" si="10"/>
        <v/>
      </c>
      <c r="AO45" s="771" t="str">
        <f t="shared" si="11"/>
        <v/>
      </c>
      <c r="AP45" s="771" t="b">
        <f>IF(ISERROR(AJ45),FALSE,IF(OR(AJ45=0,ISERROR(AL45),ISERROR(AM45),ISERROR(AN45),ISERROR(AO45)),FALSE,IF(AL45&lt;&gt;"",IF(ISERROR(VLOOKUP(SUBSTITUTE(SUBSTITUTE(C45,"R",""),"A",""),#REF!,1,FALSE)),FALSE,TRUE),TRUE)))</f>
        <v>0</v>
      </c>
      <c r="AQ45" s="945" t="e">
        <f t="shared" si="12"/>
        <v>#N/A</v>
      </c>
      <c r="AR45" s="877" t="b">
        <f t="shared" si="13"/>
        <v>0</v>
      </c>
      <c r="AS45" s="945" t="e">
        <f t="shared" si="14"/>
        <v>#N/A</v>
      </c>
      <c r="AT45" s="877" t="b">
        <f t="shared" si="15"/>
        <v>0</v>
      </c>
      <c r="AU45" s="878" t="str">
        <f t="shared" si="16"/>
        <v/>
      </c>
      <c r="AV45" s="771" t="str">
        <f t="shared" si="17"/>
        <v/>
      </c>
      <c r="AW45" s="771" t="str">
        <f t="shared" si="18"/>
        <v/>
      </c>
      <c r="AX45" s="771" t="str">
        <f t="shared" si="96"/>
        <v/>
      </c>
      <c r="AY45" s="946" t="e">
        <f t="shared" si="19"/>
        <v>#REF!</v>
      </c>
      <c r="AZ45" s="795" t="str">
        <f t="shared" si="20"/>
        <v/>
      </c>
      <c r="BA45" s="496"/>
      <c r="BB45" s="626"/>
      <c r="BC45" s="1568"/>
      <c r="BD45" s="748"/>
      <c r="BE45" s="749"/>
      <c r="BF45" s="750"/>
      <c r="BG45" s="666"/>
      <c r="BH45" s="904"/>
      <c r="BI45" s="905"/>
      <c r="BJ45" s="1509"/>
      <c r="BK45" s="667"/>
      <c r="BL45" s="668"/>
      <c r="BM45" s="669"/>
      <c r="BN45" s="670"/>
      <c r="BO45" s="626" t="str">
        <f>IF(ISERROR(CU45),"",IF(CU45="","",IF(VLOOKUP(BG45,#REF!,10,FALSE)="","","X")))</f>
        <v/>
      </c>
      <c r="BP45" s="690"/>
      <c r="BQ45" s="1431" t="str">
        <f t="shared" si="21"/>
        <v/>
      </c>
      <c r="BR45" s="840"/>
      <c r="BS45" s="666"/>
      <c r="BT45" s="667"/>
      <c r="BU45" s="668"/>
      <c r="BV45" s="1509"/>
      <c r="BW45" s="667"/>
      <c r="BX45" s="668"/>
      <c r="BY45" s="669"/>
      <c r="BZ45" s="670"/>
      <c r="CA45" s="635" t="str">
        <f>IF(ISERROR(DE45),"",IF(DE45="","",IF(VLOOKUP(BS45,#REF!,10,FALSE)="","","X")))</f>
        <v/>
      </c>
      <c r="CB45" s="690"/>
      <c r="CC45" s="1431" t="str">
        <f t="shared" si="22"/>
        <v/>
      </c>
      <c r="CD45" s="840"/>
      <c r="CE45" s="671"/>
      <c r="CF45" s="688"/>
      <c r="CG45" s="689"/>
      <c r="CH45" s="544" t="str">
        <f t="shared" si="23"/>
        <v/>
      </c>
      <c r="CI45" s="545" t="str">
        <f t="shared" si="24"/>
        <v/>
      </c>
      <c r="CJ45" s="546" t="str">
        <f t="shared" si="25"/>
        <v/>
      </c>
      <c r="CK45" s="547" t="str">
        <f t="shared" si="26"/>
        <v/>
      </c>
      <c r="CL45" s="548" t="str">
        <f t="shared" si="27"/>
        <v/>
      </c>
      <c r="CM45" s="549" t="str">
        <f t="shared" si="28"/>
        <v/>
      </c>
      <c r="CN45" s="550" t="str">
        <f t="shared" si="29"/>
        <v/>
      </c>
      <c r="CO45" s="551" t="str">
        <f t="shared" si="30"/>
        <v/>
      </c>
      <c r="CP45" s="560" t="str">
        <f t="shared" si="31"/>
        <v/>
      </c>
      <c r="CQ45" s="561" t="str">
        <f t="shared" si="32"/>
        <v/>
      </c>
      <c r="CR45" s="701" t="str">
        <f t="shared" si="33"/>
        <v/>
      </c>
      <c r="CS45" s="702" t="str">
        <f t="shared" si="34"/>
        <v/>
      </c>
      <c r="CU45" s="758" t="str">
        <f>IF(BG45="","",VLOOKUP(BG45,#REF!,12,FALSE))</f>
        <v/>
      </c>
      <c r="CV45" s="756" t="str">
        <f>IF(BG45="","",IF(ISBLANK(BP45),VLOOKUP(BG45,#REF!,13,FALSE),BP45))</f>
        <v/>
      </c>
      <c r="CW45" s="756" t="str">
        <f>IF(BG45="","",IF(VLOOKUP(BG45,#REF!,5,FALSE)="","R",UPPER(VLOOKUP(BG45,#REF!,5,FALSE))))</f>
        <v/>
      </c>
      <c r="CX45" s="756" t="str">
        <f>IF(BG45="","",IF(ISBLANK(BR45),VLOOKUP(BG45,#REF!,6,FALSE),BR45))</f>
        <v/>
      </c>
      <c r="CY45" s="1203" t="str">
        <f>IF(BG45="","",IF(VLOOKUP(BG45,#REF!,10,FALSE)="","",(IF(BO45="X",VLOOKUP(BG45,#REF!,10,FALSE),VALUE(BO45))*-1)))</f>
        <v/>
      </c>
      <c r="CZ45" s="1042" t="str">
        <f>IF(BG45="","",IF(VLOOKUP(BG45,#REF!,11,FALSE)="","2",(VLOOKUP(BG45,#REF!,11,FALSE))))</f>
        <v/>
      </c>
      <c r="DA45" s="756" t="str">
        <f>IF(BG45="","",IF(VLOOKUP(BG45,#REF!,7,FALSE)="","",(VLOOKUP(BG45,#REF!,7,FALSE)*-1)))</f>
        <v/>
      </c>
      <c r="DB45" s="756" t="str">
        <f>IF(BG45="","",IF(VLOOKUP(BG45,#REF!,8,FALSE)="",VLOOKUP(AU45,$DF$2:$DN$9,6,FALSE),(VLOOKUP(BG45,#REF!,8,FALSE))))</f>
        <v/>
      </c>
      <c r="DC45" s="756" t="str">
        <f>IF(BG45="","",VLOOKUP(BG45,#REF!,9,FALSE))</f>
        <v/>
      </c>
      <c r="DD45" s="757">
        <f t="shared" si="35"/>
        <v>0</v>
      </c>
      <c r="DE45" s="758" t="str">
        <f>IF(BS45="","",VLOOKUP(BS45,#REF!,12,FALSE))</f>
        <v/>
      </c>
      <c r="DF45" s="756" t="str">
        <f>IF(BS45="","",IF(ISBLANK(CB45),VLOOKUP(BS45,#REF!,13,FALSE),CB45))</f>
        <v/>
      </c>
      <c r="DG45" s="756" t="str">
        <f>IF(BS45="","",IF(VLOOKUP(BS45,#REF!,5,FALSE)="","R",UPPER(VLOOKUP(BS45,#REF!,5,FALSE))))</f>
        <v/>
      </c>
      <c r="DH45" s="756" t="str">
        <f>IF(BS45="","",IF(ISBLANK(CD45),VLOOKUP(BS45,#REF!,6,FALSE),CD45))</f>
        <v/>
      </c>
      <c r="DI45" s="1203" t="str">
        <f>IF(BS45="","",IF(VLOOKUP(BS45,#REF!,10,FALSE)="","",(IF(CA45="X",VLOOKUP(BS45,#REF!,10,FALSE),VALUE(CA45))*-1)))</f>
        <v/>
      </c>
      <c r="DJ45" s="1042" t="str">
        <f>IF(BS45="","",IF(VLOOKUP(BS45,#REF!,11,FALSE)="","2",(VLOOKUP(BS45,#REF!,11,FALSE))))</f>
        <v/>
      </c>
      <c r="DK45" s="756" t="str">
        <f>IF(BS45="","",IF(VLOOKUP(BS45,#REF!,7,FALSE)="","",(VLOOKUP(BS45,#REF!,7,FALSE)*-1)))</f>
        <v/>
      </c>
      <c r="DL45" s="756" t="str">
        <f>IF(BS45="","",IF(VLOOKUP(BS45,#REF!,8,FALSE)="",VLOOKUP(AU45,$DF$2:$DN$9,6,FALSE),(VLOOKUP(BS45,#REF!,8,FALSE))))</f>
        <v/>
      </c>
      <c r="DM45" s="756" t="str">
        <f>IF(BS45="","",VLOOKUP(BS45,#REF!,9,FALSE))</f>
        <v/>
      </c>
      <c r="DN45" s="757">
        <f t="shared" si="36"/>
        <v>0</v>
      </c>
      <c r="DO45" s="759">
        <f t="shared" si="37"/>
        <v>0</v>
      </c>
      <c r="DP45" s="763" t="str">
        <f t="shared" si="38"/>
        <v/>
      </c>
      <c r="DQ45" s="763" t="str">
        <f t="shared" si="39"/>
        <v/>
      </c>
      <c r="DR45" s="763" t="str">
        <f t="shared" si="40"/>
        <v/>
      </c>
      <c r="DS45" s="762">
        <f t="shared" si="41"/>
        <v>0</v>
      </c>
      <c r="DT45" s="762" t="e">
        <f t="shared" si="42"/>
        <v>#REF!</v>
      </c>
      <c r="DU45" s="762" t="str">
        <f t="shared" si="43"/>
        <v/>
      </c>
      <c r="DV45" s="763" t="str">
        <f t="shared" si="44"/>
        <v/>
      </c>
      <c r="DW45" s="795" t="str">
        <f t="shared" si="45"/>
        <v/>
      </c>
      <c r="DX45" s="926">
        <f t="shared" si="46"/>
        <v>0</v>
      </c>
      <c r="DY45" s="763">
        <f t="shared" si="47"/>
        <v>0</v>
      </c>
      <c r="DZ45" s="762" t="e">
        <f t="shared" si="48"/>
        <v>#REF!</v>
      </c>
      <c r="EA45" s="762" t="str">
        <f t="shared" si="49"/>
        <v/>
      </c>
      <c r="EB45" s="763" t="str">
        <f t="shared" si="50"/>
        <v/>
      </c>
      <c r="EC45" s="795" t="str">
        <f t="shared" si="51"/>
        <v/>
      </c>
      <c r="ED45" s="926">
        <f t="shared" si="52"/>
        <v>0</v>
      </c>
      <c r="EE45" s="1210" t="str">
        <f t="shared" si="53"/>
        <v/>
      </c>
      <c r="EF45" s="1210" t="str">
        <f t="shared" si="54"/>
        <v/>
      </c>
      <c r="EG45" s="1210" t="str">
        <f t="shared" si="55"/>
        <v/>
      </c>
      <c r="EH45" s="795" t="e">
        <f t="shared" si="56"/>
        <v>#N/A</v>
      </c>
      <c r="EI45" s="795" t="e">
        <f t="shared" si="57"/>
        <v>#N/A</v>
      </c>
      <c r="EJ45" s="763" t="str">
        <f t="shared" si="58"/>
        <v/>
      </c>
      <c r="EK45" s="763" t="str">
        <f t="shared" si="58"/>
        <v/>
      </c>
      <c r="EL45" s="1210" t="str">
        <f t="shared" si="59"/>
        <v/>
      </c>
      <c r="EM45" s="763" t="str">
        <f t="shared" si="60"/>
        <v/>
      </c>
      <c r="EN45" s="763" t="str">
        <f t="shared" si="61"/>
        <v/>
      </c>
      <c r="EO45" s="795" t="e">
        <f t="shared" si="62"/>
        <v>#N/A</v>
      </c>
      <c r="EP45" s="795" t="e">
        <f t="shared" si="63"/>
        <v>#N/A</v>
      </c>
      <c r="EQ45" s="1210" t="str">
        <f t="shared" si="64"/>
        <v/>
      </c>
      <c r="ER45" s="763" t="str">
        <f t="shared" si="64"/>
        <v/>
      </c>
      <c r="ES45" s="763" t="str">
        <f t="shared" si="65"/>
        <v/>
      </c>
      <c r="ET45" s="763" t="str">
        <f t="shared" si="66"/>
        <v/>
      </c>
      <c r="EU45" s="770" t="str">
        <f t="shared" si="67"/>
        <v/>
      </c>
      <c r="EV45" s="765" t="str">
        <f t="shared" si="68"/>
        <v/>
      </c>
      <c r="EW45" s="770"/>
      <c r="EX45" s="770" t="str">
        <f>IF(AND(CU45="G", ISBLANK(BK45), ISBLANK(BL45)),VLOOKUP(MIN(BH45:BI45),#REF!,2),IF(OR(CU45="B",CU45="G"),MIN(BK45:BL45),""))</f>
        <v/>
      </c>
      <c r="EY45" s="770" t="str">
        <f>IF(AND(CU45="G", ISBLANK(BK45), ISBLANK(BL45)),VLOOKUP(MAX(BH45:BI45),#REF!,2),IF(OR(CU45="B",CU45="G"),MAX(BK45:BL45),""))</f>
        <v/>
      </c>
      <c r="EZ45" s="770" t="str">
        <f t="shared" si="69"/>
        <v/>
      </c>
      <c r="FA45" s="770" t="str">
        <f>IF(AND(DE45="G", ISBLANK(BW45), ISBLANK(BX45)),VLOOKUP(MIN(BT45:BU45),#REF!,2),IF(OR(DE45="B", DE45="G"),MIN(BW45:BX45),""))</f>
        <v/>
      </c>
      <c r="FB45" s="770" t="str">
        <f>IF(AND(DE45="G", ISBLANK(BW45), ISBLANK(BX45)),VLOOKUP(MAX(BT45:BU45),#REF!,2),IF(OR(DE45="B", DE45="G"),MAX(BW45:BX45),""))</f>
        <v/>
      </c>
      <c r="FC45" s="770" t="str">
        <f t="shared" si="70"/>
        <v/>
      </c>
      <c r="FD45" s="762">
        <f t="shared" si="97"/>
        <v>0</v>
      </c>
      <c r="FE45" s="762">
        <f t="shared" si="71"/>
        <v>0</v>
      </c>
      <c r="FF45" s="762">
        <f t="shared" si="72"/>
        <v>0</v>
      </c>
      <c r="FG45" s="762" t="str">
        <f t="shared" si="73"/>
        <v/>
      </c>
      <c r="FH45" s="763" t="str">
        <f t="shared" si="74"/>
        <v/>
      </c>
      <c r="FI45" s="762">
        <f t="shared" si="98"/>
        <v>0</v>
      </c>
      <c r="FJ45" s="762">
        <f t="shared" si="75"/>
        <v>0</v>
      </c>
      <c r="FK45" s="762">
        <f t="shared" si="76"/>
        <v>0</v>
      </c>
      <c r="FL45" s="762" t="str">
        <f t="shared" si="77"/>
        <v/>
      </c>
      <c r="FM45" s="763" t="str">
        <f t="shared" si="78"/>
        <v/>
      </c>
      <c r="FN45" s="763" t="e">
        <f t="shared" si="79"/>
        <v>#VALUE!</v>
      </c>
      <c r="FO45" s="872" t="e">
        <f t="shared" si="80"/>
        <v>#VALUE!</v>
      </c>
      <c r="FP45" s="872" t="e">
        <f t="shared" si="81"/>
        <v>#VALUE!</v>
      </c>
      <c r="FQ45" s="771" t="e">
        <f t="shared" si="82"/>
        <v>#VALUE!</v>
      </c>
      <c r="FR45" s="772" t="e">
        <f t="shared" si="83"/>
        <v>#VALUE!</v>
      </c>
      <c r="FS45" s="773" t="str">
        <f t="shared" si="84"/>
        <v/>
      </c>
      <c r="FT45" s="774" t="str">
        <f t="shared" si="85"/>
        <v/>
      </c>
      <c r="FU45" s="809">
        <f t="shared" si="86"/>
        <v>0</v>
      </c>
      <c r="FV45" s="810">
        <f t="shared" si="87"/>
        <v>0</v>
      </c>
      <c r="GA45" s="542" t="str">
        <f t="shared" si="88"/>
        <v/>
      </c>
      <c r="GB45" s="562" t="str">
        <f t="shared" si="89"/>
        <v/>
      </c>
      <c r="GC45" s="564" t="str">
        <f t="shared" si="90"/>
        <v/>
      </c>
      <c r="GD45" s="565" t="str">
        <f t="shared" si="91"/>
        <v/>
      </c>
      <c r="GE45" s="563" t="str">
        <f t="shared" si="92"/>
        <v/>
      </c>
      <c r="GF45" s="543" t="str">
        <f t="shared" si="93"/>
        <v/>
      </c>
      <c r="GG45" s="1054"/>
      <c r="GH45" s="1055"/>
      <c r="GI45" s="1054"/>
      <c r="GJ45" s="1055"/>
      <c r="GK45" s="1521">
        <f t="shared" si="94"/>
        <v>0</v>
      </c>
      <c r="GL45" s="1519" t="e">
        <f t="shared" si="95"/>
        <v>#VALUE!</v>
      </c>
      <c r="GM45" s="1520" t="e">
        <f>IF(ABS(GK45-GL45)&gt;=#REF!,ABS(GK45-GL45),0)</f>
        <v>#VALUE!</v>
      </c>
      <c r="HA45" s="1193"/>
      <c r="HB45" s="1194"/>
      <c r="HC45" s="1194"/>
      <c r="HD45" s="1195"/>
      <c r="HE45" s="1196"/>
      <c r="HF45" s="1194"/>
      <c r="HG45" s="1194"/>
      <c r="HH45" s="1194"/>
      <c r="HI45" s="1197"/>
      <c r="HJ45" s="1194"/>
      <c r="HK45" s="1194"/>
      <c r="HL45" s="1194"/>
      <c r="HM45" s="1194"/>
      <c r="HN45" s="1194"/>
      <c r="HO45" s="1194"/>
      <c r="HP45" s="1194"/>
      <c r="HQ45" s="1197"/>
      <c r="HR45" s="1194"/>
      <c r="HS45" s="1194"/>
      <c r="HT45" s="1194"/>
      <c r="HU45" s="1194"/>
      <c r="HV45" s="1194"/>
      <c r="HW45" s="1196"/>
      <c r="HX45" s="1196"/>
      <c r="HY45" s="1196"/>
      <c r="HZ45" s="1196"/>
      <c r="IA45" s="1196"/>
      <c r="IB45" s="1196"/>
      <c r="IC45" s="1196"/>
      <c r="ID45" s="1196"/>
      <c r="IE45" s="1196"/>
      <c r="IF45" s="1198"/>
    </row>
    <row r="46" spans="1:240" ht="15" customHeight="1" thickTop="1" thickBot="1" x14ac:dyDescent="0.25">
      <c r="A46" s="1069"/>
      <c r="B46" s="1069"/>
      <c r="C46" s="1069"/>
      <c r="D46" s="1069"/>
      <c r="E46" s="1069"/>
      <c r="F46" s="1069"/>
      <c r="G46" s="1069"/>
      <c r="H46" s="1069"/>
      <c r="I46" s="1069"/>
      <c r="J46" s="1069"/>
      <c r="K46" s="1069"/>
      <c r="L46" s="1069"/>
      <c r="M46" s="1069"/>
      <c r="N46" s="1069"/>
      <c r="O46" s="1069"/>
      <c r="P46" s="1069"/>
      <c r="Q46" s="1069"/>
      <c r="R46" s="1069"/>
      <c r="S46" s="1069"/>
      <c r="T46" s="1069"/>
      <c r="U46" s="1069"/>
      <c r="V46" s="1069"/>
      <c r="W46" s="1069"/>
      <c r="X46" s="1069"/>
      <c r="Y46" s="1069"/>
      <c r="Z46" s="1069"/>
      <c r="AA46" s="1069"/>
      <c r="AD46" s="385">
        <f>SUM(AD16:AD45)</f>
        <v>0</v>
      </c>
      <c r="AE46" s="386">
        <f>SUM(AE16:AE45)</f>
        <v>0</v>
      </c>
      <c r="AF46" s="386">
        <f>SUM(AF16:AF45)</f>
        <v>0</v>
      </c>
      <c r="AG46" s="386">
        <f>SUM(AG16:AG45)</f>
        <v>0</v>
      </c>
      <c r="AH46" s="387">
        <f>SUM(AH16:AH45)</f>
        <v>0</v>
      </c>
      <c r="BG46" s="303"/>
      <c r="CF46" s="841"/>
      <c r="CG46" s="841"/>
      <c r="CN46" s="155"/>
      <c r="CO46" s="155"/>
      <c r="GA46" s="388"/>
      <c r="GB46" s="388"/>
      <c r="GC46" s="388"/>
      <c r="GD46" s="388"/>
      <c r="GE46" s="388"/>
      <c r="GF46" s="388"/>
    </row>
    <row r="47" spans="1:240" ht="15" customHeight="1" thickBot="1" x14ac:dyDescent="0.25">
      <c r="A47" s="836" t="s">
        <v>373</v>
      </c>
      <c r="AD47" s="835">
        <f>SUM(AD46:AH46)</f>
        <v>0</v>
      </c>
      <c r="AK47" s="389"/>
      <c r="AL47" s="390"/>
      <c r="AM47" s="390"/>
      <c r="AN47" s="390"/>
    </row>
    <row r="48" spans="1:240" s="506" customFormat="1" ht="15" hidden="1" customHeight="1" x14ac:dyDescent="0.2">
      <c r="AA48" s="710"/>
      <c r="AI48" s="507"/>
      <c r="HD48" s="508"/>
      <c r="HE48" s="509"/>
    </row>
    <row r="49" spans="1:192" ht="15" hidden="1" customHeight="1" x14ac:dyDescent="0.2">
      <c r="AJ49" s="154" t="s">
        <v>147</v>
      </c>
      <c r="AK49" s="389" t="e">
        <f>$DA$4</f>
        <v>#REF!</v>
      </c>
      <c r="AL49" s="390" t="e">
        <f>$DB$4</f>
        <v>#REF!</v>
      </c>
      <c r="AM49" s="390" t="e">
        <f>$CX$4</f>
        <v>#REF!</v>
      </c>
      <c r="AN49" s="390" t="e">
        <f>$CW$4</f>
        <v>#REF!</v>
      </c>
    </row>
    <row r="50" spans="1:192" ht="12" hidden="1" thickBot="1" x14ac:dyDescent="0.25"/>
    <row r="51" spans="1:192" ht="12" hidden="1" thickBot="1" x14ac:dyDescent="0.25"/>
    <row r="52" spans="1:192" ht="15" hidden="1" customHeight="1" x14ac:dyDescent="0.2">
      <c r="AJ52" s="154" t="s">
        <v>149</v>
      </c>
      <c r="AK52" s="389" t="e">
        <f>$DA$5</f>
        <v>#REF!</v>
      </c>
      <c r="AL52" s="390" t="e">
        <f>$DB$5</f>
        <v>#REF!</v>
      </c>
      <c r="AM52" s="390" t="e">
        <f>$CX$5</f>
        <v>#REF!</v>
      </c>
      <c r="AN52" s="390" t="e">
        <f>$CW$5</f>
        <v>#REF!</v>
      </c>
    </row>
    <row r="53" spans="1:192" ht="15" hidden="1" customHeight="1" x14ac:dyDescent="0.2">
      <c r="AJ53" s="154" t="s">
        <v>66</v>
      </c>
      <c r="AK53" s="389" t="e">
        <f>$DA$4</f>
        <v>#REF!</v>
      </c>
      <c r="AL53" s="390" t="e">
        <f>$DB$4</f>
        <v>#REF!</v>
      </c>
      <c r="AM53" s="390" t="e">
        <f>$CX$4</f>
        <v>#REF!</v>
      </c>
      <c r="AN53" s="390" t="e">
        <f>$CW$4</f>
        <v>#REF!</v>
      </c>
    </row>
    <row r="54" spans="1:192" ht="15" hidden="1" customHeight="1" x14ac:dyDescent="0.2">
      <c r="AJ54" s="154" t="s">
        <v>88</v>
      </c>
      <c r="AK54" s="389" t="e">
        <f>$DA$5</f>
        <v>#REF!</v>
      </c>
      <c r="AL54" s="390" t="e">
        <f>$DB$5</f>
        <v>#REF!</v>
      </c>
      <c r="AM54" s="390" t="e">
        <f>$CX$5</f>
        <v>#REF!</v>
      </c>
      <c r="AN54" s="390" t="e">
        <f>$CW$5</f>
        <v>#REF!</v>
      </c>
    </row>
    <row r="55" spans="1:192" ht="15" hidden="1" customHeight="1" x14ac:dyDescent="0.2"/>
    <row r="56" spans="1:192" ht="15" hidden="1" customHeight="1" x14ac:dyDescent="0.2">
      <c r="AA56" s="1067"/>
    </row>
    <row r="57" spans="1:192" ht="15" hidden="1" customHeight="1" x14ac:dyDescent="0.25">
      <c r="A57" s="921" t="str">
        <f>IF(BB57="","",UPPER(BB57))</f>
        <v/>
      </c>
      <c r="B57" s="922" t="str">
        <f>IF(BC57="","",BC57)</f>
        <v/>
      </c>
      <c r="C57" s="922" t="str">
        <f>IF(BD57="","",UPPER(BD57))</f>
        <v/>
      </c>
      <c r="D57" s="918" t="str">
        <f>IF(DP57="","",TRUNC(DP57/12))</f>
        <v/>
      </c>
      <c r="E57" s="972" t="str">
        <f>IF(DP57="","",DP57-(D57*12))</f>
        <v/>
      </c>
      <c r="F57" s="954" t="str">
        <f>IF(DX57=0,"",TRUNC(DX57/12))</f>
        <v/>
      </c>
      <c r="G57" s="919" t="str">
        <f>IF(DX57=0,"",DX57-(F57*12))</f>
        <v/>
      </c>
      <c r="H57" s="923" t="str">
        <f>IF(DX57=0,"",CW57)</f>
        <v/>
      </c>
      <c r="I57" s="918" t="str">
        <f>IF(ED57=0,"",TRUNC(ED57/12))</f>
        <v/>
      </c>
      <c r="J57" s="919" t="str">
        <f>IF(ED57=0,"",ED57-(I57*12))</f>
        <v/>
      </c>
      <c r="K57" s="975" t="str">
        <f>IF(ED57=0,"",DG57)</f>
        <v/>
      </c>
      <c r="L57" s="953">
        <f>DQ57</f>
        <v>0</v>
      </c>
      <c r="M57" s="955">
        <f>DR57</f>
        <v>0</v>
      </c>
      <c r="N57" s="920" t="str">
        <f>IF(ES57="","",IF(AND(ES57&lt;0,ES57&gt;-12),TRUNC(ES57/12)-0.0000001,TRUNC(ES57/12)))</f>
        <v/>
      </c>
      <c r="O57" s="919" t="str">
        <f>IF(ES57="","",IF(AND(ES57-(N57*12)=0,ES57&lt;0),-0.000001,ES57-(N57*12)))</f>
        <v/>
      </c>
      <c r="P57" s="917" t="str">
        <f>IF(ES57="","",IF(OR(CW57="Q",CW57="C"),3,CZ57))</f>
        <v/>
      </c>
      <c r="Q57" s="918" t="str">
        <f>IF(ET57="","",IF(AND(ET57&lt;0,ET57&gt;-12),TRUNC(ET57/12)-0.0000001,TRUNC(ET57/12)))</f>
        <v/>
      </c>
      <c r="R57" s="919" t="str">
        <f>IF(ET57="","",IF(AND(ET57-(Q57*12)=0,ET57&lt;0),-0.000001,ET57-(Q57*12)))</f>
        <v/>
      </c>
      <c r="S57" s="978" t="str">
        <f>IF(ET57="","",IF(OR(DG57="Q",DG57="C"),3,DJ57))</f>
        <v/>
      </c>
      <c r="T57" s="954" t="str">
        <f>IF(CH57="ERR","",IF(EK57="","",IF(EK57="ERR",TRUNC(EJ57/12),TRUNC(EK57/12))))</f>
        <v/>
      </c>
      <c r="U57" s="919" t="str">
        <f>IF(CH57="ERR","",IF(EK57="","",IF(EK57="ERR",EJ57-(T57*12),EK57-(T57*12))))</f>
        <v/>
      </c>
      <c r="V57" s="918" t="str">
        <f>IF(CI57="ERR","",IF(ER57="","",IF(ER57="ERR",TRUNC(EQ57/12),TRUNC(ER57/12))))</f>
        <v/>
      </c>
      <c r="W57" s="919" t="str">
        <f>IF(CI57="ERR","",IF(ER57="","",IF(ER57="ERR",EQ57-(V57*12),ER57-(V57*12))))</f>
        <v/>
      </c>
      <c r="X57" s="955">
        <f>IF(EV57="",0,EV57)</f>
        <v>0</v>
      </c>
      <c r="Y57" s="980">
        <f>FG57</f>
        <v>0</v>
      </c>
      <c r="Z57" s="981">
        <f>FL57</f>
        <v>0</v>
      </c>
      <c r="AA57" s="979" t="str">
        <f>CONCATENATE(IF(BY57="","",CONCATENATE("[",SUBSTITUTE(BY57," ",""),"]")),IF(BX57="","",CONCATENATE("(",SUBSTITUTE(BX57," ",""),") ")))</f>
        <v/>
      </c>
      <c r="AH57" s="175" t="s">
        <v>703</v>
      </c>
      <c r="AI57" s="377" t="b">
        <v>0</v>
      </c>
      <c r="AJ57" s="143">
        <f>IF(OR(ISERROR(VALUE(LEFT(C57,SEARCH(AK57,C57)-1))),AK57=""),0,VALUE(LEFT(C57,SEARCH(AK57,C57)-1)))</f>
        <v>0</v>
      </c>
      <c r="AK57" s="771" t="str">
        <f>IF(AV57="",AW57,AV57)</f>
        <v/>
      </c>
      <c r="AL57" s="771" t="str">
        <f>IF(AK57="","",IF(ISERROR(SEARCH("/",C57)),IF(VALUE(MID(C57,SEARCH(AK57,C57)+LEN(AK57),LEN(C57)))&gt;25,"",VALUE(MID(C57,SEARCH(AK57,C57)+LEN(AK57),LEN(C57)))),""))</f>
        <v/>
      </c>
      <c r="AM57" s="771" t="str">
        <f>IF(AK57="","",IF(ISERROR(SEARCH("/",C57)),IF(VALUE(MID(C57,SEARCH(AK57,C57)+LEN(AK57),LEN(C57)))&lt;26,"",VALUE(MID(C57,SEARCH(AK57,C57)+LEN(AK57),LEN(C57)))),VALUE(MID(C57,SEARCH(AK57,C57)+LEN(AK57),SEARCH("/",C57)-SEARCH(AK57,C57)-LEN(AK57)))))</f>
        <v/>
      </c>
      <c r="AN57" s="771" t="str">
        <f>IF(AK57="","",IF(AK57="CJ",MID(MID(C57,SEARCH("/",C57)+1,LEN(C57)),1,SEARCH("/",MID(C57,SEARCH("/",C57)+1,LEN(C57)))-1),IF(ISERROR(SEARCH("/",C57)),"",VALUE(MID(C57,SEARCH("/",C57)+1,LEN(C57))))))</f>
        <v/>
      </c>
      <c r="AO57" s="771" t="str">
        <f>IF(AK57="CJ",VALUE(MID(MID(C57,SEARCH("/",C57)+1,LEN(C57)),SEARCH("/",MID(C57,SEARCH("/",C57)+1,LEN(C57)))+1,LEN(MID(C57,SEARCH("/",C57)+1,LEN(C57))))),"")</f>
        <v/>
      </c>
      <c r="AP57" s="771" t="b">
        <f>IF(ISERROR(AJ57),FALSE,IF(OR(AJ57=0,ISERROR(AL57),ISERROR(AM57),ISERROR(AN57),ISERROR(AO57)),FALSE,IF(AL57&lt;&gt;"",IF(ISERROR(VLOOKUP(SUBSTITUTE(SUBSTITUTE(C57,"R",""),"A",""),#REF!,1,FALSE)),FALSE,TRUE),TRUE)))</f>
        <v>0</v>
      </c>
      <c r="AQ57" s="945" t="e">
        <f>VLOOKUP(AK57,$DF$2:$DN$9,4,FALSE)+IF(LEFT(H57,1)="R",IF(ISNUMBER(F57),F57*12,0)+IF(ISNUMBER(G57),G57,0),0)</f>
        <v>#N/A</v>
      </c>
      <c r="AR57" s="945" t="b">
        <f>IF(IF(ISNUMBER(T57),T57*12,0)+IF(ISNUMBER(U57),U57,0)&gt;0,IF(AND((IF(ISNUMBER(T57),T57*12,0)+IF(ISNUMBER(U57),U57,0))&gt;=1,(IF(ISNUMBER(T57),T57*12,0)+IF(ISNUMBER(U57),U57,0))&lt;=(AQ57-1)+IF(H57="X",2,0)),TRUE,FALSE),FALSE)</f>
        <v>0</v>
      </c>
      <c r="AS57" s="945" t="e">
        <f>VLOOKUP(AK57,$DF$2:$DN$9,4,FALSE)+IF(LEFT(K57,1)="R",(IF(ISNUMBER(I57),I57*12,0)+IF(ISNUMBER(J57),J57,0)),0)</f>
        <v>#N/A</v>
      </c>
      <c r="AT57" s="945" t="b">
        <f>IF(IF(ISNUMBER(V57),V57*12,0)+IF(ISNUMBER(W57),W57,0)&gt;0,IF(AND((IF(ISNUMBER(V57),V57*12,0)+IF(ISNUMBER(W57),W57,0))&gt;=1,(IF(ISNUMBER(V57),V57*12,0)+IF(ISNUMBER(W57),W57,0))&lt;=(AS57-1)+IF(K57="X",2,0)),TRUE,FALSE),FALSE)</f>
        <v>0</v>
      </c>
      <c r="AU57" s="771" t="str">
        <f>IF(ISERROR(AJ57),IF(AK57&lt;&gt;"HDR","",AK57),IF(AND(AJ57=2.5,AK57="K"),"JS",IF(OR(AK57="KCSR",AK57="KCSA",AK57="KCS"),"KCS",IF(OR(AK57="KR",AK57="KA",AK57="K"),"K",IF(AND(AK57="LH",AL57&lt;7),"LH&lt;7",AK57)))))</f>
        <v/>
      </c>
      <c r="AV57" s="771" t="str">
        <f>IF(NOT(ISERROR(SEARCH("KCSR",C57))),"KCSR",IF(NOT(ISERROR(SEARCH("KCSA",C57))),"KCSA",IF(NOT(ISERROR(SEARCH("KCS",C57))),"KCS",IF(NOT(ISERROR(SEARCH("KR",C57))),"KR",IF(NOT(ISERROR(SEARCH("KA",C57))),"KA",IF(NOT(ISERROR(SEARCH("K",C57))),"K",IF(NOT(ISERROR(SEARCH("CJ",C57))),"CJ","")))))))</f>
        <v/>
      </c>
      <c r="AW57" s="771" t="str">
        <f>IF(NOT(ISERROR(SEARCH("HDR",C57))),"HDR",IF(NOT(ISERROR(SEARCH("JS",C57))),"JS",IF(NOT(ISERROR(SEARCH("SLH",C57))),"SLH",IF(NOT(ISERROR(SEARCH("DLH",C57))),"DLH",IF(NOT(ISERROR(SEARCH("LH",C57))),"LH","")))))</f>
        <v/>
      </c>
      <c r="AX57" s="771" t="str">
        <f>IF(AND(OR(ISBLANK(A57),A57=""),AA57&lt;&gt;""),AX56,IF(OR(ISBLANK(A57),A57=""),"",A57))</f>
        <v/>
      </c>
      <c r="AY57" s="946" t="e">
        <f>IF($AE$1,IF(AX57=AX56,AY56,IF(AND(AX57&lt;&gt;"",OR(B57=0,B57="")),TRUE,FALSE)),FALSE)</f>
        <v>#REF!</v>
      </c>
      <c r="AZ57" s="763" t="str">
        <f>IF(AP57,((IF(D57="",0,D57)*12+IF(E57="",0,E57))-(IF(F57="",0,F57)*12+IF(G57="",0,G57))-(IF(I57="",0,I57)*12+IF(J57="",0,J57)))&gt;AJ57*24,"")</f>
        <v/>
      </c>
      <c r="CP57" s="2349"/>
      <c r="CQ57" s="2350"/>
      <c r="CR57" s="37"/>
      <c r="CS57" s="38"/>
      <c r="CT57" s="38"/>
      <c r="CU57" s="38"/>
      <c r="CV57" s="38"/>
      <c r="CW57" s="42"/>
      <c r="CX57" s="38"/>
      <c r="CY57" s="38"/>
      <c r="CZ57" s="38"/>
      <c r="DA57" s="30"/>
      <c r="DB57" s="37"/>
      <c r="DC57" s="38"/>
      <c r="DD57" s="38"/>
      <c r="DE57" s="38"/>
      <c r="DF57" s="38"/>
      <c r="DG57" s="42"/>
      <c r="DH57" s="38"/>
      <c r="DI57" s="38"/>
      <c r="DJ57" s="38"/>
      <c r="DK57" s="30"/>
      <c r="DL57" s="39"/>
      <c r="DM57" s="43"/>
      <c r="DN57" s="32"/>
      <c r="DO57" s="31"/>
      <c r="DP57" s="32"/>
      <c r="DQ57" s="32"/>
      <c r="DR57" s="33"/>
      <c r="DS57" s="33"/>
      <c r="DT57" s="33"/>
      <c r="DU57" s="32"/>
      <c r="DV57" s="32"/>
      <c r="DW57" s="34"/>
      <c r="DX57" s="32"/>
      <c r="DY57" s="33"/>
      <c r="DZ57" s="33"/>
      <c r="EA57" s="32"/>
      <c r="EB57" s="32"/>
      <c r="EC57" s="34"/>
      <c r="ED57" s="32"/>
      <c r="EE57" s="32"/>
      <c r="EF57" s="32"/>
      <c r="EG57" s="32"/>
      <c r="EH57" s="32"/>
      <c r="EI57" s="32"/>
      <c r="EJ57" s="32"/>
      <c r="EK57" s="32"/>
      <c r="EL57" s="32"/>
      <c r="EM57" s="32"/>
      <c r="EN57" s="32"/>
      <c r="EO57" s="32"/>
      <c r="EP57" s="32"/>
      <c r="EQ57" s="32"/>
      <c r="ER57" s="32"/>
      <c r="ES57" s="32"/>
      <c r="ET57" s="32"/>
      <c r="EU57" s="35"/>
      <c r="EV57" s="36"/>
      <c r="EW57" s="35"/>
      <c r="EX57" s="35"/>
      <c r="EY57" s="35"/>
      <c r="EZ57" s="35"/>
      <c r="FA57" s="35"/>
      <c r="FB57" s="35"/>
      <c r="FC57" s="35"/>
      <c r="FD57" s="33"/>
      <c r="FE57" s="33"/>
      <c r="FF57" s="33"/>
      <c r="FG57" s="33"/>
      <c r="FH57" s="32"/>
      <c r="FI57" s="33"/>
      <c r="FJ57" s="33"/>
      <c r="FK57" s="33"/>
      <c r="FL57" s="33"/>
      <c r="FM57" s="32"/>
      <c r="FN57" s="32"/>
      <c r="FO57" s="50"/>
      <c r="FP57" s="50"/>
      <c r="FQ57" s="143"/>
      <c r="FR57" s="382"/>
      <c r="FS57" s="383"/>
      <c r="FT57" s="384"/>
      <c r="GA57" s="542" t="str">
        <f t="shared" ref="GA57" si="99">IF(GF57="","",BE57)</f>
        <v/>
      </c>
      <c r="GB57" s="562" t="str">
        <f t="shared" ref="GB57" si="100">IF(GF57="","",BF57)</f>
        <v/>
      </c>
      <c r="GC57" s="564" t="str">
        <f t="shared" ref="GC57" si="101">IF(GF57="","",IF(CV57="",0,CV57))</f>
        <v/>
      </c>
      <c r="GD57" s="565" t="str">
        <f t="shared" ref="GD57" si="102">IF(GF57="","",IF(DF57="",0,DF57))</f>
        <v/>
      </c>
      <c r="GE57" s="563" t="str">
        <f>IF(GF57="","",IF(ISBLANK(BW57),IF(Y57=Z57,0,MAX(ABS(Y57),ABS(Z57))*IF(Y57&lt;0,-1,1)),BW57))</f>
        <v/>
      </c>
      <c r="GF57" s="543" t="str">
        <f>IF(A57=0,"",A57)</f>
        <v/>
      </c>
      <c r="GG57" s="1052"/>
      <c r="GH57" s="1053"/>
      <c r="GI57" s="1052"/>
      <c r="GJ57" s="1053"/>
    </row>
    <row r="58" spans="1:192" ht="15" hidden="1" customHeight="1" x14ac:dyDescent="0.2">
      <c r="AA58" s="1068"/>
    </row>
    <row r="59" spans="1:192" ht="15" hidden="1" customHeight="1" x14ac:dyDescent="0.2"/>
    <row r="60" spans="1:192" ht="15" hidden="1" customHeight="1" x14ac:dyDescent="0.2">
      <c r="A60" s="831" t="s">
        <v>744</v>
      </c>
    </row>
    <row r="61" spans="1:192" ht="15" hidden="1" customHeight="1" x14ac:dyDescent="0.2">
      <c r="A61" s="833"/>
    </row>
    <row r="62" spans="1:192" ht="15" hidden="1" customHeight="1" x14ac:dyDescent="0.2"/>
    <row r="63" spans="1:192" ht="15" hidden="1" customHeight="1" x14ac:dyDescent="0.2"/>
    <row r="64" spans="1:192" ht="15" hidden="1" customHeight="1" x14ac:dyDescent="0.2"/>
    <row r="65" spans="1:145" ht="15" hidden="1" customHeight="1" x14ac:dyDescent="0.2"/>
    <row r="66" spans="1:145" ht="15" hidden="1" customHeight="1" x14ac:dyDescent="0.2"/>
    <row r="67" spans="1:145" ht="15" hidden="1" customHeight="1" x14ac:dyDescent="0.2"/>
    <row r="68" spans="1:145" ht="15" hidden="1" customHeight="1" x14ac:dyDescent="0.2"/>
    <row r="69" spans="1:145" ht="15" hidden="1" customHeight="1" x14ac:dyDescent="0.2"/>
    <row r="70" spans="1:145" ht="15" hidden="1" customHeight="1" thickBot="1" x14ac:dyDescent="0.25"/>
    <row r="71" spans="1:145" ht="15" customHeight="1" x14ac:dyDescent="0.2">
      <c r="A71" s="836" t="s">
        <v>374</v>
      </c>
      <c r="EL71" s="2352" t="s">
        <v>221</v>
      </c>
      <c r="EM71" s="2353"/>
      <c r="EN71" s="2353"/>
      <c r="EO71" s="2354"/>
    </row>
    <row r="72" spans="1:145" ht="15" customHeight="1" thickBot="1" x14ac:dyDescent="0.25">
      <c r="EL72" s="2379" t="s">
        <v>232</v>
      </c>
      <c r="EM72" s="2382" t="s">
        <v>233</v>
      </c>
      <c r="EN72" s="2382" t="s">
        <v>234</v>
      </c>
      <c r="EO72" s="2385" t="s">
        <v>235</v>
      </c>
    </row>
    <row r="73" spans="1:145" ht="15" customHeight="1" thickBot="1" x14ac:dyDescent="0.25">
      <c r="EJ73" s="2386" t="s">
        <v>239</v>
      </c>
      <c r="EL73" s="2380"/>
      <c r="EM73" s="2383"/>
      <c r="EN73" s="2383"/>
      <c r="EO73" s="2288"/>
    </row>
    <row r="74" spans="1:145" ht="15" customHeight="1" thickBot="1" x14ac:dyDescent="0.25">
      <c r="EJ74" s="2387"/>
      <c r="EL74" s="2381"/>
      <c r="EM74" s="2384"/>
      <c r="EN74" s="2384"/>
      <c r="EO74" s="2289"/>
    </row>
    <row r="75" spans="1:145" ht="15" customHeight="1" thickTop="1" x14ac:dyDescent="0.2">
      <c r="EJ75" s="450" t="str">
        <f t="shared" ref="EJ75:EJ104" si="103">IF(AU16="","",IF(OR(AU16="K",AU16="KCS"),(BE16*12+BF16+IF(CU16="M",MAX(CV16,$CX$4),0)+IF(DE16="M",MAX(DF16,$CX$4),0))/12,IF(OR(AU16="LH",AU16="DLH"),(BE16*12+BF16+8-MAX(MAX(BH16,BI16)/2,DC16)-MAX(MAX(BT16,BU16)/2,DM16))/12,IF(OR(AU16="JS",AU16="HDR"),""))))</f>
        <v/>
      </c>
      <c r="EL75" s="378" t="str">
        <f>IF(EN75="-","-",IF(OR(AU16="K",AU16="KCS"),IF(EJ75&lt;VLOOKUP(BD16,#REF!,3,FALSE),1,IF(EJ75&lt;VLOOKUP(BD16,#REF!,4,FALSE),2,IF(EJ75&lt;VLOOKUP(BD16,#REF!,5,FALSE),3,IF(EJ75&lt;VLOOKUP(BD16,#REF!,6,FALSE),4,IF(EJ75&lt;VLOOKUP(BD16,#REF!,7,FALSE),5,"-"))))),IF(OR(AU16="LH",AU16="DLH"),TRUNC(EJ75/VLOOKUP(BD16,#REF!,3,FALSE)),"")))</f>
        <v/>
      </c>
      <c r="EM75" s="379" t="str">
        <f t="shared" ref="EM75:EM104" si="104">IF(BD16="","",IF(EL75="-","-",IF(EO75="No",0,IF(AZ16/12&lt;60,1,IF(AZ16/12&lt;100,2,EL75)))))</f>
        <v/>
      </c>
      <c r="EN75" s="380" t="str">
        <f>IF(BD16="","",IF(ISERROR(VLOOKUP(BD16,#REF!,2,FALSE)),"-",VLOOKUP(BD16,#REF!,2,FALSE)))</f>
        <v/>
      </c>
      <c r="EO75" s="381" t="str">
        <f t="shared" ref="EO75:EO104" si="105">IF(BD16="","",IF(EN75="-","-",IF(EN75="NM","No",IF(EN75&lt;=AZ16/12,"Yes","No"))))</f>
        <v/>
      </c>
    </row>
    <row r="76" spans="1:145" ht="15" customHeight="1" x14ac:dyDescent="0.2">
      <c r="EJ76" s="450" t="str">
        <f t="shared" si="103"/>
        <v/>
      </c>
      <c r="EL76" s="378" t="str">
        <f>IF(EN76="-","-",IF(OR(AU17="K",AU17="KCS"),IF(EJ76&lt;VLOOKUP(BD17,#REF!,3,FALSE),1,IF(EJ76&lt;VLOOKUP(BD17,#REF!,4,FALSE),2,IF(EJ76&lt;VLOOKUP(BD17,#REF!,5,FALSE),3,IF(EJ76&lt;VLOOKUP(BD17,#REF!,6,FALSE),4,IF(EJ76&lt;VLOOKUP(BD17,#REF!,7,FALSE),5,"-"))))),IF(OR(AU17="LH",AU17="DLH"),TRUNC(EJ76/VLOOKUP(BD17,#REF!,3,FALSE)),"")))</f>
        <v/>
      </c>
      <c r="EM76" s="379" t="str">
        <f t="shared" si="104"/>
        <v/>
      </c>
      <c r="EN76" s="380" t="str">
        <f>IF(BD17="","",IF(ISERROR(VLOOKUP(BD17,#REF!,2,FALSE)),"-",VLOOKUP(BD17,#REF!,2,FALSE)))</f>
        <v/>
      </c>
      <c r="EO76" s="381" t="str">
        <f t="shared" si="105"/>
        <v/>
      </c>
    </row>
    <row r="77" spans="1:145" ht="15" customHeight="1" x14ac:dyDescent="0.2">
      <c r="EJ77" s="450" t="str">
        <f t="shared" si="103"/>
        <v/>
      </c>
      <c r="EL77" s="378" t="str">
        <f>IF(EN77="-","-",IF(OR(AU18="K",AU18="KCS"),IF(EJ77&lt;VLOOKUP(BD18,#REF!,3,FALSE),1,IF(EJ77&lt;VLOOKUP(BD18,#REF!,4,FALSE),2,IF(EJ77&lt;VLOOKUP(BD18,#REF!,5,FALSE),3,IF(EJ77&lt;VLOOKUP(BD18,#REF!,6,FALSE),4,IF(EJ77&lt;VLOOKUP(BD18,#REF!,7,FALSE),5,"-"))))),IF(OR(AU18="LH",AU18="DLH"),TRUNC(EJ77/VLOOKUP(BD18,#REF!,3,FALSE)),"")))</f>
        <v/>
      </c>
      <c r="EM77" s="379" t="str">
        <f t="shared" si="104"/>
        <v/>
      </c>
      <c r="EN77" s="380" t="str">
        <f>IF(BD18="","",IF(ISERROR(VLOOKUP(BD18,#REF!,2,FALSE)),"-",VLOOKUP(BD18,#REF!,2,FALSE)))</f>
        <v/>
      </c>
      <c r="EO77" s="381" t="str">
        <f t="shared" si="105"/>
        <v/>
      </c>
    </row>
    <row r="78" spans="1:145" ht="15" customHeight="1" x14ac:dyDescent="0.2">
      <c r="EJ78" s="450" t="str">
        <f t="shared" si="103"/>
        <v/>
      </c>
      <c r="EL78" s="378" t="str">
        <f>IF(EN78="-","-",IF(OR(AU19="K",AU19="KCS"),IF(EJ78&lt;VLOOKUP(BD19,#REF!,3,FALSE),1,IF(EJ78&lt;VLOOKUP(BD19,#REF!,4,FALSE),2,IF(EJ78&lt;VLOOKUP(BD19,#REF!,5,FALSE),3,IF(EJ78&lt;VLOOKUP(BD19,#REF!,6,FALSE),4,IF(EJ78&lt;VLOOKUP(BD19,#REF!,7,FALSE),5,"-"))))),IF(OR(AU19="LH",AU19="DLH"),TRUNC(EJ78/VLOOKUP(BD19,#REF!,3,FALSE)),"")))</f>
        <v/>
      </c>
      <c r="EM78" s="379" t="str">
        <f t="shared" si="104"/>
        <v/>
      </c>
      <c r="EN78" s="380" t="str">
        <f>IF(BD19="","",IF(ISERROR(VLOOKUP(BD19,#REF!,2,FALSE)),"-",VLOOKUP(BD19,#REF!,2,FALSE)))</f>
        <v/>
      </c>
      <c r="EO78" s="381" t="str">
        <f t="shared" si="105"/>
        <v/>
      </c>
    </row>
    <row r="79" spans="1:145" ht="15" customHeight="1" x14ac:dyDescent="0.2">
      <c r="EJ79" s="450" t="str">
        <f t="shared" si="103"/>
        <v/>
      </c>
      <c r="EL79" s="378" t="str">
        <f>IF(EN79="-","-",IF(OR(AU20="K",AU20="KCS"),IF(EJ79&lt;VLOOKUP(BD20,#REF!,3,FALSE),1,IF(EJ79&lt;VLOOKUP(BD20,#REF!,4,FALSE),2,IF(EJ79&lt;VLOOKUP(BD20,#REF!,5,FALSE),3,IF(EJ79&lt;VLOOKUP(BD20,#REF!,6,FALSE),4,IF(EJ79&lt;VLOOKUP(BD20,#REF!,7,FALSE),5,"-"))))),IF(OR(AU20="LH",AU20="DLH"),TRUNC(EJ79/VLOOKUP(BD20,#REF!,3,FALSE)),"")))</f>
        <v/>
      </c>
      <c r="EM79" s="379" t="str">
        <f t="shared" si="104"/>
        <v/>
      </c>
      <c r="EN79" s="380" t="str">
        <f>IF(BD20="","",IF(ISERROR(VLOOKUP(BD20,#REF!,2,FALSE)),"-",VLOOKUP(BD20,#REF!,2,FALSE)))</f>
        <v/>
      </c>
      <c r="EO79" s="381" t="str">
        <f t="shared" si="105"/>
        <v/>
      </c>
    </row>
    <row r="80" spans="1:145" ht="15" customHeight="1" x14ac:dyDescent="0.2">
      <c r="EJ80" s="450" t="str">
        <f t="shared" si="103"/>
        <v/>
      </c>
      <c r="EL80" s="378" t="str">
        <f>IF(EN80="-","-",IF(OR(AU21="K",AU21="KCS"),IF(EJ80&lt;VLOOKUP(BD21,#REF!,3,FALSE),1,IF(EJ80&lt;VLOOKUP(BD21,#REF!,4,FALSE),2,IF(EJ80&lt;VLOOKUP(BD21,#REF!,5,FALSE),3,IF(EJ80&lt;VLOOKUP(BD21,#REF!,6,FALSE),4,IF(EJ80&lt;VLOOKUP(BD21,#REF!,7,FALSE),5,"-"))))),IF(OR(AU21="LH",AU21="DLH"),TRUNC(EJ80/VLOOKUP(BD21,#REF!,3,FALSE)),"")))</f>
        <v/>
      </c>
      <c r="EM80" s="379" t="str">
        <f t="shared" si="104"/>
        <v/>
      </c>
      <c r="EN80" s="380" t="str">
        <f>IF(BD21="","",IF(ISERROR(VLOOKUP(BD21,#REF!,2,FALSE)),"-",VLOOKUP(BD21,#REF!,2,FALSE)))</f>
        <v/>
      </c>
      <c r="EO80" s="381" t="str">
        <f t="shared" si="105"/>
        <v/>
      </c>
    </row>
    <row r="81" spans="140:145" ht="15" customHeight="1" x14ac:dyDescent="0.2">
      <c r="EJ81" s="450" t="str">
        <f t="shared" si="103"/>
        <v/>
      </c>
      <c r="EL81" s="378" t="str">
        <f>IF(EN81="-","-",IF(OR(AU22="K",AU22="KCS"),IF(EJ81&lt;VLOOKUP(BD22,#REF!,3,FALSE),1,IF(EJ81&lt;VLOOKUP(BD22,#REF!,4,FALSE),2,IF(EJ81&lt;VLOOKUP(BD22,#REF!,5,FALSE),3,IF(EJ81&lt;VLOOKUP(BD22,#REF!,6,FALSE),4,IF(EJ81&lt;VLOOKUP(BD22,#REF!,7,FALSE),5,"-"))))),IF(OR(AU22="LH",AU22="DLH"),TRUNC(EJ81/VLOOKUP(BD22,#REF!,3,FALSE)),"")))</f>
        <v/>
      </c>
      <c r="EM81" s="379" t="str">
        <f t="shared" si="104"/>
        <v/>
      </c>
      <c r="EN81" s="380" t="str">
        <f>IF(BD22="","",IF(ISERROR(VLOOKUP(BD22,#REF!,2,FALSE)),"-",VLOOKUP(BD22,#REF!,2,FALSE)))</f>
        <v/>
      </c>
      <c r="EO81" s="381" t="str">
        <f t="shared" si="105"/>
        <v/>
      </c>
    </row>
    <row r="82" spans="140:145" ht="15" customHeight="1" x14ac:dyDescent="0.2">
      <c r="EJ82" s="450" t="str">
        <f t="shared" si="103"/>
        <v/>
      </c>
      <c r="EL82" s="378" t="str">
        <f>IF(EN82="-","-",IF(OR(AU23="K",AU23="KCS"),IF(EJ82&lt;VLOOKUP(BD23,#REF!,3,FALSE),1,IF(EJ82&lt;VLOOKUP(BD23,#REF!,4,FALSE),2,IF(EJ82&lt;VLOOKUP(BD23,#REF!,5,FALSE),3,IF(EJ82&lt;VLOOKUP(BD23,#REF!,6,FALSE),4,IF(EJ82&lt;VLOOKUP(BD23,#REF!,7,FALSE),5,"-"))))),IF(OR(AU23="LH",AU23="DLH"),TRUNC(EJ82/VLOOKUP(BD23,#REF!,3,FALSE)),"")))</f>
        <v/>
      </c>
      <c r="EM82" s="379" t="str">
        <f t="shared" si="104"/>
        <v/>
      </c>
      <c r="EN82" s="380" t="str">
        <f>IF(BD23="","",IF(ISERROR(VLOOKUP(BD23,#REF!,2,FALSE)),"-",VLOOKUP(BD23,#REF!,2,FALSE)))</f>
        <v/>
      </c>
      <c r="EO82" s="381" t="str">
        <f t="shared" si="105"/>
        <v/>
      </c>
    </row>
    <row r="83" spans="140:145" ht="15" customHeight="1" x14ac:dyDescent="0.2">
      <c r="EJ83" s="450" t="str">
        <f t="shared" si="103"/>
        <v/>
      </c>
      <c r="EL83" s="378" t="str">
        <f>IF(EN83="-","-",IF(OR(AU24="K",AU24="KCS"),IF(EJ83&lt;VLOOKUP(BD24,#REF!,3,FALSE),1,IF(EJ83&lt;VLOOKUP(BD24,#REF!,4,FALSE),2,IF(EJ83&lt;VLOOKUP(BD24,#REF!,5,FALSE),3,IF(EJ83&lt;VLOOKUP(BD24,#REF!,6,FALSE),4,IF(EJ83&lt;VLOOKUP(BD24,#REF!,7,FALSE),5,"-"))))),IF(OR(AU24="LH",AU24="DLH"),TRUNC(EJ83/VLOOKUP(BD24,#REF!,3,FALSE)),"")))</f>
        <v/>
      </c>
      <c r="EM83" s="379" t="str">
        <f t="shared" si="104"/>
        <v/>
      </c>
      <c r="EN83" s="380" t="str">
        <f>IF(BD24="","",IF(ISERROR(VLOOKUP(BD24,#REF!,2,FALSE)),"-",VLOOKUP(BD24,#REF!,2,FALSE)))</f>
        <v/>
      </c>
      <c r="EO83" s="381" t="str">
        <f t="shared" si="105"/>
        <v/>
      </c>
    </row>
    <row r="84" spans="140:145" ht="15" customHeight="1" x14ac:dyDescent="0.2">
      <c r="EJ84" s="450" t="str">
        <f t="shared" si="103"/>
        <v/>
      </c>
      <c r="EL84" s="378" t="str">
        <f>IF(EN84="-","-",IF(OR(AU25="K",AU25="KCS"),IF(EJ84&lt;VLOOKUP(BD25,#REF!,3,FALSE),1,IF(EJ84&lt;VLOOKUP(BD25,#REF!,4,FALSE),2,IF(EJ84&lt;VLOOKUP(BD25,#REF!,5,FALSE),3,IF(EJ84&lt;VLOOKUP(BD25,#REF!,6,FALSE),4,IF(EJ84&lt;VLOOKUP(BD25,#REF!,7,FALSE),5,"-"))))),IF(OR(AU25="LH",AU25="DLH"),TRUNC(EJ84/VLOOKUP(BD25,#REF!,3,FALSE)),"")))</f>
        <v/>
      </c>
      <c r="EM84" s="379" t="str">
        <f t="shared" si="104"/>
        <v/>
      </c>
      <c r="EN84" s="380" t="str">
        <f>IF(BD25="","",IF(ISERROR(VLOOKUP(BD25,#REF!,2,FALSE)),"-",VLOOKUP(BD25,#REF!,2,FALSE)))</f>
        <v/>
      </c>
      <c r="EO84" s="381" t="str">
        <f t="shared" si="105"/>
        <v/>
      </c>
    </row>
    <row r="85" spans="140:145" ht="15" customHeight="1" x14ac:dyDescent="0.2">
      <c r="EJ85" s="450" t="str">
        <f t="shared" si="103"/>
        <v/>
      </c>
      <c r="EL85" s="378" t="str">
        <f>IF(EN85="-","-",IF(OR(AU26="K",AU26="KCS"),IF(EJ85&lt;VLOOKUP(BD26,#REF!,3,FALSE),1,IF(EJ85&lt;VLOOKUP(BD26,#REF!,4,FALSE),2,IF(EJ85&lt;VLOOKUP(BD26,#REF!,5,FALSE),3,IF(EJ85&lt;VLOOKUP(BD26,#REF!,6,FALSE),4,IF(EJ85&lt;VLOOKUP(BD26,#REF!,7,FALSE),5,"-"))))),IF(OR(AU26="LH",AU26="DLH"),TRUNC(EJ85/VLOOKUP(BD26,#REF!,3,FALSE)),"")))</f>
        <v/>
      </c>
      <c r="EM85" s="379" t="str">
        <f t="shared" si="104"/>
        <v/>
      </c>
      <c r="EN85" s="380" t="str">
        <f>IF(BD26="","",IF(ISERROR(VLOOKUP(BD26,#REF!,2,FALSE)),"-",VLOOKUP(BD26,#REF!,2,FALSE)))</f>
        <v/>
      </c>
      <c r="EO85" s="381" t="str">
        <f t="shared" si="105"/>
        <v/>
      </c>
    </row>
    <row r="86" spans="140:145" ht="15" customHeight="1" x14ac:dyDescent="0.2">
      <c r="EJ86" s="450" t="str">
        <f t="shared" si="103"/>
        <v/>
      </c>
      <c r="EL86" s="378" t="str">
        <f>IF(EN86="-","-",IF(OR(AU27="K",AU27="KCS"),IF(EJ86&lt;VLOOKUP(BD27,#REF!,3,FALSE),1,IF(EJ86&lt;VLOOKUP(BD27,#REF!,4,FALSE),2,IF(EJ86&lt;VLOOKUP(BD27,#REF!,5,FALSE),3,IF(EJ86&lt;VLOOKUP(BD27,#REF!,6,FALSE),4,IF(EJ86&lt;VLOOKUP(BD27,#REF!,7,FALSE),5,"-"))))),IF(OR(AU27="LH",AU27="DLH"),TRUNC(EJ86/VLOOKUP(BD27,#REF!,3,FALSE)),"")))</f>
        <v/>
      </c>
      <c r="EM86" s="379" t="str">
        <f t="shared" si="104"/>
        <v/>
      </c>
      <c r="EN86" s="380" t="str">
        <f>IF(BD27="","",IF(ISERROR(VLOOKUP(BD27,#REF!,2,FALSE)),"-",VLOOKUP(BD27,#REF!,2,FALSE)))</f>
        <v/>
      </c>
      <c r="EO86" s="381" t="str">
        <f t="shared" si="105"/>
        <v/>
      </c>
    </row>
    <row r="87" spans="140:145" ht="15" customHeight="1" x14ac:dyDescent="0.2">
      <c r="EJ87" s="450" t="str">
        <f t="shared" si="103"/>
        <v/>
      </c>
      <c r="EL87" s="378" t="str">
        <f>IF(EN87="-","-",IF(OR(AU28="K",AU28="KCS"),IF(EJ87&lt;VLOOKUP(BD28,#REF!,3,FALSE),1,IF(EJ87&lt;VLOOKUP(BD28,#REF!,4,FALSE),2,IF(EJ87&lt;VLOOKUP(BD28,#REF!,5,FALSE),3,IF(EJ87&lt;VLOOKUP(BD28,#REF!,6,FALSE),4,IF(EJ87&lt;VLOOKUP(BD28,#REF!,7,FALSE),5,"-"))))),IF(OR(AU28="LH",AU28="DLH"),TRUNC(EJ87/VLOOKUP(BD28,#REF!,3,FALSE)),"")))</f>
        <v/>
      </c>
      <c r="EM87" s="379" t="str">
        <f t="shared" si="104"/>
        <v/>
      </c>
      <c r="EN87" s="380" t="str">
        <f>IF(BD28="","",IF(ISERROR(VLOOKUP(BD28,#REF!,2,FALSE)),"-",VLOOKUP(BD28,#REF!,2,FALSE)))</f>
        <v/>
      </c>
      <c r="EO87" s="381" t="str">
        <f t="shared" si="105"/>
        <v/>
      </c>
    </row>
    <row r="88" spans="140:145" ht="15" customHeight="1" x14ac:dyDescent="0.2">
      <c r="EJ88" s="450" t="str">
        <f t="shared" si="103"/>
        <v/>
      </c>
      <c r="EL88" s="378" t="str">
        <f>IF(EN88="-","-",IF(OR(AU29="K",AU29="KCS"),IF(EJ88&lt;VLOOKUP(BD29,#REF!,3,FALSE),1,IF(EJ88&lt;VLOOKUP(BD29,#REF!,4,FALSE),2,IF(EJ88&lt;VLOOKUP(BD29,#REF!,5,FALSE),3,IF(EJ88&lt;VLOOKUP(BD29,#REF!,6,FALSE),4,IF(EJ88&lt;VLOOKUP(BD29,#REF!,7,FALSE),5,"-"))))),IF(OR(AU29="LH",AU29="DLH"),TRUNC(EJ88/VLOOKUP(BD29,#REF!,3,FALSE)),"")))</f>
        <v/>
      </c>
      <c r="EM88" s="379" t="str">
        <f t="shared" si="104"/>
        <v/>
      </c>
      <c r="EN88" s="380" t="str">
        <f>IF(BD29="","",IF(ISERROR(VLOOKUP(BD29,#REF!,2,FALSE)),"-",VLOOKUP(BD29,#REF!,2,FALSE)))</f>
        <v/>
      </c>
      <c r="EO88" s="381" t="str">
        <f t="shared" si="105"/>
        <v/>
      </c>
    </row>
    <row r="89" spans="140:145" ht="15" customHeight="1" x14ac:dyDescent="0.2">
      <c r="EJ89" s="450" t="str">
        <f t="shared" si="103"/>
        <v/>
      </c>
      <c r="EL89" s="378" t="str">
        <f>IF(EN89="-","-",IF(OR(AU30="K",AU30="KCS"),IF(EJ89&lt;VLOOKUP(BD30,#REF!,3,FALSE),1,IF(EJ89&lt;VLOOKUP(BD30,#REF!,4,FALSE),2,IF(EJ89&lt;VLOOKUP(BD30,#REF!,5,FALSE),3,IF(EJ89&lt;VLOOKUP(BD30,#REF!,6,FALSE),4,IF(EJ89&lt;VLOOKUP(BD30,#REF!,7,FALSE),5,"-"))))),IF(OR(AU30="LH",AU30="DLH"),TRUNC(EJ89/VLOOKUP(BD30,#REF!,3,FALSE)),"")))</f>
        <v/>
      </c>
      <c r="EM89" s="379" t="str">
        <f t="shared" si="104"/>
        <v/>
      </c>
      <c r="EN89" s="380" t="str">
        <f>IF(BD30="","",IF(ISERROR(VLOOKUP(BD30,#REF!,2,FALSE)),"-",VLOOKUP(BD30,#REF!,2,FALSE)))</f>
        <v/>
      </c>
      <c r="EO89" s="381" t="str">
        <f t="shared" si="105"/>
        <v/>
      </c>
    </row>
    <row r="90" spans="140:145" ht="15" customHeight="1" x14ac:dyDescent="0.2">
      <c r="EJ90" s="450" t="str">
        <f t="shared" si="103"/>
        <v/>
      </c>
      <c r="EL90" s="378" t="str">
        <f>IF(EN90="-","-",IF(OR(AU31="K",AU31="KCS"),IF(EJ90&lt;VLOOKUP(BD31,#REF!,3,FALSE),1,IF(EJ90&lt;VLOOKUP(BD31,#REF!,4,FALSE),2,IF(EJ90&lt;VLOOKUP(BD31,#REF!,5,FALSE),3,IF(EJ90&lt;VLOOKUP(BD31,#REF!,6,FALSE),4,IF(EJ90&lt;VLOOKUP(BD31,#REF!,7,FALSE),5,"-"))))),IF(OR(AU31="LH",AU31="DLH"),TRUNC(EJ90/VLOOKUP(BD31,#REF!,3,FALSE)),"")))</f>
        <v/>
      </c>
      <c r="EM90" s="379" t="str">
        <f t="shared" si="104"/>
        <v/>
      </c>
      <c r="EN90" s="380" t="str">
        <f>IF(BD31="","",IF(ISERROR(VLOOKUP(BD31,#REF!,2,FALSE)),"-",VLOOKUP(BD31,#REF!,2,FALSE)))</f>
        <v/>
      </c>
      <c r="EO90" s="381" t="str">
        <f t="shared" si="105"/>
        <v/>
      </c>
    </row>
    <row r="91" spans="140:145" ht="15" customHeight="1" x14ac:dyDescent="0.2">
      <c r="EJ91" s="450" t="str">
        <f t="shared" si="103"/>
        <v/>
      </c>
      <c r="EL91" s="378" t="str">
        <f>IF(EN91="-","-",IF(OR(AU32="K",AU32="KCS"),IF(EJ91&lt;VLOOKUP(BD32,#REF!,3,FALSE),1,IF(EJ91&lt;VLOOKUP(BD32,#REF!,4,FALSE),2,IF(EJ91&lt;VLOOKUP(BD32,#REF!,5,FALSE),3,IF(EJ91&lt;VLOOKUP(BD32,#REF!,6,FALSE),4,IF(EJ91&lt;VLOOKUP(BD32,#REF!,7,FALSE),5,"-"))))),IF(OR(AU32="LH",AU32="DLH"),TRUNC(EJ91/VLOOKUP(BD32,#REF!,3,FALSE)),"")))</f>
        <v/>
      </c>
      <c r="EM91" s="379" t="str">
        <f t="shared" si="104"/>
        <v/>
      </c>
      <c r="EN91" s="380" t="str">
        <f>IF(BD32="","",IF(ISERROR(VLOOKUP(BD32,#REF!,2,FALSE)),"-",VLOOKUP(BD32,#REF!,2,FALSE)))</f>
        <v/>
      </c>
      <c r="EO91" s="381" t="str">
        <f t="shared" si="105"/>
        <v/>
      </c>
    </row>
    <row r="92" spans="140:145" ht="15" customHeight="1" x14ac:dyDescent="0.2">
      <c r="EJ92" s="450" t="str">
        <f t="shared" si="103"/>
        <v/>
      </c>
      <c r="EL92" s="378" t="str">
        <f>IF(EN92="-","-",IF(OR(AU33="K",AU33="KCS"),IF(EJ92&lt;VLOOKUP(BD33,#REF!,3,FALSE),1,IF(EJ92&lt;VLOOKUP(BD33,#REF!,4,FALSE),2,IF(EJ92&lt;VLOOKUP(BD33,#REF!,5,FALSE),3,IF(EJ92&lt;VLOOKUP(BD33,#REF!,6,FALSE),4,IF(EJ92&lt;VLOOKUP(BD33,#REF!,7,FALSE),5,"-"))))),IF(OR(AU33="LH",AU33="DLH"),TRUNC(EJ92/VLOOKUP(BD33,#REF!,3,FALSE)),"")))</f>
        <v/>
      </c>
      <c r="EM92" s="379" t="str">
        <f t="shared" si="104"/>
        <v/>
      </c>
      <c r="EN92" s="380" t="str">
        <f>IF(BD33="","",IF(ISERROR(VLOOKUP(BD33,#REF!,2,FALSE)),"-",VLOOKUP(BD33,#REF!,2,FALSE)))</f>
        <v/>
      </c>
      <c r="EO92" s="381" t="str">
        <f t="shared" si="105"/>
        <v/>
      </c>
    </row>
    <row r="93" spans="140:145" ht="15" customHeight="1" x14ac:dyDescent="0.2">
      <c r="EJ93" s="450" t="str">
        <f t="shared" si="103"/>
        <v/>
      </c>
      <c r="EL93" s="378" t="str">
        <f>IF(EN93="-","-",IF(OR(AU34="K",AU34="KCS"),IF(EJ93&lt;VLOOKUP(BD34,#REF!,3,FALSE),1,IF(EJ93&lt;VLOOKUP(BD34,#REF!,4,FALSE),2,IF(EJ93&lt;VLOOKUP(BD34,#REF!,5,FALSE),3,IF(EJ93&lt;VLOOKUP(BD34,#REF!,6,FALSE),4,IF(EJ93&lt;VLOOKUP(BD34,#REF!,7,FALSE),5,"-"))))),IF(OR(AU34="LH",AU34="DLH"),TRUNC(EJ93/VLOOKUP(BD34,#REF!,3,FALSE)),"")))</f>
        <v/>
      </c>
      <c r="EM93" s="379" t="str">
        <f t="shared" si="104"/>
        <v/>
      </c>
      <c r="EN93" s="380" t="str">
        <f>IF(BD34="","",IF(ISERROR(VLOOKUP(BD34,#REF!,2,FALSE)),"-",VLOOKUP(BD34,#REF!,2,FALSE)))</f>
        <v/>
      </c>
      <c r="EO93" s="381" t="str">
        <f t="shared" si="105"/>
        <v/>
      </c>
    </row>
    <row r="94" spans="140:145" ht="15" customHeight="1" x14ac:dyDescent="0.2">
      <c r="EJ94" s="450" t="str">
        <f t="shared" si="103"/>
        <v/>
      </c>
      <c r="EL94" s="378" t="str">
        <f>IF(EN94="-","-",IF(OR(AU35="K",AU35="KCS"),IF(EJ94&lt;VLOOKUP(BD35,#REF!,3,FALSE),1,IF(EJ94&lt;VLOOKUP(BD35,#REF!,4,FALSE),2,IF(EJ94&lt;VLOOKUP(BD35,#REF!,5,FALSE),3,IF(EJ94&lt;VLOOKUP(BD35,#REF!,6,FALSE),4,IF(EJ94&lt;VLOOKUP(BD35,#REF!,7,FALSE),5,"-"))))),IF(OR(AU35="LH",AU35="DLH"),TRUNC(EJ94/VLOOKUP(BD35,#REF!,3,FALSE)),"")))</f>
        <v/>
      </c>
      <c r="EM94" s="379" t="str">
        <f t="shared" si="104"/>
        <v/>
      </c>
      <c r="EN94" s="380" t="str">
        <f>IF(BD35="","",IF(ISERROR(VLOOKUP(BD35,#REF!,2,FALSE)),"-",VLOOKUP(BD35,#REF!,2,FALSE)))</f>
        <v/>
      </c>
      <c r="EO94" s="381" t="str">
        <f t="shared" si="105"/>
        <v/>
      </c>
    </row>
    <row r="95" spans="140:145" ht="15" customHeight="1" x14ac:dyDescent="0.2">
      <c r="EJ95" s="450" t="str">
        <f t="shared" si="103"/>
        <v/>
      </c>
      <c r="EL95" s="378" t="str">
        <f>IF(EN95="-","-",IF(OR(AU36="K",AU36="KCS"),IF(EJ95&lt;VLOOKUP(BD36,#REF!,3,FALSE),1,IF(EJ95&lt;VLOOKUP(BD36,#REF!,4,FALSE),2,IF(EJ95&lt;VLOOKUP(BD36,#REF!,5,FALSE),3,IF(EJ95&lt;VLOOKUP(BD36,#REF!,6,FALSE),4,IF(EJ95&lt;VLOOKUP(BD36,#REF!,7,FALSE),5,"-"))))),IF(OR(AU36="LH",AU36="DLH"),TRUNC(EJ95/VLOOKUP(BD36,#REF!,3,FALSE)),"")))</f>
        <v/>
      </c>
      <c r="EM95" s="379" t="str">
        <f t="shared" si="104"/>
        <v/>
      </c>
      <c r="EN95" s="380" t="str">
        <f>IF(BD36="","",IF(ISERROR(VLOOKUP(BD36,#REF!,2,FALSE)),"-",VLOOKUP(BD36,#REF!,2,FALSE)))</f>
        <v/>
      </c>
      <c r="EO95" s="381" t="str">
        <f t="shared" si="105"/>
        <v/>
      </c>
    </row>
    <row r="96" spans="140:145" ht="15" customHeight="1" x14ac:dyDescent="0.2">
      <c r="EJ96" s="450" t="str">
        <f t="shared" si="103"/>
        <v/>
      </c>
      <c r="EL96" s="378" t="str">
        <f>IF(EN96="-","-",IF(OR(AU37="K",AU37="KCS"),IF(EJ96&lt;VLOOKUP(BD37,#REF!,3,FALSE),1,IF(EJ96&lt;VLOOKUP(BD37,#REF!,4,FALSE),2,IF(EJ96&lt;VLOOKUP(BD37,#REF!,5,FALSE),3,IF(EJ96&lt;VLOOKUP(BD37,#REF!,6,FALSE),4,IF(EJ96&lt;VLOOKUP(BD37,#REF!,7,FALSE),5,"-"))))),IF(OR(AU37="LH",AU37="DLH"),TRUNC(EJ96/VLOOKUP(BD37,#REF!,3,FALSE)),"")))</f>
        <v/>
      </c>
      <c r="EM96" s="379" t="str">
        <f t="shared" si="104"/>
        <v/>
      </c>
      <c r="EN96" s="380" t="str">
        <f>IF(BD37="","",IF(ISERROR(VLOOKUP(BD37,#REF!,2,FALSE)),"-",VLOOKUP(BD37,#REF!,2,FALSE)))</f>
        <v/>
      </c>
      <c r="EO96" s="381" t="str">
        <f t="shared" si="105"/>
        <v/>
      </c>
    </row>
    <row r="97" spans="140:145" ht="15" customHeight="1" x14ac:dyDescent="0.2">
      <c r="EJ97" s="450" t="str">
        <f t="shared" si="103"/>
        <v/>
      </c>
      <c r="EL97" s="378" t="str">
        <f>IF(EN97="-","-",IF(OR(AU38="K",AU38="KCS"),IF(EJ97&lt;VLOOKUP(BD38,#REF!,3,FALSE),1,IF(EJ97&lt;VLOOKUP(BD38,#REF!,4,FALSE),2,IF(EJ97&lt;VLOOKUP(BD38,#REF!,5,FALSE),3,IF(EJ97&lt;VLOOKUP(BD38,#REF!,6,FALSE),4,IF(EJ97&lt;VLOOKUP(BD38,#REF!,7,FALSE),5,"-"))))),IF(OR(AU38="LH",AU38="DLH"),TRUNC(EJ97/VLOOKUP(BD38,#REF!,3,FALSE)),"")))</f>
        <v/>
      </c>
      <c r="EM97" s="379" t="str">
        <f t="shared" si="104"/>
        <v/>
      </c>
      <c r="EN97" s="380" t="str">
        <f>IF(BD38="","",IF(ISERROR(VLOOKUP(BD38,#REF!,2,FALSE)),"-",VLOOKUP(BD38,#REF!,2,FALSE)))</f>
        <v/>
      </c>
      <c r="EO97" s="381" t="str">
        <f t="shared" si="105"/>
        <v/>
      </c>
    </row>
    <row r="98" spans="140:145" ht="15" customHeight="1" x14ac:dyDescent="0.2">
      <c r="EJ98" s="450" t="str">
        <f t="shared" si="103"/>
        <v/>
      </c>
      <c r="EL98" s="378" t="str">
        <f>IF(EN98="-","-",IF(OR(AU39="K",AU39="KCS"),IF(EJ98&lt;VLOOKUP(BD39,#REF!,3,FALSE),1,IF(EJ98&lt;VLOOKUP(BD39,#REF!,4,FALSE),2,IF(EJ98&lt;VLOOKUP(BD39,#REF!,5,FALSE),3,IF(EJ98&lt;VLOOKUP(BD39,#REF!,6,FALSE),4,IF(EJ98&lt;VLOOKUP(BD39,#REF!,7,FALSE),5,"-"))))),IF(OR(AU39="LH",AU39="DLH"),TRUNC(EJ98/VLOOKUP(BD39,#REF!,3,FALSE)),"")))</f>
        <v/>
      </c>
      <c r="EM98" s="379" t="str">
        <f t="shared" si="104"/>
        <v/>
      </c>
      <c r="EN98" s="380" t="str">
        <f>IF(BD39="","",IF(ISERROR(VLOOKUP(BD39,#REF!,2,FALSE)),"-",VLOOKUP(BD39,#REF!,2,FALSE)))</f>
        <v/>
      </c>
      <c r="EO98" s="381" t="str">
        <f t="shared" si="105"/>
        <v/>
      </c>
    </row>
    <row r="99" spans="140:145" ht="15" customHeight="1" x14ac:dyDescent="0.2">
      <c r="EJ99" s="450" t="str">
        <f t="shared" si="103"/>
        <v/>
      </c>
      <c r="EL99" s="378" t="str">
        <f>IF(EN99="-","-",IF(OR(AU40="K",AU40="KCS"),IF(EJ99&lt;VLOOKUP(BD40,#REF!,3,FALSE),1,IF(EJ99&lt;VLOOKUP(BD40,#REF!,4,FALSE),2,IF(EJ99&lt;VLOOKUP(BD40,#REF!,5,FALSE),3,IF(EJ99&lt;VLOOKUP(BD40,#REF!,6,FALSE),4,IF(EJ99&lt;VLOOKUP(BD40,#REF!,7,FALSE),5,"-"))))),IF(OR(AU40="LH",AU40="DLH"),TRUNC(EJ99/VLOOKUP(BD40,#REF!,3,FALSE)),"")))</f>
        <v/>
      </c>
      <c r="EM99" s="379" t="str">
        <f t="shared" si="104"/>
        <v/>
      </c>
      <c r="EN99" s="380" t="str">
        <f>IF(BD40="","",IF(ISERROR(VLOOKUP(BD40,#REF!,2,FALSE)),"-",VLOOKUP(BD40,#REF!,2,FALSE)))</f>
        <v/>
      </c>
      <c r="EO99" s="381" t="str">
        <f t="shared" si="105"/>
        <v/>
      </c>
    </row>
    <row r="100" spans="140:145" ht="15" customHeight="1" x14ac:dyDescent="0.2">
      <c r="EJ100" s="450" t="str">
        <f t="shared" si="103"/>
        <v/>
      </c>
      <c r="EL100" s="378" t="str">
        <f>IF(EN100="-","-",IF(OR(AU41="K",AU41="KCS"),IF(EJ100&lt;VLOOKUP(BD41,#REF!,3,FALSE),1,IF(EJ100&lt;VLOOKUP(BD41,#REF!,4,FALSE),2,IF(EJ100&lt;VLOOKUP(BD41,#REF!,5,FALSE),3,IF(EJ100&lt;VLOOKUP(BD41,#REF!,6,FALSE),4,IF(EJ100&lt;VLOOKUP(BD41,#REF!,7,FALSE),5,"-"))))),IF(OR(AU41="LH",AU41="DLH"),TRUNC(EJ100/VLOOKUP(BD41,#REF!,3,FALSE)),"")))</f>
        <v/>
      </c>
      <c r="EM100" s="379" t="str">
        <f t="shared" si="104"/>
        <v/>
      </c>
      <c r="EN100" s="380" t="str">
        <f>IF(BD41="","",IF(ISERROR(VLOOKUP(BD41,#REF!,2,FALSE)),"-",VLOOKUP(BD41,#REF!,2,FALSE)))</f>
        <v/>
      </c>
      <c r="EO100" s="381" t="str">
        <f t="shared" si="105"/>
        <v/>
      </c>
    </row>
    <row r="101" spans="140:145" x14ac:dyDescent="0.2">
      <c r="EJ101" s="450" t="str">
        <f t="shared" si="103"/>
        <v/>
      </c>
      <c r="EL101" s="378" t="str">
        <f>IF(EN101="-","-",IF(OR(AU42="K",AU42="KCS"),IF(EJ101&lt;VLOOKUP(BD42,#REF!,3,FALSE),1,IF(EJ101&lt;VLOOKUP(BD42,#REF!,4,FALSE),2,IF(EJ101&lt;VLOOKUP(BD42,#REF!,5,FALSE),3,IF(EJ101&lt;VLOOKUP(BD42,#REF!,6,FALSE),4,IF(EJ101&lt;VLOOKUP(BD42,#REF!,7,FALSE),5,"-"))))),IF(OR(AU42="LH",AU42="DLH"),TRUNC(EJ101/VLOOKUP(BD42,#REF!,3,FALSE)),"")))</f>
        <v/>
      </c>
      <c r="EM101" s="379" t="str">
        <f t="shared" si="104"/>
        <v/>
      </c>
      <c r="EN101" s="380" t="str">
        <f>IF(BD42="","",IF(ISERROR(VLOOKUP(BD42,#REF!,2,FALSE)),"-",VLOOKUP(BD42,#REF!,2,FALSE)))</f>
        <v/>
      </c>
      <c r="EO101" s="381" t="str">
        <f t="shared" si="105"/>
        <v/>
      </c>
    </row>
    <row r="102" spans="140:145" x14ac:dyDescent="0.2">
      <c r="EJ102" s="450" t="str">
        <f t="shared" si="103"/>
        <v/>
      </c>
      <c r="EL102" s="378" t="str">
        <f>IF(EN102="-","-",IF(OR(AU43="K",AU43="KCS"),IF(EJ102&lt;VLOOKUP(BD43,#REF!,3,FALSE),1,IF(EJ102&lt;VLOOKUP(BD43,#REF!,4,FALSE),2,IF(EJ102&lt;VLOOKUP(BD43,#REF!,5,FALSE),3,IF(EJ102&lt;VLOOKUP(BD43,#REF!,6,FALSE),4,IF(EJ102&lt;VLOOKUP(BD43,#REF!,7,FALSE),5,"-"))))),IF(OR(AU43="LH",AU43="DLH"),TRUNC(EJ102/VLOOKUP(BD43,#REF!,3,FALSE)),"")))</f>
        <v/>
      </c>
      <c r="EM102" s="379" t="str">
        <f t="shared" si="104"/>
        <v/>
      </c>
      <c r="EN102" s="380" t="str">
        <f>IF(BD43="","",IF(ISERROR(VLOOKUP(BD43,#REF!,2,FALSE)),"-",VLOOKUP(BD43,#REF!,2,FALSE)))</f>
        <v/>
      </c>
      <c r="EO102" s="381" t="str">
        <f t="shared" si="105"/>
        <v/>
      </c>
    </row>
    <row r="103" spans="140:145" x14ac:dyDescent="0.2">
      <c r="EJ103" s="450" t="str">
        <f t="shared" si="103"/>
        <v/>
      </c>
      <c r="EL103" s="378" t="str">
        <f>IF(EN103="-","-",IF(OR(AU44="K",AU44="KCS"),IF(EJ103&lt;VLOOKUP(BD44,#REF!,3,FALSE),1,IF(EJ103&lt;VLOOKUP(BD44,#REF!,4,FALSE),2,IF(EJ103&lt;VLOOKUP(BD44,#REF!,5,FALSE),3,IF(EJ103&lt;VLOOKUP(BD44,#REF!,6,FALSE),4,IF(EJ103&lt;VLOOKUP(BD44,#REF!,7,FALSE),5,"-"))))),IF(OR(AU44="LH",AU44="DLH"),TRUNC(EJ103/VLOOKUP(BD44,#REF!,3,FALSE)),"")))</f>
        <v/>
      </c>
      <c r="EM103" s="379" t="str">
        <f t="shared" si="104"/>
        <v/>
      </c>
      <c r="EN103" s="380" t="str">
        <f>IF(BD44="","",IF(ISERROR(VLOOKUP(BD44,#REF!,2,FALSE)),"-",VLOOKUP(BD44,#REF!,2,FALSE)))</f>
        <v/>
      </c>
      <c r="EO103" s="381" t="str">
        <f t="shared" si="105"/>
        <v/>
      </c>
    </row>
    <row r="104" spans="140:145" x14ac:dyDescent="0.2">
      <c r="EJ104" s="450" t="str">
        <f t="shared" si="103"/>
        <v/>
      </c>
      <c r="EL104" s="378" t="str">
        <f>IF(EN104="-","-",IF(OR(AU45="K",AU45="KCS"),IF(EJ104&lt;VLOOKUP(BD45,#REF!,3,FALSE),1,IF(EJ104&lt;VLOOKUP(BD45,#REF!,4,FALSE),2,IF(EJ104&lt;VLOOKUP(BD45,#REF!,5,FALSE),3,IF(EJ104&lt;VLOOKUP(BD45,#REF!,6,FALSE),4,IF(EJ104&lt;VLOOKUP(BD45,#REF!,7,FALSE),5,"-"))))),IF(OR(AU45="LH",AU45="DLH"),TRUNC(EJ104/VLOOKUP(BD45,#REF!,3,FALSE)),"")))</f>
        <v/>
      </c>
      <c r="EM104" s="379" t="str">
        <f t="shared" si="104"/>
        <v/>
      </c>
      <c r="EN104" s="380" t="str">
        <f>IF(BD45="","",IF(ISERROR(VLOOKUP(BD45,#REF!,2,FALSE)),"-",VLOOKUP(BD45,#REF!,2,FALSE)))</f>
        <v/>
      </c>
      <c r="EO104" s="381" t="str">
        <f t="shared" si="105"/>
        <v/>
      </c>
    </row>
  </sheetData>
  <sheetProtection selectLockedCells="1"/>
  <dataConsolidate link="1"/>
  <mergeCells count="190">
    <mergeCell ref="CP57:CQ57"/>
    <mergeCell ref="EL71:EO71"/>
    <mergeCell ref="EL72:EL74"/>
    <mergeCell ref="EM72:EM74"/>
    <mergeCell ref="EN72:EN74"/>
    <mergeCell ref="EO72:EO74"/>
    <mergeCell ref="EJ73:EJ74"/>
    <mergeCell ref="IE14:IE15"/>
    <mergeCell ref="IF14:IF15"/>
    <mergeCell ref="IB14:IB15"/>
    <mergeCell ref="IC14:IC15"/>
    <mergeCell ref="ID14:ID15"/>
    <mergeCell ref="HJ14:HJ15"/>
    <mergeCell ref="HK14:HK15"/>
    <mergeCell ref="HL14:HL15"/>
    <mergeCell ref="GM14:GM15"/>
    <mergeCell ref="HA14:HA15"/>
    <mergeCell ref="HB14:HB15"/>
    <mergeCell ref="HC14:HC15"/>
    <mergeCell ref="HD14:HE15"/>
    <mergeCell ref="HF14:HF15"/>
    <mergeCell ref="GE14:GE15"/>
    <mergeCell ref="GF14:GF15"/>
    <mergeCell ref="GG14:GH14"/>
    <mergeCell ref="F15:G15"/>
    <mergeCell ref="I15:J15"/>
    <mergeCell ref="N15:O15"/>
    <mergeCell ref="Q15:R15"/>
    <mergeCell ref="T15:U15"/>
    <mergeCell ref="V15:W15"/>
    <mergeCell ref="HY14:HY15"/>
    <mergeCell ref="HZ14:HZ15"/>
    <mergeCell ref="IA14:IA15"/>
    <mergeCell ref="HS14:HS15"/>
    <mergeCell ref="HT14:HT15"/>
    <mergeCell ref="HU14:HU15"/>
    <mergeCell ref="HV14:HV15"/>
    <mergeCell ref="HW14:HW15"/>
    <mergeCell ref="HX14:HX15"/>
    <mergeCell ref="HM14:HM15"/>
    <mergeCell ref="HN14:HN15"/>
    <mergeCell ref="HO14:HO15"/>
    <mergeCell ref="HP14:HP15"/>
    <mergeCell ref="HQ14:HQ15"/>
    <mergeCell ref="HR14:HR15"/>
    <mergeCell ref="HG14:HG15"/>
    <mergeCell ref="HH14:HH15"/>
    <mergeCell ref="HI14:HI15"/>
    <mergeCell ref="GI14:GJ14"/>
    <mergeCell ref="GK14:GK15"/>
    <mergeCell ref="GL14:GL15"/>
    <mergeCell ref="FR14:FR15"/>
    <mergeCell ref="FS14:FS15"/>
    <mergeCell ref="FT14:FT15"/>
    <mergeCell ref="FU14:FV14"/>
    <mergeCell ref="GA14:GB14"/>
    <mergeCell ref="GC14:GD14"/>
    <mergeCell ref="ES14:ES15"/>
    <mergeCell ref="ET14:ET15"/>
    <mergeCell ref="EU14:EU15"/>
    <mergeCell ref="FO14:FO15"/>
    <mergeCell ref="FP14:FP15"/>
    <mergeCell ref="FQ14:FQ15"/>
    <mergeCell ref="EH14:EI14"/>
    <mergeCell ref="EJ14:EK14"/>
    <mergeCell ref="EL14:EL15"/>
    <mergeCell ref="EM14:EN14"/>
    <mergeCell ref="EO14:EP14"/>
    <mergeCell ref="EQ14:ER14"/>
    <mergeCell ref="DZ14:EA14"/>
    <mergeCell ref="EB14:EB15"/>
    <mergeCell ref="EC14:EC15"/>
    <mergeCell ref="ED14:ED15"/>
    <mergeCell ref="EE14:EE15"/>
    <mergeCell ref="EF14:EG14"/>
    <mergeCell ref="DS14:DS15"/>
    <mergeCell ref="DT14:DU14"/>
    <mergeCell ref="DV14:DV15"/>
    <mergeCell ref="DW14:DW15"/>
    <mergeCell ref="DX14:DX15"/>
    <mergeCell ref="DY14:DY15"/>
    <mergeCell ref="DM14:DM15"/>
    <mergeCell ref="DN14:DN15"/>
    <mergeCell ref="DO14:DO15"/>
    <mergeCell ref="DP14:DP15"/>
    <mergeCell ref="DQ14:DQ15"/>
    <mergeCell ref="DR14:DR15"/>
    <mergeCell ref="DG14:DG15"/>
    <mergeCell ref="DH14:DH15"/>
    <mergeCell ref="DI14:DI15"/>
    <mergeCell ref="DJ14:DJ15"/>
    <mergeCell ref="DK14:DK15"/>
    <mergeCell ref="DL14:DL15"/>
    <mergeCell ref="DA14:DA15"/>
    <mergeCell ref="DB14:DB15"/>
    <mergeCell ref="DC14:DC15"/>
    <mergeCell ref="DD14:DD15"/>
    <mergeCell ref="DE14:DE15"/>
    <mergeCell ref="DF14:DF15"/>
    <mergeCell ref="CU14:CU15"/>
    <mergeCell ref="CV14:CV15"/>
    <mergeCell ref="CW14:CW15"/>
    <mergeCell ref="CX14:CX15"/>
    <mergeCell ref="CY14:CY15"/>
    <mergeCell ref="CZ14:CZ15"/>
    <mergeCell ref="BZ14:BZ15"/>
    <mergeCell ref="CA14:CA15"/>
    <mergeCell ref="CB14:CD14"/>
    <mergeCell ref="CH14:CJ14"/>
    <mergeCell ref="CK14:CK15"/>
    <mergeCell ref="CL14:CM14"/>
    <mergeCell ref="BP14:BR14"/>
    <mergeCell ref="BS14:BS15"/>
    <mergeCell ref="BT14:BU15"/>
    <mergeCell ref="BV14:BV15"/>
    <mergeCell ref="BW14:BX15"/>
    <mergeCell ref="BY14:BY15"/>
    <mergeCell ref="BH14:BI15"/>
    <mergeCell ref="BJ14:BJ15"/>
    <mergeCell ref="BK14:BL15"/>
    <mergeCell ref="BM14:BM15"/>
    <mergeCell ref="BN14:BN15"/>
    <mergeCell ref="BO14:BO15"/>
    <mergeCell ref="N14:P14"/>
    <mergeCell ref="Q14:S14"/>
    <mergeCell ref="T14:X14"/>
    <mergeCell ref="Y14:Z14"/>
    <mergeCell ref="AZ14:AZ15"/>
    <mergeCell ref="BB14:BB15"/>
    <mergeCell ref="CU13:DD13"/>
    <mergeCell ref="DE13:DN13"/>
    <mergeCell ref="GA13:GJ13"/>
    <mergeCell ref="A14:A15"/>
    <mergeCell ref="B14:B15"/>
    <mergeCell ref="C14:C15"/>
    <mergeCell ref="D14:E15"/>
    <mergeCell ref="F14:H14"/>
    <mergeCell ref="I14:K14"/>
    <mergeCell ref="L14:M14"/>
    <mergeCell ref="FN12:FN15"/>
    <mergeCell ref="FQ12:FR13"/>
    <mergeCell ref="EZ12:EZ15"/>
    <mergeCell ref="FA12:FA15"/>
    <mergeCell ref="BB11:CB12"/>
    <mergeCell ref="CD11:CG12"/>
    <mergeCell ref="CN12:CO14"/>
    <mergeCell ref="CP12:CQ14"/>
    <mergeCell ref="CR12:CR15"/>
    <mergeCell ref="CS12:CS15"/>
    <mergeCell ref="BC14:BC15"/>
    <mergeCell ref="BD14:BD15"/>
    <mergeCell ref="BE14:BF15"/>
    <mergeCell ref="BG14:BG15"/>
    <mergeCell ref="HA12:IF13"/>
    <mergeCell ref="AU13:AU15"/>
    <mergeCell ref="AV13:AW15"/>
    <mergeCell ref="BB13:BF13"/>
    <mergeCell ref="BG13:BR13"/>
    <mergeCell ref="BS13:CD13"/>
    <mergeCell ref="CE13:CE15"/>
    <mergeCell ref="CF13:CG14"/>
    <mergeCell ref="FH12:FH15"/>
    <mergeCell ref="FI12:FI15"/>
    <mergeCell ref="FJ12:FJ15"/>
    <mergeCell ref="FK12:FK15"/>
    <mergeCell ref="FL12:FL15"/>
    <mergeCell ref="FM12:FM15"/>
    <mergeCell ref="FB12:FB15"/>
    <mergeCell ref="FC12:FC15"/>
    <mergeCell ref="FD12:FD15"/>
    <mergeCell ref="FE12:FE15"/>
    <mergeCell ref="FF12:FF15"/>
    <mergeCell ref="FG12:FG15"/>
    <mergeCell ref="EV12:EV15"/>
    <mergeCell ref="EW12:EW15"/>
    <mergeCell ref="EX12:EX15"/>
    <mergeCell ref="EY12:EY15"/>
    <mergeCell ref="CC6:CF6"/>
    <mergeCell ref="M7:S7"/>
    <mergeCell ref="C9:O9"/>
    <mergeCell ref="S9:AA9"/>
    <mergeCell ref="C10:O10"/>
    <mergeCell ref="S10:W10"/>
    <mergeCell ref="Z10:AA10"/>
    <mergeCell ref="P1:S1"/>
    <mergeCell ref="P2:S3"/>
    <mergeCell ref="P4:S4"/>
    <mergeCell ref="A5:M5"/>
    <mergeCell ref="M6:T6"/>
    <mergeCell ref="Y6:Z6"/>
  </mergeCells>
  <conditionalFormatting sqref="EF57">
    <cfRule type="cellIs" dxfId="100" priority="53" stopIfTrue="1" operator="notEqual">
      <formula>$EG57</formula>
    </cfRule>
  </conditionalFormatting>
  <conditionalFormatting sqref="EM57">
    <cfRule type="cellIs" dxfId="99" priority="54" stopIfTrue="1" operator="notEqual">
      <formula>$EN57</formula>
    </cfRule>
  </conditionalFormatting>
  <conditionalFormatting sqref="P2:S4">
    <cfRule type="cellIs" dxfId="98" priority="56" stopIfTrue="1" operator="equal">
      <formula>""</formula>
    </cfRule>
  </conditionalFormatting>
  <conditionalFormatting sqref="EF16:EF45">
    <cfRule type="cellIs" dxfId="97" priority="52" stopIfTrue="1" operator="notEqual">
      <formula>$EG16</formula>
    </cfRule>
  </conditionalFormatting>
  <conditionalFormatting sqref="CC7">
    <cfRule type="expression" dxfId="96" priority="51" stopIfTrue="1">
      <formula>ISBLANK($CC$7)</formula>
    </cfRule>
  </conditionalFormatting>
  <conditionalFormatting sqref="CC6">
    <cfRule type="expression" dxfId="95" priority="50" stopIfTrue="1">
      <formula>ISBLANK($CC$6)</formula>
    </cfRule>
  </conditionalFormatting>
  <conditionalFormatting sqref="M7">
    <cfRule type="expression" dxfId="94" priority="48" stopIfTrue="1">
      <formula>OR(ISBLANK($M$7),$M$7="")</formula>
    </cfRule>
    <cfRule type="expression" dxfId="93" priority="49" stopIfTrue="1">
      <formula>AND(LOWER($M$7)&lt;&gt;"std gray primer: one shop coat",LOWER($M$7)&lt;&gt;"gray",$M$7&lt;&gt;"")</formula>
    </cfRule>
  </conditionalFormatting>
  <conditionalFormatting sqref="BD16:BD45">
    <cfRule type="expression" dxfId="92" priority="47">
      <formula>AND(NOT($AY16),NOT($AP16))</formula>
    </cfRule>
  </conditionalFormatting>
  <conditionalFormatting sqref="C16:C45">
    <cfRule type="expression" dxfId="91" priority="45">
      <formula>AND(NOT($AY16),NOT($AP16))</formula>
    </cfRule>
  </conditionalFormatting>
  <conditionalFormatting sqref="X16:X45">
    <cfRule type="expression" dxfId="90" priority="28">
      <formula>$X16=0</formula>
    </cfRule>
  </conditionalFormatting>
  <conditionalFormatting sqref="CG16:CG45">
    <cfRule type="expression" dxfId="89" priority="55">
      <formula>OR(CH16&lt;&gt;"",CI16&lt;&gt;"",CJ16&lt;&gt;"",CK16&lt;&gt;"",CL16&lt;&gt;"",CM16&lt;&gt;"",CP16&lt;&gt;"",CQ16&lt;&gt;"")</formula>
    </cfRule>
  </conditionalFormatting>
  <conditionalFormatting sqref="BE16:BF45">
    <cfRule type="expression" dxfId="88" priority="57">
      <formula>AND(NOT($AY16),AND($AZ16,AND($AK16&lt;&gt;"HDR",$AK16&lt;&gt;"JS",$AJ16&gt;=8)))</formula>
    </cfRule>
  </conditionalFormatting>
  <conditionalFormatting sqref="D16:E45">
    <cfRule type="expression" dxfId="87" priority="46">
      <formula>AND(NOT($AY16),AND($AZ16,AND($AK16&lt;&gt;"HDR",$AK16&lt;&gt;"JS",$AJ16&gt;=8)))</formula>
    </cfRule>
  </conditionalFormatting>
  <conditionalFormatting sqref="AA12">
    <cfRule type="expression" dxfId="86" priority="44">
      <formula>OR(ISBLANK(AA12),AA12="")</formula>
    </cfRule>
  </conditionalFormatting>
  <conditionalFormatting sqref="A16:S45 X16:AA45 BB16:CD45">
    <cfRule type="expression" dxfId="85" priority="58">
      <formula>$AC16</formula>
    </cfRule>
  </conditionalFormatting>
  <conditionalFormatting sqref="BG16:BG45">
    <cfRule type="expression" dxfId="84" priority="29">
      <formula>AND(NOT($AY16),ISERROR(CU16))</formula>
    </cfRule>
    <cfRule type="expression" dxfId="83" priority="42">
      <formula>AND(NOT($AY16),OR(CP16&lt;&gt;"", CU16=""))</formula>
    </cfRule>
  </conditionalFormatting>
  <conditionalFormatting sqref="BH16:BH45">
    <cfRule type="expression" dxfId="82" priority="36">
      <formula>AND(NOT($AY16),OR($CU16="M",$CU16="C",AND($CU16="B",$DC16&gt;0)))</formula>
    </cfRule>
    <cfRule type="expression" dxfId="81" priority="37">
      <formula>AND(NOT($AY16),AND(BH16="",BI16="",OR($CU16="B",$CU16="G")))</formula>
    </cfRule>
    <cfRule type="expression" dxfId="80" priority="38">
      <formula>AND(NOT($AY16),(BH16/2)/COS(RADIANS(BM16))+CV16-DW16&lt;VLOOKUP(AU16,$DF$2:$DJ$9,5,FALSE))</formula>
    </cfRule>
  </conditionalFormatting>
  <conditionalFormatting sqref="BI16:BI45">
    <cfRule type="expression" dxfId="79" priority="39">
      <formula>AND(NOT($AY16),OR($CU16="M",$CU16="C",AND($CU16="B",$DC16&gt;0)))</formula>
    </cfRule>
    <cfRule type="expression" dxfId="78" priority="40">
      <formula>AND(NOT($AY16),AND(BH16="",BI16="",OR($CU16="B",$CU16="G")))</formula>
    </cfRule>
    <cfRule type="expression" dxfId="77" priority="41">
      <formula>AND(NOT($AY16),(BI16/2)/COS(RADIANS(BM16))+CV16-DW16&lt;VLOOKUP(AU16,$DF$2:$DJ$9,5,FALSE))</formula>
    </cfRule>
  </conditionalFormatting>
  <conditionalFormatting sqref="BK16:BK45">
    <cfRule type="expression" dxfId="76" priority="30">
      <formula>AND(NOT($AY16),OR($CU16="M",$CU16="C",AND($CU16="B",$DA16&lt;&gt;"")))</formula>
    </cfRule>
    <cfRule type="expression" dxfId="75" priority="31">
      <formula>AND(NOT($AY16),AND(BJ16="X",BK16="",BL16=""))</formula>
    </cfRule>
    <cfRule type="expression" dxfId="74" priority="32">
      <formula>AND(NOT($AY16),EZ16="ERR")</formula>
    </cfRule>
  </conditionalFormatting>
  <conditionalFormatting sqref="BL16:BL45">
    <cfRule type="expression" dxfId="73" priority="33">
      <formula>AND(NOT($AY16),OR($CU16="M",$CU16="C",AND($CU16="B",$DA16&lt;&gt;"")))</formula>
    </cfRule>
    <cfRule type="expression" dxfId="72" priority="34">
      <formula>AND(NOT($AY16),AND(BJ16="X",BK16="",BL16=""))</formula>
    </cfRule>
    <cfRule type="expression" dxfId="71" priority="35">
      <formula>AND(NOT($AY16),EZ16="ERR")</formula>
    </cfRule>
  </conditionalFormatting>
  <conditionalFormatting sqref="A16:B45 BB16:BC45">
    <cfRule type="expression" dxfId="70" priority="43">
      <formula>AND(NOT($AE$1),$B16=0,$AD$1="M")</formula>
    </cfRule>
  </conditionalFormatting>
  <conditionalFormatting sqref="AA16:AA45">
    <cfRule type="expression" dxfId="69" priority="27">
      <formula>AND(NOT($AY16),LEN(AA16)&gt;31)</formula>
    </cfRule>
  </conditionalFormatting>
  <conditionalFormatting sqref="GA16:GB45">
    <cfRule type="expression" dxfId="68" priority="26" stopIfTrue="1">
      <formula>$GM16&gt;=0.125</formula>
    </cfRule>
  </conditionalFormatting>
  <conditionalFormatting sqref="BO16:BO45">
    <cfRule type="expression" dxfId="67" priority="21">
      <formula>AND(BO16="X",CY16="")</formula>
    </cfRule>
    <cfRule type="expression" dxfId="66" priority="22">
      <formula>AND(BO16="",CY16&lt;&gt;"")</formula>
    </cfRule>
  </conditionalFormatting>
  <conditionalFormatting sqref="CA16:CA45">
    <cfRule type="expression" dxfId="65" priority="23">
      <formula>AND(CA16="X",DI16="")</formula>
    </cfRule>
    <cfRule type="expression" dxfId="64" priority="24">
      <formula>AND(CA16="",DI16&lt;&gt;"")</formula>
    </cfRule>
  </conditionalFormatting>
  <conditionalFormatting sqref="CE16:CG45">
    <cfRule type="expression" dxfId="63" priority="25">
      <formula>$AC16</formula>
    </cfRule>
  </conditionalFormatting>
  <conditionalFormatting sqref="EM16:EM45">
    <cfRule type="cellIs" dxfId="62" priority="20" stopIfTrue="1" operator="notEqual">
      <formula>$EN16</formula>
    </cfRule>
  </conditionalFormatting>
  <conditionalFormatting sqref="U16:U45">
    <cfRule type="expression" dxfId="61" priority="16">
      <formula>AND(NOT($AY16),NOT(AR16),$P16&lt;&gt;3)</formula>
    </cfRule>
  </conditionalFormatting>
  <conditionalFormatting sqref="W16:W45">
    <cfRule type="expression" dxfId="60" priority="18">
      <formula>AND(NOT($AY16),NOT(AT16),$S16&lt;&gt;3)</formula>
    </cfRule>
  </conditionalFormatting>
  <conditionalFormatting sqref="T16:T45">
    <cfRule type="expression" dxfId="59" priority="15">
      <formula>AND(NOT($AY16),NOT(AR16),$P16&lt;&gt;3)</formula>
    </cfRule>
  </conditionalFormatting>
  <conditionalFormatting sqref="V16:V45">
    <cfRule type="expression" dxfId="58" priority="17">
      <formula>AND(NOT($AY16),NOT(AT16),$S16&lt;&gt;3)</formula>
    </cfRule>
  </conditionalFormatting>
  <conditionalFormatting sqref="T16:W45">
    <cfRule type="expression" dxfId="57" priority="19">
      <formula>$AC16</formula>
    </cfRule>
  </conditionalFormatting>
  <conditionalFormatting sqref="C57">
    <cfRule type="expression" dxfId="56" priority="12">
      <formula>AND(NOT($AY57),NOT($AP57))</formula>
    </cfRule>
  </conditionalFormatting>
  <conditionalFormatting sqref="X57">
    <cfRule type="expression" dxfId="55" priority="10">
      <formula>$X57=0</formula>
    </cfRule>
  </conditionalFormatting>
  <conditionalFormatting sqref="D57:E57">
    <cfRule type="expression" dxfId="54" priority="13">
      <formula>AND(NOT($AY57),AND($AZ57,AND($AK57&lt;&gt;"HDR",$AK57&lt;&gt;"JS",$AJ57&gt;=8)))</formula>
    </cfRule>
  </conditionalFormatting>
  <conditionalFormatting sqref="A57:S57 X57:AA57">
    <cfRule type="expression" dxfId="53" priority="14">
      <formula>$AC57</formula>
    </cfRule>
  </conditionalFormatting>
  <conditionalFormatting sqref="A57:B57">
    <cfRule type="expression" dxfId="52" priority="11">
      <formula>AND(NOT($AE$1),$B57=0,$AD$1="M")</formula>
    </cfRule>
  </conditionalFormatting>
  <conditionalFormatting sqref="AA57">
    <cfRule type="expression" dxfId="51" priority="9">
      <formula>AND(NOT($AY57),LEN(AA57)&gt;31)</formula>
    </cfRule>
  </conditionalFormatting>
  <conditionalFormatting sqref="U57">
    <cfRule type="expression" dxfId="50" priority="5">
      <formula>AND(NOT($AY57),NOT(AR57),$P57&lt;&gt;3)</formula>
    </cfRule>
  </conditionalFormatting>
  <conditionalFormatting sqref="W57">
    <cfRule type="expression" dxfId="49" priority="7">
      <formula>AND(NOT($AY57),NOT(AT57),$S57&lt;&gt;3)</formula>
    </cfRule>
  </conditionalFormatting>
  <conditionalFormatting sqref="T57">
    <cfRule type="expression" dxfId="48" priority="4">
      <formula>AND(NOT($AY57),NOT(AR57),$P57&lt;&gt;3)</formula>
    </cfRule>
  </conditionalFormatting>
  <conditionalFormatting sqref="V57">
    <cfRule type="expression" dxfId="47" priority="6">
      <formula>AND(NOT($AY57),NOT(AT57),$S57&lt;&gt;3)</formula>
    </cfRule>
  </conditionalFormatting>
  <conditionalFormatting sqref="T57:W57">
    <cfRule type="expression" dxfId="46" priority="8">
      <formula>$AC57</formula>
    </cfRule>
  </conditionalFormatting>
  <conditionalFormatting sqref="BQ16:BQ45">
    <cfRule type="expression" dxfId="45" priority="3">
      <formula>CP16&lt;&gt;""</formula>
    </cfRule>
  </conditionalFormatting>
  <conditionalFormatting sqref="CC16:CC45">
    <cfRule type="expression" dxfId="44" priority="2">
      <formula>CQ16&lt;&gt;""</formula>
    </cfRule>
  </conditionalFormatting>
  <conditionalFormatting sqref="BS16:BS45">
    <cfRule type="expression" dxfId="43" priority="59">
      <formula>AND(NOT($AY16),ISERROR(DE16))</formula>
    </cfRule>
    <cfRule type="expression" dxfId="42" priority="60">
      <formula>AND(NOT($AY16),OR(DE16="", CQ16&lt;&gt;""))</formula>
    </cfRule>
  </conditionalFormatting>
  <conditionalFormatting sqref="BW16:BW45">
    <cfRule type="expression" dxfId="41" priority="61">
      <formula>AND(NOT($AY16),OR($DE16="M",$DE16="C",AND($DE16="B",$DK16&lt;&gt;"")))</formula>
    </cfRule>
    <cfRule type="expression" dxfId="40" priority="62">
      <formula>AND(NOT($AY16),AND(BV16="X",BW16="",BX16=""))</formula>
    </cfRule>
    <cfRule type="expression" dxfId="39" priority="63">
      <formula>AND(NOT($AY16),FC16="ERR")</formula>
    </cfRule>
  </conditionalFormatting>
  <conditionalFormatting sqref="BX16:BX45">
    <cfRule type="expression" dxfId="38" priority="64">
      <formula>AND(NOT($AY16),OR($DE16="M",$DE16="C",AND($DE16="B",$DK16&lt;&gt;"")))</formula>
    </cfRule>
    <cfRule type="expression" dxfId="37" priority="65">
      <formula>AND(NOT($AY16),AND(BV16="X",BW16="",BX16=""))</formula>
    </cfRule>
    <cfRule type="expression" dxfId="36" priority="66">
      <formula>AND(NOT($AY16),FC16="ERR")</formula>
    </cfRule>
  </conditionalFormatting>
  <conditionalFormatting sqref="BT16:BT45">
    <cfRule type="expression" dxfId="35" priority="67">
      <formula>AND(NOT($AY16),OR($DE16="M",$DE16="C",AND($DE16="B",$DM16&gt;0)))</formula>
    </cfRule>
    <cfRule type="expression" dxfId="34" priority="68">
      <formula>AND(NOT($AY16),AND(BT16="",BU16="",OR($DE16="B",$DE16="G")))</formula>
    </cfRule>
    <cfRule type="expression" dxfId="33" priority="69">
      <formula>AND(NOT($AY16),(BT16/2)/COS(RADIANS(BY16))+DF16-EC16&lt;VLOOKUP(AU16,$DF$2:$DJ$9,5,FALSE))</formula>
    </cfRule>
  </conditionalFormatting>
  <conditionalFormatting sqref="BU16:BU45">
    <cfRule type="expression" dxfId="32" priority="70">
      <formula>AND(NOT($AY16),OR($DE16="M",$DE16="C",AND($DE16="B",$DM16&gt;0)))</formula>
    </cfRule>
    <cfRule type="expression" dxfId="31" priority="71">
      <formula>AND(NOT($AY16),AND(BT16="",BU16="",OR($DE16="B",$DE16="G")))</formula>
    </cfRule>
    <cfRule type="expression" dxfId="30" priority="72">
      <formula>AND(NOT($AY16),(BU16/2)/COS(RADIANS(BY16))+DF16-EC16&lt;VLOOKUP(AU16,$DF$2:$DJ$9,5,FALSE))</formula>
    </cfRule>
  </conditionalFormatting>
  <conditionalFormatting sqref="BZ16:BZ45 BN16:BN45">
    <cfRule type="expression" dxfId="29" priority="73">
      <formula>AND(NOT($AY16),AND(ISBLANK(BN16),AND(NOT(ISBLANK(BM16)),$CE16&lt;&gt;0)))</formula>
    </cfRule>
  </conditionalFormatting>
  <conditionalFormatting sqref="BJ16:BJ45">
    <cfRule type="expression" dxfId="28" priority="74">
      <formula>AND(NOT($AY16),OR($CU16="C",AND($CU16="M",$DA16&gt;0)))</formula>
    </cfRule>
    <cfRule type="expression" dxfId="27" priority="75">
      <formula>AND(NOT($AY16),OR(NOT(IF(AND(OR(MID($BB16,1,1)="T",($BE16+$BF16/12)/IF(ABS($CE16)&gt;$DQ$1,COS($DO16),1)&gt;=40),OR($CU16="B",$CU16="G")),"X","")="X"),$EZ16="ERR"))</formula>
    </cfRule>
    <cfRule type="expression" dxfId="26" priority="76">
      <formula>AND(NOT($AY16),$BJ16&lt;&gt;"X",$BJ16&lt;&gt;IF(AND(OR(MID(BB16,1,1)="T",($BE16+$BF16/12)/IF(ABS($CE16)&gt;$DQ$1,COS($DO16),1)&gt;=40),OR($CU16="B",$CU16="G")),"X",""))</formula>
    </cfRule>
  </conditionalFormatting>
  <conditionalFormatting sqref="BV16:BV45">
    <cfRule type="expression" dxfId="25" priority="77">
      <formula>AND(NOT($AY16),OR($DE16="C",AND($DE16="M",$DK16&gt;0)))</formula>
    </cfRule>
    <cfRule type="expression" dxfId="24" priority="78">
      <formula>AND(NOT($AY16),OR(NOT(IF(AND(OR(MID($BB16,1,1)="T",($BE16+$BF16/12)/IF(ABS($CE16)&gt;$DQ$1,COS($DO16),1)&gt;=40),OR($DE16="B",$DE16="G")),"X","")="X"),$FC16="ERR"))</formula>
    </cfRule>
    <cfRule type="expression" dxfId="23" priority="79">
      <formula>AND(NOT($AY16),$BV16&lt;&gt;"X",$BV16&lt;&gt;IF(AND(OR(MID(BB16,1,1)="T",($BE16+$BF16/12)/IF(ABS($CE16)&gt;$DQ$1,COS($DO16),1)&gt;=40),OR($DE16="B",$DE16="G")),"X",""))</formula>
    </cfRule>
  </conditionalFormatting>
  <conditionalFormatting sqref="GA57:GB57">
    <cfRule type="expression" dxfId="22" priority="1" stopIfTrue="1">
      <formula>$GM57&gt;=0.125</formula>
    </cfRule>
  </conditionalFormatting>
  <dataValidations count="14">
    <dataValidation type="whole" operator="greaterThan" allowBlank="1" showInputMessage="1" showErrorMessage="1" errorTitle="Quantity Error" error="Value must be an integer greater than -1000." sqref="B16:B45 BC16:BC45" xr:uid="{FAD2BED3-95E3-4086-BA9F-35C1E9E82053}">
      <formula1>-1001</formula1>
    </dataValidation>
    <dataValidation type="decimal" operator="greaterThan" allowBlank="1" showInputMessage="1" showErrorMessage="1" errorTitle="Input Error" error="Positive Numeric Values Only!" sqref="BR16:BR45 CD16:CD45" xr:uid="{CCB04FFF-0F1F-4A33-9025-AFFCA590443A}">
      <formula1>0</formula1>
    </dataValidation>
    <dataValidation type="decimal" allowBlank="1" showInputMessage="1" showErrorMessage="1" errorTitle="Input Error" error="Numbers from 0&quot; to 11 7/8&quot; only!" sqref="GB16:GB45 GB57" xr:uid="{A494CDF0-36C0-4F74-85C4-8CBAC3C2A48B}">
      <formula1>0</formula1>
      <formula2>11.875</formula2>
    </dataValidation>
    <dataValidation type="whole" operator="greaterThanOrEqual" allowBlank="1" showInputMessage="1" showErrorMessage="1" errorTitle="Input Error" error="Positive Integers Only!" sqref="GA16:GA45 GA57" xr:uid="{9385AA79-D68C-4EC6-BA27-140713AAC61D}">
      <formula1>0</formula1>
    </dataValidation>
    <dataValidation type="decimal" allowBlank="1" showInputMessage="1" showErrorMessage="1" errorTitle="Input Error" error="Numeric Values Only!" sqref="GC16:GD45 GC57:GD57 BP16:BP45 CB16:CB45" xr:uid="{358A2ADE-437C-4BC6-8BA3-E46F78355C44}">
      <formula1>-1200</formula1>
      <formula2>1200</formula2>
    </dataValidation>
    <dataValidation type="decimal" operator="lessThanOrEqual" allowBlank="1" showInputMessage="1" errorTitle="BL Over-Ride Error!" error="Base Length can't be past Joist Overall Length!  See section for Maximum Over-Ride Dimension." sqref="BQ16:BQ45" xr:uid="{08CCA244-346F-4302-94F7-057D087849BD}">
      <formula1>$CV16</formula1>
    </dataValidation>
    <dataValidation type="decimal" operator="lessThanOrEqual" allowBlank="1" showInputMessage="1" errorTitle="BL Over-Ride Error!" error="Base Length can't be past Joist Overall Length!  See section for Maximum Over-Ride Dimension." sqref="CC16:CC45" xr:uid="{85513A69-497E-4ADF-B474-B1F2919C7EDF}">
      <formula1>$DF16</formula1>
    </dataValidation>
    <dataValidation type="whole" operator="greaterThanOrEqual" allowBlank="1" showInputMessage="1" showErrorMessage="1" sqref="B57" xr:uid="{1A01B42C-8983-44A8-8453-6D508AE7791B}">
      <formula1>0</formula1>
    </dataValidation>
    <dataValidation type="decimal" operator="greaterThan" allowBlank="1" showInputMessage="1" showErrorMessage="1" errorTitle="Dimensional Error" error="Only positive numeric values can be entered here." sqref="L16:M45 L57:M57" xr:uid="{7AF21232-6A9A-4859-89E5-0731F42CBCA3}">
      <formula1>0</formula1>
    </dataValidation>
    <dataValidation type="decimal" operator="notEqual" allowBlank="1" showInputMessage="1" showErrorMessage="1" errorTitle="input Error" error="Enter + or - Numbers Only._x000a_Do NOT use &quot;&lt;&quot; or &quot;&gt;&quot;." sqref="Y16:Z45 Y57:Z57" xr:uid="{C66A2BF3-8AFC-45FC-8172-0259CFCC12F9}">
      <formula1>0</formula1>
    </dataValidation>
    <dataValidation type="decimal" operator="greaterThanOrEqual" allowBlank="1" showInputMessage="1" showErrorMessage="1" errorTitle="Dimensional Error" error="&quot;Inches&quot; must be a number." sqref="BH16:BI45 BK16:BL45 BT16:BU45 BW16:BX45" xr:uid="{46C470B1-E33E-442C-B30E-245A310E8DED}">
      <formula1>0</formula1>
    </dataValidation>
    <dataValidation type="decimal" allowBlank="1" showInputMessage="1" showErrorMessage="1" errorTitle="Dimensional Error" error="&quot;Inches&quot; must be a number from 0 to 11.875." sqref="BF16:BF45 G16:G45 J16:J45 W16:W45 U16:U45 E16:E45 G57 J57 W57 U57 E57" xr:uid="{D5765988-AD6D-43D7-9544-872DD6D8C6E9}">
      <formula1>0</formula1>
      <formula2>11.875</formula2>
    </dataValidation>
    <dataValidation type="whole" operator="greaterThanOrEqual" allowBlank="1" showErrorMessage="1" errorTitle="Dimensional Error" error="&quot;Feet&quot; can only be whole numbers." sqref="D16:D45 F16:F45 I16:I45 T16:T45 V16:V45 BE16:BE45 D57 F57 I57 T57 V57" xr:uid="{7B9B166D-E9E2-49F9-85CB-BD154EF1B836}">
      <formula1>0</formula1>
    </dataValidation>
    <dataValidation type="list" allowBlank="1" showInputMessage="1" sqref="CC6:CF6 M7:S7" xr:uid="{69086959-0587-495C-A0B0-59625CB559AC}">
      <formula1>"Std Gray Primer: One Shop Coat,NO Shop Primer,NO Shop Primer - GALV,Std Gray Primer: xx Shop Coats"</formula1>
    </dataValidation>
  </dataValidations>
  <printOptions horizontalCentered="1"/>
  <pageMargins left="0.3" right="0.3" top="0.5" bottom="0.5" header="0" footer="0.25"/>
  <pageSetup pageOrder="overThenDown" orientation="landscape" r:id="rId1"/>
  <headerFooter alignWithMargins="0">
    <oddFooter>&amp;R&amp;7Printed: &amp;D &amp;T&amp;L&amp;7Version: 21.0428
File: &amp;F</oddFooter>
  </headerFooter>
  <drawing r:id="rId2"/>
  <legacyDrawing r:id="rId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DDEDDC-B928-4912-A317-908A66B7F663}">
  <sheetPr codeName="Sheet25">
    <tabColor indexed="45"/>
  </sheetPr>
  <dimension ref="A1:BG65"/>
  <sheetViews>
    <sheetView showGridLines="0" zoomScaleNormal="100" zoomScaleSheetLayoutView="100" workbookViewId="0">
      <selection activeCell="H17" sqref="H17"/>
    </sheetView>
  </sheetViews>
  <sheetFormatPr defaultColWidth="9.140625" defaultRowHeight="11.25" x14ac:dyDescent="0.2"/>
  <cols>
    <col min="1" max="1" width="7.7109375" style="154" customWidth="1"/>
    <col min="2" max="4" width="6.7109375" style="154" customWidth="1"/>
    <col min="5" max="5" width="6.7109375" style="154" hidden="1" customWidth="1"/>
    <col min="6" max="6" width="7.7109375" style="154" customWidth="1"/>
    <col min="7" max="7" width="3.7109375" style="154" customWidth="1"/>
    <col min="8" max="8" width="5.7109375" style="154" customWidth="1"/>
    <col min="9" max="9" width="7.7109375" style="154" customWidth="1"/>
    <col min="10" max="10" width="3.7109375" style="154" customWidth="1"/>
    <col min="11" max="12" width="5.7109375" style="154" customWidth="1"/>
    <col min="13" max="13" width="11.7109375" style="154" customWidth="1"/>
    <col min="14" max="14" width="22.7109375" style="154" customWidth="1"/>
    <col min="15" max="15" width="7.7109375" style="154" customWidth="1"/>
    <col min="16" max="16" width="7.7109375" style="154" hidden="1" customWidth="1"/>
    <col min="17" max="40" width="6.7109375" style="154" hidden="1" customWidth="1"/>
    <col min="41" max="43" width="9.140625" style="324" hidden="1" customWidth="1"/>
    <col min="44" max="56" width="9.140625" style="154" hidden="1" customWidth="1"/>
    <col min="57" max="57" width="9.140625" style="949" hidden="1" customWidth="1"/>
    <col min="58" max="58" width="9.140625" style="154" hidden="1" customWidth="1"/>
    <col min="59" max="16384" width="9.140625" style="154"/>
  </cols>
  <sheetData>
    <row r="1" spans="1:59" s="303" customFormat="1" ht="14.45" customHeight="1" thickBot="1" x14ac:dyDescent="0.25">
      <c r="A1" s="298"/>
      <c r="B1" s="298"/>
      <c r="C1" s="298"/>
      <c r="D1" s="298"/>
      <c r="E1" s="298"/>
      <c r="F1" s="298"/>
      <c r="G1" s="298"/>
      <c r="H1" s="421"/>
      <c r="I1" s="1705"/>
      <c r="J1" s="1705"/>
      <c r="K1" s="1705"/>
      <c r="L1" s="299"/>
      <c r="M1" s="299" t="s">
        <v>77</v>
      </c>
      <c r="N1" s="1669"/>
      <c r="O1" s="423" t="s">
        <v>375</v>
      </c>
      <c r="P1" s="965"/>
      <c r="S1" s="302" t="e">
        <f>#REF!</f>
        <v>#REF!</v>
      </c>
      <c r="T1" s="302" t="e">
        <f>#REF!</f>
        <v>#REF!</v>
      </c>
      <c r="AO1" s="302"/>
      <c r="AP1" s="302"/>
      <c r="AQ1" s="302"/>
      <c r="BD1" s="716" t="s">
        <v>790</v>
      </c>
      <c r="BE1" s="947"/>
      <c r="BG1" s="424" t="s">
        <v>376</v>
      </c>
    </row>
    <row r="2" spans="1:59" s="303" customFormat="1" ht="12.95" customHeight="1" thickTop="1" x14ac:dyDescent="0.2">
      <c r="A2" s="298"/>
      <c r="B2" s="298"/>
      <c r="C2" s="298"/>
      <c r="D2" s="298"/>
      <c r="E2" s="298"/>
      <c r="F2" s="298"/>
      <c r="G2" s="298"/>
      <c r="H2" s="421"/>
      <c r="I2" s="1711"/>
      <c r="J2" s="1750"/>
      <c r="K2" s="1751"/>
      <c r="L2" s="299"/>
      <c r="M2" s="299" t="s">
        <v>78</v>
      </c>
      <c r="N2" s="1669"/>
      <c r="O2" s="965"/>
      <c r="P2" s="965"/>
      <c r="AO2" s="302"/>
      <c r="AP2" s="302"/>
      <c r="AQ2" s="302"/>
      <c r="BE2" s="947"/>
    </row>
    <row r="3" spans="1:59" s="303" customFormat="1" ht="12.95" customHeight="1" x14ac:dyDescent="0.2">
      <c r="A3" s="298"/>
      <c r="B3" s="298"/>
      <c r="C3" s="298"/>
      <c r="D3" s="298"/>
      <c r="E3" s="298"/>
      <c r="F3" s="298"/>
      <c r="G3" s="298"/>
      <c r="H3" s="421"/>
      <c r="I3" s="1752"/>
      <c r="J3" s="1753"/>
      <c r="K3" s="1754"/>
      <c r="L3" s="299"/>
      <c r="M3" s="299" t="s">
        <v>80</v>
      </c>
      <c r="N3" s="1669"/>
      <c r="O3" s="965"/>
      <c r="P3" s="965"/>
      <c r="AO3" s="302"/>
      <c r="AP3" s="302"/>
      <c r="AQ3" s="302"/>
      <c r="BE3" s="948"/>
    </row>
    <row r="4" spans="1:59" s="303" customFormat="1" ht="12.95" customHeight="1" thickBot="1" x14ac:dyDescent="0.25">
      <c r="A4" s="298"/>
      <c r="B4" s="298"/>
      <c r="C4" s="298"/>
      <c r="D4" s="298"/>
      <c r="E4" s="298"/>
      <c r="F4" s="298"/>
      <c r="G4" s="298"/>
      <c r="H4" s="298"/>
      <c r="I4" s="1717"/>
      <c r="J4" s="1755"/>
      <c r="K4" s="1756"/>
      <c r="L4" s="299"/>
      <c r="M4" s="299" t="s">
        <v>79</v>
      </c>
      <c r="N4" s="1669"/>
      <c r="O4" s="965"/>
      <c r="P4" s="965"/>
      <c r="AO4" s="302"/>
      <c r="AP4" s="302"/>
      <c r="AQ4" s="302"/>
      <c r="BE4" s="948"/>
    </row>
    <row r="5" spans="1:59" s="303" customFormat="1" ht="12.95" customHeight="1" thickTop="1" x14ac:dyDescent="0.2">
      <c r="A5" s="1720"/>
      <c r="B5" s="1757"/>
      <c r="C5" s="1757"/>
      <c r="D5" s="1757"/>
      <c r="E5" s="1757"/>
      <c r="F5" s="1757"/>
      <c r="G5" s="1757"/>
      <c r="H5" s="1757"/>
      <c r="I5" s="1757"/>
      <c r="J5" s="1757"/>
      <c r="K5" s="298"/>
      <c r="L5" s="298"/>
      <c r="M5" s="298"/>
      <c r="N5" s="298"/>
      <c r="O5" s="965"/>
      <c r="P5" s="965"/>
      <c r="AO5" s="302"/>
      <c r="AP5" s="302"/>
      <c r="AQ5" s="302"/>
      <c r="BE5" s="948"/>
    </row>
    <row r="6" spans="1:59" s="303" customFormat="1" ht="12.95" customHeight="1" x14ac:dyDescent="0.2">
      <c r="A6" s="298"/>
      <c r="B6" s="298"/>
      <c r="C6" s="298"/>
      <c r="D6" s="298"/>
      <c r="E6" s="298"/>
      <c r="F6" s="298"/>
      <c r="G6" s="298"/>
      <c r="H6" s="298"/>
      <c r="I6" s="298"/>
      <c r="J6" s="298"/>
      <c r="K6" s="298"/>
      <c r="L6" s="298"/>
      <c r="M6" s="1680" t="s">
        <v>20</v>
      </c>
      <c r="N6" s="1668"/>
      <c r="O6" s="966"/>
      <c r="P6" s="995" t="s">
        <v>705</v>
      </c>
      <c r="T6" s="576"/>
      <c r="AO6" s="302"/>
      <c r="AP6" s="302"/>
      <c r="AQ6" s="302"/>
      <c r="BE6" s="948"/>
    </row>
    <row r="7" spans="1:59" ht="12.95" customHeight="1" x14ac:dyDescent="0.2">
      <c r="A7" s="321" t="s">
        <v>805</v>
      </c>
      <c r="B7" s="322"/>
      <c r="C7" s="322"/>
      <c r="D7" s="322"/>
      <c r="E7" s="322"/>
      <c r="F7" s="322"/>
      <c r="G7" s="298"/>
      <c r="H7" s="298"/>
      <c r="I7" s="298"/>
      <c r="J7" s="298"/>
      <c r="K7" s="298"/>
      <c r="L7" s="298"/>
      <c r="M7" s="1679" t="s">
        <v>21</v>
      </c>
      <c r="N7" s="1107"/>
      <c r="O7" s="928"/>
      <c r="P7" s="143"/>
      <c r="U7" s="303"/>
      <c r="V7" s="573"/>
    </row>
    <row r="8" spans="1:59" ht="3.95" customHeight="1" x14ac:dyDescent="0.2">
      <c r="A8" s="322"/>
      <c r="B8" s="322"/>
      <c r="C8" s="322"/>
      <c r="D8" s="322"/>
      <c r="E8" s="322"/>
      <c r="F8" s="322"/>
      <c r="G8" s="322"/>
      <c r="H8" s="322"/>
      <c r="I8" s="322"/>
      <c r="J8" s="322"/>
      <c r="K8" s="322"/>
      <c r="L8" s="322"/>
      <c r="M8" s="322"/>
      <c r="N8" s="322"/>
      <c r="O8" s="928"/>
      <c r="P8" s="928"/>
    </row>
    <row r="9" spans="1:59" ht="12.6" customHeight="1" x14ac:dyDescent="0.2">
      <c r="A9" s="1674" t="s">
        <v>1</v>
      </c>
      <c r="B9" s="1699"/>
      <c r="C9" s="1699"/>
      <c r="D9" s="1699"/>
      <c r="E9" s="1699"/>
      <c r="F9" s="1699"/>
      <c r="G9" s="1699"/>
      <c r="H9" s="1700"/>
      <c r="I9" s="405"/>
      <c r="J9" s="1672" t="s">
        <v>2</v>
      </c>
      <c r="K9" s="1699"/>
      <c r="L9" s="1759"/>
      <c r="M9" s="1759"/>
      <c r="N9" s="1760"/>
      <c r="O9" s="967"/>
      <c r="P9" s="967"/>
      <c r="V9" s="574"/>
    </row>
    <row r="10" spans="1:59" ht="12.6" customHeight="1" x14ac:dyDescent="0.2">
      <c r="A10" s="1674" t="s">
        <v>3</v>
      </c>
      <c r="B10" s="1699"/>
      <c r="C10" s="1699"/>
      <c r="D10" s="1699"/>
      <c r="E10" s="1699"/>
      <c r="F10" s="1699"/>
      <c r="G10" s="1699"/>
      <c r="H10" s="1700"/>
      <c r="I10" s="1758" t="s">
        <v>22</v>
      </c>
      <c r="J10" s="1758"/>
      <c r="K10" s="1699"/>
      <c r="L10" s="1700"/>
      <c r="M10" s="1674" t="s">
        <v>23</v>
      </c>
      <c r="N10" s="1664"/>
      <c r="O10" s="967"/>
      <c r="P10" s="967"/>
      <c r="W10" s="575"/>
    </row>
    <row r="11" spans="1:59" ht="3.95" customHeight="1" x14ac:dyDescent="0.2">
      <c r="A11" s="999"/>
      <c r="B11" s="322"/>
      <c r="C11" s="322"/>
      <c r="D11" s="322"/>
      <c r="E11" s="322"/>
      <c r="F11" s="322"/>
      <c r="G11" s="322"/>
      <c r="H11" s="322"/>
      <c r="I11" s="322"/>
      <c r="J11" s="322"/>
      <c r="K11" s="322"/>
      <c r="L11" s="322"/>
      <c r="M11" s="322"/>
      <c r="N11" s="322"/>
      <c r="O11" s="965"/>
      <c r="P11" s="965"/>
    </row>
    <row r="12" spans="1:59" s="415" customFormat="1" ht="14.1" customHeight="1" x14ac:dyDescent="0.2">
      <c r="A12" s="1743" t="s">
        <v>68</v>
      </c>
      <c r="B12" s="1744"/>
      <c r="C12" s="1744"/>
      <c r="D12" s="1744"/>
      <c r="E12" s="1761"/>
      <c r="F12" s="1743" t="s">
        <v>49</v>
      </c>
      <c r="G12" s="1744"/>
      <c r="H12" s="1745"/>
      <c r="I12" s="1743" t="s">
        <v>50</v>
      </c>
      <c r="J12" s="1744"/>
      <c r="K12" s="1745"/>
      <c r="L12" s="1748" t="s">
        <v>51</v>
      </c>
      <c r="M12" s="1746" t="s">
        <v>392</v>
      </c>
      <c r="N12" s="1748" t="s">
        <v>52</v>
      </c>
      <c r="O12" s="998"/>
      <c r="P12" s="998"/>
      <c r="AO12" s="712" t="s">
        <v>570</v>
      </c>
      <c r="AP12" s="876" t="s">
        <v>138</v>
      </c>
      <c r="AQ12" s="1737" t="s">
        <v>752</v>
      </c>
      <c r="AR12" s="1738"/>
      <c r="AS12" s="1738"/>
      <c r="AT12" s="1738"/>
      <c r="AU12" s="1738"/>
      <c r="AV12" s="1738"/>
      <c r="AW12" s="1738"/>
      <c r="AX12" s="1738"/>
      <c r="AY12" s="1738"/>
      <c r="AZ12" s="1739"/>
      <c r="BA12" s="1739"/>
      <c r="BB12" s="1739"/>
      <c r="BC12" s="1740"/>
      <c r="BE12" s="1405"/>
    </row>
    <row r="13" spans="1:59" s="415" customFormat="1" ht="14.1" customHeight="1" x14ac:dyDescent="0.2">
      <c r="A13" s="958" t="s">
        <v>46</v>
      </c>
      <c r="B13" s="1671" t="s">
        <v>17</v>
      </c>
      <c r="C13" s="1671" t="s">
        <v>45</v>
      </c>
      <c r="D13" s="1671" t="s">
        <v>69</v>
      </c>
      <c r="E13" s="1240" t="s">
        <v>44</v>
      </c>
      <c r="F13" s="958" t="s">
        <v>47</v>
      </c>
      <c r="G13" s="1741" t="s">
        <v>48</v>
      </c>
      <c r="H13" s="1742"/>
      <c r="I13" s="958" t="s">
        <v>47</v>
      </c>
      <c r="J13" s="1741" t="s">
        <v>48</v>
      </c>
      <c r="K13" s="1742"/>
      <c r="L13" s="1762"/>
      <c r="M13" s="1747"/>
      <c r="N13" s="1749"/>
      <c r="O13" s="998"/>
      <c r="P13" s="1404" t="s">
        <v>789</v>
      </c>
      <c r="Q13" s="1255"/>
      <c r="R13" s="1402" t="s">
        <v>788</v>
      </c>
      <c r="AQ13" s="1256" t="s">
        <v>753</v>
      </c>
      <c r="AR13" s="1257" t="s">
        <v>754</v>
      </c>
      <c r="AS13" s="1257" t="s">
        <v>755</v>
      </c>
      <c r="AT13" s="1257" t="s">
        <v>768</v>
      </c>
      <c r="AU13" s="1257" t="s">
        <v>756</v>
      </c>
      <c r="AV13" s="1257" t="s">
        <v>764</v>
      </c>
      <c r="AW13" s="1257" t="s">
        <v>765</v>
      </c>
      <c r="AX13" s="1257" t="s">
        <v>757</v>
      </c>
      <c r="AY13" s="1257" t="s">
        <v>766</v>
      </c>
      <c r="AZ13" s="1257" t="s">
        <v>767</v>
      </c>
      <c r="BA13" s="1257" t="s">
        <v>758</v>
      </c>
      <c r="BB13" s="1257" t="s">
        <v>759</v>
      </c>
      <c r="BC13" s="1258" t="s">
        <v>760</v>
      </c>
      <c r="BD13" s="1255" t="s">
        <v>769</v>
      </c>
      <c r="BE13" s="1405"/>
    </row>
    <row r="14" spans="1:59" ht="14.1" customHeight="1" x14ac:dyDescent="0.2">
      <c r="A14" s="1378"/>
      <c r="B14" s="1379"/>
      <c r="C14" s="1379"/>
      <c r="D14" s="1379"/>
      <c r="E14" s="1380"/>
      <c r="F14" s="1381"/>
      <c r="G14" s="1382"/>
      <c r="H14" s="1383"/>
      <c r="I14" s="1381"/>
      <c r="J14" s="1382"/>
      <c r="K14" s="1383"/>
      <c r="L14" s="1384"/>
      <c r="M14" s="1385"/>
      <c r="N14" s="1667"/>
      <c r="O14" s="1527"/>
      <c r="P14" s="154" t="b">
        <f t="shared" ref="P14:P16" si="0">IF(ISERROR(VLOOKUP(AO14,BE:BE,1,FALSE)),FALSE,IF(AO14&lt;&gt;"",VLOOKUP(AO14,BE:BE,1,FALSE)=AO14))</f>
        <v>0</v>
      </c>
      <c r="R14" s="154" t="b">
        <f>OR(B14="CP",B14="CA", B14="AX",B14="M",B14="S")</f>
        <v>0</v>
      </c>
      <c r="S14" s="324">
        <v>1</v>
      </c>
      <c r="T14" s="324">
        <v>0</v>
      </c>
      <c r="U14" s="324">
        <v>0</v>
      </c>
      <c r="V14" s="324">
        <v>1</v>
      </c>
      <c r="W14" s="324">
        <v>0</v>
      </c>
      <c r="X14" s="324">
        <v>0</v>
      </c>
      <c r="Y14" s="324">
        <v>0</v>
      </c>
      <c r="Z14" s="324">
        <v>0</v>
      </c>
      <c r="AA14" s="324">
        <v>0</v>
      </c>
      <c r="AB14" s="324">
        <v>0</v>
      </c>
      <c r="AC14" s="324">
        <v>2</v>
      </c>
      <c r="AD14" s="324">
        <v>3</v>
      </c>
      <c r="AE14" s="324">
        <v>0</v>
      </c>
      <c r="AF14" s="324">
        <v>0</v>
      </c>
      <c r="AG14" s="324">
        <v>0</v>
      </c>
      <c r="AL14" s="154" t="b">
        <v>1</v>
      </c>
      <c r="AO14" s="143" t="str">
        <f>IF(ISBLANK(A14),"",SUBSTITUTE(A14,"*",""))</f>
        <v/>
      </c>
      <c r="AP14" s="877" t="b">
        <v>0</v>
      </c>
      <c r="AQ14" s="1236"/>
      <c r="AR14" s="1237"/>
      <c r="AS14" s="1237"/>
      <c r="AT14" s="1237"/>
      <c r="AU14" s="1237"/>
      <c r="AV14" s="1237"/>
      <c r="AW14" s="1237"/>
      <c r="AX14" s="1237"/>
      <c r="AY14" s="1237"/>
      <c r="AZ14" s="1237"/>
      <c r="BA14" s="1407"/>
      <c r="BB14" s="1407"/>
      <c r="BC14" s="1408"/>
    </row>
    <row r="15" spans="1:59" ht="14.1" customHeight="1" x14ac:dyDescent="0.2">
      <c r="A15" s="1386" t="s">
        <v>822</v>
      </c>
      <c r="B15" s="1387" t="s">
        <v>121</v>
      </c>
      <c r="C15" s="1387" t="s">
        <v>112</v>
      </c>
      <c r="D15" s="1387" t="s">
        <v>115</v>
      </c>
      <c r="E15" s="1388"/>
      <c r="F15" s="1389">
        <v>-2100</v>
      </c>
      <c r="G15" s="1390">
        <v>49</v>
      </c>
      <c r="H15" s="1391">
        <v>0</v>
      </c>
      <c r="I15" s="1389"/>
      <c r="J15" s="1390"/>
      <c r="K15" s="1391"/>
      <c r="L15" s="1392" t="s">
        <v>353</v>
      </c>
      <c r="M15" s="1393" t="s">
        <v>418</v>
      </c>
      <c r="N15" s="1665"/>
      <c r="O15" s="1527"/>
      <c r="P15" s="154" t="b">
        <f t="shared" si="0"/>
        <v>0</v>
      </c>
      <c r="R15" s="154" t="b">
        <f t="shared" ref="R15:R55" si="1">OR(B15="CP",B15="CA", B15="AX",B15="M",B15="S")</f>
        <v>0</v>
      </c>
      <c r="S15" s="500" t="s">
        <v>119</v>
      </c>
      <c r="T15" s="500" t="s">
        <v>114</v>
      </c>
      <c r="U15" s="500" t="s">
        <v>120</v>
      </c>
      <c r="V15" s="500" t="s">
        <v>118</v>
      </c>
      <c r="W15" s="500" t="s">
        <v>121</v>
      </c>
      <c r="X15" s="500" t="s">
        <v>122</v>
      </c>
      <c r="Y15" s="500" t="s">
        <v>123</v>
      </c>
      <c r="Z15" s="500" t="s">
        <v>116</v>
      </c>
      <c r="AA15" s="500" t="s">
        <v>124</v>
      </c>
      <c r="AB15" s="500" t="s">
        <v>125</v>
      </c>
      <c r="AC15" s="500" t="s">
        <v>91</v>
      </c>
      <c r="AD15" s="500" t="s">
        <v>126</v>
      </c>
      <c r="AE15" s="1501" t="s">
        <v>32</v>
      </c>
      <c r="AF15" s="1501" t="s">
        <v>819</v>
      </c>
      <c r="AG15" s="143"/>
      <c r="AH15" s="324">
        <v>0</v>
      </c>
      <c r="AI15" s="324">
        <v>1</v>
      </c>
      <c r="AJ15" s="324">
        <v>2</v>
      </c>
      <c r="AK15" s="324">
        <v>3</v>
      </c>
      <c r="AL15" s="324"/>
      <c r="AM15" s="324"/>
      <c r="AO15" s="143" t="str">
        <f>IF(ISBLANK(A15),AO14,SUBSTITUTE(A15,"*",""))</f>
        <v>330</v>
      </c>
      <c r="AP15" s="877" t="b">
        <v>0</v>
      </c>
      <c r="AQ15" s="1236"/>
      <c r="AR15" s="1237"/>
      <c r="AS15" s="1237"/>
      <c r="AT15" s="1237"/>
      <c r="AU15" s="1237"/>
      <c r="AV15" s="1237"/>
      <c r="AW15" s="1237"/>
      <c r="AX15" s="1237"/>
      <c r="AY15" s="1237"/>
      <c r="AZ15" s="1237"/>
      <c r="BA15" s="1407"/>
      <c r="BB15" s="1407"/>
      <c r="BC15" s="1408"/>
    </row>
    <row r="16" spans="1:59" ht="14.1" customHeight="1" x14ac:dyDescent="0.2">
      <c r="A16" s="1386" t="s">
        <v>827</v>
      </c>
      <c r="B16" s="1387" t="s">
        <v>121</v>
      </c>
      <c r="C16" s="1387" t="s">
        <v>112</v>
      </c>
      <c r="D16" s="1387" t="s">
        <v>115</v>
      </c>
      <c r="E16" s="1388"/>
      <c r="F16" s="1389">
        <v>-2000</v>
      </c>
      <c r="G16" s="1390">
        <v>49</v>
      </c>
      <c r="H16" s="1391">
        <v>0</v>
      </c>
      <c r="I16" s="1389"/>
      <c r="J16" s="1390"/>
      <c r="K16" s="1391"/>
      <c r="L16" s="1392" t="s">
        <v>353</v>
      </c>
      <c r="M16" s="1393" t="s">
        <v>418</v>
      </c>
      <c r="N16" s="1665"/>
      <c r="O16" s="1527"/>
      <c r="P16" s="154" t="b">
        <f t="shared" si="0"/>
        <v>0</v>
      </c>
      <c r="R16" s="154" t="b">
        <f t="shared" si="1"/>
        <v>0</v>
      </c>
      <c r="S16" s="500" t="s">
        <v>117</v>
      </c>
      <c r="T16" s="500" t="s">
        <v>112</v>
      </c>
      <c r="U16" s="500" t="s">
        <v>112</v>
      </c>
      <c r="V16" s="500" t="s">
        <v>117</v>
      </c>
      <c r="W16" s="500" t="s">
        <v>117</v>
      </c>
      <c r="X16" s="500" t="s">
        <v>117</v>
      </c>
      <c r="Y16" s="500" t="s">
        <v>117</v>
      </c>
      <c r="Z16" s="500" t="s">
        <v>117</v>
      </c>
      <c r="AA16" s="500" t="s">
        <v>117</v>
      </c>
      <c r="AB16" s="500" t="s">
        <v>117</v>
      </c>
      <c r="AC16" s="500" t="s">
        <v>117</v>
      </c>
      <c r="AD16" s="500" t="s">
        <v>117</v>
      </c>
      <c r="AE16" s="500" t="s">
        <v>117</v>
      </c>
      <c r="AF16" s="1501" t="s">
        <v>131</v>
      </c>
      <c r="AG16" s="143"/>
      <c r="AH16" s="143" t="s">
        <v>115</v>
      </c>
      <c r="AI16" s="143" t="s">
        <v>115</v>
      </c>
      <c r="AJ16" s="143" t="s">
        <v>136</v>
      </c>
      <c r="AK16" s="143" t="s">
        <v>115</v>
      </c>
      <c r="AL16" s="143" t="s">
        <v>353</v>
      </c>
      <c r="AM16" s="143" t="s">
        <v>353</v>
      </c>
      <c r="AN16" s="382" t="s">
        <v>393</v>
      </c>
      <c r="AO16" s="143" t="str">
        <f t="shared" ref="AO16:AO55" si="2">IF(ISBLANK(A16),AO15,SUBSTITUTE(A16,"*",""))</f>
        <v>340</v>
      </c>
      <c r="AP16" s="877" t="b">
        <v>0</v>
      </c>
      <c r="AQ16" s="1236"/>
      <c r="AR16" s="1237"/>
      <c r="AS16" s="1237"/>
      <c r="AT16" s="1237"/>
      <c r="AU16" s="1237"/>
      <c r="AV16" s="1237"/>
      <c r="AW16" s="1237"/>
      <c r="AX16" s="1237"/>
      <c r="AY16" s="1237"/>
      <c r="AZ16" s="1237"/>
      <c r="BA16" s="1407"/>
      <c r="BB16" s="1407"/>
      <c r="BC16" s="1408"/>
    </row>
    <row r="17" spans="1:55" ht="14.1" customHeight="1" x14ac:dyDescent="0.2">
      <c r="A17" s="1386"/>
      <c r="B17" s="1387"/>
      <c r="C17" s="1387"/>
      <c r="D17" s="1387"/>
      <c r="E17" s="1388"/>
      <c r="F17" s="1389"/>
      <c r="G17" s="1390"/>
      <c r="H17" s="1391"/>
      <c r="I17" s="1389"/>
      <c r="J17" s="1390"/>
      <c r="K17" s="1391"/>
      <c r="L17" s="1392"/>
      <c r="M17" s="1393"/>
      <c r="N17" s="1665"/>
      <c r="O17" s="1527"/>
      <c r="P17" s="154" t="b">
        <f>IF(ISERROR(VLOOKUP(AO17,BE:BE,1,FALSE)),FALSE,IF(AO17&lt;&gt;"",VLOOKUP(AO17,BE:BE,1,FALSE)=AO17))</f>
        <v>0</v>
      </c>
      <c r="R17" s="154" t="b">
        <f t="shared" si="1"/>
        <v>0</v>
      </c>
      <c r="S17" s="500" t="s">
        <v>130</v>
      </c>
      <c r="T17" s="500" t="s">
        <v>135</v>
      </c>
      <c r="U17" s="500" t="s">
        <v>135</v>
      </c>
      <c r="V17" s="500" t="s">
        <v>130</v>
      </c>
      <c r="W17" s="500" t="s">
        <v>130</v>
      </c>
      <c r="X17" s="500" t="s">
        <v>130</v>
      </c>
      <c r="Y17" s="500" t="s">
        <v>130</v>
      </c>
      <c r="Z17" s="500" t="s">
        <v>130</v>
      </c>
      <c r="AA17" s="500" t="s">
        <v>130</v>
      </c>
      <c r="AB17" s="500" t="s">
        <v>130</v>
      </c>
      <c r="AC17" s="500" t="s">
        <v>130</v>
      </c>
      <c r="AD17" s="500" t="s">
        <v>130</v>
      </c>
      <c r="AE17" s="500" t="s">
        <v>130</v>
      </c>
      <c r="AF17" s="143"/>
      <c r="AG17" s="143"/>
      <c r="AH17" s="143" t="s">
        <v>127</v>
      </c>
      <c r="AI17" s="143" t="s">
        <v>127</v>
      </c>
      <c r="AJ17" s="143" t="s">
        <v>137</v>
      </c>
      <c r="AK17" s="143"/>
      <c r="AL17" s="143" t="s">
        <v>354</v>
      </c>
      <c r="AM17" s="143" t="s">
        <v>355</v>
      </c>
      <c r="AN17" s="382" t="s">
        <v>394</v>
      </c>
      <c r="AO17" s="143" t="str">
        <f t="shared" si="2"/>
        <v>340</v>
      </c>
      <c r="AP17" s="877" t="b">
        <v>0</v>
      </c>
      <c r="AQ17" s="1236"/>
      <c r="AR17" s="1237"/>
      <c r="AS17" s="1237"/>
      <c r="AT17" s="1237"/>
      <c r="AU17" s="1237"/>
      <c r="AV17" s="1237"/>
      <c r="AW17" s="1237"/>
      <c r="AX17" s="1237"/>
      <c r="AY17" s="1237"/>
      <c r="AZ17" s="1237"/>
      <c r="BA17" s="1407"/>
      <c r="BB17" s="1407"/>
      <c r="BC17" s="1408"/>
    </row>
    <row r="18" spans="1:55" ht="14.1" customHeight="1" x14ac:dyDescent="0.2">
      <c r="A18" s="1386"/>
      <c r="B18" s="1387"/>
      <c r="C18" s="1387"/>
      <c r="D18" s="1387"/>
      <c r="E18" s="1388"/>
      <c r="F18" s="1389"/>
      <c r="G18" s="1390"/>
      <c r="H18" s="1391"/>
      <c r="I18" s="1389"/>
      <c r="J18" s="1390"/>
      <c r="K18" s="1391"/>
      <c r="L18" s="1392"/>
      <c r="M18" s="1393"/>
      <c r="N18" s="1665"/>
      <c r="O18" s="1527"/>
      <c r="P18" s="154" t="b">
        <f t="shared" ref="P18:P55" si="3">IF(ISERROR(VLOOKUP(AO18,BE:BE,1,FALSE)),FALSE,IF(AO18&lt;&gt;"",VLOOKUP(AO18,BE:BE,1,FALSE)=AO18))</f>
        <v>0</v>
      </c>
      <c r="R18" s="154" t="b">
        <f t="shared" si="1"/>
        <v>0</v>
      </c>
      <c r="S18" s="500" t="s">
        <v>131</v>
      </c>
      <c r="T18" s="143"/>
      <c r="U18" s="143"/>
      <c r="V18" s="500" t="s">
        <v>131</v>
      </c>
      <c r="W18" s="500" t="s">
        <v>131</v>
      </c>
      <c r="X18" s="500" t="s">
        <v>131</v>
      </c>
      <c r="Y18" s="500" t="s">
        <v>131</v>
      </c>
      <c r="Z18" s="500" t="s">
        <v>131</v>
      </c>
      <c r="AA18" s="500" t="s">
        <v>131</v>
      </c>
      <c r="AB18" s="500" t="s">
        <v>131</v>
      </c>
      <c r="AC18" s="500" t="s">
        <v>131</v>
      </c>
      <c r="AD18" s="500" t="s">
        <v>131</v>
      </c>
      <c r="AE18" s="500" t="s">
        <v>131</v>
      </c>
      <c r="AF18" s="143"/>
      <c r="AG18" s="143"/>
      <c r="AH18" s="143"/>
      <c r="AI18" s="143" t="s">
        <v>128</v>
      </c>
      <c r="AJ18" s="143" t="s">
        <v>113</v>
      </c>
      <c r="AK18" s="143"/>
      <c r="AL18" s="143" t="s">
        <v>355</v>
      </c>
      <c r="AM18" s="143" t="s">
        <v>357</v>
      </c>
      <c r="AN18" s="382" t="s">
        <v>395</v>
      </c>
      <c r="AO18" s="143" t="str">
        <f t="shared" si="2"/>
        <v>340</v>
      </c>
      <c r="AP18" s="877" t="b">
        <v>0</v>
      </c>
      <c r="AQ18" s="1236"/>
      <c r="AR18" s="1237"/>
      <c r="AS18" s="1237"/>
      <c r="AT18" s="1237"/>
      <c r="AU18" s="1237"/>
      <c r="AV18" s="1237"/>
      <c r="AW18" s="1237"/>
      <c r="AX18" s="1237"/>
      <c r="AY18" s="1237"/>
      <c r="AZ18" s="1237"/>
      <c r="BA18" s="1407"/>
      <c r="BB18" s="1407"/>
      <c r="BC18" s="1408"/>
    </row>
    <row r="19" spans="1:55" ht="14.1" customHeight="1" x14ac:dyDescent="0.2">
      <c r="A19" s="1386"/>
      <c r="B19" s="1387"/>
      <c r="C19" s="1387"/>
      <c r="D19" s="1387"/>
      <c r="E19" s="1388"/>
      <c r="F19" s="1389"/>
      <c r="G19" s="1390"/>
      <c r="H19" s="1391"/>
      <c r="I19" s="1389"/>
      <c r="J19" s="1390"/>
      <c r="K19" s="1391"/>
      <c r="L19" s="1392"/>
      <c r="M19" s="1393"/>
      <c r="N19" s="1665"/>
      <c r="O19" s="1527"/>
      <c r="P19" s="154" t="b">
        <f t="shared" si="3"/>
        <v>0</v>
      </c>
      <c r="R19" s="154" t="b">
        <f t="shared" si="1"/>
        <v>0</v>
      </c>
      <c r="S19" s="500" t="s">
        <v>112</v>
      </c>
      <c r="T19" s="143"/>
      <c r="U19" s="143"/>
      <c r="V19" s="500" t="s">
        <v>112</v>
      </c>
      <c r="W19" s="500" t="s">
        <v>112</v>
      </c>
      <c r="X19" s="500" t="s">
        <v>112</v>
      </c>
      <c r="Y19" s="500" t="s">
        <v>112</v>
      </c>
      <c r="Z19" s="500" t="s">
        <v>112</v>
      </c>
      <c r="AA19" s="500" t="s">
        <v>112</v>
      </c>
      <c r="AB19" s="500" t="s">
        <v>112</v>
      </c>
      <c r="AC19" s="500" t="s">
        <v>112</v>
      </c>
      <c r="AD19" s="500" t="s">
        <v>133</v>
      </c>
      <c r="AE19" s="500" t="s">
        <v>112</v>
      </c>
      <c r="AF19" s="143"/>
      <c r="AG19" s="143"/>
      <c r="AH19" s="143"/>
      <c r="AI19" s="143" t="s">
        <v>129</v>
      </c>
      <c r="AJ19" s="143"/>
      <c r="AK19" s="399"/>
      <c r="AL19" s="143" t="s">
        <v>356</v>
      </c>
      <c r="AM19" s="143" t="s">
        <v>358</v>
      </c>
      <c r="AN19" s="382" t="s">
        <v>396</v>
      </c>
      <c r="AO19" s="143" t="str">
        <f t="shared" si="2"/>
        <v>340</v>
      </c>
      <c r="AP19" s="877" t="b">
        <v>0</v>
      </c>
      <c r="AQ19" s="1236"/>
      <c r="AR19" s="1237"/>
      <c r="AS19" s="1237"/>
      <c r="AT19" s="1237"/>
      <c r="AU19" s="1237"/>
      <c r="AV19" s="1237"/>
      <c r="AW19" s="1237"/>
      <c r="AX19" s="1237"/>
      <c r="AY19" s="1237"/>
      <c r="AZ19" s="1237"/>
      <c r="BA19" s="1407"/>
      <c r="BB19" s="1407"/>
      <c r="BC19" s="1408"/>
    </row>
    <row r="20" spans="1:55" ht="14.1" customHeight="1" x14ac:dyDescent="0.2">
      <c r="A20" s="1386"/>
      <c r="B20" s="1387"/>
      <c r="C20" s="1387"/>
      <c r="D20" s="1387"/>
      <c r="E20" s="1388"/>
      <c r="F20" s="1389"/>
      <c r="G20" s="1390"/>
      <c r="H20" s="1391"/>
      <c r="I20" s="1389"/>
      <c r="J20" s="1390"/>
      <c r="K20" s="1391"/>
      <c r="L20" s="1392"/>
      <c r="M20" s="1393"/>
      <c r="N20" s="1394"/>
      <c r="O20" s="1528"/>
      <c r="P20" s="154" t="b">
        <f t="shared" si="3"/>
        <v>0</v>
      </c>
      <c r="R20" s="154" t="b">
        <f t="shared" si="1"/>
        <v>0</v>
      </c>
      <c r="S20" s="500" t="s">
        <v>132</v>
      </c>
      <c r="T20" s="143"/>
      <c r="U20" s="143"/>
      <c r="V20" s="500" t="s">
        <v>133</v>
      </c>
      <c r="W20" s="500" t="s">
        <v>133</v>
      </c>
      <c r="X20" s="500" t="s">
        <v>133</v>
      </c>
      <c r="Y20" s="500" t="s">
        <v>133</v>
      </c>
      <c r="Z20" s="500" t="s">
        <v>133</v>
      </c>
      <c r="AA20" s="500" t="s">
        <v>133</v>
      </c>
      <c r="AB20" s="500" t="s">
        <v>133</v>
      </c>
      <c r="AC20" s="500" t="s">
        <v>133</v>
      </c>
      <c r="AD20" s="143"/>
      <c r="AE20" s="1499" t="s">
        <v>132</v>
      </c>
      <c r="AF20" s="143"/>
      <c r="AG20" s="143"/>
      <c r="AH20" s="324"/>
      <c r="AI20" s="324"/>
      <c r="AJ20" s="324"/>
      <c r="AL20" s="143" t="s">
        <v>357</v>
      </c>
      <c r="AM20" s="143"/>
      <c r="AN20" s="382"/>
      <c r="AO20" s="143" t="str">
        <f t="shared" si="2"/>
        <v>340</v>
      </c>
      <c r="AP20" s="877" t="b">
        <v>0</v>
      </c>
      <c r="AQ20" s="1236"/>
      <c r="AR20" s="1237"/>
      <c r="AS20" s="1237"/>
      <c r="AT20" s="1237"/>
      <c r="AU20" s="1237"/>
      <c r="AV20" s="1237"/>
      <c r="AW20" s="1237"/>
      <c r="AX20" s="1237"/>
      <c r="AY20" s="1237"/>
      <c r="AZ20" s="1237"/>
      <c r="BA20" s="1407"/>
      <c r="BB20" s="1407"/>
      <c r="BC20" s="1408"/>
    </row>
    <row r="21" spans="1:55" ht="14.1" customHeight="1" x14ac:dyDescent="0.2">
      <c r="A21" s="1386"/>
      <c r="B21" s="1387"/>
      <c r="C21" s="1387"/>
      <c r="D21" s="1387"/>
      <c r="E21" s="1388"/>
      <c r="F21" s="1389"/>
      <c r="G21" s="1390"/>
      <c r="H21" s="1391"/>
      <c r="I21" s="1389"/>
      <c r="J21" s="1390"/>
      <c r="K21" s="1391"/>
      <c r="L21" s="1392"/>
      <c r="M21" s="1393"/>
      <c r="N21" s="1394"/>
      <c r="O21" s="1528"/>
      <c r="P21" s="154" t="b">
        <f t="shared" si="3"/>
        <v>0</v>
      </c>
      <c r="R21" s="154" t="b">
        <f t="shared" si="1"/>
        <v>0</v>
      </c>
      <c r="S21" s="500" t="s">
        <v>133</v>
      </c>
      <c r="T21" s="143"/>
      <c r="U21" s="143"/>
      <c r="V21" s="500" t="s">
        <v>135</v>
      </c>
      <c r="W21" s="500" t="s">
        <v>135</v>
      </c>
      <c r="X21" s="500" t="s">
        <v>135</v>
      </c>
      <c r="Y21" s="500" t="s">
        <v>135</v>
      </c>
      <c r="Z21" s="500" t="s">
        <v>135</v>
      </c>
      <c r="AA21" s="500" t="s">
        <v>135</v>
      </c>
      <c r="AB21" s="500" t="s">
        <v>135</v>
      </c>
      <c r="AC21" s="500" t="s">
        <v>135</v>
      </c>
      <c r="AD21" s="143"/>
      <c r="AE21" s="500" t="s">
        <v>133</v>
      </c>
      <c r="AF21" s="143"/>
      <c r="AG21" s="143"/>
      <c r="AH21" s="324"/>
      <c r="AI21" s="324"/>
      <c r="AJ21" s="324"/>
      <c r="AL21" s="143" t="s">
        <v>358</v>
      </c>
      <c r="AM21" s="143"/>
      <c r="AN21" s="382"/>
      <c r="AO21" s="143" t="str">
        <f t="shared" si="2"/>
        <v>340</v>
      </c>
      <c r="AP21" s="877" t="b">
        <v>0</v>
      </c>
      <c r="AQ21" s="1236"/>
      <c r="AR21" s="1237"/>
      <c r="AS21" s="1237"/>
      <c r="AT21" s="1237"/>
      <c r="AU21" s="1237"/>
      <c r="AV21" s="1237"/>
      <c r="AW21" s="1237"/>
      <c r="AX21" s="1237"/>
      <c r="AY21" s="1237"/>
      <c r="AZ21" s="1237"/>
      <c r="BA21" s="1407"/>
      <c r="BB21" s="1407"/>
      <c r="BC21" s="1408"/>
    </row>
    <row r="22" spans="1:55" ht="14.1" customHeight="1" x14ac:dyDescent="0.2">
      <c r="A22" s="1386"/>
      <c r="B22" s="1387"/>
      <c r="C22" s="1387"/>
      <c r="D22" s="1387"/>
      <c r="E22" s="1388"/>
      <c r="F22" s="1389"/>
      <c r="G22" s="1390"/>
      <c r="H22" s="1391"/>
      <c r="I22" s="1389"/>
      <c r="J22" s="1390"/>
      <c r="K22" s="1391"/>
      <c r="L22" s="1392"/>
      <c r="M22" s="1393"/>
      <c r="N22" s="1394"/>
      <c r="O22" s="1528"/>
      <c r="P22" s="154" t="b">
        <f t="shared" si="3"/>
        <v>0</v>
      </c>
      <c r="R22" s="154" t="b">
        <f t="shared" si="1"/>
        <v>0</v>
      </c>
      <c r="S22" s="500" t="s">
        <v>135</v>
      </c>
      <c r="T22" s="143"/>
      <c r="U22" s="143"/>
      <c r="V22" s="500" t="s">
        <v>134</v>
      </c>
      <c r="W22" s="500" t="s">
        <v>134</v>
      </c>
      <c r="X22" s="500" t="s">
        <v>134</v>
      </c>
      <c r="Y22" s="500" t="s">
        <v>134</v>
      </c>
      <c r="Z22" s="500" t="s">
        <v>134</v>
      </c>
      <c r="AA22" s="500" t="s">
        <v>134</v>
      </c>
      <c r="AB22" s="500" t="s">
        <v>134</v>
      </c>
      <c r="AC22" s="500" t="s">
        <v>134</v>
      </c>
      <c r="AD22" s="143"/>
      <c r="AE22" s="500" t="s">
        <v>135</v>
      </c>
      <c r="AF22" s="143"/>
      <c r="AG22" s="143"/>
      <c r="AH22" s="324"/>
      <c r="AI22" s="324"/>
      <c r="AJ22" s="324"/>
      <c r="AL22" s="143"/>
      <c r="AM22" s="143"/>
      <c r="AN22" s="382"/>
      <c r="AO22" s="143" t="str">
        <f t="shared" si="2"/>
        <v>340</v>
      </c>
      <c r="AP22" s="877" t="b">
        <v>0</v>
      </c>
      <c r="AQ22" s="1236"/>
      <c r="AR22" s="1237"/>
      <c r="AS22" s="1237"/>
      <c r="AT22" s="1237"/>
      <c r="AU22" s="1237"/>
      <c r="AV22" s="1237"/>
      <c r="AW22" s="1237"/>
      <c r="AX22" s="1237"/>
      <c r="AY22" s="1237"/>
      <c r="AZ22" s="1237"/>
      <c r="BA22" s="1407"/>
      <c r="BB22" s="1407"/>
      <c r="BC22" s="1408"/>
    </row>
    <row r="23" spans="1:55" ht="14.1" customHeight="1" x14ac:dyDescent="0.2">
      <c r="A23" s="1386"/>
      <c r="B23" s="1387"/>
      <c r="C23" s="1387"/>
      <c r="D23" s="1387"/>
      <c r="E23" s="1388"/>
      <c r="F23" s="1389"/>
      <c r="G23" s="1390"/>
      <c r="H23" s="1391"/>
      <c r="I23" s="1389"/>
      <c r="J23" s="1390"/>
      <c r="K23" s="1391"/>
      <c r="L23" s="1392"/>
      <c r="M23" s="1393"/>
      <c r="N23" s="1394"/>
      <c r="O23" s="1528"/>
      <c r="P23" s="154" t="b">
        <f t="shared" si="3"/>
        <v>0</v>
      </c>
      <c r="R23" s="154" t="b">
        <f t="shared" si="1"/>
        <v>0</v>
      </c>
      <c r="S23" s="500" t="s">
        <v>134</v>
      </c>
      <c r="T23" s="422"/>
      <c r="U23" s="422"/>
      <c r="V23" s="422"/>
      <c r="W23" s="422"/>
      <c r="X23" s="422"/>
      <c r="Y23" s="422"/>
      <c r="Z23" s="422"/>
      <c r="AA23" s="422"/>
      <c r="AB23" s="422"/>
      <c r="AC23" s="422"/>
      <c r="AD23" s="422"/>
      <c r="AE23" s="500" t="s">
        <v>134</v>
      </c>
      <c r="AF23" s="422"/>
      <c r="AG23" s="422"/>
      <c r="AH23" s="324"/>
      <c r="AI23" s="324"/>
      <c r="AJ23" s="324"/>
      <c r="AL23" s="143"/>
      <c r="AM23" s="143"/>
      <c r="AN23" s="382"/>
      <c r="AO23" s="143" t="str">
        <f t="shared" si="2"/>
        <v>340</v>
      </c>
      <c r="AP23" s="877" t="b">
        <v>0</v>
      </c>
      <c r="AQ23" s="1236"/>
      <c r="AR23" s="1237"/>
      <c r="AS23" s="1237"/>
      <c r="AT23" s="1237"/>
      <c r="AU23" s="1237"/>
      <c r="AV23" s="1237"/>
      <c r="AW23" s="1237"/>
      <c r="AX23" s="1237"/>
      <c r="AY23" s="1237"/>
      <c r="AZ23" s="1237"/>
      <c r="BA23" s="1407"/>
      <c r="BB23" s="1407"/>
      <c r="BC23" s="1408"/>
    </row>
    <row r="24" spans="1:55" ht="14.1" customHeight="1" x14ac:dyDescent="0.2">
      <c r="A24" s="1386"/>
      <c r="B24" s="1387"/>
      <c r="C24" s="1387"/>
      <c r="D24" s="1387"/>
      <c r="E24" s="1388"/>
      <c r="F24" s="1389"/>
      <c r="G24" s="1390"/>
      <c r="H24" s="1391"/>
      <c r="I24" s="1389"/>
      <c r="J24" s="1390"/>
      <c r="K24" s="1391"/>
      <c r="L24" s="1392"/>
      <c r="M24" s="1393"/>
      <c r="N24" s="1394"/>
      <c r="O24" s="1528"/>
      <c r="P24" s="154" t="b">
        <f t="shared" si="3"/>
        <v>0</v>
      </c>
      <c r="R24" s="154" t="b">
        <f t="shared" si="1"/>
        <v>0</v>
      </c>
      <c r="S24" s="422"/>
      <c r="T24" s="422"/>
      <c r="U24" s="422"/>
      <c r="V24" s="422"/>
      <c r="W24" s="422"/>
      <c r="X24" s="422"/>
      <c r="Y24" s="422"/>
      <c r="Z24" s="422"/>
      <c r="AA24" s="422"/>
      <c r="AB24" s="422"/>
      <c r="AC24" s="422"/>
      <c r="AD24" s="422"/>
      <c r="AE24" s="1500" t="s">
        <v>114</v>
      </c>
      <c r="AF24" s="422"/>
      <c r="AG24" s="422"/>
      <c r="AH24" s="324"/>
      <c r="AI24" s="324"/>
      <c r="AJ24" s="324"/>
      <c r="AL24" s="143"/>
      <c r="AM24" s="143"/>
      <c r="AN24" s="382"/>
      <c r="AO24" s="143" t="str">
        <f t="shared" si="2"/>
        <v>340</v>
      </c>
      <c r="AP24" s="877" t="b">
        <v>0</v>
      </c>
      <c r="AQ24" s="1236"/>
      <c r="AR24" s="1237"/>
      <c r="AS24" s="1237"/>
      <c r="AT24" s="1237"/>
      <c r="AU24" s="1237"/>
      <c r="AV24" s="1237"/>
      <c r="AW24" s="1237"/>
      <c r="AX24" s="1237"/>
      <c r="AY24" s="1237"/>
      <c r="AZ24" s="1237"/>
      <c r="BA24" s="1407"/>
      <c r="BB24" s="1407"/>
      <c r="BC24" s="1408"/>
    </row>
    <row r="25" spans="1:55" ht="14.1" customHeight="1" x14ac:dyDescent="0.2">
      <c r="A25" s="1386"/>
      <c r="B25" s="1387"/>
      <c r="C25" s="1387"/>
      <c r="D25" s="1387"/>
      <c r="E25" s="1388"/>
      <c r="F25" s="1389"/>
      <c r="G25" s="1390"/>
      <c r="H25" s="1391"/>
      <c r="I25" s="1389"/>
      <c r="J25" s="1390"/>
      <c r="K25" s="1391"/>
      <c r="L25" s="1392"/>
      <c r="M25" s="1393"/>
      <c r="N25" s="1394"/>
      <c r="O25" s="1528"/>
      <c r="P25" s="154" t="b">
        <f t="shared" si="3"/>
        <v>0</v>
      </c>
      <c r="R25" s="154" t="b">
        <f t="shared" si="1"/>
        <v>0</v>
      </c>
      <c r="S25" s="143"/>
      <c r="T25" s="143"/>
      <c r="U25" s="143"/>
      <c r="V25" s="143"/>
      <c r="W25" s="143"/>
      <c r="X25" s="143"/>
      <c r="Y25" s="143"/>
      <c r="Z25" s="143"/>
      <c r="AA25" s="143"/>
      <c r="AB25" s="143"/>
      <c r="AC25" s="143"/>
      <c r="AD25" s="143"/>
      <c r="AE25" s="1500" t="s">
        <v>120</v>
      </c>
      <c r="AF25" s="143"/>
      <c r="AG25" s="143"/>
      <c r="AH25" s="324"/>
      <c r="AI25" s="324"/>
      <c r="AJ25" s="324"/>
      <c r="AO25" s="143" t="str">
        <f t="shared" si="2"/>
        <v>340</v>
      </c>
      <c r="AP25" s="877" t="b">
        <v>0</v>
      </c>
      <c r="AQ25" s="1236"/>
      <c r="AR25" s="1237"/>
      <c r="AS25" s="1237"/>
      <c r="AT25" s="1237"/>
      <c r="AU25" s="1237"/>
      <c r="AV25" s="1237"/>
      <c r="AW25" s="1237"/>
      <c r="AX25" s="1237"/>
      <c r="AY25" s="1237"/>
      <c r="AZ25" s="1237"/>
      <c r="BA25" s="1407"/>
      <c r="BB25" s="1407"/>
      <c r="BC25" s="1408"/>
    </row>
    <row r="26" spans="1:55" ht="14.1" customHeight="1" x14ac:dyDescent="0.2">
      <c r="A26" s="1386"/>
      <c r="B26" s="1387"/>
      <c r="C26" s="1387"/>
      <c r="D26" s="1387"/>
      <c r="E26" s="1388"/>
      <c r="F26" s="1389"/>
      <c r="G26" s="1390"/>
      <c r="H26" s="1391"/>
      <c r="I26" s="1389"/>
      <c r="J26" s="1390"/>
      <c r="K26" s="1391"/>
      <c r="L26" s="1392"/>
      <c r="M26" s="1393"/>
      <c r="N26" s="1394"/>
      <c r="O26" s="1528"/>
      <c r="P26" s="154" t="b">
        <f t="shared" si="3"/>
        <v>0</v>
      </c>
      <c r="R26" s="154" t="b">
        <f t="shared" si="1"/>
        <v>0</v>
      </c>
      <c r="S26" s="143"/>
      <c r="T26" s="143"/>
      <c r="U26" s="143"/>
      <c r="V26" s="143"/>
      <c r="W26" s="143"/>
      <c r="X26" s="143"/>
      <c r="Y26" s="143"/>
      <c r="Z26" s="143"/>
      <c r="AA26" s="143"/>
      <c r="AB26" s="143"/>
      <c r="AC26" s="143"/>
      <c r="AD26" s="143"/>
      <c r="AE26" s="143"/>
      <c r="AF26" s="143"/>
      <c r="AG26" s="143"/>
      <c r="AH26" s="324"/>
      <c r="AI26" s="324"/>
      <c r="AJ26" s="324"/>
      <c r="AO26" s="143" t="str">
        <f t="shared" si="2"/>
        <v>340</v>
      </c>
      <c r="AP26" s="877" t="b">
        <v>0</v>
      </c>
      <c r="AQ26" s="1236"/>
      <c r="AR26" s="1237"/>
      <c r="AS26" s="1237"/>
      <c r="AT26" s="1237"/>
      <c r="AU26" s="1237"/>
      <c r="AV26" s="1237"/>
      <c r="AW26" s="1237"/>
      <c r="AX26" s="1237"/>
      <c r="AY26" s="1237"/>
      <c r="AZ26" s="1237"/>
      <c r="BA26" s="1407"/>
      <c r="BB26" s="1407"/>
      <c r="BC26" s="1408"/>
    </row>
    <row r="27" spans="1:55" ht="14.1" customHeight="1" x14ac:dyDescent="0.2">
      <c r="A27" s="1386"/>
      <c r="B27" s="1387"/>
      <c r="C27" s="1387"/>
      <c r="D27" s="1387"/>
      <c r="E27" s="1388"/>
      <c r="F27" s="1389"/>
      <c r="G27" s="1390"/>
      <c r="H27" s="1391"/>
      <c r="I27" s="1389"/>
      <c r="J27" s="1390"/>
      <c r="K27" s="1391"/>
      <c r="L27" s="1392"/>
      <c r="M27" s="1393"/>
      <c r="N27" s="1394"/>
      <c r="O27" s="1528"/>
      <c r="P27" s="154" t="b">
        <f t="shared" si="3"/>
        <v>0</v>
      </c>
      <c r="R27" s="154" t="b">
        <f t="shared" si="1"/>
        <v>0</v>
      </c>
      <c r="S27" s="143"/>
      <c r="T27" s="143"/>
      <c r="U27" s="143"/>
      <c r="V27" s="143"/>
      <c r="W27" s="143"/>
      <c r="X27" s="143"/>
      <c r="Y27" s="143"/>
      <c r="Z27" s="143"/>
      <c r="AA27" s="143"/>
      <c r="AB27" s="143"/>
      <c r="AC27" s="143"/>
      <c r="AD27" s="143"/>
      <c r="AE27" s="143"/>
      <c r="AF27" s="143"/>
      <c r="AG27" s="143"/>
      <c r="AH27" s="324"/>
      <c r="AI27" s="324"/>
      <c r="AJ27" s="324"/>
      <c r="AO27" s="143" t="str">
        <f t="shared" si="2"/>
        <v>340</v>
      </c>
      <c r="AP27" s="877" t="b">
        <v>0</v>
      </c>
      <c r="AQ27" s="1236"/>
      <c r="AR27" s="1237"/>
      <c r="AS27" s="1237"/>
      <c r="AT27" s="1237"/>
      <c r="AU27" s="1237"/>
      <c r="AV27" s="1237"/>
      <c r="AW27" s="1237"/>
      <c r="AX27" s="1237"/>
      <c r="AY27" s="1237"/>
      <c r="AZ27" s="1237"/>
      <c r="BA27" s="1407"/>
      <c r="BB27" s="1407"/>
      <c r="BC27" s="1408"/>
    </row>
    <row r="28" spans="1:55" ht="14.1" customHeight="1" x14ac:dyDescent="0.2">
      <c r="A28" s="1386"/>
      <c r="B28" s="1387"/>
      <c r="C28" s="1387"/>
      <c r="D28" s="1387"/>
      <c r="E28" s="1388"/>
      <c r="F28" s="1389"/>
      <c r="G28" s="1390"/>
      <c r="H28" s="1391"/>
      <c r="I28" s="1389"/>
      <c r="J28" s="1390"/>
      <c r="K28" s="1391"/>
      <c r="L28" s="1392"/>
      <c r="M28" s="1393"/>
      <c r="N28" s="1665"/>
      <c r="O28" s="1527"/>
      <c r="P28" s="154" t="b">
        <f t="shared" si="3"/>
        <v>0</v>
      </c>
      <c r="R28" s="154" t="b">
        <f t="shared" si="1"/>
        <v>0</v>
      </c>
      <c r="S28" s="143"/>
      <c r="T28" s="143"/>
      <c r="U28" s="143"/>
      <c r="V28" s="143"/>
      <c r="W28" s="143"/>
      <c r="X28" s="143"/>
      <c r="Y28" s="143"/>
      <c r="Z28" s="143"/>
      <c r="AA28" s="143"/>
      <c r="AB28" s="143"/>
      <c r="AC28" s="143"/>
      <c r="AD28" s="143"/>
      <c r="AE28" s="143"/>
      <c r="AF28" s="143"/>
      <c r="AG28" s="143"/>
      <c r="AH28" s="324"/>
      <c r="AI28" s="324"/>
      <c r="AJ28" s="324"/>
      <c r="AO28" s="143" t="str">
        <f t="shared" si="2"/>
        <v>340</v>
      </c>
      <c r="AP28" s="877" t="b">
        <v>0</v>
      </c>
      <c r="AQ28" s="1236"/>
      <c r="AR28" s="1237"/>
      <c r="AS28" s="1237"/>
      <c r="AT28" s="1237"/>
      <c r="AU28" s="1237"/>
      <c r="AV28" s="1237"/>
      <c r="AW28" s="1237"/>
      <c r="AX28" s="1237"/>
      <c r="AY28" s="1237"/>
      <c r="AZ28" s="1237"/>
      <c r="BA28" s="1407"/>
      <c r="BB28" s="1407"/>
      <c r="BC28" s="1408"/>
    </row>
    <row r="29" spans="1:55" ht="14.1" customHeight="1" x14ac:dyDescent="0.2">
      <c r="A29" s="1386"/>
      <c r="B29" s="1387"/>
      <c r="C29" s="1387"/>
      <c r="D29" s="1387"/>
      <c r="E29" s="1388"/>
      <c r="F29" s="1389"/>
      <c r="G29" s="1390"/>
      <c r="H29" s="1391"/>
      <c r="I29" s="1389"/>
      <c r="J29" s="1390"/>
      <c r="K29" s="1391"/>
      <c r="L29" s="1392"/>
      <c r="M29" s="1393"/>
      <c r="N29" s="1665"/>
      <c r="O29" s="1527"/>
      <c r="P29" s="154" t="b">
        <f t="shared" si="3"/>
        <v>0</v>
      </c>
      <c r="R29" s="154" t="b">
        <f t="shared" si="1"/>
        <v>0</v>
      </c>
      <c r="S29" s="143"/>
      <c r="T29" s="143"/>
      <c r="U29" s="143"/>
      <c r="V29" s="143"/>
      <c r="W29" s="143"/>
      <c r="X29" s="143"/>
      <c r="Y29" s="143"/>
      <c r="Z29" s="143"/>
      <c r="AA29" s="143"/>
      <c r="AB29" s="143"/>
      <c r="AC29" s="143"/>
      <c r="AD29" s="143"/>
      <c r="AE29" s="143"/>
      <c r="AF29" s="143"/>
      <c r="AG29" s="143"/>
      <c r="AH29" s="324"/>
      <c r="AI29" s="324"/>
      <c r="AJ29" s="324"/>
      <c r="AO29" s="143" t="str">
        <f t="shared" si="2"/>
        <v>340</v>
      </c>
      <c r="AP29" s="877" t="b">
        <v>0</v>
      </c>
      <c r="AQ29" s="1236"/>
      <c r="AR29" s="1237"/>
      <c r="AS29" s="1237"/>
      <c r="AT29" s="1237"/>
      <c r="AU29" s="1237"/>
      <c r="AV29" s="1237"/>
      <c r="AW29" s="1237"/>
      <c r="AX29" s="1237"/>
      <c r="AY29" s="1237"/>
      <c r="AZ29" s="1237"/>
      <c r="BA29" s="1407"/>
      <c r="BB29" s="1407"/>
      <c r="BC29" s="1408"/>
    </row>
    <row r="30" spans="1:55" ht="14.1" customHeight="1" x14ac:dyDescent="0.2">
      <c r="A30" s="1386"/>
      <c r="B30" s="1387"/>
      <c r="C30" s="1387"/>
      <c r="D30" s="1387"/>
      <c r="E30" s="1388"/>
      <c r="F30" s="1389"/>
      <c r="G30" s="1390"/>
      <c r="H30" s="1391"/>
      <c r="I30" s="1389"/>
      <c r="J30" s="1390"/>
      <c r="K30" s="1391"/>
      <c r="L30" s="1392"/>
      <c r="M30" s="1393"/>
      <c r="N30" s="1665"/>
      <c r="O30" s="1527"/>
      <c r="P30" s="154" t="b">
        <f t="shared" si="3"/>
        <v>0</v>
      </c>
      <c r="R30" s="154" t="b">
        <f t="shared" si="1"/>
        <v>0</v>
      </c>
      <c r="S30" s="523">
        <f t="shared" ref="S30:AN30" si="4">COUNTA(S16:S29)</f>
        <v>8</v>
      </c>
      <c r="T30" s="523">
        <f t="shared" si="4"/>
        <v>2</v>
      </c>
      <c r="U30" s="523">
        <f t="shared" si="4"/>
        <v>2</v>
      </c>
      <c r="V30" s="523">
        <f t="shared" si="4"/>
        <v>7</v>
      </c>
      <c r="W30" s="523">
        <f t="shared" si="4"/>
        <v>7</v>
      </c>
      <c r="X30" s="523">
        <f t="shared" si="4"/>
        <v>7</v>
      </c>
      <c r="Y30" s="523">
        <f t="shared" si="4"/>
        <v>7</v>
      </c>
      <c r="Z30" s="523">
        <f t="shared" si="4"/>
        <v>7</v>
      </c>
      <c r="AA30" s="523">
        <f t="shared" si="4"/>
        <v>7</v>
      </c>
      <c r="AB30" s="523">
        <f t="shared" si="4"/>
        <v>7</v>
      </c>
      <c r="AC30" s="523">
        <f t="shared" si="4"/>
        <v>7</v>
      </c>
      <c r="AD30" s="523">
        <f t="shared" si="4"/>
        <v>4</v>
      </c>
      <c r="AE30" s="523">
        <f t="shared" si="4"/>
        <v>10</v>
      </c>
      <c r="AF30" s="523">
        <f t="shared" si="4"/>
        <v>1</v>
      </c>
      <c r="AG30" s="523">
        <f t="shared" si="4"/>
        <v>0</v>
      </c>
      <c r="AH30" s="523">
        <f t="shared" si="4"/>
        <v>2</v>
      </c>
      <c r="AI30" s="523">
        <f t="shared" si="4"/>
        <v>4</v>
      </c>
      <c r="AJ30" s="523">
        <f t="shared" si="4"/>
        <v>3</v>
      </c>
      <c r="AK30" s="523">
        <f t="shared" si="4"/>
        <v>1</v>
      </c>
      <c r="AL30" s="523">
        <f t="shared" si="4"/>
        <v>6</v>
      </c>
      <c r="AM30" s="523">
        <f t="shared" si="4"/>
        <v>4</v>
      </c>
      <c r="AN30" s="523">
        <f t="shared" si="4"/>
        <v>4</v>
      </c>
      <c r="AO30" s="143" t="str">
        <f t="shared" si="2"/>
        <v>340</v>
      </c>
      <c r="AP30" s="877" t="b">
        <v>0</v>
      </c>
      <c r="AQ30" s="1236"/>
      <c r="AR30" s="1237"/>
      <c r="AS30" s="1237"/>
      <c r="AT30" s="1237"/>
      <c r="AU30" s="1237"/>
      <c r="AV30" s="1237"/>
      <c r="AW30" s="1237"/>
      <c r="AX30" s="1237"/>
      <c r="AY30" s="1237"/>
      <c r="AZ30" s="1237"/>
      <c r="BA30" s="1407"/>
      <c r="BB30" s="1407"/>
      <c r="BC30" s="1408"/>
    </row>
    <row r="31" spans="1:55" ht="14.1" customHeight="1" x14ac:dyDescent="0.2">
      <c r="A31" s="1386"/>
      <c r="B31" s="1387"/>
      <c r="C31" s="1387"/>
      <c r="D31" s="1387"/>
      <c r="E31" s="1388"/>
      <c r="F31" s="1389"/>
      <c r="G31" s="1390"/>
      <c r="H31" s="1391"/>
      <c r="I31" s="1389"/>
      <c r="J31" s="1390"/>
      <c r="K31" s="1391"/>
      <c r="L31" s="1392"/>
      <c r="M31" s="1392"/>
      <c r="N31" s="1665"/>
      <c r="O31" s="1527"/>
      <c r="P31" s="154" t="b">
        <f t="shared" si="3"/>
        <v>0</v>
      </c>
      <c r="R31" s="154" t="b">
        <f t="shared" si="1"/>
        <v>0</v>
      </c>
      <c r="AO31" s="143" t="str">
        <f t="shared" si="2"/>
        <v>340</v>
      </c>
      <c r="AP31" s="877" t="b">
        <v>0</v>
      </c>
      <c r="AQ31" s="1236"/>
      <c r="AR31" s="1237"/>
      <c r="AS31" s="1237"/>
      <c r="AT31" s="1237"/>
      <c r="AU31" s="1237"/>
      <c r="AV31" s="1237"/>
      <c r="AW31" s="1237"/>
      <c r="AX31" s="1237"/>
      <c r="AY31" s="1237"/>
      <c r="AZ31" s="1237"/>
      <c r="BA31" s="1407"/>
      <c r="BB31" s="1407"/>
      <c r="BC31" s="1408"/>
    </row>
    <row r="32" spans="1:55" ht="14.1" customHeight="1" x14ac:dyDescent="0.2">
      <c r="A32" s="1386"/>
      <c r="B32" s="1387"/>
      <c r="C32" s="1387"/>
      <c r="D32" s="1387"/>
      <c r="E32" s="1388"/>
      <c r="F32" s="1389"/>
      <c r="G32" s="1390"/>
      <c r="H32" s="1391"/>
      <c r="I32" s="1389"/>
      <c r="J32" s="1390"/>
      <c r="K32" s="1391"/>
      <c r="L32" s="1392"/>
      <c r="M32" s="1392"/>
      <c r="N32" s="1665"/>
      <c r="O32" s="1527"/>
      <c r="P32" s="154" t="b">
        <f t="shared" si="3"/>
        <v>0</v>
      </c>
      <c r="R32" s="154" t="b">
        <f t="shared" si="1"/>
        <v>0</v>
      </c>
      <c r="AO32" s="143" t="str">
        <f t="shared" si="2"/>
        <v>340</v>
      </c>
      <c r="AP32" s="877" t="b">
        <v>0</v>
      </c>
      <c r="AQ32" s="1236"/>
      <c r="AR32" s="1237"/>
      <c r="AS32" s="1237"/>
      <c r="AT32" s="1237"/>
      <c r="AU32" s="1237"/>
      <c r="AV32" s="1237"/>
      <c r="AW32" s="1237"/>
      <c r="AX32" s="1237"/>
      <c r="AY32" s="1237"/>
      <c r="AZ32" s="1237"/>
      <c r="BA32" s="1407"/>
      <c r="BB32" s="1407"/>
      <c r="BC32" s="1408"/>
    </row>
    <row r="33" spans="1:55" ht="14.1" customHeight="1" x14ac:dyDescent="0.2">
      <c r="A33" s="1386"/>
      <c r="B33" s="1387"/>
      <c r="C33" s="1387"/>
      <c r="D33" s="1387"/>
      <c r="E33" s="1388"/>
      <c r="F33" s="1389"/>
      <c r="G33" s="1390"/>
      <c r="H33" s="1391"/>
      <c r="I33" s="1389"/>
      <c r="J33" s="1390"/>
      <c r="K33" s="1391"/>
      <c r="L33" s="1392"/>
      <c r="M33" s="1392"/>
      <c r="N33" s="1665"/>
      <c r="O33" s="1527"/>
      <c r="P33" s="154" t="b">
        <f t="shared" si="3"/>
        <v>0</v>
      </c>
      <c r="R33" s="154" t="b">
        <f t="shared" si="1"/>
        <v>0</v>
      </c>
      <c r="AO33" s="143" t="str">
        <f t="shared" si="2"/>
        <v>340</v>
      </c>
      <c r="AP33" s="877" t="b">
        <v>0</v>
      </c>
      <c r="AQ33" s="1236"/>
      <c r="AR33" s="1237"/>
      <c r="AS33" s="1237"/>
      <c r="AT33" s="1237"/>
      <c r="AU33" s="1237"/>
      <c r="AV33" s="1237"/>
      <c r="AW33" s="1237"/>
      <c r="AX33" s="1237"/>
      <c r="AY33" s="1237"/>
      <c r="AZ33" s="1237"/>
      <c r="BA33" s="1407"/>
      <c r="BB33" s="1407"/>
      <c r="BC33" s="1408"/>
    </row>
    <row r="34" spans="1:55" ht="14.1" customHeight="1" x14ac:dyDescent="0.2">
      <c r="A34" s="1386"/>
      <c r="B34" s="1387"/>
      <c r="C34" s="1387"/>
      <c r="D34" s="1387"/>
      <c r="E34" s="1388"/>
      <c r="F34" s="1389"/>
      <c r="G34" s="1390"/>
      <c r="H34" s="1391"/>
      <c r="I34" s="1389"/>
      <c r="J34" s="1390"/>
      <c r="K34" s="1391"/>
      <c r="L34" s="1392"/>
      <c r="M34" s="1392"/>
      <c r="N34" s="1665"/>
      <c r="O34" s="1527"/>
      <c r="P34" s="154" t="b">
        <f t="shared" si="3"/>
        <v>0</v>
      </c>
      <c r="R34" s="154" t="b">
        <f t="shared" si="1"/>
        <v>0</v>
      </c>
      <c r="AO34" s="143" t="str">
        <f t="shared" si="2"/>
        <v>340</v>
      </c>
      <c r="AP34" s="877" t="b">
        <v>0</v>
      </c>
      <c r="AQ34" s="1236"/>
      <c r="AR34" s="1237"/>
      <c r="AS34" s="1237"/>
      <c r="AT34" s="1237"/>
      <c r="AU34" s="1237"/>
      <c r="AV34" s="1237"/>
      <c r="AW34" s="1237"/>
      <c r="AX34" s="1237"/>
      <c r="AY34" s="1237"/>
      <c r="AZ34" s="1237"/>
      <c r="BA34" s="1407"/>
      <c r="BB34" s="1407"/>
      <c r="BC34" s="1408"/>
    </row>
    <row r="35" spans="1:55" ht="14.1" customHeight="1" x14ac:dyDescent="0.2">
      <c r="A35" s="1386"/>
      <c r="B35" s="1387"/>
      <c r="C35" s="1387"/>
      <c r="D35" s="1387"/>
      <c r="E35" s="1388"/>
      <c r="F35" s="1389"/>
      <c r="G35" s="1390"/>
      <c r="H35" s="1391"/>
      <c r="I35" s="1389"/>
      <c r="J35" s="1390"/>
      <c r="K35" s="1391"/>
      <c r="L35" s="1392"/>
      <c r="M35" s="1392"/>
      <c r="N35" s="1665"/>
      <c r="O35" s="1527"/>
      <c r="P35" s="154" t="b">
        <f t="shared" si="3"/>
        <v>0</v>
      </c>
      <c r="R35" s="154" t="b">
        <f t="shared" si="1"/>
        <v>0</v>
      </c>
      <c r="AO35" s="143" t="str">
        <f t="shared" si="2"/>
        <v>340</v>
      </c>
      <c r="AP35" s="877" t="b">
        <v>0</v>
      </c>
      <c r="AQ35" s="1236"/>
      <c r="AR35" s="1237"/>
      <c r="AS35" s="1237"/>
      <c r="AT35" s="1237"/>
      <c r="AU35" s="1237"/>
      <c r="AV35" s="1237"/>
      <c r="AW35" s="1237"/>
      <c r="AX35" s="1237"/>
      <c r="AY35" s="1237"/>
      <c r="AZ35" s="1237"/>
      <c r="BA35" s="1407"/>
      <c r="BB35" s="1407"/>
      <c r="BC35" s="1408"/>
    </row>
    <row r="36" spans="1:55" ht="14.1" customHeight="1" x14ac:dyDescent="0.2">
      <c r="A36" s="1386"/>
      <c r="B36" s="1387"/>
      <c r="C36" s="1387"/>
      <c r="D36" s="1387"/>
      <c r="E36" s="1388"/>
      <c r="F36" s="1389"/>
      <c r="G36" s="1390"/>
      <c r="H36" s="1391"/>
      <c r="I36" s="1389"/>
      <c r="J36" s="1390"/>
      <c r="K36" s="1391"/>
      <c r="L36" s="1392"/>
      <c r="M36" s="1392"/>
      <c r="N36" s="1665"/>
      <c r="O36" s="1527"/>
      <c r="P36" s="154" t="b">
        <f t="shared" si="3"/>
        <v>0</v>
      </c>
      <c r="R36" s="154" t="b">
        <f t="shared" si="1"/>
        <v>0</v>
      </c>
      <c r="AO36" s="143" t="str">
        <f t="shared" si="2"/>
        <v>340</v>
      </c>
      <c r="AP36" s="877" t="b">
        <v>0</v>
      </c>
      <c r="AQ36" s="1236"/>
      <c r="AR36" s="1237"/>
      <c r="AS36" s="1237"/>
      <c r="AT36" s="1237"/>
      <c r="AU36" s="1237"/>
      <c r="AV36" s="1237"/>
      <c r="AW36" s="1237"/>
      <c r="AX36" s="1237"/>
      <c r="AY36" s="1237"/>
      <c r="AZ36" s="1237"/>
      <c r="BA36" s="1407"/>
      <c r="BB36" s="1407"/>
      <c r="BC36" s="1408"/>
    </row>
    <row r="37" spans="1:55" ht="14.1" customHeight="1" x14ac:dyDescent="0.2">
      <c r="A37" s="1386"/>
      <c r="B37" s="1387"/>
      <c r="C37" s="1387"/>
      <c r="D37" s="1387"/>
      <c r="E37" s="1388"/>
      <c r="F37" s="1389"/>
      <c r="G37" s="1390"/>
      <c r="H37" s="1391"/>
      <c r="I37" s="1389"/>
      <c r="J37" s="1390"/>
      <c r="K37" s="1391"/>
      <c r="L37" s="1392"/>
      <c r="M37" s="1392"/>
      <c r="N37" s="1665"/>
      <c r="O37" s="1527"/>
      <c r="P37" s="154" t="b">
        <f t="shared" si="3"/>
        <v>0</v>
      </c>
      <c r="R37" s="154" t="b">
        <f t="shared" si="1"/>
        <v>0</v>
      </c>
      <c r="AO37" s="143" t="str">
        <f t="shared" si="2"/>
        <v>340</v>
      </c>
      <c r="AP37" s="877" t="b">
        <v>0</v>
      </c>
      <c r="AQ37" s="1236"/>
      <c r="AR37" s="1237"/>
      <c r="AS37" s="1237"/>
      <c r="AT37" s="1237"/>
      <c r="AU37" s="1237"/>
      <c r="AV37" s="1237"/>
      <c r="AW37" s="1237"/>
      <c r="AX37" s="1237"/>
      <c r="AY37" s="1237"/>
      <c r="AZ37" s="1237"/>
      <c r="BA37" s="1407"/>
      <c r="BB37" s="1407"/>
      <c r="BC37" s="1408"/>
    </row>
    <row r="38" spans="1:55" ht="14.1" customHeight="1" x14ac:dyDescent="0.2">
      <c r="A38" s="1386"/>
      <c r="B38" s="1387"/>
      <c r="C38" s="1387"/>
      <c r="D38" s="1387"/>
      <c r="E38" s="1388"/>
      <c r="F38" s="1389"/>
      <c r="G38" s="1390"/>
      <c r="H38" s="1391"/>
      <c r="I38" s="1389"/>
      <c r="J38" s="1390"/>
      <c r="K38" s="1391"/>
      <c r="L38" s="1392"/>
      <c r="M38" s="1392"/>
      <c r="N38" s="1665"/>
      <c r="O38" s="1527"/>
      <c r="P38" s="154" t="b">
        <f t="shared" si="3"/>
        <v>0</v>
      </c>
      <c r="R38" s="154" t="b">
        <f t="shared" si="1"/>
        <v>0</v>
      </c>
      <c r="AO38" s="143" t="str">
        <f t="shared" si="2"/>
        <v>340</v>
      </c>
      <c r="AP38" s="877" t="b">
        <v>0</v>
      </c>
      <c r="AQ38" s="1236"/>
      <c r="AR38" s="1237"/>
      <c r="AS38" s="1237"/>
      <c r="AT38" s="1237"/>
      <c r="AU38" s="1237"/>
      <c r="AV38" s="1237"/>
      <c r="AW38" s="1237"/>
      <c r="AX38" s="1237"/>
      <c r="AY38" s="1237"/>
      <c r="AZ38" s="1237"/>
      <c r="BA38" s="1407"/>
      <c r="BB38" s="1407"/>
      <c r="BC38" s="1408"/>
    </row>
    <row r="39" spans="1:55" ht="14.1" customHeight="1" x14ac:dyDescent="0.2">
      <c r="A39" s="1386"/>
      <c r="B39" s="1387"/>
      <c r="C39" s="1387"/>
      <c r="D39" s="1387"/>
      <c r="E39" s="1388"/>
      <c r="F39" s="1389"/>
      <c r="G39" s="1390"/>
      <c r="H39" s="1391"/>
      <c r="I39" s="1389"/>
      <c r="J39" s="1390"/>
      <c r="K39" s="1391"/>
      <c r="L39" s="1392"/>
      <c r="M39" s="1392"/>
      <c r="N39" s="1665"/>
      <c r="O39" s="1527"/>
      <c r="P39" s="154" t="b">
        <f t="shared" si="3"/>
        <v>0</v>
      </c>
      <c r="R39" s="154" t="b">
        <f t="shared" si="1"/>
        <v>0</v>
      </c>
      <c r="AO39" s="143" t="str">
        <f t="shared" si="2"/>
        <v>340</v>
      </c>
      <c r="AP39" s="877" t="b">
        <v>0</v>
      </c>
      <c r="AQ39" s="1236"/>
      <c r="AR39" s="1237"/>
      <c r="AS39" s="1237"/>
      <c r="AT39" s="1237"/>
      <c r="AU39" s="1237"/>
      <c r="AV39" s="1237"/>
      <c r="AW39" s="1237"/>
      <c r="AX39" s="1237"/>
      <c r="AY39" s="1237"/>
      <c r="AZ39" s="1237"/>
      <c r="BA39" s="1407"/>
      <c r="BB39" s="1407"/>
      <c r="BC39" s="1408"/>
    </row>
    <row r="40" spans="1:55" ht="14.1" customHeight="1" x14ac:dyDescent="0.2">
      <c r="A40" s="1386"/>
      <c r="B40" s="1387"/>
      <c r="C40" s="1387"/>
      <c r="D40" s="1387"/>
      <c r="E40" s="1388"/>
      <c r="F40" s="1389"/>
      <c r="G40" s="1390"/>
      <c r="H40" s="1391"/>
      <c r="I40" s="1389"/>
      <c r="J40" s="1390"/>
      <c r="K40" s="1391"/>
      <c r="L40" s="1392"/>
      <c r="M40" s="1392"/>
      <c r="N40" s="1665"/>
      <c r="O40" s="1527"/>
      <c r="P40" s="154" t="b">
        <f t="shared" si="3"/>
        <v>0</v>
      </c>
      <c r="R40" s="154" t="b">
        <f t="shared" si="1"/>
        <v>0</v>
      </c>
      <c r="AO40" s="143" t="str">
        <f t="shared" si="2"/>
        <v>340</v>
      </c>
      <c r="AP40" s="877" t="b">
        <v>0</v>
      </c>
      <c r="AQ40" s="1236"/>
      <c r="AR40" s="1237"/>
      <c r="AS40" s="1237"/>
      <c r="AT40" s="1237"/>
      <c r="AU40" s="1237"/>
      <c r="AV40" s="1237"/>
      <c r="AW40" s="1237"/>
      <c r="AX40" s="1237"/>
      <c r="AY40" s="1237"/>
      <c r="AZ40" s="1237"/>
      <c r="BA40" s="1407"/>
      <c r="BB40" s="1407"/>
      <c r="BC40" s="1408"/>
    </row>
    <row r="41" spans="1:55" ht="14.1" customHeight="1" x14ac:dyDescent="0.2">
      <c r="A41" s="1386"/>
      <c r="B41" s="1387"/>
      <c r="C41" s="1387"/>
      <c r="D41" s="1387"/>
      <c r="E41" s="1388"/>
      <c r="F41" s="1389"/>
      <c r="G41" s="1390"/>
      <c r="H41" s="1391"/>
      <c r="I41" s="1389"/>
      <c r="J41" s="1390"/>
      <c r="K41" s="1391"/>
      <c r="L41" s="1392"/>
      <c r="M41" s="1392"/>
      <c r="N41" s="1665"/>
      <c r="O41" s="1527"/>
      <c r="P41" s="154" t="b">
        <f t="shared" si="3"/>
        <v>0</v>
      </c>
      <c r="R41" s="154" t="b">
        <f t="shared" si="1"/>
        <v>0</v>
      </c>
      <c r="AO41" s="143" t="str">
        <f t="shared" si="2"/>
        <v>340</v>
      </c>
      <c r="AP41" s="877" t="b">
        <v>0</v>
      </c>
      <c r="AQ41" s="1236"/>
      <c r="AR41" s="1237"/>
      <c r="AS41" s="1237"/>
      <c r="AT41" s="1237"/>
      <c r="AU41" s="1237"/>
      <c r="AV41" s="1237"/>
      <c r="AW41" s="1237"/>
      <c r="AX41" s="1237"/>
      <c r="AY41" s="1237"/>
      <c r="AZ41" s="1237"/>
      <c r="BA41" s="1407"/>
      <c r="BB41" s="1407"/>
      <c r="BC41" s="1408"/>
    </row>
    <row r="42" spans="1:55" ht="14.1" customHeight="1" x14ac:dyDescent="0.2">
      <c r="A42" s="1386"/>
      <c r="B42" s="1387"/>
      <c r="C42" s="1387"/>
      <c r="D42" s="1387"/>
      <c r="E42" s="1388"/>
      <c r="F42" s="1389"/>
      <c r="G42" s="1390"/>
      <c r="H42" s="1391"/>
      <c r="I42" s="1389"/>
      <c r="J42" s="1390"/>
      <c r="K42" s="1391"/>
      <c r="L42" s="1392"/>
      <c r="M42" s="1392"/>
      <c r="N42" s="1665"/>
      <c r="O42" s="1527"/>
      <c r="P42" s="154" t="b">
        <f t="shared" si="3"/>
        <v>0</v>
      </c>
      <c r="R42" s="154" t="b">
        <f t="shared" si="1"/>
        <v>0</v>
      </c>
      <c r="AO42" s="143" t="str">
        <f t="shared" si="2"/>
        <v>340</v>
      </c>
      <c r="AP42" s="877" t="b">
        <v>0</v>
      </c>
      <c r="AQ42" s="1236"/>
      <c r="AR42" s="1237"/>
      <c r="AS42" s="1237"/>
      <c r="AT42" s="1237"/>
      <c r="AU42" s="1237"/>
      <c r="AV42" s="1237"/>
      <c r="AW42" s="1237"/>
      <c r="AX42" s="1237"/>
      <c r="AY42" s="1237"/>
      <c r="AZ42" s="1237"/>
      <c r="BA42" s="1407"/>
      <c r="BB42" s="1407"/>
      <c r="BC42" s="1408"/>
    </row>
    <row r="43" spans="1:55" ht="14.1" customHeight="1" x14ac:dyDescent="0.2">
      <c r="A43" s="1386"/>
      <c r="B43" s="1387"/>
      <c r="C43" s="1387"/>
      <c r="D43" s="1387"/>
      <c r="E43" s="1388"/>
      <c r="F43" s="1389"/>
      <c r="G43" s="1390"/>
      <c r="H43" s="1391"/>
      <c r="I43" s="1389"/>
      <c r="J43" s="1390"/>
      <c r="K43" s="1391"/>
      <c r="L43" s="1392"/>
      <c r="M43" s="1392"/>
      <c r="N43" s="1665"/>
      <c r="O43" s="1527"/>
      <c r="P43" s="154" t="b">
        <f t="shared" si="3"/>
        <v>0</v>
      </c>
      <c r="R43" s="154" t="b">
        <f t="shared" si="1"/>
        <v>0</v>
      </c>
      <c r="AO43" s="143" t="str">
        <f t="shared" si="2"/>
        <v>340</v>
      </c>
      <c r="AP43" s="877" t="b">
        <v>0</v>
      </c>
      <c r="AQ43" s="1236"/>
      <c r="AR43" s="1237"/>
      <c r="AS43" s="1237"/>
      <c r="AT43" s="1237"/>
      <c r="AU43" s="1237"/>
      <c r="AV43" s="1237"/>
      <c r="AW43" s="1237"/>
      <c r="AX43" s="1237"/>
      <c r="AY43" s="1237"/>
      <c r="AZ43" s="1237"/>
      <c r="BA43" s="1407"/>
      <c r="BB43" s="1407"/>
      <c r="BC43" s="1408"/>
    </row>
    <row r="44" spans="1:55" ht="14.1" customHeight="1" x14ac:dyDescent="0.2">
      <c r="A44" s="1386"/>
      <c r="B44" s="1387"/>
      <c r="C44" s="1387"/>
      <c r="D44" s="1387"/>
      <c r="E44" s="1388"/>
      <c r="F44" s="1389"/>
      <c r="G44" s="1390"/>
      <c r="H44" s="1391"/>
      <c r="I44" s="1389"/>
      <c r="J44" s="1390"/>
      <c r="K44" s="1391"/>
      <c r="L44" s="1392"/>
      <c r="M44" s="1392"/>
      <c r="N44" s="1665"/>
      <c r="O44" s="1527"/>
      <c r="P44" s="154" t="b">
        <f t="shared" si="3"/>
        <v>0</v>
      </c>
      <c r="R44" s="154" t="b">
        <f t="shared" si="1"/>
        <v>0</v>
      </c>
      <c r="AO44" s="143" t="str">
        <f t="shared" si="2"/>
        <v>340</v>
      </c>
      <c r="AP44" s="877" t="b">
        <v>0</v>
      </c>
      <c r="AQ44" s="1236"/>
      <c r="AR44" s="1237"/>
      <c r="AS44" s="1237"/>
      <c r="AT44" s="1237"/>
      <c r="AU44" s="1237"/>
      <c r="AV44" s="1237"/>
      <c r="AW44" s="1237"/>
      <c r="AX44" s="1237"/>
      <c r="AY44" s="1237"/>
      <c r="AZ44" s="1237"/>
      <c r="BA44" s="1407"/>
      <c r="BB44" s="1407"/>
      <c r="BC44" s="1408"/>
    </row>
    <row r="45" spans="1:55" ht="14.1" customHeight="1" x14ac:dyDescent="0.2">
      <c r="A45" s="1386"/>
      <c r="B45" s="1387"/>
      <c r="C45" s="1387"/>
      <c r="D45" s="1387"/>
      <c r="E45" s="1388"/>
      <c r="F45" s="1389"/>
      <c r="G45" s="1390"/>
      <c r="H45" s="1391"/>
      <c r="I45" s="1389"/>
      <c r="J45" s="1390"/>
      <c r="K45" s="1391"/>
      <c r="L45" s="1392"/>
      <c r="M45" s="1392"/>
      <c r="N45" s="1665"/>
      <c r="O45" s="1527"/>
      <c r="P45" s="154" t="b">
        <f t="shared" si="3"/>
        <v>0</v>
      </c>
      <c r="R45" s="154" t="b">
        <f t="shared" si="1"/>
        <v>0</v>
      </c>
      <c r="AO45" s="143" t="str">
        <f t="shared" si="2"/>
        <v>340</v>
      </c>
      <c r="AP45" s="877" t="b">
        <v>0</v>
      </c>
      <c r="AQ45" s="1236"/>
      <c r="AR45" s="1237"/>
      <c r="AS45" s="1237"/>
      <c r="AT45" s="1237"/>
      <c r="AU45" s="1237"/>
      <c r="AV45" s="1237"/>
      <c r="AW45" s="1237"/>
      <c r="AX45" s="1237"/>
      <c r="AY45" s="1237"/>
      <c r="AZ45" s="1237"/>
      <c r="BA45" s="1407"/>
      <c r="BB45" s="1407"/>
      <c r="BC45" s="1408"/>
    </row>
    <row r="46" spans="1:55" ht="14.1" customHeight="1" x14ac:dyDescent="0.2">
      <c r="A46" s="1386"/>
      <c r="B46" s="1387"/>
      <c r="C46" s="1387"/>
      <c r="D46" s="1387"/>
      <c r="E46" s="1388"/>
      <c r="F46" s="1389"/>
      <c r="G46" s="1390"/>
      <c r="H46" s="1391"/>
      <c r="I46" s="1389"/>
      <c r="J46" s="1390"/>
      <c r="K46" s="1391"/>
      <c r="L46" s="1392"/>
      <c r="M46" s="1392"/>
      <c r="N46" s="1665"/>
      <c r="O46" s="1527"/>
      <c r="P46" s="154" t="b">
        <f t="shared" si="3"/>
        <v>0</v>
      </c>
      <c r="R46" s="154" t="b">
        <f t="shared" si="1"/>
        <v>0</v>
      </c>
      <c r="AO46" s="143" t="str">
        <f t="shared" si="2"/>
        <v>340</v>
      </c>
      <c r="AP46" s="877" t="b">
        <v>0</v>
      </c>
      <c r="AQ46" s="1236"/>
      <c r="AR46" s="1237"/>
      <c r="AS46" s="1237"/>
      <c r="AT46" s="1237"/>
      <c r="AU46" s="1237"/>
      <c r="AV46" s="1237"/>
      <c r="AW46" s="1237"/>
      <c r="AX46" s="1237"/>
      <c r="AY46" s="1237"/>
      <c r="AZ46" s="1237"/>
      <c r="BA46" s="1407"/>
      <c r="BB46" s="1407"/>
      <c r="BC46" s="1408"/>
    </row>
    <row r="47" spans="1:55" ht="14.1" customHeight="1" x14ac:dyDescent="0.2">
      <c r="A47" s="1386"/>
      <c r="B47" s="1387"/>
      <c r="C47" s="1387"/>
      <c r="D47" s="1387"/>
      <c r="E47" s="1388"/>
      <c r="F47" s="1389"/>
      <c r="G47" s="1390"/>
      <c r="H47" s="1391"/>
      <c r="I47" s="1389"/>
      <c r="J47" s="1390"/>
      <c r="K47" s="1391"/>
      <c r="L47" s="1392"/>
      <c r="M47" s="1392"/>
      <c r="N47" s="1665"/>
      <c r="O47" s="1527"/>
      <c r="P47" s="154" t="b">
        <f t="shared" si="3"/>
        <v>0</v>
      </c>
      <c r="R47" s="154" t="b">
        <f t="shared" si="1"/>
        <v>0</v>
      </c>
      <c r="AO47" s="143" t="str">
        <f t="shared" si="2"/>
        <v>340</v>
      </c>
      <c r="AP47" s="877" t="b">
        <v>0</v>
      </c>
      <c r="AQ47" s="1236"/>
      <c r="AR47" s="1237"/>
      <c r="AS47" s="1237"/>
      <c r="AT47" s="1237"/>
      <c r="AU47" s="1237"/>
      <c r="AV47" s="1237"/>
      <c r="AW47" s="1237"/>
      <c r="AX47" s="1237"/>
      <c r="AY47" s="1237"/>
      <c r="AZ47" s="1237"/>
      <c r="BA47" s="1407"/>
      <c r="BB47" s="1407"/>
      <c r="BC47" s="1408"/>
    </row>
    <row r="48" spans="1:55" ht="14.1" customHeight="1" x14ac:dyDescent="0.2">
      <c r="A48" s="1386"/>
      <c r="B48" s="1387"/>
      <c r="C48" s="1387"/>
      <c r="D48" s="1387"/>
      <c r="E48" s="1388"/>
      <c r="F48" s="1389"/>
      <c r="G48" s="1390"/>
      <c r="H48" s="1391"/>
      <c r="I48" s="1389"/>
      <c r="J48" s="1390"/>
      <c r="K48" s="1391"/>
      <c r="L48" s="1392"/>
      <c r="M48" s="1392"/>
      <c r="N48" s="1665"/>
      <c r="O48" s="1527"/>
      <c r="P48" s="154" t="b">
        <f t="shared" si="3"/>
        <v>0</v>
      </c>
      <c r="R48" s="154" t="b">
        <f t="shared" si="1"/>
        <v>0</v>
      </c>
      <c r="AO48" s="143" t="str">
        <f t="shared" si="2"/>
        <v>340</v>
      </c>
      <c r="AP48" s="877" t="b">
        <v>0</v>
      </c>
      <c r="AQ48" s="1236"/>
      <c r="AR48" s="1237"/>
      <c r="AS48" s="1237"/>
      <c r="AT48" s="1237"/>
      <c r="AU48" s="1237"/>
      <c r="AV48" s="1237"/>
      <c r="AW48" s="1237"/>
      <c r="AX48" s="1237"/>
      <c r="AY48" s="1237"/>
      <c r="AZ48" s="1237"/>
      <c r="BA48" s="1407"/>
      <c r="BB48" s="1407"/>
      <c r="BC48" s="1408"/>
    </row>
    <row r="49" spans="1:55" ht="14.1" customHeight="1" x14ac:dyDescent="0.2">
      <c r="A49" s="1386"/>
      <c r="B49" s="1387"/>
      <c r="C49" s="1387"/>
      <c r="D49" s="1387"/>
      <c r="E49" s="1388"/>
      <c r="F49" s="1389"/>
      <c r="G49" s="1390"/>
      <c r="H49" s="1391"/>
      <c r="I49" s="1389"/>
      <c r="J49" s="1390"/>
      <c r="K49" s="1391"/>
      <c r="L49" s="1392"/>
      <c r="M49" s="1392"/>
      <c r="N49" s="1665"/>
      <c r="O49" s="1527"/>
      <c r="P49" s="154" t="b">
        <f t="shared" si="3"/>
        <v>0</v>
      </c>
      <c r="R49" s="154" t="b">
        <f t="shared" si="1"/>
        <v>0</v>
      </c>
      <c r="AO49" s="143" t="str">
        <f t="shared" si="2"/>
        <v>340</v>
      </c>
      <c r="AP49" s="877" t="b">
        <v>0</v>
      </c>
      <c r="AQ49" s="1236"/>
      <c r="AR49" s="1237"/>
      <c r="AS49" s="1237"/>
      <c r="AT49" s="1237"/>
      <c r="AU49" s="1237"/>
      <c r="AV49" s="1237"/>
      <c r="AW49" s="1237"/>
      <c r="AX49" s="1237"/>
      <c r="AY49" s="1237"/>
      <c r="AZ49" s="1237"/>
      <c r="BA49" s="1407"/>
      <c r="BB49" s="1407"/>
      <c r="BC49" s="1408"/>
    </row>
    <row r="50" spans="1:55" ht="14.1" customHeight="1" x14ac:dyDescent="0.2">
      <c r="A50" s="1386"/>
      <c r="B50" s="1387"/>
      <c r="C50" s="1387"/>
      <c r="D50" s="1387"/>
      <c r="E50" s="1388"/>
      <c r="F50" s="1389"/>
      <c r="G50" s="1390"/>
      <c r="H50" s="1391"/>
      <c r="I50" s="1389"/>
      <c r="J50" s="1390"/>
      <c r="K50" s="1391"/>
      <c r="L50" s="1392"/>
      <c r="M50" s="1392"/>
      <c r="N50" s="1665"/>
      <c r="O50" s="1527"/>
      <c r="P50" s="154" t="b">
        <f t="shared" si="3"/>
        <v>0</v>
      </c>
      <c r="R50" s="154" t="b">
        <f t="shared" si="1"/>
        <v>0</v>
      </c>
      <c r="AO50" s="143" t="str">
        <f t="shared" si="2"/>
        <v>340</v>
      </c>
      <c r="AP50" s="877" t="b">
        <v>0</v>
      </c>
      <c r="AQ50" s="1236"/>
      <c r="AR50" s="1237"/>
      <c r="AS50" s="1237"/>
      <c r="AT50" s="1237"/>
      <c r="AU50" s="1237"/>
      <c r="AV50" s="1237"/>
      <c r="AW50" s="1237"/>
      <c r="AX50" s="1237"/>
      <c r="AY50" s="1237"/>
      <c r="AZ50" s="1237"/>
      <c r="BA50" s="1407"/>
      <c r="BB50" s="1407"/>
      <c r="BC50" s="1408"/>
    </row>
    <row r="51" spans="1:55" ht="14.1" customHeight="1" x14ac:dyDescent="0.2">
      <c r="A51" s="1386"/>
      <c r="B51" s="1387"/>
      <c r="C51" s="1387"/>
      <c r="D51" s="1387"/>
      <c r="E51" s="1388"/>
      <c r="F51" s="1389"/>
      <c r="G51" s="1390"/>
      <c r="H51" s="1391"/>
      <c r="I51" s="1389"/>
      <c r="J51" s="1390"/>
      <c r="K51" s="1391"/>
      <c r="L51" s="1392"/>
      <c r="M51" s="1392"/>
      <c r="N51" s="1665"/>
      <c r="O51" s="1527"/>
      <c r="P51" s="154" t="b">
        <f t="shared" si="3"/>
        <v>0</v>
      </c>
      <c r="R51" s="154" t="b">
        <f t="shared" si="1"/>
        <v>0</v>
      </c>
      <c r="AO51" s="143" t="str">
        <f t="shared" si="2"/>
        <v>340</v>
      </c>
      <c r="AP51" s="877" t="b">
        <v>0</v>
      </c>
      <c r="AQ51" s="1236"/>
      <c r="AR51" s="1237"/>
      <c r="AS51" s="1237"/>
      <c r="AT51" s="1237"/>
      <c r="AU51" s="1237"/>
      <c r="AV51" s="1237"/>
      <c r="AW51" s="1237"/>
      <c r="AX51" s="1237"/>
      <c r="AY51" s="1237"/>
      <c r="AZ51" s="1237"/>
      <c r="BA51" s="1407"/>
      <c r="BB51" s="1407"/>
      <c r="BC51" s="1408"/>
    </row>
    <row r="52" spans="1:55" ht="14.1" customHeight="1" x14ac:dyDescent="0.2">
      <c r="A52" s="1386"/>
      <c r="B52" s="1387"/>
      <c r="C52" s="1387"/>
      <c r="D52" s="1387"/>
      <c r="E52" s="1388"/>
      <c r="F52" s="1389"/>
      <c r="G52" s="1390"/>
      <c r="H52" s="1391"/>
      <c r="I52" s="1389"/>
      <c r="J52" s="1390"/>
      <c r="K52" s="1391"/>
      <c r="L52" s="1392"/>
      <c r="M52" s="1392"/>
      <c r="N52" s="1665"/>
      <c r="O52" s="1527"/>
      <c r="P52" s="154" t="b">
        <f t="shared" si="3"/>
        <v>0</v>
      </c>
      <c r="R52" s="154" t="b">
        <f t="shared" si="1"/>
        <v>0</v>
      </c>
      <c r="AO52" s="143" t="str">
        <f t="shared" si="2"/>
        <v>340</v>
      </c>
      <c r="AP52" s="877" t="b">
        <v>0</v>
      </c>
      <c r="AQ52" s="1236"/>
      <c r="AR52" s="1237"/>
      <c r="AS52" s="1237"/>
      <c r="AT52" s="1237"/>
      <c r="AU52" s="1237"/>
      <c r="AV52" s="1237"/>
      <c r="AW52" s="1237"/>
      <c r="AX52" s="1237"/>
      <c r="AY52" s="1237"/>
      <c r="AZ52" s="1237"/>
      <c r="BA52" s="1407"/>
      <c r="BB52" s="1407"/>
      <c r="BC52" s="1408"/>
    </row>
    <row r="53" spans="1:55" ht="14.1" customHeight="1" x14ac:dyDescent="0.2">
      <c r="A53" s="1386"/>
      <c r="B53" s="1387"/>
      <c r="C53" s="1387"/>
      <c r="D53" s="1387"/>
      <c r="E53" s="1388"/>
      <c r="F53" s="1389"/>
      <c r="G53" s="1390"/>
      <c r="H53" s="1391"/>
      <c r="I53" s="1389"/>
      <c r="J53" s="1390"/>
      <c r="K53" s="1391"/>
      <c r="L53" s="1392"/>
      <c r="M53" s="1392"/>
      <c r="N53" s="1665"/>
      <c r="O53" s="1527"/>
      <c r="P53" s="154" t="b">
        <f t="shared" si="3"/>
        <v>0</v>
      </c>
      <c r="R53" s="154" t="b">
        <f t="shared" si="1"/>
        <v>0</v>
      </c>
      <c r="AO53" s="143" t="str">
        <f t="shared" si="2"/>
        <v>340</v>
      </c>
      <c r="AP53" s="877" t="b">
        <v>0</v>
      </c>
      <c r="AQ53" s="1236"/>
      <c r="AR53" s="1237"/>
      <c r="AS53" s="1237"/>
      <c r="AT53" s="1237"/>
      <c r="AU53" s="1237"/>
      <c r="AV53" s="1237"/>
      <c r="AW53" s="1237"/>
      <c r="AX53" s="1237"/>
      <c r="AY53" s="1237"/>
      <c r="AZ53" s="1237"/>
      <c r="BA53" s="1407"/>
      <c r="BB53" s="1407"/>
      <c r="BC53" s="1408"/>
    </row>
    <row r="54" spans="1:55" ht="14.1" customHeight="1" x14ac:dyDescent="0.2">
      <c r="A54" s="1386"/>
      <c r="B54" s="1387"/>
      <c r="C54" s="1387"/>
      <c r="D54" s="1387"/>
      <c r="E54" s="1388"/>
      <c r="F54" s="1389"/>
      <c r="G54" s="1390"/>
      <c r="H54" s="1391"/>
      <c r="I54" s="1389"/>
      <c r="J54" s="1390"/>
      <c r="K54" s="1391"/>
      <c r="L54" s="1392"/>
      <c r="M54" s="1392"/>
      <c r="N54" s="1665"/>
      <c r="O54" s="1527"/>
      <c r="P54" s="154" t="b">
        <f t="shared" si="3"/>
        <v>0</v>
      </c>
      <c r="R54" s="154" t="b">
        <f t="shared" si="1"/>
        <v>0</v>
      </c>
      <c r="AO54" s="143" t="str">
        <f t="shared" si="2"/>
        <v>340</v>
      </c>
      <c r="AP54" s="877" t="b">
        <v>0</v>
      </c>
      <c r="AQ54" s="1236"/>
      <c r="AR54" s="1237"/>
      <c r="AS54" s="1237"/>
      <c r="AT54" s="1237"/>
      <c r="AU54" s="1237"/>
      <c r="AV54" s="1237"/>
      <c r="AW54" s="1237"/>
      <c r="AX54" s="1237"/>
      <c r="AY54" s="1237"/>
      <c r="AZ54" s="1237"/>
      <c r="BA54" s="1407"/>
      <c r="BB54" s="1407"/>
      <c r="BC54" s="1408"/>
    </row>
    <row r="55" spans="1:55" ht="14.1" customHeight="1" x14ac:dyDescent="0.2">
      <c r="A55" s="1395"/>
      <c r="B55" s="1396"/>
      <c r="C55" s="1396"/>
      <c r="D55" s="1396"/>
      <c r="E55" s="1397"/>
      <c r="F55" s="1398"/>
      <c r="G55" s="1399"/>
      <c r="H55" s="1400"/>
      <c r="I55" s="1398"/>
      <c r="J55" s="1399"/>
      <c r="K55" s="1400"/>
      <c r="L55" s="1401"/>
      <c r="M55" s="1401"/>
      <c r="N55" s="1666"/>
      <c r="O55" s="1527"/>
      <c r="P55" s="154" t="b">
        <f t="shared" si="3"/>
        <v>0</v>
      </c>
      <c r="R55" s="154" t="b">
        <f t="shared" si="1"/>
        <v>0</v>
      </c>
      <c r="AO55" s="143" t="str">
        <f t="shared" si="2"/>
        <v>340</v>
      </c>
      <c r="AP55" s="877" t="b">
        <v>0</v>
      </c>
      <c r="AQ55" s="1238"/>
      <c r="AR55" s="1239"/>
      <c r="AS55" s="1239"/>
      <c r="AT55" s="1239"/>
      <c r="AU55" s="1239"/>
      <c r="AV55" s="1239"/>
      <c r="AW55" s="1239"/>
      <c r="AX55" s="1239"/>
      <c r="AY55" s="1239"/>
      <c r="AZ55" s="1239"/>
      <c r="BA55" s="1409"/>
      <c r="BB55" s="1409"/>
      <c r="BC55" s="1410"/>
    </row>
    <row r="56" spans="1:55" ht="15.95" customHeight="1" x14ac:dyDescent="0.2">
      <c r="J56" s="303"/>
      <c r="K56" s="303"/>
      <c r="O56" s="303"/>
      <c r="P56" s="303" t="e">
        <f>COUNTIF(P14:P55,TRUE)+IF(NOT($T$1),1, 0)</f>
        <v>#REF!</v>
      </c>
      <c r="Q56" s="935" t="s">
        <v>792</v>
      </c>
    </row>
    <row r="57" spans="1:55" ht="15.95" customHeight="1" x14ac:dyDescent="0.2"/>
    <row r="58" spans="1:55" ht="15.95" customHeight="1" x14ac:dyDescent="0.2"/>
    <row r="59" spans="1:55" ht="15.95" customHeight="1" x14ac:dyDescent="0.2">
      <c r="A59" s="707" t="s">
        <v>614</v>
      </c>
    </row>
    <row r="60" spans="1:55" ht="15.95" hidden="1" customHeight="1" x14ac:dyDescent="0.2">
      <c r="A60" s="831" t="s">
        <v>86</v>
      </c>
    </row>
    <row r="61" spans="1:55" ht="15.95" hidden="1" customHeight="1" x14ac:dyDescent="0.2">
      <c r="A61" s="833"/>
    </row>
    <row r="62" spans="1:55" ht="15.95" hidden="1" customHeight="1" x14ac:dyDescent="0.2"/>
    <row r="63" spans="1:55" hidden="1" x14ac:dyDescent="0.2"/>
    <row r="64" spans="1:55" hidden="1" x14ac:dyDescent="0.2"/>
    <row r="65" spans="1:1" x14ac:dyDescent="0.2">
      <c r="A65" s="707" t="s">
        <v>615</v>
      </c>
    </row>
  </sheetData>
  <sheetProtection selectLockedCells="1"/>
  <mergeCells count="18">
    <mergeCell ref="M12:M13"/>
    <mergeCell ref="N12:N13"/>
    <mergeCell ref="AQ12:BC12"/>
    <mergeCell ref="G13:H13"/>
    <mergeCell ref="J13:K13"/>
    <mergeCell ref="B10:H10"/>
    <mergeCell ref="I10:J10"/>
    <mergeCell ref="K10:L10"/>
    <mergeCell ref="A12:E12"/>
    <mergeCell ref="F12:H12"/>
    <mergeCell ref="I12:K12"/>
    <mergeCell ref="L12:L13"/>
    <mergeCell ref="I1:K1"/>
    <mergeCell ref="I2:K3"/>
    <mergeCell ref="I4:K4"/>
    <mergeCell ref="A5:J5"/>
    <mergeCell ref="B9:H9"/>
    <mergeCell ref="K9:N9"/>
  </mergeCells>
  <conditionalFormatting sqref="F14:F55">
    <cfRule type="expression" dxfId="21" priority="5" stopIfTrue="1">
      <formula>AND($B14="NU",F14&lt;0)</formula>
    </cfRule>
  </conditionalFormatting>
  <conditionalFormatting sqref="B14:B55">
    <cfRule type="expression" dxfId="20" priority="6" stopIfTrue="1">
      <formula>OR(AND($B14="NU",F14&lt;0),AND($B14="NU",I14&lt;0))</formula>
    </cfRule>
  </conditionalFormatting>
  <conditionalFormatting sqref="G14:H55 J14:L55">
    <cfRule type="expression" dxfId="19" priority="7" stopIfTrue="1">
      <formula>$R14</formula>
    </cfRule>
  </conditionalFormatting>
  <conditionalFormatting sqref="I2:K4">
    <cfRule type="cellIs" dxfId="18" priority="8" stopIfTrue="1" operator="equal">
      <formula>""</formula>
    </cfRule>
  </conditionalFormatting>
  <conditionalFormatting sqref="I14:I55">
    <cfRule type="expression" dxfId="17" priority="9" stopIfTrue="1">
      <formula>OR($R14,$B14="CZ",AND($B14="NU",I14&lt;0))</formula>
    </cfRule>
  </conditionalFormatting>
  <conditionalFormatting sqref="A14:N55">
    <cfRule type="expression" dxfId="16" priority="2">
      <formula>AND(NOT($P14),$T$1)</formula>
    </cfRule>
    <cfRule type="expression" dxfId="15" priority="4">
      <formula>AND($AP14,$S$1="M")</formula>
    </cfRule>
  </conditionalFormatting>
  <conditionalFormatting sqref="A14:A55">
    <cfRule type="expression" dxfId="14" priority="3">
      <formula>NOT($P14)</formula>
    </cfRule>
  </conditionalFormatting>
  <conditionalFormatting sqref="B14:D55">
    <cfRule type="expression" dxfId="13" priority="1">
      <formula>_xlfn.LET(_xlpm.ThisCellIsEmpty, OR(ISBLANK(B14), B14 = ""),  _xlpm.Load1IsPresent, NOT(OR(ISBLANK($F14), $F14 = "")),  _xlpm.Load2IsPresent, NOT(OR(ISBLANK($I14), $I14 = "")),  _xlpm.highlightRed, AND(_xlpm.ThisCellIsEmpty, OR(_xlpm.Load1IsPresent, _xlpm.Load2IsPresent)),  _xlpm.highlightRed )</formula>
    </cfRule>
  </conditionalFormatting>
  <dataValidations count="6">
    <dataValidation type="list" allowBlank="1" showErrorMessage="1" errorTitle="Invalid Category" error="You MUST select a Category from the dropdown list provided._x000a__x000a_Also, make sure your Cap Lock is turned on." sqref="C14" xr:uid="{61D9F32A-6C61-4200-8330-3A972BCB77FB}">
      <formula1>OFFSET($S$16,0,MATCH($B14,Type,0)-1,OFFSET($S$30,0,MATCH($B14,Type,0)-1))</formula1>
    </dataValidation>
    <dataValidation type="list" allowBlank="1" showErrorMessage="1" errorTitle="Invalid Category" error="You MUST select a Category from the dropdown list provided._x000a__x000a_Also, make sure your Cap Lock is turned on." sqref="C15:C55" xr:uid="{B34567D3-F37E-4DA7-80C3-AE37BE40A9AC}">
      <formula1>OFFSET($S$16,0,MATCH($B15,Type,0)-1,OFFSET($S$30,0,MATCH($B15,Type,0)-1,1),1)</formula1>
    </dataValidation>
    <dataValidation type="list" allowBlank="1" showErrorMessage="1" errorTitle="Invalid Position" error="You MUST select a Position from the dropdown list provided._x000a__x000a_Also, make sure your Cap Lock is turned on." sqref="D14:D55" xr:uid="{9C32340A-B031-460C-B8E4-161C503041F1}">
      <formula1>OFFSET($AH$16,0,OFFSET($S$14,0,MATCH($B14,Type,0)-1),OFFSET($AH$30,0, OFFSET($S$14,0,MATCH($B14,Type,0)-1)))</formula1>
    </dataValidation>
    <dataValidation allowBlank="1" showInputMessage="1" errorTitle="Invalid Load Case" error="You MUST use a Load Case from the list provided." sqref="M14:M55" xr:uid="{06287FE1-F03E-4A64-A3EC-5D85095A7742}"/>
    <dataValidation type="list" allowBlank="1" showErrorMessage="1" errorTitle="Invalid Reference Location" error="You MUST select a Reference Location from the dropdown list provided._x000a__x000a_Also, make sure your Cap Lock is turned on." sqref="L14:L55" xr:uid="{6B0B0272-9A52-4B71-889F-E0DBF6935461}">
      <formula1>IF($AL$14,$AL$16:$AL$21,$AM$16:$AM$19)</formula1>
    </dataValidation>
    <dataValidation type="list" allowBlank="1" showErrorMessage="1" errorTitle="Invalid Type" error="You MUST select a Type from the dropdown list provided._x000a__x000a_Also, make sure your Cap Lock is turned on." sqref="B14:B55" xr:uid="{7EAA55E3-C455-4575-8213-E010FF921CA8}">
      <formula1>$S$15:$AF$15</formula1>
    </dataValidation>
  </dataValidations>
  <printOptions horizontalCentered="1"/>
  <pageMargins left="0.3" right="0.3" top="0.5" bottom="0.5" header="0" footer="0.25"/>
  <pageSetup orientation="portrait" r:id="rId1"/>
  <headerFooter alignWithMargins="0">
    <oddFooter>&amp;R&amp;7Printed: &amp;D &amp;T&amp;L&amp;7Version: 21.0428
File: &amp;F</oddFooter>
  </headerFooter>
  <drawing r:id="rId2"/>
  <legacyDrawing r:id="rId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3CB896-B179-4C5C-8D3B-A8DE2E87C24B}">
  <sheetPr codeName="Sheet24">
    <tabColor indexed="41"/>
  </sheetPr>
  <dimension ref="A1:HR301"/>
  <sheetViews>
    <sheetView showGridLines="0" zoomScaleNormal="100" zoomScaleSheetLayoutView="100" workbookViewId="0">
      <selection activeCell="A14" sqref="A14"/>
    </sheetView>
  </sheetViews>
  <sheetFormatPr defaultColWidth="5.7109375" defaultRowHeight="12.6" customHeight="1" x14ac:dyDescent="0.2"/>
  <cols>
    <col min="1" max="1" width="8.7109375" style="1" customWidth="1"/>
    <col min="2" max="2" width="8.7109375" style="1" hidden="1" customWidth="1"/>
    <col min="3" max="3" width="5.7109375" style="1" customWidth="1"/>
    <col min="4" max="6" width="9.7109375" style="1" customWidth="1"/>
    <col min="7" max="12" width="6.7109375" style="1" customWidth="1"/>
    <col min="13" max="15" width="8.7109375" style="1" customWidth="1"/>
    <col min="16" max="16" width="25.42578125" style="1" customWidth="1"/>
    <col min="17" max="17" width="8.7109375" style="1" customWidth="1"/>
    <col min="18" max="19" width="5.7109375" style="1" hidden="1" customWidth="1"/>
    <col min="20" max="20" width="7.7109375" style="1" hidden="1" customWidth="1"/>
    <col min="21" max="28" width="5.7109375" style="1" hidden="1" customWidth="1"/>
    <col min="29" max="30" width="6.7109375" style="1" hidden="1" customWidth="1"/>
    <col min="31" max="31" width="6.140625" style="103" hidden="1" customWidth="1"/>
    <col min="32" max="32" width="7.7109375" style="103" hidden="1" customWidth="1"/>
    <col min="33" max="33" width="5.7109375" style="1"/>
    <col min="34" max="52" width="0" style="1" hidden="1" customWidth="1"/>
    <col min="53" max="206" width="5.7109375" style="1" hidden="1" customWidth="1"/>
    <col min="207" max="207" width="8.7109375" style="1" customWidth="1"/>
    <col min="208" max="223" width="5.7109375" style="1" hidden="1" customWidth="1"/>
    <col min="224" max="225" width="15.7109375" style="1" hidden="1" customWidth="1"/>
    <col min="226" max="226" width="8.7109375" style="1" customWidth="1"/>
    <col min="227" max="16384" width="5.7109375" style="1"/>
  </cols>
  <sheetData>
    <row r="1" spans="1:226" s="3" customFormat="1" ht="14.45" customHeight="1" thickBot="1" x14ac:dyDescent="0.25">
      <c r="A1" s="298"/>
      <c r="B1" s="298"/>
      <c r="C1" s="298"/>
      <c r="D1" s="298"/>
      <c r="E1" s="297"/>
      <c r="F1" s="297"/>
      <c r="G1" s="297"/>
      <c r="H1" s="297"/>
      <c r="I1" s="402"/>
      <c r="J1" s="1705"/>
      <c r="K1" s="1705"/>
      <c r="L1" s="1705"/>
      <c r="M1" s="298"/>
      <c r="N1" s="408" t="s">
        <v>77</v>
      </c>
      <c r="O1" s="401"/>
      <c r="P1" s="409"/>
      <c r="Q1" s="423" t="s">
        <v>378</v>
      </c>
      <c r="R1" s="302" t="e">
        <f>#REF!</f>
        <v>#REF!</v>
      </c>
      <c r="S1" s="302" t="e">
        <f>#REF!</f>
        <v>#REF!</v>
      </c>
      <c r="T1" s="708" t="s">
        <v>559</v>
      </c>
      <c r="AE1" s="577"/>
      <c r="AF1" s="577"/>
      <c r="AG1" s="424" t="s">
        <v>379</v>
      </c>
      <c r="GY1" s="436" t="s">
        <v>371</v>
      </c>
      <c r="HA1" s="154"/>
      <c r="HB1" s="154"/>
      <c r="HC1" s="154"/>
      <c r="HD1" s="156"/>
      <c r="HE1" s="307"/>
      <c r="HF1" s="154"/>
      <c r="HG1" s="154"/>
      <c r="HH1" s="154"/>
      <c r="HI1" s="154"/>
      <c r="HJ1" s="154"/>
      <c r="HK1" s="154"/>
      <c r="HL1" s="154"/>
      <c r="HM1" s="154"/>
      <c r="HN1" s="154"/>
      <c r="HO1" s="154"/>
      <c r="HP1" s="154"/>
      <c r="HQ1" s="154"/>
      <c r="HR1" s="424" t="s">
        <v>716</v>
      </c>
    </row>
    <row r="2" spans="1:226" s="3" customFormat="1" ht="12.95" customHeight="1" thickTop="1" x14ac:dyDescent="0.2">
      <c r="A2" s="298"/>
      <c r="B2" s="298"/>
      <c r="C2" s="298"/>
      <c r="D2" s="298"/>
      <c r="E2" s="308"/>
      <c r="F2" s="308"/>
      <c r="G2" s="308"/>
      <c r="H2" s="308"/>
      <c r="I2" s="402"/>
      <c r="J2" s="1711"/>
      <c r="K2" s="1750"/>
      <c r="L2" s="1751"/>
      <c r="M2" s="298"/>
      <c r="N2" s="408" t="s">
        <v>78</v>
      </c>
      <c r="O2" s="401"/>
      <c r="P2" s="409"/>
      <c r="S2" s="16"/>
      <c r="T2" s="16"/>
      <c r="AE2" s="577"/>
      <c r="AF2" s="577"/>
      <c r="GZ2" s="303"/>
      <c r="HA2" s="154"/>
      <c r="HB2" s="154"/>
      <c r="HC2" s="154"/>
      <c r="HD2" s="156"/>
      <c r="HE2" s="307"/>
      <c r="HF2" s="154"/>
      <c r="HG2" s="154"/>
      <c r="HH2" s="154"/>
      <c r="HI2" s="154"/>
      <c r="HJ2" s="154"/>
      <c r="HK2" s="154"/>
      <c r="HL2" s="154"/>
      <c r="HM2" s="154"/>
      <c r="HN2" s="154"/>
      <c r="HO2" s="154"/>
      <c r="HP2" s="154"/>
      <c r="HQ2" s="154"/>
    </row>
    <row r="3" spans="1:226" s="3" customFormat="1" ht="12.95" customHeight="1" x14ac:dyDescent="0.2">
      <c r="A3" s="298"/>
      <c r="B3" s="298"/>
      <c r="C3" s="298"/>
      <c r="D3" s="298"/>
      <c r="E3" s="297"/>
      <c r="F3" s="298"/>
      <c r="G3" s="298"/>
      <c r="H3" s="298"/>
      <c r="I3" s="402"/>
      <c r="J3" s="1752"/>
      <c r="K3" s="1753"/>
      <c r="L3" s="1754"/>
      <c r="M3" s="298"/>
      <c r="N3" s="408" t="s">
        <v>80</v>
      </c>
      <c r="O3" s="298"/>
      <c r="P3" s="409"/>
      <c r="AE3" s="577"/>
      <c r="AF3" s="577"/>
      <c r="GZ3" s="154"/>
      <c r="HA3" s="154"/>
      <c r="HB3" s="154"/>
      <c r="HC3" s="154"/>
      <c r="HD3" s="156"/>
      <c r="HE3" s="307"/>
      <c r="HF3" s="154"/>
      <c r="HG3" s="154"/>
      <c r="HH3" s="154"/>
      <c r="HI3" s="154"/>
      <c r="HJ3" s="154"/>
      <c r="HK3" s="154"/>
      <c r="HL3" s="154"/>
      <c r="HM3" s="154"/>
      <c r="HN3" s="154"/>
      <c r="HO3" s="154"/>
      <c r="HP3" s="154"/>
      <c r="HQ3" s="154"/>
    </row>
    <row r="4" spans="1:226" s="3" customFormat="1" ht="12.95" customHeight="1" thickBot="1" x14ac:dyDescent="0.25">
      <c r="A4" s="298"/>
      <c r="B4" s="298"/>
      <c r="C4" s="298"/>
      <c r="D4" s="298"/>
      <c r="E4" s="298"/>
      <c r="F4" s="298"/>
      <c r="G4" s="298"/>
      <c r="H4" s="298"/>
      <c r="I4" s="402"/>
      <c r="J4" s="1717"/>
      <c r="K4" s="1755"/>
      <c r="L4" s="1756"/>
      <c r="M4" s="298"/>
      <c r="N4" s="408" t="s">
        <v>79</v>
      </c>
      <c r="O4" s="298"/>
      <c r="P4" s="409"/>
      <c r="AE4" s="577"/>
      <c r="AF4" s="577"/>
      <c r="GZ4" s="154"/>
      <c r="HA4" s="154"/>
      <c r="HB4" s="154"/>
      <c r="HC4" s="154"/>
      <c r="HD4" s="156"/>
      <c r="HE4" s="307"/>
      <c r="HF4" s="154"/>
      <c r="HG4" s="154"/>
      <c r="HH4" s="154"/>
      <c r="HI4" s="154"/>
      <c r="HJ4" s="154"/>
      <c r="HK4" s="154"/>
      <c r="HL4" s="154"/>
      <c r="HM4" s="154"/>
      <c r="HN4" s="154"/>
      <c r="HO4" s="154"/>
      <c r="HP4" s="154"/>
      <c r="HQ4" s="154"/>
    </row>
    <row r="5" spans="1:226" s="13" customFormat="1" ht="12.95" customHeight="1" thickTop="1" x14ac:dyDescent="0.2">
      <c r="A5" s="2033"/>
      <c r="B5" s="2280"/>
      <c r="C5" s="2280"/>
      <c r="D5" s="2280"/>
      <c r="E5" s="2280"/>
      <c r="F5" s="2280"/>
      <c r="G5" s="2417"/>
      <c r="H5" s="402"/>
      <c r="I5" s="402"/>
      <c r="J5" s="402"/>
      <c r="K5" s="402"/>
      <c r="L5" s="402"/>
      <c r="M5" s="402"/>
      <c r="N5" s="402"/>
      <c r="O5" s="402"/>
      <c r="P5" s="402"/>
      <c r="AE5" s="577"/>
      <c r="AF5" s="577"/>
      <c r="GZ5" s="154"/>
      <c r="HA5" s="154"/>
      <c r="HB5" s="154"/>
      <c r="HC5" s="154"/>
      <c r="HD5" s="156"/>
      <c r="HE5" s="307"/>
      <c r="HF5" s="154"/>
      <c r="HG5" s="154"/>
      <c r="HH5" s="154"/>
      <c r="HI5" s="154"/>
      <c r="HJ5" s="154"/>
      <c r="HK5" s="154"/>
      <c r="HL5" s="154"/>
      <c r="HM5" s="154"/>
      <c r="HN5" s="154"/>
      <c r="HO5" s="154"/>
      <c r="HP5" s="154"/>
      <c r="HQ5" s="154"/>
    </row>
    <row r="6" spans="1:226" s="3" customFormat="1" ht="12.95" customHeight="1" x14ac:dyDescent="0.2">
      <c r="A6" s="298"/>
      <c r="B6" s="298"/>
      <c r="C6" s="298"/>
      <c r="D6" s="298"/>
      <c r="E6" s="297"/>
      <c r="F6" s="298"/>
      <c r="G6" s="298"/>
      <c r="H6" s="298"/>
      <c r="I6" s="298"/>
      <c r="J6" s="298"/>
      <c r="K6" s="402"/>
      <c r="L6" s="402"/>
      <c r="M6" s="402"/>
      <c r="N6" s="1680" t="s">
        <v>20</v>
      </c>
      <c r="O6" s="2401"/>
      <c r="P6" s="2401"/>
      <c r="R6" s="995" t="s">
        <v>705</v>
      </c>
      <c r="AE6" s="577"/>
      <c r="AF6" s="577"/>
      <c r="GZ6" s="154"/>
      <c r="HA6" s="154"/>
      <c r="HB6" s="154"/>
      <c r="HC6" s="154"/>
      <c r="HD6" s="156"/>
      <c r="HE6" s="307"/>
      <c r="HF6" s="154"/>
      <c r="HG6" s="154"/>
      <c r="HH6" s="154"/>
      <c r="HI6" s="154"/>
      <c r="HJ6" s="154"/>
      <c r="HK6" s="154"/>
      <c r="HL6" s="154"/>
      <c r="HM6" s="154"/>
      <c r="HN6" s="154"/>
      <c r="HO6" s="154"/>
      <c r="HP6" s="154"/>
      <c r="HQ6" s="154"/>
    </row>
    <row r="7" spans="1:226" ht="12.95" customHeight="1" x14ac:dyDescent="0.2">
      <c r="A7" s="321" t="s">
        <v>39</v>
      </c>
      <c r="B7" s="322"/>
      <c r="C7" s="322"/>
      <c r="D7" s="322"/>
      <c r="E7" s="322"/>
      <c r="F7" s="322"/>
      <c r="G7" s="403"/>
      <c r="H7" s="1680" t="s">
        <v>26</v>
      </c>
      <c r="I7" s="2411"/>
      <c r="J7" s="2412"/>
      <c r="K7" s="2412"/>
      <c r="L7" s="1885"/>
      <c r="M7" s="402"/>
      <c r="N7" s="1679" t="s">
        <v>21</v>
      </c>
      <c r="O7" s="1107"/>
      <c r="P7" s="605"/>
      <c r="R7" s="996"/>
      <c r="GZ7" s="154"/>
      <c r="HA7" s="154"/>
      <c r="HB7" s="154"/>
      <c r="HC7" s="154"/>
      <c r="HD7" s="156"/>
      <c r="HE7" s="307"/>
      <c r="HF7" s="154"/>
      <c r="HG7" s="154"/>
      <c r="HH7" s="154"/>
      <c r="HI7" s="154"/>
      <c r="HJ7" s="154"/>
      <c r="HK7" s="154"/>
      <c r="HL7" s="154"/>
      <c r="HM7" s="154"/>
      <c r="HN7" s="154"/>
      <c r="HO7" s="154"/>
      <c r="HP7" s="154"/>
      <c r="HQ7" s="154"/>
    </row>
    <row r="8" spans="1:226" ht="2.85" customHeight="1" x14ac:dyDescent="0.2">
      <c r="A8" s="322"/>
      <c r="B8" s="322"/>
      <c r="C8" s="322"/>
      <c r="D8" s="322"/>
      <c r="E8" s="322"/>
      <c r="F8" s="322"/>
      <c r="G8" s="322"/>
      <c r="H8" s="322"/>
      <c r="I8" s="2408" t="str">
        <f>IF(I7="NO PAINT - GALV","GALV. BOLTS","")</f>
        <v/>
      </c>
      <c r="J8" s="2408"/>
      <c r="K8" s="2408"/>
      <c r="L8" s="322"/>
      <c r="M8" s="322"/>
      <c r="N8" s="322"/>
      <c r="O8" s="322"/>
      <c r="P8" s="322"/>
      <c r="GZ8" s="154"/>
      <c r="HA8" s="154"/>
      <c r="HB8" s="154"/>
      <c r="HC8" s="154"/>
      <c r="HD8" s="156"/>
      <c r="HE8" s="307"/>
      <c r="HF8" s="154"/>
      <c r="HG8" s="154"/>
      <c r="HH8" s="154"/>
      <c r="HI8" s="154"/>
      <c r="HJ8" s="154"/>
      <c r="HK8" s="154"/>
      <c r="HL8" s="154"/>
      <c r="HM8" s="154"/>
      <c r="HN8" s="154"/>
      <c r="HO8" s="154"/>
      <c r="HP8" s="154"/>
      <c r="HQ8" s="154"/>
    </row>
    <row r="9" spans="1:226" ht="12.2" customHeight="1" x14ac:dyDescent="0.2">
      <c r="A9" s="1674" t="s">
        <v>1</v>
      </c>
      <c r="B9" s="144"/>
      <c r="C9" s="1699"/>
      <c r="D9" s="1699"/>
      <c r="E9" s="1699"/>
      <c r="F9" s="1699"/>
      <c r="G9" s="2418"/>
      <c r="H9" s="404"/>
      <c r="I9" s="1672" t="s">
        <v>2</v>
      </c>
      <c r="J9" s="1699"/>
      <c r="K9" s="1699"/>
      <c r="L9" s="1699"/>
      <c r="M9" s="1699"/>
      <c r="N9" s="1699"/>
      <c r="O9" s="1699"/>
      <c r="P9" s="1700"/>
      <c r="GZ9" s="154"/>
      <c r="HA9" s="154"/>
      <c r="HB9" s="154"/>
      <c r="HC9" s="154"/>
      <c r="HD9" s="156"/>
      <c r="HE9" s="307"/>
      <c r="HF9" s="154"/>
      <c r="HG9" s="154"/>
      <c r="HH9" s="154"/>
      <c r="HI9" s="154"/>
      <c r="HJ9" s="154"/>
      <c r="HK9" s="154"/>
      <c r="HL9" s="154"/>
      <c r="HM9" s="154"/>
      <c r="HN9" s="154"/>
      <c r="HO9" s="154"/>
      <c r="HP9" s="154"/>
      <c r="HQ9" s="154"/>
    </row>
    <row r="10" spans="1:226" ht="12.2" customHeight="1" thickBot="1" x14ac:dyDescent="0.25">
      <c r="A10" s="1674" t="s">
        <v>3</v>
      </c>
      <c r="B10" s="144"/>
      <c r="C10" s="1699"/>
      <c r="D10" s="1699"/>
      <c r="E10" s="1699"/>
      <c r="F10" s="1699"/>
      <c r="G10" s="2418"/>
      <c r="H10" s="404"/>
      <c r="I10" s="1674" t="s">
        <v>22</v>
      </c>
      <c r="J10" s="1699"/>
      <c r="K10" s="1699"/>
      <c r="L10" s="1700"/>
      <c r="M10" s="405"/>
      <c r="N10" s="1672" t="s">
        <v>23</v>
      </c>
      <c r="O10" s="1699"/>
      <c r="P10" s="1700"/>
      <c r="GZ10" s="154"/>
      <c r="HA10" s="174">
        <v>1</v>
      </c>
      <c r="HB10" s="174">
        <f t="shared" ref="HB10:HP10" si="0">HA10+1</f>
        <v>2</v>
      </c>
      <c r="HC10" s="174">
        <f t="shared" si="0"/>
        <v>3</v>
      </c>
      <c r="HD10" s="174">
        <f t="shared" si="0"/>
        <v>4</v>
      </c>
      <c r="HE10" s="174">
        <f t="shared" si="0"/>
        <v>5</v>
      </c>
      <c r="HF10" s="174">
        <f t="shared" si="0"/>
        <v>6</v>
      </c>
      <c r="HG10" s="174">
        <f t="shared" si="0"/>
        <v>7</v>
      </c>
      <c r="HH10" s="174">
        <f t="shared" si="0"/>
        <v>8</v>
      </c>
      <c r="HI10" s="174">
        <f t="shared" si="0"/>
        <v>9</v>
      </c>
      <c r="HJ10" s="174">
        <f t="shared" si="0"/>
        <v>10</v>
      </c>
      <c r="HK10" s="174">
        <f t="shared" si="0"/>
        <v>11</v>
      </c>
      <c r="HL10" s="174">
        <f t="shared" si="0"/>
        <v>12</v>
      </c>
      <c r="HM10" s="174">
        <f t="shared" si="0"/>
        <v>13</v>
      </c>
      <c r="HN10" s="174">
        <f t="shared" si="0"/>
        <v>14</v>
      </c>
      <c r="HO10" s="174">
        <f t="shared" si="0"/>
        <v>15</v>
      </c>
      <c r="HP10" s="174">
        <f t="shared" si="0"/>
        <v>16</v>
      </c>
    </row>
    <row r="11" spans="1:226" ht="49.5" customHeight="1" thickTop="1" thickBot="1" x14ac:dyDescent="0.25">
      <c r="A11" s="5"/>
      <c r="B11" s="5"/>
      <c r="C11" s="5"/>
      <c r="D11" s="5"/>
      <c r="E11" s="5"/>
      <c r="F11" s="5"/>
      <c r="G11" s="5"/>
      <c r="H11" s="5"/>
      <c r="I11" s="5"/>
      <c r="J11" s="5"/>
      <c r="K11" s="5"/>
      <c r="L11" s="5"/>
      <c r="M11" s="5"/>
      <c r="N11" s="5"/>
      <c r="O11" s="5"/>
      <c r="P11" s="5"/>
      <c r="GZ11" s="154"/>
      <c r="HA11" s="2447" t="s">
        <v>297</v>
      </c>
      <c r="HB11" s="2448"/>
      <c r="HC11" s="2448"/>
      <c r="HD11" s="2448"/>
      <c r="HE11" s="2448"/>
      <c r="HF11" s="2448"/>
      <c r="HG11" s="2448"/>
      <c r="HH11" s="2448"/>
      <c r="HI11" s="2448"/>
      <c r="HJ11" s="2448"/>
      <c r="HK11" s="2448"/>
      <c r="HL11" s="2448"/>
      <c r="HM11" s="2448"/>
      <c r="HN11" s="2448"/>
      <c r="HO11" s="2448"/>
      <c r="HP11" s="2449"/>
    </row>
    <row r="12" spans="1:226" ht="12.6" customHeight="1" thickTop="1" thickBot="1" x14ac:dyDescent="0.25">
      <c r="A12" s="2426" t="s">
        <v>40</v>
      </c>
      <c r="B12" s="2427"/>
      <c r="C12" s="1849" t="s">
        <v>102</v>
      </c>
      <c r="D12" s="1850" t="s">
        <v>343</v>
      </c>
      <c r="E12" s="1848" t="s">
        <v>344</v>
      </c>
      <c r="F12" s="2442" t="s">
        <v>36</v>
      </c>
      <c r="G12" s="1848" t="s">
        <v>70</v>
      </c>
      <c r="H12" s="2442"/>
      <c r="I12" s="2444" t="s">
        <v>345</v>
      </c>
      <c r="J12" s="1850"/>
      <c r="K12" s="1848" t="s">
        <v>81</v>
      </c>
      <c r="L12" s="2445"/>
      <c r="M12" s="2444" t="s">
        <v>82</v>
      </c>
      <c r="N12" s="1849" t="s">
        <v>83</v>
      </c>
      <c r="O12" s="1850" t="s">
        <v>84</v>
      </c>
      <c r="P12" s="970" t="s">
        <v>346</v>
      </c>
      <c r="Q12" s="1282"/>
      <c r="GZ12" s="154"/>
      <c r="HA12" s="2436" t="s">
        <v>308</v>
      </c>
      <c r="HB12" s="2438" t="s">
        <v>721</v>
      </c>
      <c r="HC12" s="2438" t="s">
        <v>707</v>
      </c>
      <c r="HD12" s="2433" t="s">
        <v>717</v>
      </c>
      <c r="HE12" s="2433" t="s">
        <v>330</v>
      </c>
      <c r="HF12" s="2422" t="s">
        <v>347</v>
      </c>
      <c r="HG12" s="2422" t="s">
        <v>722</v>
      </c>
      <c r="HH12" s="2422" t="s">
        <v>723</v>
      </c>
      <c r="HI12" s="2422" t="s">
        <v>724</v>
      </c>
      <c r="HJ12" s="2422" t="s">
        <v>725</v>
      </c>
      <c r="HK12" s="2422" t="s">
        <v>726</v>
      </c>
      <c r="HL12" s="2422" t="s">
        <v>727</v>
      </c>
      <c r="HM12" s="2422" t="s">
        <v>718</v>
      </c>
      <c r="HN12" s="2433" t="s">
        <v>719</v>
      </c>
      <c r="HO12" s="2433" t="s">
        <v>720</v>
      </c>
      <c r="HP12" s="2440" t="s">
        <v>177</v>
      </c>
    </row>
    <row r="13" spans="1:226" ht="12.6" customHeight="1" thickTop="1" thickBot="1" x14ac:dyDescent="0.25">
      <c r="A13" s="2415"/>
      <c r="B13" s="2407"/>
      <c r="C13" s="1849"/>
      <c r="D13" s="1850"/>
      <c r="E13" s="1848"/>
      <c r="F13" s="2443"/>
      <c r="G13" s="1684" t="s">
        <v>308</v>
      </c>
      <c r="H13" s="1693" t="s">
        <v>139</v>
      </c>
      <c r="I13" s="1692" t="s">
        <v>308</v>
      </c>
      <c r="J13" s="1686" t="s">
        <v>139</v>
      </c>
      <c r="K13" s="2446"/>
      <c r="L13" s="2445"/>
      <c r="M13" s="1854"/>
      <c r="N13" s="1819"/>
      <c r="O13" s="1820"/>
      <c r="P13" s="971" t="s">
        <v>57</v>
      </c>
      <c r="Q13" s="1283" t="s">
        <v>689</v>
      </c>
      <c r="R13" s="296" t="s">
        <v>138</v>
      </c>
      <c r="S13" s="296" t="s">
        <v>402</v>
      </c>
      <c r="T13" s="296" t="s">
        <v>709</v>
      </c>
      <c r="GZ13" s="154"/>
      <c r="HA13" s="2437"/>
      <c r="HB13" s="2439"/>
      <c r="HC13" s="2439"/>
      <c r="HD13" s="2434"/>
      <c r="HE13" s="2434"/>
      <c r="HF13" s="2423"/>
      <c r="HG13" s="2423"/>
      <c r="HH13" s="2423"/>
      <c r="HI13" s="2423"/>
      <c r="HJ13" s="2423"/>
      <c r="HK13" s="2423"/>
      <c r="HL13" s="2423"/>
      <c r="HM13" s="2423"/>
      <c r="HN13" s="2434"/>
      <c r="HO13" s="2434"/>
      <c r="HP13" s="2441"/>
    </row>
    <row r="14" spans="1:226" ht="12.6" customHeight="1" thickTop="1" x14ac:dyDescent="0.25">
      <c r="A14" s="1348"/>
      <c r="B14" s="1349"/>
      <c r="C14" s="1563"/>
      <c r="D14" s="1350"/>
      <c r="E14" s="1348"/>
      <c r="F14" s="1351"/>
      <c r="G14" s="1348"/>
      <c r="H14" s="1352"/>
      <c r="I14" s="1353"/>
      <c r="J14" s="1354"/>
      <c r="K14" s="1355"/>
      <c r="L14" s="1356"/>
      <c r="M14" s="1357"/>
      <c r="N14" s="1358"/>
      <c r="O14" s="1359"/>
      <c r="P14" s="1360"/>
      <c r="Q14" s="1284" t="b">
        <v>0</v>
      </c>
      <c r="R14" s="406" t="b">
        <v>0</v>
      </c>
      <c r="S14" s="399" t="e">
        <f>AND($S$1,C14=0)</f>
        <v>#REF!</v>
      </c>
      <c r="T14" s="399" t="b">
        <f>IF(OR(ISBLANK(D14),ISBLANK(E14),ISBLANK(F14),ISERROR(MATCH(F14,$AB$27:$AB$34,0))),FALSE,IF(ISERROR(FIND("B",$E14)),FALSE,IF(ISBLANK($D14),FALSE,IF(ISERROR(VLOOKUP(TRIM($D14),$AE$27:$AF$192,2,FALSE)),TRUE,VLOOKUP(TRIM($F14),$AB$27:$AD$34,IF(ISERROR(FIND("X",$E14)),3,2),FALSE)&lt;=VLOOKUP(TRIM($D14),$AE$27:$AF$192,2,FALSE)))))</f>
        <v>0</v>
      </c>
      <c r="GZ14" s="154"/>
      <c r="HA14" s="1070"/>
      <c r="HB14" s="1071"/>
      <c r="HC14" s="1071"/>
      <c r="HD14" s="1076"/>
      <c r="HE14" s="1077"/>
      <c r="HF14" s="1071"/>
      <c r="HG14" s="1071"/>
      <c r="HH14" s="1071"/>
      <c r="HI14" s="1078"/>
      <c r="HJ14" s="1071"/>
      <c r="HK14" s="1071"/>
      <c r="HL14" s="1071"/>
      <c r="HM14" s="1071"/>
      <c r="HN14" s="1071"/>
      <c r="HO14" s="1071"/>
      <c r="HP14" s="1079"/>
      <c r="HQ14" s="1105"/>
    </row>
    <row r="15" spans="1:226" ht="12.6" customHeight="1" x14ac:dyDescent="0.25">
      <c r="A15" s="1323"/>
      <c r="B15" s="1324"/>
      <c r="C15" s="1564"/>
      <c r="D15" s="1325"/>
      <c r="E15" s="1323"/>
      <c r="F15" s="1326"/>
      <c r="G15" s="1323"/>
      <c r="H15" s="662"/>
      <c r="I15" s="1327"/>
      <c r="J15" s="1328"/>
      <c r="K15" s="1329"/>
      <c r="L15" s="1330"/>
      <c r="M15" s="1331"/>
      <c r="N15" s="1332"/>
      <c r="O15" s="1361"/>
      <c r="P15" s="1334"/>
      <c r="Q15" s="1284" t="b">
        <v>0</v>
      </c>
      <c r="R15" s="406" t="b">
        <v>0</v>
      </c>
      <c r="S15" s="399" t="e">
        <f t="shared" ref="S15:S42" si="1">AND($S$1,C15=0)</f>
        <v>#REF!</v>
      </c>
      <c r="T15" s="399" t="b">
        <f t="shared" ref="T15:T41" si="2">IF(OR(ISBLANK(D15),ISBLANK(E15),ISBLANK(F15),ISERROR(MATCH(F15,$AB$27:$AB$34,0))),FALSE,IF(ISERROR(FIND("B",$E15)),FALSE,IF(ISBLANK($D15),FALSE,IF(ISERROR(VLOOKUP(TRIM($D15),$AE$27:$AF$192,2,FALSE)),TRUE,VLOOKUP(TRIM($F15),$AB$27:$AD$34,IF(ISERROR(FIND("X",$E15)),3,2),FALSE)&lt;=VLOOKUP(TRIM($D15),$AE$27:$AF$192,2,FALSE)))))</f>
        <v>0</v>
      </c>
      <c r="GZ15" s="154"/>
      <c r="HA15" s="1072"/>
      <c r="HB15" s="1073"/>
      <c r="HC15" s="1073"/>
      <c r="HD15" s="1080"/>
      <c r="HE15" s="1081"/>
      <c r="HF15" s="1073"/>
      <c r="HG15" s="1073"/>
      <c r="HH15" s="1073"/>
      <c r="HI15" s="1082"/>
      <c r="HJ15" s="1073"/>
      <c r="HK15" s="1073"/>
      <c r="HL15" s="1073"/>
      <c r="HM15" s="1073"/>
      <c r="HN15" s="1073"/>
      <c r="HO15" s="1073"/>
      <c r="HP15" s="1083"/>
      <c r="HQ15" s="1105"/>
    </row>
    <row r="16" spans="1:226" ht="12.6" customHeight="1" x14ac:dyDescent="0.25">
      <c r="A16" s="1323"/>
      <c r="B16" s="1324"/>
      <c r="C16" s="1564"/>
      <c r="D16" s="1325"/>
      <c r="E16" s="1323"/>
      <c r="F16" s="1326"/>
      <c r="G16" s="1323"/>
      <c r="H16" s="662"/>
      <c r="I16" s="1327"/>
      <c r="J16" s="1328"/>
      <c r="K16" s="1329"/>
      <c r="L16" s="1330"/>
      <c r="M16" s="1331"/>
      <c r="N16" s="1332"/>
      <c r="O16" s="1361"/>
      <c r="P16" s="1334"/>
      <c r="Q16" s="1284" t="b">
        <v>0</v>
      </c>
      <c r="R16" s="406" t="b">
        <v>0</v>
      </c>
      <c r="S16" s="399" t="e">
        <f t="shared" si="1"/>
        <v>#REF!</v>
      </c>
      <c r="T16" s="399" t="b">
        <f t="shared" si="2"/>
        <v>0</v>
      </c>
      <c r="GZ16" s="154"/>
      <c r="HA16" s="1072"/>
      <c r="HB16" s="1073"/>
      <c r="HC16" s="1073"/>
      <c r="HD16" s="1080"/>
      <c r="HE16" s="1081"/>
      <c r="HF16" s="1073"/>
      <c r="HG16" s="1073"/>
      <c r="HH16" s="1073"/>
      <c r="HI16" s="1082"/>
      <c r="HJ16" s="1073"/>
      <c r="HK16" s="1073"/>
      <c r="HL16" s="1073"/>
      <c r="HM16" s="1073"/>
      <c r="HN16" s="1073"/>
      <c r="HO16" s="1073"/>
      <c r="HP16" s="1083"/>
      <c r="HQ16" s="1105"/>
    </row>
    <row r="17" spans="1:225" ht="12.6" customHeight="1" x14ac:dyDescent="0.25">
      <c r="A17" s="1323"/>
      <c r="B17" s="1324"/>
      <c r="C17" s="1564"/>
      <c r="D17" s="1325"/>
      <c r="E17" s="1323"/>
      <c r="F17" s="1326"/>
      <c r="G17" s="1323"/>
      <c r="H17" s="662"/>
      <c r="I17" s="1327"/>
      <c r="J17" s="1328"/>
      <c r="K17" s="1329"/>
      <c r="L17" s="1330"/>
      <c r="M17" s="1331"/>
      <c r="N17" s="1332"/>
      <c r="O17" s="1361"/>
      <c r="P17" s="1334"/>
      <c r="Q17" s="1284" t="b">
        <v>0</v>
      </c>
      <c r="R17" s="406" t="b">
        <v>0</v>
      </c>
      <c r="S17" s="399" t="e">
        <f t="shared" si="1"/>
        <v>#REF!</v>
      </c>
      <c r="T17" s="399" t="b">
        <f t="shared" si="2"/>
        <v>0</v>
      </c>
      <c r="HA17" s="1072"/>
      <c r="HB17" s="1073"/>
      <c r="HC17" s="1073"/>
      <c r="HD17" s="1080"/>
      <c r="HE17" s="1081"/>
      <c r="HF17" s="1073"/>
      <c r="HG17" s="1073"/>
      <c r="HH17" s="1073"/>
      <c r="HI17" s="1082"/>
      <c r="HJ17" s="1073"/>
      <c r="HK17" s="1073"/>
      <c r="HL17" s="1073"/>
      <c r="HM17" s="1073"/>
      <c r="HN17" s="1073"/>
      <c r="HO17" s="1073"/>
      <c r="HP17" s="1083"/>
      <c r="HQ17" s="1105"/>
    </row>
    <row r="18" spans="1:225" ht="12.6" customHeight="1" x14ac:dyDescent="0.25">
      <c r="A18" s="1323"/>
      <c r="B18" s="1324"/>
      <c r="C18" s="1564"/>
      <c r="D18" s="1325"/>
      <c r="E18" s="1323"/>
      <c r="F18" s="1326"/>
      <c r="G18" s="1323"/>
      <c r="H18" s="662"/>
      <c r="I18" s="1327"/>
      <c r="J18" s="1328"/>
      <c r="K18" s="1329"/>
      <c r="L18" s="1330"/>
      <c r="M18" s="1331"/>
      <c r="N18" s="1332"/>
      <c r="O18" s="1361"/>
      <c r="P18" s="1334"/>
      <c r="Q18" s="1284" t="b">
        <v>0</v>
      </c>
      <c r="R18" s="406" t="b">
        <v>0</v>
      </c>
      <c r="S18" s="399" t="e">
        <f t="shared" si="1"/>
        <v>#REF!</v>
      </c>
      <c r="T18" s="399" t="b">
        <f t="shared" si="2"/>
        <v>0</v>
      </c>
      <c r="HA18" s="1072"/>
      <c r="HB18" s="1073"/>
      <c r="HC18" s="1073"/>
      <c r="HD18" s="1080"/>
      <c r="HE18" s="1081"/>
      <c r="HF18" s="1073"/>
      <c r="HG18" s="1073"/>
      <c r="HH18" s="1073"/>
      <c r="HI18" s="1082"/>
      <c r="HJ18" s="1073"/>
      <c r="HK18" s="1073"/>
      <c r="HL18" s="1073"/>
      <c r="HM18" s="1073"/>
      <c r="HN18" s="1073"/>
      <c r="HO18" s="1073"/>
      <c r="HP18" s="1083"/>
      <c r="HQ18" s="1105"/>
    </row>
    <row r="19" spans="1:225" ht="12.6" customHeight="1" x14ac:dyDescent="0.25">
      <c r="A19" s="1323"/>
      <c r="B19" s="1324"/>
      <c r="C19" s="1564"/>
      <c r="D19" s="1325"/>
      <c r="E19" s="1323"/>
      <c r="F19" s="1326"/>
      <c r="G19" s="1323"/>
      <c r="H19" s="662"/>
      <c r="I19" s="1327"/>
      <c r="J19" s="1328"/>
      <c r="K19" s="1329"/>
      <c r="L19" s="1330"/>
      <c r="M19" s="1331"/>
      <c r="N19" s="1332"/>
      <c r="O19" s="1361"/>
      <c r="P19" s="1334"/>
      <c r="Q19" s="1284" t="b">
        <v>0</v>
      </c>
      <c r="R19" s="406" t="b">
        <v>0</v>
      </c>
      <c r="S19" s="399" t="e">
        <f t="shared" si="1"/>
        <v>#REF!</v>
      </c>
      <c r="T19" s="399" t="b">
        <f t="shared" si="2"/>
        <v>0</v>
      </c>
      <c r="HA19" s="1072"/>
      <c r="HB19" s="1073"/>
      <c r="HC19" s="1073"/>
      <c r="HD19" s="1080"/>
      <c r="HE19" s="1081"/>
      <c r="HF19" s="1073"/>
      <c r="HG19" s="1073"/>
      <c r="HH19" s="1073"/>
      <c r="HI19" s="1082"/>
      <c r="HJ19" s="1073"/>
      <c r="HK19" s="1073"/>
      <c r="HL19" s="1073"/>
      <c r="HM19" s="1073"/>
      <c r="HN19" s="1073"/>
      <c r="HO19" s="1073"/>
      <c r="HP19" s="1083"/>
      <c r="HQ19" s="1105"/>
    </row>
    <row r="20" spans="1:225" ht="12.6" customHeight="1" x14ac:dyDescent="0.25">
      <c r="A20" s="1323"/>
      <c r="B20" s="1324"/>
      <c r="C20" s="1564"/>
      <c r="D20" s="1325"/>
      <c r="E20" s="1323"/>
      <c r="F20" s="1326"/>
      <c r="G20" s="1323"/>
      <c r="H20" s="662"/>
      <c r="I20" s="1327"/>
      <c r="J20" s="1328"/>
      <c r="K20" s="1329"/>
      <c r="L20" s="1330"/>
      <c r="M20" s="1331"/>
      <c r="N20" s="1332"/>
      <c r="O20" s="1361"/>
      <c r="P20" s="1334"/>
      <c r="Q20" s="1284" t="b">
        <v>0</v>
      </c>
      <c r="R20" s="406" t="b">
        <v>0</v>
      </c>
      <c r="S20" s="399" t="e">
        <f t="shared" si="1"/>
        <v>#REF!</v>
      </c>
      <c r="T20" s="399" t="b">
        <f t="shared" si="2"/>
        <v>0</v>
      </c>
      <c r="HA20" s="1072"/>
      <c r="HB20" s="1073"/>
      <c r="HC20" s="1073"/>
      <c r="HD20" s="1080"/>
      <c r="HE20" s="1081"/>
      <c r="HF20" s="1073"/>
      <c r="HG20" s="1073"/>
      <c r="HH20" s="1073"/>
      <c r="HI20" s="1082"/>
      <c r="HJ20" s="1073"/>
      <c r="HK20" s="1073"/>
      <c r="HL20" s="1073"/>
      <c r="HM20" s="1073"/>
      <c r="HN20" s="1073"/>
      <c r="HO20" s="1073"/>
      <c r="HP20" s="1083"/>
      <c r="HQ20" s="1105"/>
    </row>
    <row r="21" spans="1:225" ht="12.6" customHeight="1" x14ac:dyDescent="0.25">
      <c r="A21" s="1323"/>
      <c r="B21" s="1324"/>
      <c r="C21" s="1564"/>
      <c r="D21" s="1325"/>
      <c r="E21" s="1323"/>
      <c r="F21" s="1326"/>
      <c r="G21" s="1323"/>
      <c r="H21" s="662"/>
      <c r="I21" s="1327"/>
      <c r="J21" s="1328"/>
      <c r="K21" s="1329"/>
      <c r="L21" s="1330"/>
      <c r="M21" s="1331"/>
      <c r="N21" s="1332"/>
      <c r="O21" s="1361"/>
      <c r="P21" s="1334"/>
      <c r="Q21" s="1284" t="b">
        <v>0</v>
      </c>
      <c r="R21" s="406" t="b">
        <v>0</v>
      </c>
      <c r="S21" s="399" t="e">
        <f t="shared" si="1"/>
        <v>#REF!</v>
      </c>
      <c r="T21" s="399" t="b">
        <f t="shared" si="2"/>
        <v>0</v>
      </c>
      <c r="HA21" s="1072"/>
      <c r="HB21" s="1073"/>
      <c r="HC21" s="1073"/>
      <c r="HD21" s="1080"/>
      <c r="HE21" s="1081"/>
      <c r="HF21" s="1073"/>
      <c r="HG21" s="1073"/>
      <c r="HH21" s="1073"/>
      <c r="HI21" s="1082"/>
      <c r="HJ21" s="1073"/>
      <c r="HK21" s="1073"/>
      <c r="HL21" s="1073"/>
      <c r="HM21" s="1073"/>
      <c r="HN21" s="1073"/>
      <c r="HO21" s="1073"/>
      <c r="HP21" s="1083"/>
      <c r="HQ21" s="1105"/>
    </row>
    <row r="22" spans="1:225" ht="12.6" customHeight="1" x14ac:dyDescent="0.25">
      <c r="A22" s="1323"/>
      <c r="B22" s="1324"/>
      <c r="C22" s="1564"/>
      <c r="D22" s="1325"/>
      <c r="E22" s="1323"/>
      <c r="F22" s="1326"/>
      <c r="G22" s="1323"/>
      <c r="H22" s="662"/>
      <c r="I22" s="1327"/>
      <c r="J22" s="1328"/>
      <c r="K22" s="1329"/>
      <c r="L22" s="1330"/>
      <c r="M22" s="1331"/>
      <c r="N22" s="1332"/>
      <c r="O22" s="1361"/>
      <c r="P22" s="1334"/>
      <c r="Q22" s="1284" t="b">
        <v>0</v>
      </c>
      <c r="R22" s="406" t="b">
        <v>0</v>
      </c>
      <c r="S22" s="399" t="e">
        <f t="shared" si="1"/>
        <v>#REF!</v>
      </c>
      <c r="T22" s="399" t="b">
        <f t="shared" si="2"/>
        <v>0</v>
      </c>
      <c r="HA22" s="1072"/>
      <c r="HB22" s="1073"/>
      <c r="HC22" s="1073"/>
      <c r="HD22" s="1080"/>
      <c r="HE22" s="1081"/>
      <c r="HF22" s="1073"/>
      <c r="HG22" s="1073"/>
      <c r="HH22" s="1073"/>
      <c r="HI22" s="1082"/>
      <c r="HJ22" s="1073"/>
      <c r="HK22" s="1073"/>
      <c r="HL22" s="1073"/>
      <c r="HM22" s="1073"/>
      <c r="HN22" s="1073"/>
      <c r="HO22" s="1073"/>
      <c r="HP22" s="1083"/>
      <c r="HQ22" s="1105"/>
    </row>
    <row r="23" spans="1:225" ht="12.6" customHeight="1" x14ac:dyDescent="0.25">
      <c r="A23" s="1323"/>
      <c r="B23" s="1324"/>
      <c r="C23" s="1564"/>
      <c r="D23" s="1325"/>
      <c r="E23" s="1323"/>
      <c r="F23" s="1326"/>
      <c r="G23" s="1323"/>
      <c r="H23" s="662"/>
      <c r="I23" s="1327"/>
      <c r="J23" s="1328"/>
      <c r="K23" s="1329"/>
      <c r="L23" s="1330"/>
      <c r="M23" s="1331"/>
      <c r="N23" s="1332"/>
      <c r="O23" s="1361"/>
      <c r="P23" s="1334"/>
      <c r="Q23" s="1284" t="b">
        <v>0</v>
      </c>
      <c r="R23" s="406" t="b">
        <v>0</v>
      </c>
      <c r="S23" s="399" t="e">
        <f t="shared" si="1"/>
        <v>#REF!</v>
      </c>
      <c r="T23" s="399" t="b">
        <f t="shared" si="2"/>
        <v>0</v>
      </c>
      <c r="HA23" s="1072"/>
      <c r="HB23" s="1073"/>
      <c r="HC23" s="1073"/>
      <c r="HD23" s="1080"/>
      <c r="HE23" s="1081"/>
      <c r="HF23" s="1073"/>
      <c r="HG23" s="1073"/>
      <c r="HH23" s="1073"/>
      <c r="HI23" s="1082"/>
      <c r="HJ23" s="1073"/>
      <c r="HK23" s="1073"/>
      <c r="HL23" s="1073"/>
      <c r="HM23" s="1073"/>
      <c r="HN23" s="1073"/>
      <c r="HO23" s="1073"/>
      <c r="HP23" s="1083"/>
      <c r="HQ23" s="1105"/>
    </row>
    <row r="24" spans="1:225" ht="12.6" customHeight="1" x14ac:dyDescent="0.25">
      <c r="A24" s="1323"/>
      <c r="B24" s="1324"/>
      <c r="C24" s="1564"/>
      <c r="D24" s="1325"/>
      <c r="E24" s="1323"/>
      <c r="F24" s="1326"/>
      <c r="G24" s="1323"/>
      <c r="H24" s="662"/>
      <c r="I24" s="1327"/>
      <c r="J24" s="1328"/>
      <c r="K24" s="1329"/>
      <c r="L24" s="1330"/>
      <c r="M24" s="1331"/>
      <c r="N24" s="1332"/>
      <c r="O24" s="1361"/>
      <c r="P24" s="1334"/>
      <c r="Q24" s="1284" t="b">
        <v>0</v>
      </c>
      <c r="R24" s="406" t="b">
        <v>0</v>
      </c>
      <c r="S24" s="399" t="e">
        <f t="shared" si="1"/>
        <v>#REF!</v>
      </c>
      <c r="T24" s="399" t="b">
        <f t="shared" si="2"/>
        <v>0</v>
      </c>
      <c r="U24" s="154"/>
      <c r="V24" s="154"/>
      <c r="W24" s="154"/>
      <c r="X24" s="154"/>
      <c r="Y24" s="154"/>
      <c r="Z24" s="154"/>
      <c r="AA24" s="154"/>
      <c r="HA24" s="1072"/>
      <c r="HB24" s="1073"/>
      <c r="HC24" s="1073"/>
      <c r="HD24" s="1080"/>
      <c r="HE24" s="1081"/>
      <c r="HF24" s="1073"/>
      <c r="HG24" s="1073"/>
      <c r="HH24" s="1073"/>
      <c r="HI24" s="1082"/>
      <c r="HJ24" s="1073"/>
      <c r="HK24" s="1073"/>
      <c r="HL24" s="1073"/>
      <c r="HM24" s="1073"/>
      <c r="HN24" s="1073"/>
      <c r="HO24" s="1073"/>
      <c r="HP24" s="1083"/>
      <c r="HQ24" s="1105"/>
    </row>
    <row r="25" spans="1:225" s="8" customFormat="1" ht="12.6" customHeight="1" thickBot="1" x14ac:dyDescent="0.3">
      <c r="A25" s="1323"/>
      <c r="B25" s="1324"/>
      <c r="C25" s="1564"/>
      <c r="D25" s="1325"/>
      <c r="E25" s="1323"/>
      <c r="F25" s="1326"/>
      <c r="G25" s="1323"/>
      <c r="H25" s="662"/>
      <c r="I25" s="1327"/>
      <c r="J25" s="1328"/>
      <c r="K25" s="1329"/>
      <c r="L25" s="1330"/>
      <c r="M25" s="1331"/>
      <c r="N25" s="1332"/>
      <c r="O25" s="1361"/>
      <c r="P25" s="1334"/>
      <c r="Q25" s="1284" t="b">
        <v>0</v>
      </c>
      <c r="R25" s="406" t="b">
        <v>0</v>
      </c>
      <c r="S25" s="399" t="e">
        <f t="shared" si="1"/>
        <v>#REF!</v>
      </c>
      <c r="T25" s="399" t="b">
        <f t="shared" si="2"/>
        <v>0</v>
      </c>
      <c r="U25" s="1691">
        <f>COUNTA(U27:U300)</f>
        <v>13</v>
      </c>
      <c r="V25" s="2404" t="s">
        <v>409</v>
      </c>
      <c r="W25" s="1691">
        <f>COUNTA(W27:W300)</f>
        <v>9</v>
      </c>
      <c r="X25" s="2402" t="s">
        <v>551</v>
      </c>
      <c r="Y25" s="2403"/>
      <c r="Z25" s="2403"/>
      <c r="AA25" s="2403"/>
      <c r="AB25" s="1691"/>
      <c r="AC25" s="2431" t="s">
        <v>710</v>
      </c>
      <c r="AD25" s="2432"/>
      <c r="AE25" s="1691">
        <f>COUNTA(AE27:AE300)</f>
        <v>166</v>
      </c>
      <c r="AF25" s="1691"/>
      <c r="HA25" s="1072"/>
      <c r="HB25" s="1073"/>
      <c r="HC25" s="1073"/>
      <c r="HD25" s="1080"/>
      <c r="HE25" s="1081"/>
      <c r="HF25" s="1073"/>
      <c r="HG25" s="1073"/>
      <c r="HH25" s="1073"/>
      <c r="HI25" s="1082"/>
      <c r="HJ25" s="1073"/>
      <c r="HK25" s="1073"/>
      <c r="HL25" s="1073"/>
      <c r="HM25" s="1073"/>
      <c r="HN25" s="1073"/>
      <c r="HO25" s="1073"/>
      <c r="HP25" s="1083"/>
      <c r="HQ25" s="1106"/>
    </row>
    <row r="26" spans="1:225" s="8" customFormat="1" ht="12.6" customHeight="1" thickTop="1" x14ac:dyDescent="0.25">
      <c r="A26" s="1323"/>
      <c r="B26" s="1324"/>
      <c r="C26" s="1564"/>
      <c r="D26" s="1325"/>
      <c r="E26" s="1323"/>
      <c r="F26" s="1326"/>
      <c r="G26" s="1323"/>
      <c r="H26" s="662"/>
      <c r="I26" s="1327"/>
      <c r="J26" s="1328"/>
      <c r="K26" s="1329"/>
      <c r="L26" s="1330"/>
      <c r="M26" s="1331"/>
      <c r="N26" s="1332"/>
      <c r="O26" s="1361"/>
      <c r="P26" s="1334"/>
      <c r="Q26" s="1284" t="b">
        <v>0</v>
      </c>
      <c r="R26" s="406" t="b">
        <v>0</v>
      </c>
      <c r="S26" s="399" t="e">
        <f t="shared" si="1"/>
        <v>#REF!</v>
      </c>
      <c r="T26" s="399" t="b">
        <f t="shared" si="2"/>
        <v>0</v>
      </c>
      <c r="U26" s="1691" t="s">
        <v>406</v>
      </c>
      <c r="V26" s="2405"/>
      <c r="W26" s="1691" t="s">
        <v>330</v>
      </c>
      <c r="X26" s="1691" t="s">
        <v>331</v>
      </c>
      <c r="Y26" s="1691" t="s">
        <v>332</v>
      </c>
      <c r="Z26" s="1691" t="s">
        <v>333</v>
      </c>
      <c r="AA26" s="1691" t="s">
        <v>334</v>
      </c>
      <c r="AB26" s="1691" t="s">
        <v>347</v>
      </c>
      <c r="AC26" s="1691" t="s">
        <v>711</v>
      </c>
      <c r="AD26" s="1691" t="s">
        <v>712</v>
      </c>
      <c r="AE26" s="1691" t="s">
        <v>428</v>
      </c>
      <c r="AF26" s="1691" t="s">
        <v>708</v>
      </c>
      <c r="HA26" s="1072"/>
      <c r="HB26" s="1073"/>
      <c r="HC26" s="1073"/>
      <c r="HD26" s="1080"/>
      <c r="HE26" s="1081"/>
      <c r="HF26" s="1073"/>
      <c r="HG26" s="1073"/>
      <c r="HH26" s="1073"/>
      <c r="HI26" s="1082"/>
      <c r="HJ26" s="1073"/>
      <c r="HK26" s="1073"/>
      <c r="HL26" s="1073"/>
      <c r="HM26" s="1073"/>
      <c r="HN26" s="1073"/>
      <c r="HO26" s="1073"/>
      <c r="HP26" s="1083"/>
      <c r="HQ26" s="1106"/>
    </row>
    <row r="27" spans="1:225" ht="12.6" customHeight="1" x14ac:dyDescent="0.25">
      <c r="A27" s="1323"/>
      <c r="B27" s="1324"/>
      <c r="C27" s="1564"/>
      <c r="D27" s="1325"/>
      <c r="E27" s="1323"/>
      <c r="F27" s="1326"/>
      <c r="G27" s="1323"/>
      <c r="H27" s="662"/>
      <c r="I27" s="1327"/>
      <c r="J27" s="1328"/>
      <c r="K27" s="1329"/>
      <c r="L27" s="1330"/>
      <c r="M27" s="1331"/>
      <c r="N27" s="1332"/>
      <c r="O27" s="1361"/>
      <c r="P27" s="1334"/>
      <c r="Q27" s="1284" t="b">
        <v>0</v>
      </c>
      <c r="R27" s="406" t="b">
        <v>0</v>
      </c>
      <c r="S27" s="399" t="e">
        <f t="shared" si="1"/>
        <v>#REF!</v>
      </c>
      <c r="T27" s="399" t="b">
        <f t="shared" si="2"/>
        <v>0</v>
      </c>
      <c r="U27" s="497" t="s">
        <v>407</v>
      </c>
      <c r="V27" s="324" t="s">
        <v>335</v>
      </c>
      <c r="W27" s="324" t="s">
        <v>328</v>
      </c>
      <c r="X27" s="324" t="b">
        <v>0</v>
      </c>
      <c r="Y27" s="324" t="b">
        <v>0</v>
      </c>
      <c r="Z27" s="324" t="b">
        <v>0</v>
      </c>
      <c r="AA27" s="324" t="b">
        <v>0</v>
      </c>
      <c r="AB27" s="324" t="s">
        <v>337</v>
      </c>
      <c r="AC27" s="1045">
        <v>1.66</v>
      </c>
      <c r="AD27" s="1045">
        <v>2.38</v>
      </c>
      <c r="AE27" s="571" t="s">
        <v>419</v>
      </c>
      <c r="AF27" s="1046">
        <v>1.1563000000000001</v>
      </c>
      <c r="HA27" s="1072"/>
      <c r="HB27" s="1073"/>
      <c r="HC27" s="1073"/>
      <c r="HD27" s="1080"/>
      <c r="HE27" s="1081"/>
      <c r="HF27" s="1073"/>
      <c r="HG27" s="1073"/>
      <c r="HH27" s="1073"/>
      <c r="HI27" s="1082"/>
      <c r="HJ27" s="1073"/>
      <c r="HK27" s="1073"/>
      <c r="HL27" s="1073"/>
      <c r="HM27" s="1073"/>
      <c r="HN27" s="1073"/>
      <c r="HO27" s="1073"/>
      <c r="HP27" s="1083"/>
      <c r="HQ27" s="1105"/>
    </row>
    <row r="28" spans="1:225" ht="12.6" customHeight="1" x14ac:dyDescent="0.25">
      <c r="A28" s="1323"/>
      <c r="B28" s="1324"/>
      <c r="C28" s="1564"/>
      <c r="D28" s="1325"/>
      <c r="E28" s="1323"/>
      <c r="F28" s="1326"/>
      <c r="G28" s="1323"/>
      <c r="H28" s="662"/>
      <c r="I28" s="1327"/>
      <c r="J28" s="1328"/>
      <c r="K28" s="1329"/>
      <c r="L28" s="1330"/>
      <c r="M28" s="1331"/>
      <c r="N28" s="1332"/>
      <c r="O28" s="1361"/>
      <c r="P28" s="1334"/>
      <c r="Q28" s="1284" t="b">
        <v>0</v>
      </c>
      <c r="R28" s="406" t="b">
        <v>0</v>
      </c>
      <c r="S28" s="399" t="e">
        <f t="shared" si="1"/>
        <v>#REF!</v>
      </c>
      <c r="T28" s="399" t="b">
        <f t="shared" si="2"/>
        <v>0</v>
      </c>
      <c r="U28" s="497" t="s">
        <v>408</v>
      </c>
      <c r="V28" s="324" t="s">
        <v>336</v>
      </c>
      <c r="W28" s="324" t="s">
        <v>335</v>
      </c>
      <c r="X28" s="324" t="b">
        <v>1</v>
      </c>
      <c r="Y28" s="324" t="b">
        <v>1</v>
      </c>
      <c r="Z28" s="324" t="b">
        <v>0</v>
      </c>
      <c r="AA28" s="324" t="b">
        <v>1</v>
      </c>
      <c r="AB28" s="324" t="s">
        <v>338</v>
      </c>
      <c r="AC28" s="1045">
        <v>2.2200000000000002</v>
      </c>
      <c r="AD28" s="1045">
        <v>3.1</v>
      </c>
      <c r="AE28" s="571" t="s">
        <v>420</v>
      </c>
      <c r="AF28" s="1046">
        <v>1.1563000000000001</v>
      </c>
      <c r="HA28" s="1072"/>
      <c r="HB28" s="1073"/>
      <c r="HC28" s="1073"/>
      <c r="HD28" s="1080"/>
      <c r="HE28" s="1081"/>
      <c r="HF28" s="1073"/>
      <c r="HG28" s="1073"/>
      <c r="HH28" s="1073"/>
      <c r="HI28" s="1082"/>
      <c r="HJ28" s="1073"/>
      <c r="HK28" s="1073"/>
      <c r="HL28" s="1073"/>
      <c r="HM28" s="1073"/>
      <c r="HN28" s="1073"/>
      <c r="HO28" s="1073"/>
      <c r="HP28" s="1083"/>
      <c r="HQ28" s="1105"/>
    </row>
    <row r="29" spans="1:225" ht="12.6" customHeight="1" x14ac:dyDescent="0.25">
      <c r="A29" s="1323"/>
      <c r="B29" s="1324"/>
      <c r="C29" s="1564"/>
      <c r="D29" s="1325"/>
      <c r="E29" s="1323"/>
      <c r="F29" s="1326"/>
      <c r="G29" s="1323"/>
      <c r="H29" s="662"/>
      <c r="I29" s="1327"/>
      <c r="J29" s="1328"/>
      <c r="K29" s="1329"/>
      <c r="L29" s="1330"/>
      <c r="M29" s="1331"/>
      <c r="N29" s="1332"/>
      <c r="O29" s="1361"/>
      <c r="P29" s="1334"/>
      <c r="Q29" s="1284" t="b">
        <v>0</v>
      </c>
      <c r="R29" s="406" t="b">
        <v>0</v>
      </c>
      <c r="S29" s="399" t="e">
        <f t="shared" si="1"/>
        <v>#REF!</v>
      </c>
      <c r="T29" s="399" t="b">
        <f t="shared" si="2"/>
        <v>0</v>
      </c>
      <c r="U29" s="571" t="s">
        <v>417</v>
      </c>
      <c r="V29" s="324" t="s">
        <v>381</v>
      </c>
      <c r="W29" s="324" t="s">
        <v>336</v>
      </c>
      <c r="X29" s="324" t="b">
        <v>1</v>
      </c>
      <c r="Y29" s="324" t="b">
        <v>1</v>
      </c>
      <c r="Z29" s="324" t="b">
        <v>1</v>
      </c>
      <c r="AA29" s="324" t="b">
        <v>1</v>
      </c>
      <c r="AB29" s="324" t="s">
        <v>339</v>
      </c>
      <c r="AC29" s="1045">
        <v>2.2200000000000002</v>
      </c>
      <c r="AD29" s="1045">
        <v>3.1</v>
      </c>
      <c r="AE29" s="571" t="s">
        <v>421</v>
      </c>
      <c r="AF29" s="1046">
        <v>1.109</v>
      </c>
      <c r="HA29" s="1072"/>
      <c r="HB29" s="1073"/>
      <c r="HC29" s="1073"/>
      <c r="HD29" s="1080"/>
      <c r="HE29" s="1081"/>
      <c r="HF29" s="1073"/>
      <c r="HG29" s="1073"/>
      <c r="HH29" s="1073"/>
      <c r="HI29" s="1082"/>
      <c r="HJ29" s="1073"/>
      <c r="HK29" s="1073"/>
      <c r="HL29" s="1073"/>
      <c r="HM29" s="1073"/>
      <c r="HN29" s="1073"/>
      <c r="HO29" s="1073"/>
      <c r="HP29" s="1083"/>
      <c r="HQ29" s="1105"/>
    </row>
    <row r="30" spans="1:225" ht="12.6" customHeight="1" x14ac:dyDescent="0.25">
      <c r="A30" s="1323"/>
      <c r="B30" s="1324"/>
      <c r="C30" s="1564"/>
      <c r="D30" s="1325"/>
      <c r="E30" s="1323"/>
      <c r="F30" s="1326"/>
      <c r="G30" s="1323"/>
      <c r="H30" s="662"/>
      <c r="I30" s="1327"/>
      <c r="J30" s="1328"/>
      <c r="K30" s="1329"/>
      <c r="L30" s="1330"/>
      <c r="M30" s="1331"/>
      <c r="N30" s="1332"/>
      <c r="O30" s="1361"/>
      <c r="P30" s="1334"/>
      <c r="Q30" s="1284" t="b">
        <v>0</v>
      </c>
      <c r="R30" s="406" t="b">
        <v>0</v>
      </c>
      <c r="S30" s="399" t="e">
        <f t="shared" si="1"/>
        <v>#REF!</v>
      </c>
      <c r="T30" s="399" t="b">
        <f t="shared" si="2"/>
        <v>0</v>
      </c>
      <c r="U30" s="571" t="s">
        <v>418</v>
      </c>
      <c r="V30" s="324" t="s">
        <v>382</v>
      </c>
      <c r="W30" s="324" t="s">
        <v>380</v>
      </c>
      <c r="X30" s="324" t="b">
        <v>0</v>
      </c>
      <c r="Y30" s="324" t="b">
        <v>1</v>
      </c>
      <c r="Z30" s="324" t="b">
        <v>0</v>
      </c>
      <c r="AA30" s="324" t="b">
        <v>1</v>
      </c>
      <c r="AB30" s="324" t="s">
        <v>340</v>
      </c>
      <c r="AC30" s="1045">
        <v>1.75</v>
      </c>
      <c r="AD30" s="1045">
        <v>3</v>
      </c>
      <c r="AE30" s="571" t="s">
        <v>422</v>
      </c>
      <c r="AF30" s="1046">
        <v>1.125</v>
      </c>
      <c r="HA30" s="1072"/>
      <c r="HB30" s="1073"/>
      <c r="HC30" s="1073"/>
      <c r="HD30" s="1080"/>
      <c r="HE30" s="1081"/>
      <c r="HF30" s="1073"/>
      <c r="HG30" s="1073"/>
      <c r="HH30" s="1073"/>
      <c r="HI30" s="1082"/>
      <c r="HJ30" s="1073"/>
      <c r="HK30" s="1073"/>
      <c r="HL30" s="1073"/>
      <c r="HM30" s="1073"/>
      <c r="HN30" s="1073"/>
      <c r="HO30" s="1073"/>
      <c r="HP30" s="1083"/>
      <c r="HQ30" s="1105"/>
    </row>
    <row r="31" spans="1:225" ht="12.6" customHeight="1" x14ac:dyDescent="0.25">
      <c r="A31" s="1323"/>
      <c r="B31" s="1324"/>
      <c r="C31" s="1564"/>
      <c r="D31" s="1325"/>
      <c r="E31" s="1323"/>
      <c r="F31" s="1326"/>
      <c r="G31" s="1323"/>
      <c r="H31" s="662"/>
      <c r="I31" s="1327"/>
      <c r="J31" s="1328"/>
      <c r="K31" s="1329"/>
      <c r="L31" s="1330"/>
      <c r="M31" s="1331"/>
      <c r="N31" s="1332"/>
      <c r="O31" s="1361"/>
      <c r="P31" s="1334"/>
      <c r="Q31" s="1284" t="b">
        <v>0</v>
      </c>
      <c r="R31" s="406" t="b">
        <v>0</v>
      </c>
      <c r="S31" s="399" t="e">
        <f t="shared" si="1"/>
        <v>#REF!</v>
      </c>
      <c r="T31" s="399" t="b">
        <f t="shared" si="2"/>
        <v>0</v>
      </c>
      <c r="U31" s="571" t="s">
        <v>419</v>
      </c>
      <c r="V31" s="324"/>
      <c r="W31" s="324" t="s">
        <v>381</v>
      </c>
      <c r="X31" s="324" t="b">
        <v>1</v>
      </c>
      <c r="Y31" s="324" t="b">
        <v>1</v>
      </c>
      <c r="Z31" s="324" t="b">
        <v>0</v>
      </c>
      <c r="AA31" s="324" t="b">
        <v>1</v>
      </c>
      <c r="AB31" s="324" t="s">
        <v>341</v>
      </c>
      <c r="AC31" s="1045">
        <v>1.75</v>
      </c>
      <c r="AD31" s="1045">
        <v>3</v>
      </c>
      <c r="AE31" s="571" t="s">
        <v>423</v>
      </c>
      <c r="AF31" s="1046">
        <v>1.119</v>
      </c>
      <c r="HA31" s="1072"/>
      <c r="HB31" s="1073"/>
      <c r="HC31" s="1073"/>
      <c r="HD31" s="1080"/>
      <c r="HE31" s="1081"/>
      <c r="HF31" s="1073"/>
      <c r="HG31" s="1073"/>
      <c r="HH31" s="1073"/>
      <c r="HI31" s="1082"/>
      <c r="HJ31" s="1073"/>
      <c r="HK31" s="1073"/>
      <c r="HL31" s="1073"/>
      <c r="HM31" s="1073"/>
      <c r="HN31" s="1073"/>
      <c r="HO31" s="1073"/>
      <c r="HP31" s="1083"/>
      <c r="HQ31" s="1105"/>
    </row>
    <row r="32" spans="1:225" ht="12.6" customHeight="1" x14ac:dyDescent="0.25">
      <c r="A32" s="1323"/>
      <c r="B32" s="1324"/>
      <c r="C32" s="1564"/>
      <c r="D32" s="1325"/>
      <c r="E32" s="1323"/>
      <c r="F32" s="1326"/>
      <c r="G32" s="1323"/>
      <c r="H32" s="662"/>
      <c r="I32" s="1327"/>
      <c r="J32" s="1328"/>
      <c r="K32" s="1329"/>
      <c r="L32" s="1330"/>
      <c r="M32" s="1331"/>
      <c r="N32" s="1332"/>
      <c r="O32" s="1361"/>
      <c r="P32" s="1334"/>
      <c r="Q32" s="1284" t="b">
        <v>0</v>
      </c>
      <c r="R32" s="406" t="b">
        <v>0</v>
      </c>
      <c r="S32" s="399" t="e">
        <f t="shared" si="1"/>
        <v>#REF!</v>
      </c>
      <c r="T32" s="399" t="b">
        <f t="shared" si="2"/>
        <v>0</v>
      </c>
      <c r="U32" s="571" t="s">
        <v>420</v>
      </c>
      <c r="V32" s="324"/>
      <c r="W32" s="324" t="s">
        <v>382</v>
      </c>
      <c r="X32" s="324" t="b">
        <v>1</v>
      </c>
      <c r="Y32" s="324" t="b">
        <v>1</v>
      </c>
      <c r="Z32" s="324" t="b">
        <v>1</v>
      </c>
      <c r="AA32" s="324" t="b">
        <v>1</v>
      </c>
      <c r="AB32" s="324" t="s">
        <v>342</v>
      </c>
      <c r="AC32" s="1045">
        <v>1.75</v>
      </c>
      <c r="AD32" s="1045">
        <v>3</v>
      </c>
      <c r="AE32" s="571" t="s">
        <v>429</v>
      </c>
      <c r="AF32" s="1046">
        <v>1.375</v>
      </c>
      <c r="HA32" s="1072"/>
      <c r="HB32" s="1073"/>
      <c r="HC32" s="1073"/>
      <c r="HD32" s="1080"/>
      <c r="HE32" s="1081"/>
      <c r="HF32" s="1073"/>
      <c r="HG32" s="1073"/>
      <c r="HH32" s="1073"/>
      <c r="HI32" s="1082"/>
      <c r="HJ32" s="1073"/>
      <c r="HK32" s="1073"/>
      <c r="HL32" s="1073"/>
      <c r="HM32" s="1073"/>
      <c r="HN32" s="1073"/>
      <c r="HO32" s="1073"/>
      <c r="HP32" s="1083"/>
      <c r="HQ32" s="1105"/>
    </row>
    <row r="33" spans="1:225" ht="12.6" customHeight="1" x14ac:dyDescent="0.25">
      <c r="A33" s="1323"/>
      <c r="B33" s="1324"/>
      <c r="C33" s="1564"/>
      <c r="D33" s="1325"/>
      <c r="E33" s="1323"/>
      <c r="F33" s="1326"/>
      <c r="G33" s="1323"/>
      <c r="H33" s="662"/>
      <c r="I33" s="1327"/>
      <c r="J33" s="1328"/>
      <c r="K33" s="1329"/>
      <c r="L33" s="1330"/>
      <c r="M33" s="1331"/>
      <c r="N33" s="1332"/>
      <c r="O33" s="1361"/>
      <c r="P33" s="1334"/>
      <c r="Q33" s="1284" t="b">
        <v>0</v>
      </c>
      <c r="R33" s="406" t="b">
        <v>0</v>
      </c>
      <c r="S33" s="399" t="e">
        <f t="shared" si="1"/>
        <v>#REF!</v>
      </c>
      <c r="T33" s="399" t="b">
        <f t="shared" si="2"/>
        <v>0</v>
      </c>
      <c r="U33" s="571" t="s">
        <v>421</v>
      </c>
      <c r="V33" s="324"/>
      <c r="W33" s="324" t="s">
        <v>329</v>
      </c>
      <c r="X33" s="324" t="b">
        <v>0</v>
      </c>
      <c r="Y33" s="324" t="b">
        <v>1</v>
      </c>
      <c r="Z33" s="324" t="b">
        <v>1</v>
      </c>
      <c r="AA33" s="324" t="b">
        <v>1</v>
      </c>
      <c r="AB33" s="103" t="s">
        <v>580</v>
      </c>
      <c r="AC33" s="1046">
        <v>0</v>
      </c>
      <c r="AD33" s="1046">
        <v>0</v>
      </c>
      <c r="AE33" s="571" t="s">
        <v>430</v>
      </c>
      <c r="AF33" s="1046">
        <v>1.375</v>
      </c>
      <c r="HA33" s="1072"/>
      <c r="HB33" s="1073"/>
      <c r="HC33" s="1073"/>
      <c r="HD33" s="1080"/>
      <c r="HE33" s="1081"/>
      <c r="HF33" s="1073"/>
      <c r="HG33" s="1073"/>
      <c r="HH33" s="1073"/>
      <c r="HI33" s="1082"/>
      <c r="HJ33" s="1073"/>
      <c r="HK33" s="1073"/>
      <c r="HL33" s="1073"/>
      <c r="HM33" s="1073"/>
      <c r="HN33" s="1073"/>
      <c r="HO33" s="1073"/>
      <c r="HP33" s="1083"/>
      <c r="HQ33" s="1105"/>
    </row>
    <row r="34" spans="1:225" ht="12.6" customHeight="1" x14ac:dyDescent="0.25">
      <c r="A34" s="1323"/>
      <c r="B34" s="1324"/>
      <c r="C34" s="1564"/>
      <c r="D34" s="1325"/>
      <c r="E34" s="1323"/>
      <c r="F34" s="1326"/>
      <c r="G34" s="1323"/>
      <c r="H34" s="662"/>
      <c r="I34" s="1327"/>
      <c r="J34" s="1328"/>
      <c r="K34" s="1329"/>
      <c r="L34" s="1330"/>
      <c r="M34" s="1331"/>
      <c r="N34" s="1332"/>
      <c r="O34" s="1361"/>
      <c r="P34" s="1334"/>
      <c r="Q34" s="1284" t="b">
        <v>0</v>
      </c>
      <c r="R34" s="406" t="b">
        <v>0</v>
      </c>
      <c r="S34" s="399" t="e">
        <f t="shared" si="1"/>
        <v>#REF!</v>
      </c>
      <c r="T34" s="399" t="b">
        <f t="shared" si="2"/>
        <v>0</v>
      </c>
      <c r="U34" s="571" t="s">
        <v>422</v>
      </c>
      <c r="V34" s="324"/>
      <c r="W34" s="324" t="s">
        <v>359</v>
      </c>
      <c r="X34" s="324" t="b">
        <v>0</v>
      </c>
      <c r="Y34" s="324" t="b">
        <v>0</v>
      </c>
      <c r="Z34" s="324" t="b">
        <v>0</v>
      </c>
      <c r="AA34" s="324" t="b">
        <v>0</v>
      </c>
      <c r="AB34" s="103" t="s">
        <v>581</v>
      </c>
      <c r="AC34" s="1046">
        <v>0</v>
      </c>
      <c r="AD34" s="1046">
        <v>0</v>
      </c>
      <c r="AE34" s="571" t="s">
        <v>431</v>
      </c>
      <c r="AF34" s="1046">
        <v>1.4375</v>
      </c>
      <c r="HA34" s="1072"/>
      <c r="HB34" s="1073"/>
      <c r="HC34" s="1073"/>
      <c r="HD34" s="1080"/>
      <c r="HE34" s="1081"/>
      <c r="HF34" s="1073"/>
      <c r="HG34" s="1073"/>
      <c r="HH34" s="1073"/>
      <c r="HI34" s="1082"/>
      <c r="HJ34" s="1073"/>
      <c r="HK34" s="1073"/>
      <c r="HL34" s="1073"/>
      <c r="HM34" s="1073"/>
      <c r="HN34" s="1073"/>
      <c r="HO34" s="1073"/>
      <c r="HP34" s="1083"/>
      <c r="HQ34" s="1105"/>
    </row>
    <row r="35" spans="1:225" ht="12.6" customHeight="1" x14ac:dyDescent="0.25">
      <c r="A35" s="1323"/>
      <c r="B35" s="1324"/>
      <c r="C35" s="1564"/>
      <c r="D35" s="1325"/>
      <c r="E35" s="1323"/>
      <c r="F35" s="1326"/>
      <c r="G35" s="1323"/>
      <c r="H35" s="662"/>
      <c r="I35" s="1327"/>
      <c r="J35" s="1328"/>
      <c r="K35" s="1329"/>
      <c r="L35" s="1330"/>
      <c r="M35" s="1331"/>
      <c r="N35" s="1332"/>
      <c r="O35" s="1361"/>
      <c r="P35" s="1334"/>
      <c r="Q35" s="1284" t="b">
        <v>0</v>
      </c>
      <c r="R35" s="406" t="b">
        <v>0</v>
      </c>
      <c r="S35" s="399" t="e">
        <f t="shared" si="1"/>
        <v>#REF!</v>
      </c>
      <c r="T35" s="399" t="b">
        <f t="shared" si="2"/>
        <v>0</v>
      </c>
      <c r="U35" s="571" t="s">
        <v>423</v>
      </c>
      <c r="V35" s="324"/>
      <c r="W35" s="324" t="s">
        <v>360</v>
      </c>
      <c r="X35" s="324" t="b">
        <v>0</v>
      </c>
      <c r="Y35" s="324" t="b">
        <v>0</v>
      </c>
      <c r="Z35" s="324" t="b">
        <v>0</v>
      </c>
      <c r="AA35" s="324" t="b">
        <v>0</v>
      </c>
      <c r="AB35" s="324"/>
      <c r="AC35" s="324"/>
      <c r="AD35" s="324"/>
      <c r="AE35" s="571" t="s">
        <v>432</v>
      </c>
      <c r="AF35" s="1046">
        <v>1.375</v>
      </c>
      <c r="HA35" s="1072"/>
      <c r="HB35" s="1073"/>
      <c r="HC35" s="1073"/>
      <c r="HD35" s="1080"/>
      <c r="HE35" s="1081"/>
      <c r="HF35" s="1073"/>
      <c r="HG35" s="1073"/>
      <c r="HH35" s="1073"/>
      <c r="HI35" s="1082"/>
      <c r="HJ35" s="1073"/>
      <c r="HK35" s="1073"/>
      <c r="HL35" s="1073"/>
      <c r="HM35" s="1073"/>
      <c r="HN35" s="1073"/>
      <c r="HO35" s="1073"/>
      <c r="HP35" s="1083"/>
      <c r="HQ35" s="1105"/>
    </row>
    <row r="36" spans="1:225" ht="12.6" customHeight="1" x14ac:dyDescent="0.25">
      <c r="A36" s="1323"/>
      <c r="B36" s="1324"/>
      <c r="C36" s="1564"/>
      <c r="D36" s="1325"/>
      <c r="E36" s="1323"/>
      <c r="F36" s="1326"/>
      <c r="G36" s="1323"/>
      <c r="H36" s="662"/>
      <c r="I36" s="1327"/>
      <c r="J36" s="1328"/>
      <c r="K36" s="1329"/>
      <c r="L36" s="1330"/>
      <c r="M36" s="1331"/>
      <c r="N36" s="1332"/>
      <c r="O36" s="1361"/>
      <c r="P36" s="1334"/>
      <c r="Q36" s="1284" t="b">
        <v>0</v>
      </c>
      <c r="R36" s="406" t="b">
        <v>0</v>
      </c>
      <c r="S36" s="399" t="e">
        <f t="shared" si="1"/>
        <v>#REF!</v>
      </c>
      <c r="T36" s="399" t="b">
        <f t="shared" si="2"/>
        <v>0</v>
      </c>
      <c r="U36" s="571" t="s">
        <v>424</v>
      </c>
      <c r="V36" s="324"/>
      <c r="W36" s="324"/>
      <c r="X36" s="324"/>
      <c r="Y36" s="324"/>
      <c r="Z36" s="324"/>
      <c r="AA36" s="324"/>
      <c r="AB36" s="324"/>
      <c r="AC36" s="324"/>
      <c r="AD36" s="324"/>
      <c r="AE36" s="571" t="s">
        <v>433</v>
      </c>
      <c r="AF36" s="1046">
        <v>1.5</v>
      </c>
      <c r="HA36" s="1072"/>
      <c r="HB36" s="1073"/>
      <c r="HC36" s="1073"/>
      <c r="HD36" s="1080"/>
      <c r="HE36" s="1081"/>
      <c r="HF36" s="1073"/>
      <c r="HG36" s="1073"/>
      <c r="HH36" s="1073"/>
      <c r="HI36" s="1082"/>
      <c r="HJ36" s="1073"/>
      <c r="HK36" s="1073"/>
      <c r="HL36" s="1073"/>
      <c r="HM36" s="1073"/>
      <c r="HN36" s="1073"/>
      <c r="HO36" s="1073"/>
      <c r="HP36" s="1083"/>
      <c r="HQ36" s="1105"/>
    </row>
    <row r="37" spans="1:225" ht="12.6" customHeight="1" x14ac:dyDescent="0.25">
      <c r="A37" s="1323"/>
      <c r="B37" s="1324"/>
      <c r="C37" s="1564"/>
      <c r="D37" s="1325"/>
      <c r="E37" s="1323"/>
      <c r="F37" s="1326"/>
      <c r="G37" s="1323"/>
      <c r="H37" s="662"/>
      <c r="I37" s="1327"/>
      <c r="J37" s="1328"/>
      <c r="K37" s="1329"/>
      <c r="L37" s="1330"/>
      <c r="M37" s="1331"/>
      <c r="N37" s="1332"/>
      <c r="O37" s="1361"/>
      <c r="P37" s="1334"/>
      <c r="Q37" s="1284" t="b">
        <v>0</v>
      </c>
      <c r="R37" s="406" t="b">
        <v>0</v>
      </c>
      <c r="S37" s="399" t="e">
        <f t="shared" si="1"/>
        <v>#REF!</v>
      </c>
      <c r="T37" s="399" t="b">
        <f t="shared" si="2"/>
        <v>0</v>
      </c>
      <c r="U37" s="571" t="s">
        <v>425</v>
      </c>
      <c r="V37" s="324"/>
      <c r="W37" s="324"/>
      <c r="X37" s="324"/>
      <c r="Y37" s="324"/>
      <c r="Z37" s="324"/>
      <c r="AA37" s="324"/>
      <c r="AB37" s="324"/>
      <c r="AC37" s="324"/>
      <c r="AD37" s="324"/>
      <c r="AE37" s="571" t="s">
        <v>434</v>
      </c>
      <c r="AF37" s="1046">
        <v>1.4370000000000001</v>
      </c>
      <c r="HA37" s="1072"/>
      <c r="HB37" s="1073"/>
      <c r="HC37" s="1073"/>
      <c r="HD37" s="1080"/>
      <c r="HE37" s="1081"/>
      <c r="HF37" s="1073"/>
      <c r="HG37" s="1073"/>
      <c r="HH37" s="1073"/>
      <c r="HI37" s="1082"/>
      <c r="HJ37" s="1073"/>
      <c r="HK37" s="1073"/>
      <c r="HL37" s="1073"/>
      <c r="HM37" s="1073"/>
      <c r="HN37" s="1073"/>
      <c r="HO37" s="1073"/>
      <c r="HP37" s="1083"/>
      <c r="HQ37" s="1105"/>
    </row>
    <row r="38" spans="1:225" ht="12.6" customHeight="1" x14ac:dyDescent="0.25">
      <c r="A38" s="1323"/>
      <c r="B38" s="1324"/>
      <c r="C38" s="1564"/>
      <c r="D38" s="1325"/>
      <c r="E38" s="1323"/>
      <c r="F38" s="1326"/>
      <c r="G38" s="1323"/>
      <c r="H38" s="662"/>
      <c r="I38" s="1327"/>
      <c r="J38" s="1328"/>
      <c r="K38" s="1329"/>
      <c r="L38" s="1330"/>
      <c r="M38" s="1331"/>
      <c r="N38" s="1332"/>
      <c r="O38" s="1361"/>
      <c r="P38" s="1334"/>
      <c r="Q38" s="1284" t="b">
        <v>0</v>
      </c>
      <c r="R38" s="406" t="b">
        <v>0</v>
      </c>
      <c r="S38" s="399" t="e">
        <f t="shared" si="1"/>
        <v>#REF!</v>
      </c>
      <c r="T38" s="399" t="b">
        <f t="shared" si="2"/>
        <v>0</v>
      </c>
      <c r="U38" s="571" t="s">
        <v>426</v>
      </c>
      <c r="V38" s="324"/>
      <c r="W38" s="324"/>
      <c r="X38" s="324"/>
      <c r="Y38" s="324"/>
      <c r="Z38" s="324"/>
      <c r="AA38" s="324"/>
      <c r="AB38" s="324"/>
      <c r="AC38" s="324"/>
      <c r="AD38" s="324"/>
      <c r="AE38" s="571" t="s">
        <v>435</v>
      </c>
      <c r="AF38" s="1046">
        <v>1.5</v>
      </c>
      <c r="HA38" s="1072"/>
      <c r="HB38" s="1073"/>
      <c r="HC38" s="1073"/>
      <c r="HD38" s="1080"/>
      <c r="HE38" s="1081"/>
      <c r="HF38" s="1073"/>
      <c r="HG38" s="1073"/>
      <c r="HH38" s="1073"/>
      <c r="HI38" s="1082"/>
      <c r="HJ38" s="1073"/>
      <c r="HK38" s="1073"/>
      <c r="HL38" s="1073"/>
      <c r="HM38" s="1073"/>
      <c r="HN38" s="1073"/>
      <c r="HO38" s="1073"/>
      <c r="HP38" s="1083"/>
      <c r="HQ38" s="1105"/>
    </row>
    <row r="39" spans="1:225" ht="12.6" customHeight="1" x14ac:dyDescent="0.25">
      <c r="A39" s="1323"/>
      <c r="B39" s="1324"/>
      <c r="C39" s="1564"/>
      <c r="D39" s="1325"/>
      <c r="E39" s="1323"/>
      <c r="F39" s="1326"/>
      <c r="G39" s="1323"/>
      <c r="H39" s="662"/>
      <c r="I39" s="1327"/>
      <c r="J39" s="1328"/>
      <c r="K39" s="1329"/>
      <c r="L39" s="1330"/>
      <c r="M39" s="1331"/>
      <c r="N39" s="1332"/>
      <c r="O39" s="1361"/>
      <c r="P39" s="1334"/>
      <c r="Q39" s="1284" t="b">
        <v>0</v>
      </c>
      <c r="R39" s="406" t="b">
        <v>0</v>
      </c>
      <c r="S39" s="399" t="e">
        <f t="shared" si="1"/>
        <v>#REF!</v>
      </c>
      <c r="T39" s="399" t="b">
        <f t="shared" si="2"/>
        <v>0</v>
      </c>
      <c r="U39" s="571" t="s">
        <v>427</v>
      </c>
      <c r="V39" s="324"/>
      <c r="W39" s="324"/>
      <c r="X39" s="324"/>
      <c r="Y39" s="324"/>
      <c r="Z39" s="324"/>
      <c r="AA39" s="324"/>
      <c r="AB39" s="324"/>
      <c r="AC39" s="324"/>
      <c r="AD39" s="324"/>
      <c r="AE39" s="571" t="s">
        <v>436</v>
      </c>
      <c r="AF39" s="1046">
        <v>1.5</v>
      </c>
      <c r="HA39" s="1072"/>
      <c r="HB39" s="1073"/>
      <c r="HC39" s="1073"/>
      <c r="HD39" s="1080"/>
      <c r="HE39" s="1081"/>
      <c r="HF39" s="1073"/>
      <c r="HG39" s="1073"/>
      <c r="HH39" s="1073"/>
      <c r="HI39" s="1082"/>
      <c r="HJ39" s="1073"/>
      <c r="HK39" s="1073"/>
      <c r="HL39" s="1073"/>
      <c r="HM39" s="1073"/>
      <c r="HN39" s="1073"/>
      <c r="HO39" s="1073"/>
      <c r="HP39" s="1083"/>
      <c r="HQ39" s="1105"/>
    </row>
    <row r="40" spans="1:225" ht="12.6" customHeight="1" x14ac:dyDescent="0.25">
      <c r="A40" s="1323"/>
      <c r="B40" s="1324"/>
      <c r="C40" s="1564"/>
      <c r="D40" s="1325"/>
      <c r="E40" s="1323"/>
      <c r="F40" s="1326"/>
      <c r="G40" s="1323"/>
      <c r="H40" s="662"/>
      <c r="I40" s="1327"/>
      <c r="J40" s="1328"/>
      <c r="K40" s="1329"/>
      <c r="L40" s="1330"/>
      <c r="M40" s="1331"/>
      <c r="N40" s="1332"/>
      <c r="O40" s="1361"/>
      <c r="P40" s="1334"/>
      <c r="Q40" s="1284" t="b">
        <v>0</v>
      </c>
      <c r="R40" s="406" t="b">
        <v>0</v>
      </c>
      <c r="S40" s="399" t="e">
        <f t="shared" si="1"/>
        <v>#REF!</v>
      </c>
      <c r="T40" s="399" t="b">
        <f t="shared" si="2"/>
        <v>0</v>
      </c>
      <c r="U40" s="497"/>
      <c r="V40" s="324"/>
      <c r="W40" s="324"/>
      <c r="X40" s="324"/>
      <c r="Y40" s="324"/>
      <c r="Z40" s="324"/>
      <c r="AA40" s="324"/>
      <c r="AB40" s="324"/>
      <c r="AC40" s="324"/>
      <c r="AD40" s="324"/>
      <c r="AE40" s="571" t="s">
        <v>437</v>
      </c>
      <c r="AF40" s="1046">
        <v>1.5938000000000001</v>
      </c>
      <c r="HA40" s="1072"/>
      <c r="HB40" s="1073"/>
      <c r="HC40" s="1073"/>
      <c r="HD40" s="1080"/>
      <c r="HE40" s="1081"/>
      <c r="HF40" s="1073"/>
      <c r="HG40" s="1073"/>
      <c r="HH40" s="1073"/>
      <c r="HI40" s="1082"/>
      <c r="HJ40" s="1073"/>
      <c r="HK40" s="1073"/>
      <c r="HL40" s="1073"/>
      <c r="HM40" s="1073"/>
      <c r="HN40" s="1073"/>
      <c r="HO40" s="1073"/>
      <c r="HP40" s="1083"/>
      <c r="HQ40" s="1105"/>
    </row>
    <row r="41" spans="1:225" ht="12.6" customHeight="1" x14ac:dyDescent="0.25">
      <c r="A41" s="1323"/>
      <c r="B41" s="1324"/>
      <c r="C41" s="1564"/>
      <c r="D41" s="1325"/>
      <c r="E41" s="1323"/>
      <c r="F41" s="1326"/>
      <c r="G41" s="1323"/>
      <c r="H41" s="662"/>
      <c r="I41" s="1327"/>
      <c r="J41" s="1328"/>
      <c r="K41" s="1329"/>
      <c r="L41" s="1330"/>
      <c r="M41" s="1331"/>
      <c r="N41" s="1332"/>
      <c r="O41" s="1361"/>
      <c r="P41" s="1334"/>
      <c r="Q41" s="1284" t="b">
        <v>0</v>
      </c>
      <c r="R41" s="406" t="b">
        <v>0</v>
      </c>
      <c r="S41" s="399" t="e">
        <f t="shared" si="1"/>
        <v>#REF!</v>
      </c>
      <c r="T41" s="399" t="b">
        <f t="shared" si="2"/>
        <v>0</v>
      </c>
      <c r="U41" s="497"/>
      <c r="V41" s="324"/>
      <c r="W41" s="324"/>
      <c r="X41" s="324"/>
      <c r="Y41" s="324"/>
      <c r="Z41" s="324"/>
      <c r="AA41" s="324"/>
      <c r="AB41" s="324"/>
      <c r="AC41" s="324"/>
      <c r="AD41" s="324"/>
      <c r="AE41" s="571" t="s">
        <v>438</v>
      </c>
      <c r="AF41" s="1046">
        <v>1.5940000000000001</v>
      </c>
      <c r="HA41" s="1072"/>
      <c r="HB41" s="1073"/>
      <c r="HC41" s="1073"/>
      <c r="HD41" s="1080"/>
      <c r="HE41" s="1081"/>
      <c r="HF41" s="1073"/>
      <c r="HG41" s="1073"/>
      <c r="HH41" s="1073"/>
      <c r="HI41" s="1082"/>
      <c r="HJ41" s="1073"/>
      <c r="HK41" s="1073"/>
      <c r="HL41" s="1073"/>
      <c r="HM41" s="1073"/>
      <c r="HN41" s="1073"/>
      <c r="HO41" s="1073"/>
      <c r="HP41" s="1083"/>
      <c r="HQ41" s="1105"/>
    </row>
    <row r="42" spans="1:225" ht="12.6" customHeight="1" thickBot="1" x14ac:dyDescent="0.3">
      <c r="A42" s="1335"/>
      <c r="B42" s="1336"/>
      <c r="C42" s="1565"/>
      <c r="D42" s="1337"/>
      <c r="E42" s="1335"/>
      <c r="F42" s="1338"/>
      <c r="G42" s="1335"/>
      <c r="H42" s="1339"/>
      <c r="I42" s="1340"/>
      <c r="J42" s="1341"/>
      <c r="K42" s="1342"/>
      <c r="L42" s="1343"/>
      <c r="M42" s="1344"/>
      <c r="N42" s="1345"/>
      <c r="O42" s="1362"/>
      <c r="P42" s="1347"/>
      <c r="Q42" s="1284" t="b">
        <v>0</v>
      </c>
      <c r="R42" s="406" t="b">
        <v>0</v>
      </c>
      <c r="S42" s="399" t="e">
        <f t="shared" si="1"/>
        <v>#REF!</v>
      </c>
      <c r="T42" s="399" t="b">
        <f>IF(OR(ISBLANK(D42),ISBLANK(E42),ISBLANK(F42),ISERROR(MATCH(F42,$AB$27:$AB$34,0))),FALSE,IF(ISERROR(FIND("B",$E42)),FALSE,IF(ISBLANK($D42),FALSE,IF(ISERROR(VLOOKUP(TRIM($D42),$AE$27:$AF$192,2,FALSE)),TRUE,VLOOKUP(TRIM($F42),$AB$27:$AD$34,IF(ISERROR(FIND("X",$E42)),3,2),FALSE)&lt;=VLOOKUP(TRIM($D42),$AE$27:$AF$192,2,FALSE)))))</f>
        <v>0</v>
      </c>
      <c r="U42" s="497"/>
      <c r="V42" s="324"/>
      <c r="W42" s="324"/>
      <c r="X42" s="324"/>
      <c r="Y42" s="324"/>
      <c r="Z42" s="324"/>
      <c r="AA42" s="324"/>
      <c r="AB42" s="324"/>
      <c r="AC42" s="324"/>
      <c r="AD42" s="324"/>
      <c r="AE42" s="571" t="s">
        <v>439</v>
      </c>
      <c r="AF42" s="1046">
        <v>1.6563000000000001</v>
      </c>
      <c r="HA42" s="1074"/>
      <c r="HB42" s="1075"/>
      <c r="HC42" s="1075"/>
      <c r="HD42" s="1084"/>
      <c r="HE42" s="1085"/>
      <c r="HF42" s="1075"/>
      <c r="HG42" s="1075"/>
      <c r="HH42" s="1075"/>
      <c r="HI42" s="1086"/>
      <c r="HJ42" s="1075"/>
      <c r="HK42" s="1075"/>
      <c r="HL42" s="1075"/>
      <c r="HM42" s="1075"/>
      <c r="HN42" s="1075"/>
      <c r="HO42" s="1075"/>
      <c r="HP42" s="1087"/>
      <c r="HQ42" s="1105"/>
    </row>
    <row r="43" spans="1:225" ht="12.6" customHeight="1" thickTop="1" x14ac:dyDescent="0.2">
      <c r="A43" s="1281"/>
      <c r="B43" s="1281"/>
      <c r="C43" s="1281"/>
      <c r="D43" s="1281"/>
      <c r="E43" s="1281"/>
      <c r="F43" s="1281"/>
      <c r="G43" s="1281"/>
      <c r="H43" s="1281"/>
      <c r="I43" s="1281"/>
      <c r="J43" s="1281"/>
      <c r="K43" s="1281"/>
      <c r="L43" s="1281"/>
      <c r="M43" s="1281"/>
      <c r="N43" s="1281"/>
      <c r="O43" s="1281"/>
      <c r="P43" s="1281"/>
      <c r="AE43" s="571" t="s">
        <v>440</v>
      </c>
      <c r="AF43" s="1046">
        <v>1.6559999999999999</v>
      </c>
    </row>
    <row r="44" spans="1:225" ht="12.6" customHeight="1" x14ac:dyDescent="0.2">
      <c r="AE44" s="571" t="s">
        <v>441</v>
      </c>
      <c r="AF44" s="1046">
        <v>1.75</v>
      </c>
    </row>
    <row r="45" spans="1:225" ht="12.6" customHeight="1" x14ac:dyDescent="0.2">
      <c r="AE45" s="571" t="s">
        <v>442</v>
      </c>
      <c r="AF45" s="1046">
        <v>1.7350000000000001</v>
      </c>
    </row>
    <row r="46" spans="1:225" ht="12.6" customHeight="1" x14ac:dyDescent="0.2">
      <c r="A46" s="836" t="s">
        <v>614</v>
      </c>
      <c r="AE46" s="571" t="s">
        <v>443</v>
      </c>
      <c r="AF46" s="1046">
        <v>1.8125</v>
      </c>
    </row>
    <row r="47" spans="1:225" ht="12.6" hidden="1" customHeight="1" x14ac:dyDescent="0.2">
      <c r="C47" s="20">
        <f>SUM(C14:C42)</f>
        <v>0</v>
      </c>
      <c r="E47" s="18" t="b">
        <f>SUMIF(E14:E42,"BA*",C14:C42)&gt;0</f>
        <v>0</v>
      </c>
      <c r="AE47" s="571" t="s">
        <v>444</v>
      </c>
      <c r="AF47" s="1046">
        <v>1.7969999999999999</v>
      </c>
    </row>
    <row r="48" spans="1:225" ht="12.6" hidden="1" customHeight="1" x14ac:dyDescent="0.2">
      <c r="AE48" s="571" t="s">
        <v>445</v>
      </c>
      <c r="AF48" s="1046">
        <v>1.875</v>
      </c>
    </row>
    <row r="49" spans="1:32" ht="12.6" hidden="1" customHeight="1" x14ac:dyDescent="0.2">
      <c r="AE49" s="571" t="s">
        <v>446</v>
      </c>
      <c r="AF49" s="1046">
        <v>1.9059999999999999</v>
      </c>
    </row>
    <row r="50" spans="1:32" ht="12.6" hidden="1" customHeight="1" x14ac:dyDescent="0.2">
      <c r="AE50" s="571" t="s">
        <v>447</v>
      </c>
      <c r="AF50" s="1046">
        <v>1.9313</v>
      </c>
    </row>
    <row r="51" spans="1:32" ht="12.6" hidden="1" customHeight="1" x14ac:dyDescent="0.2">
      <c r="AE51" s="571" t="s">
        <v>448</v>
      </c>
      <c r="AF51" s="1046">
        <v>1.9375</v>
      </c>
    </row>
    <row r="52" spans="1:32" ht="12.6" hidden="1" customHeight="1" x14ac:dyDescent="0.2">
      <c r="AE52" s="571" t="s">
        <v>449</v>
      </c>
      <c r="AF52" s="1046">
        <v>1.9379999999999999</v>
      </c>
    </row>
    <row r="53" spans="1:32" ht="12.6" hidden="1" customHeight="1" x14ac:dyDescent="0.2">
      <c r="AE53" s="571" t="s">
        <v>450</v>
      </c>
      <c r="AF53" s="1046">
        <v>2.0937999999999999</v>
      </c>
    </row>
    <row r="54" spans="1:32" ht="12.6" hidden="1" customHeight="1" x14ac:dyDescent="0.2">
      <c r="AE54" s="571" t="s">
        <v>451</v>
      </c>
      <c r="AF54" s="1046">
        <v>2.0779999999999998</v>
      </c>
    </row>
    <row r="55" spans="1:32" ht="12.6" hidden="1" customHeight="1" x14ac:dyDescent="0.2">
      <c r="AE55" s="571" t="s">
        <v>452</v>
      </c>
      <c r="AF55" s="1046">
        <v>2.0779999999999998</v>
      </c>
    </row>
    <row r="56" spans="1:32" ht="12.6" hidden="1" customHeight="1" x14ac:dyDescent="0.2">
      <c r="AE56" s="571" t="s">
        <v>453</v>
      </c>
      <c r="AF56" s="1046">
        <v>2.2187999999999999</v>
      </c>
    </row>
    <row r="57" spans="1:32" ht="12.6" hidden="1" customHeight="1" x14ac:dyDescent="0.2">
      <c r="AE57" s="571" t="s">
        <v>454</v>
      </c>
      <c r="AF57" s="1046">
        <v>2.2189999999999999</v>
      </c>
    </row>
    <row r="58" spans="1:32" ht="12.6" hidden="1" customHeight="1" x14ac:dyDescent="0.2">
      <c r="AE58" s="571" t="s">
        <v>455</v>
      </c>
      <c r="AF58" s="1046">
        <v>2.375</v>
      </c>
    </row>
    <row r="59" spans="1:32" ht="12.6" hidden="1" customHeight="1" x14ac:dyDescent="0.2">
      <c r="AE59" s="571" t="s">
        <v>456</v>
      </c>
      <c r="AF59" s="1046">
        <v>2.2360000000000002</v>
      </c>
    </row>
    <row r="60" spans="1:32" ht="12.6" hidden="1" customHeight="1" x14ac:dyDescent="0.2">
      <c r="A60" s="832" t="s">
        <v>742</v>
      </c>
      <c r="AE60" s="571" t="s">
        <v>457</v>
      </c>
      <c r="AF60" s="1046">
        <v>2.375</v>
      </c>
    </row>
    <row r="61" spans="1:32" ht="12.6" hidden="1" customHeight="1" x14ac:dyDescent="0.2">
      <c r="A61" s="833"/>
      <c r="AE61" s="571" t="s">
        <v>458</v>
      </c>
      <c r="AF61" s="1046">
        <v>2.3769999999999998</v>
      </c>
    </row>
    <row r="62" spans="1:32" ht="12.6" hidden="1" customHeight="1" x14ac:dyDescent="0.2">
      <c r="AE62" s="571" t="s">
        <v>459</v>
      </c>
      <c r="AF62" s="1046">
        <v>2.375</v>
      </c>
    </row>
    <row r="63" spans="1:32" ht="12.6" hidden="1" customHeight="1" x14ac:dyDescent="0.2">
      <c r="AE63" s="571" t="s">
        <v>460</v>
      </c>
      <c r="AF63" s="1046">
        <v>2.625</v>
      </c>
    </row>
    <row r="64" spans="1:32" ht="12.6" hidden="1" customHeight="1" x14ac:dyDescent="0.2">
      <c r="AE64" s="571" t="s">
        <v>461</v>
      </c>
      <c r="AF64" s="1046">
        <v>2.375</v>
      </c>
    </row>
    <row r="65" spans="1:32" ht="12.6" customHeight="1" x14ac:dyDescent="0.2">
      <c r="A65" s="836" t="s">
        <v>615</v>
      </c>
      <c r="AE65" s="571" t="s">
        <v>462</v>
      </c>
      <c r="AF65" s="1046">
        <v>2.375</v>
      </c>
    </row>
    <row r="66" spans="1:32" ht="12.6" customHeight="1" x14ac:dyDescent="0.2">
      <c r="AE66" s="571" t="s">
        <v>463</v>
      </c>
      <c r="AF66" s="1046">
        <v>2.875</v>
      </c>
    </row>
    <row r="67" spans="1:32" ht="12.6" customHeight="1" x14ac:dyDescent="0.2">
      <c r="AE67" s="571" t="s">
        <v>464</v>
      </c>
      <c r="AF67" s="1046">
        <v>2.375</v>
      </c>
    </row>
    <row r="68" spans="1:32" ht="12.6" customHeight="1" x14ac:dyDescent="0.2">
      <c r="AE68" s="571" t="s">
        <v>465</v>
      </c>
      <c r="AF68" s="1046">
        <v>2.5939000000000001</v>
      </c>
    </row>
    <row r="69" spans="1:32" ht="12.6" customHeight="1" x14ac:dyDescent="0.2">
      <c r="AE69" s="571" t="s">
        <v>466</v>
      </c>
      <c r="AF69" s="1046">
        <v>3.0625</v>
      </c>
    </row>
    <row r="70" spans="1:32" ht="12.6" customHeight="1" x14ac:dyDescent="0.2">
      <c r="AE70" s="571" t="s">
        <v>467</v>
      </c>
      <c r="AF70" s="1046">
        <v>3.0939000000000001</v>
      </c>
    </row>
    <row r="71" spans="1:32" ht="12.6" customHeight="1" x14ac:dyDescent="0.2">
      <c r="AE71" s="571" t="s">
        <v>468</v>
      </c>
      <c r="AF71" s="1046">
        <v>3.0937999999999999</v>
      </c>
    </row>
    <row r="72" spans="1:32" ht="12.6" customHeight="1" x14ac:dyDescent="0.2">
      <c r="AE72" s="571" t="s">
        <v>469</v>
      </c>
      <c r="AF72" s="1046">
        <v>2.5647000000000002</v>
      </c>
    </row>
    <row r="73" spans="1:32" ht="12.6" customHeight="1" x14ac:dyDescent="0.2">
      <c r="AE73" s="571" t="s">
        <v>470</v>
      </c>
      <c r="AF73" s="1046">
        <v>2.3439999999999999</v>
      </c>
    </row>
    <row r="74" spans="1:32" ht="12.6" customHeight="1" x14ac:dyDescent="0.2">
      <c r="AE74" s="571" t="s">
        <v>471</v>
      </c>
      <c r="AF74" s="1046">
        <v>1.8305</v>
      </c>
    </row>
    <row r="75" spans="1:32" ht="12.6" customHeight="1" x14ac:dyDescent="0.2">
      <c r="AE75" s="571" t="s">
        <v>472</v>
      </c>
      <c r="AF75" s="1046">
        <v>1.8848</v>
      </c>
    </row>
    <row r="76" spans="1:32" ht="12.6" customHeight="1" x14ac:dyDescent="0.2">
      <c r="AE76" s="571" t="s">
        <v>473</v>
      </c>
      <c r="AF76" s="1046">
        <v>2</v>
      </c>
    </row>
    <row r="77" spans="1:32" ht="12.6" customHeight="1" x14ac:dyDescent="0.2">
      <c r="AE77" s="571" t="s">
        <v>474</v>
      </c>
      <c r="AF77" s="1046">
        <v>2.75</v>
      </c>
    </row>
    <row r="78" spans="1:32" ht="12.6" customHeight="1" x14ac:dyDescent="0.2">
      <c r="AE78" s="571" t="s">
        <v>475</v>
      </c>
      <c r="AF78" s="1046">
        <v>2</v>
      </c>
    </row>
    <row r="79" spans="1:32" ht="12.6" customHeight="1" x14ac:dyDescent="0.2">
      <c r="AE79" s="571" t="s">
        <v>424</v>
      </c>
      <c r="AF79" s="1046">
        <v>1</v>
      </c>
    </row>
    <row r="80" spans="1:32" ht="12.6" customHeight="1" x14ac:dyDescent="0.2">
      <c r="AE80" s="571" t="s">
        <v>425</v>
      </c>
      <c r="AF80" s="1046">
        <v>1</v>
      </c>
    </row>
    <row r="81" spans="31:32" ht="12.6" customHeight="1" x14ac:dyDescent="0.2">
      <c r="AE81" s="571" t="s">
        <v>426</v>
      </c>
      <c r="AF81" s="1046">
        <v>1</v>
      </c>
    </row>
    <row r="82" spans="31:32" ht="12.6" customHeight="1" x14ac:dyDescent="0.2">
      <c r="AE82" s="571" t="s">
        <v>427</v>
      </c>
      <c r="AF82" s="1046">
        <v>1</v>
      </c>
    </row>
    <row r="83" spans="31:32" ht="12.6" customHeight="1" x14ac:dyDescent="0.2">
      <c r="AE83" s="571" t="s">
        <v>476</v>
      </c>
      <c r="AF83" s="1046">
        <v>1.25</v>
      </c>
    </row>
    <row r="84" spans="31:32" ht="12.6" customHeight="1" x14ac:dyDescent="0.2">
      <c r="AE84" s="571" t="s">
        <v>477</v>
      </c>
      <c r="AF84" s="1046">
        <v>1.25</v>
      </c>
    </row>
    <row r="85" spans="31:32" ht="12.6" customHeight="1" x14ac:dyDescent="0.2">
      <c r="AE85" s="571" t="s">
        <v>478</v>
      </c>
      <c r="AF85" s="1046">
        <v>1.25</v>
      </c>
    </row>
    <row r="86" spans="31:32" ht="12.6" customHeight="1" x14ac:dyDescent="0.2">
      <c r="AE86" s="571" t="s">
        <v>479</v>
      </c>
      <c r="AF86" s="1046">
        <v>1.25</v>
      </c>
    </row>
    <row r="87" spans="31:32" ht="12.6" customHeight="1" x14ac:dyDescent="0.2">
      <c r="AE87" s="571" t="s">
        <v>480</v>
      </c>
      <c r="AF87" s="1046">
        <v>1.5</v>
      </c>
    </row>
    <row r="88" spans="31:32" ht="12.6" customHeight="1" x14ac:dyDescent="0.2">
      <c r="AE88" s="571" t="s">
        <v>481</v>
      </c>
      <c r="AF88" s="1046">
        <v>1.5</v>
      </c>
    </row>
    <row r="89" spans="31:32" ht="12.6" customHeight="1" x14ac:dyDescent="0.2">
      <c r="AE89" s="571" t="s">
        <v>482</v>
      </c>
      <c r="AF89" s="1046">
        <v>1.5</v>
      </c>
    </row>
    <row r="90" spans="31:32" ht="12.6" customHeight="1" x14ac:dyDescent="0.2">
      <c r="AE90" s="571">
        <v>15125</v>
      </c>
      <c r="AF90" s="1046">
        <v>1.5</v>
      </c>
    </row>
    <row r="91" spans="31:32" ht="12.6" customHeight="1" x14ac:dyDescent="0.2">
      <c r="AE91" s="571">
        <v>15130</v>
      </c>
      <c r="AF91" s="1046">
        <v>1.5</v>
      </c>
    </row>
    <row r="92" spans="31:32" ht="12.6" customHeight="1" x14ac:dyDescent="0.2">
      <c r="AE92" s="571" t="s">
        <v>483</v>
      </c>
      <c r="AF92" s="1046">
        <v>1.5</v>
      </c>
    </row>
    <row r="93" spans="31:32" ht="12.6" customHeight="1" x14ac:dyDescent="0.2">
      <c r="AE93" s="571" t="s">
        <v>484</v>
      </c>
      <c r="AF93" s="1046">
        <v>1.5</v>
      </c>
    </row>
    <row r="94" spans="31:32" ht="12.6" customHeight="1" x14ac:dyDescent="0.2">
      <c r="AE94" s="571" t="s">
        <v>485</v>
      </c>
      <c r="AF94" s="1046">
        <v>1.5</v>
      </c>
    </row>
    <row r="95" spans="31:32" ht="12.6" customHeight="1" x14ac:dyDescent="0.2">
      <c r="AE95" s="571">
        <v>15156</v>
      </c>
      <c r="AF95" s="1046">
        <v>1.5</v>
      </c>
    </row>
    <row r="96" spans="31:32" ht="12.6" customHeight="1" x14ac:dyDescent="0.2">
      <c r="AE96" s="571" t="s">
        <v>486</v>
      </c>
      <c r="AF96" s="1046">
        <v>1.5</v>
      </c>
    </row>
    <row r="97" spans="31:32" ht="12.6" customHeight="1" x14ac:dyDescent="0.2">
      <c r="AE97" s="571">
        <v>15172</v>
      </c>
      <c r="AF97" s="1046">
        <v>1.5</v>
      </c>
    </row>
    <row r="98" spans="31:32" ht="12.6" customHeight="1" x14ac:dyDescent="0.2">
      <c r="AE98" s="571" t="s">
        <v>487</v>
      </c>
      <c r="AF98" s="1046">
        <v>1.5</v>
      </c>
    </row>
    <row r="99" spans="31:32" ht="12.6" customHeight="1" x14ac:dyDescent="0.2">
      <c r="AE99" s="571" t="s">
        <v>488</v>
      </c>
      <c r="AF99" s="1046">
        <v>1.5</v>
      </c>
    </row>
    <row r="100" spans="31:32" ht="12.6" customHeight="1" x14ac:dyDescent="0.2">
      <c r="AE100" s="571" t="s">
        <v>489</v>
      </c>
      <c r="AF100" s="1046">
        <v>1.75</v>
      </c>
    </row>
    <row r="101" spans="31:32" ht="12.6" customHeight="1" x14ac:dyDescent="0.2">
      <c r="AE101" s="571" t="s">
        <v>490</v>
      </c>
      <c r="AF101" s="1046">
        <v>1.75</v>
      </c>
    </row>
    <row r="102" spans="31:32" ht="12.6" customHeight="1" x14ac:dyDescent="0.2">
      <c r="AE102" s="571">
        <v>17141</v>
      </c>
      <c r="AF102" s="1046">
        <v>1.75</v>
      </c>
    </row>
    <row r="103" spans="31:32" ht="12.6" customHeight="1" x14ac:dyDescent="0.2">
      <c r="AE103" s="571" t="s">
        <v>491</v>
      </c>
      <c r="AF103" s="1046">
        <v>1.75</v>
      </c>
    </row>
    <row r="104" spans="31:32" ht="12.6" customHeight="1" x14ac:dyDescent="0.2">
      <c r="AE104" s="571" t="s">
        <v>492</v>
      </c>
      <c r="AF104" s="1046">
        <v>1.75</v>
      </c>
    </row>
    <row r="105" spans="31:32" ht="12.6" customHeight="1" x14ac:dyDescent="0.2">
      <c r="AE105" s="571">
        <v>17156</v>
      </c>
      <c r="AF105" s="1046">
        <v>1.75</v>
      </c>
    </row>
    <row r="106" spans="31:32" ht="12.6" customHeight="1" x14ac:dyDescent="0.2">
      <c r="AE106" s="571" t="s">
        <v>493</v>
      </c>
      <c r="AF106" s="1046">
        <v>1.75</v>
      </c>
    </row>
    <row r="107" spans="31:32" ht="12.6" customHeight="1" x14ac:dyDescent="0.2">
      <c r="AE107" s="571" t="s">
        <v>494</v>
      </c>
      <c r="AF107" s="1046">
        <v>1.75</v>
      </c>
    </row>
    <row r="108" spans="31:32" ht="12.6" customHeight="1" x14ac:dyDescent="0.2">
      <c r="AE108" s="571" t="s">
        <v>495</v>
      </c>
      <c r="AF108" s="1046">
        <v>1.75</v>
      </c>
    </row>
    <row r="109" spans="31:32" ht="12.6" customHeight="1" x14ac:dyDescent="0.2">
      <c r="AE109" s="571" t="s">
        <v>496</v>
      </c>
      <c r="AF109" s="1046">
        <v>2</v>
      </c>
    </row>
    <row r="110" spans="31:32" ht="12.6" customHeight="1" x14ac:dyDescent="0.2">
      <c r="AE110" s="571" t="s">
        <v>497</v>
      </c>
      <c r="AF110" s="1046">
        <v>2</v>
      </c>
    </row>
    <row r="111" spans="31:32" ht="12.6" customHeight="1" x14ac:dyDescent="0.2">
      <c r="AE111" s="571" t="s">
        <v>498</v>
      </c>
      <c r="AF111" s="1046">
        <v>2</v>
      </c>
    </row>
    <row r="112" spans="31:32" ht="12.6" customHeight="1" x14ac:dyDescent="0.2">
      <c r="AE112" s="571" t="s">
        <v>499</v>
      </c>
      <c r="AF112" s="1046">
        <v>2</v>
      </c>
    </row>
    <row r="113" spans="31:32" ht="12.6" customHeight="1" x14ac:dyDescent="0.2">
      <c r="AE113" s="571" t="s">
        <v>500</v>
      </c>
      <c r="AF113" s="1046">
        <v>2</v>
      </c>
    </row>
    <row r="114" spans="31:32" ht="12.6" customHeight="1" x14ac:dyDescent="0.2">
      <c r="AE114" s="103">
        <v>20184</v>
      </c>
      <c r="AF114" s="1046">
        <v>2</v>
      </c>
    </row>
    <row r="115" spans="31:32" ht="12.6" customHeight="1" x14ac:dyDescent="0.2">
      <c r="AE115" s="103" t="s">
        <v>501</v>
      </c>
      <c r="AF115" s="1046">
        <v>2</v>
      </c>
    </row>
    <row r="116" spans="31:32" ht="12.6" customHeight="1" x14ac:dyDescent="0.2">
      <c r="AE116" s="103">
        <v>252018</v>
      </c>
      <c r="AF116" s="1046">
        <v>10</v>
      </c>
    </row>
    <row r="117" spans="31:32" ht="12.6" customHeight="1" x14ac:dyDescent="0.2">
      <c r="AE117" s="103">
        <v>302018</v>
      </c>
      <c r="AF117" s="1046">
        <v>10</v>
      </c>
    </row>
    <row r="118" spans="31:32" ht="12.6" customHeight="1" x14ac:dyDescent="0.2">
      <c r="AE118" s="103" t="s">
        <v>502</v>
      </c>
      <c r="AF118" s="1046">
        <v>2</v>
      </c>
    </row>
    <row r="119" spans="31:32" ht="12.6" customHeight="1" x14ac:dyDescent="0.2">
      <c r="AE119" s="103" t="s">
        <v>503</v>
      </c>
      <c r="AF119" s="1046">
        <v>2</v>
      </c>
    </row>
    <row r="120" spans="31:32" ht="12.6" customHeight="1" x14ac:dyDescent="0.2">
      <c r="AE120" s="103">
        <v>20219</v>
      </c>
      <c r="AF120" s="1046">
        <v>2</v>
      </c>
    </row>
    <row r="121" spans="31:32" ht="12.6" customHeight="1" x14ac:dyDescent="0.2">
      <c r="AE121" s="103" t="s">
        <v>504</v>
      </c>
      <c r="AF121" s="1046">
        <v>2</v>
      </c>
    </row>
    <row r="122" spans="31:32" ht="12.6" customHeight="1" x14ac:dyDescent="0.2">
      <c r="AE122" s="103">
        <v>20232</v>
      </c>
      <c r="AF122" s="1046">
        <v>2</v>
      </c>
    </row>
    <row r="123" spans="31:32" ht="12.6" customHeight="1" x14ac:dyDescent="0.2">
      <c r="AE123" s="103" t="s">
        <v>505</v>
      </c>
      <c r="AF123" s="1046">
        <v>2</v>
      </c>
    </row>
    <row r="124" spans="31:32" ht="12.6" customHeight="1" x14ac:dyDescent="0.2">
      <c r="AE124" s="103" t="s">
        <v>506</v>
      </c>
      <c r="AF124" s="1046">
        <v>2</v>
      </c>
    </row>
    <row r="125" spans="31:32" ht="12.6" customHeight="1" x14ac:dyDescent="0.2">
      <c r="AE125" s="103">
        <v>302025</v>
      </c>
      <c r="AF125" s="1046">
        <v>10</v>
      </c>
    </row>
    <row r="126" spans="31:32" ht="12.6" customHeight="1" x14ac:dyDescent="0.2">
      <c r="AE126" s="103" t="s">
        <v>507</v>
      </c>
      <c r="AF126" s="1046">
        <v>2</v>
      </c>
    </row>
    <row r="127" spans="31:32" ht="12.6" customHeight="1" x14ac:dyDescent="0.2">
      <c r="AE127" s="103" t="s">
        <v>508</v>
      </c>
      <c r="AF127" s="1046">
        <v>2</v>
      </c>
    </row>
    <row r="128" spans="31:32" ht="12.6" customHeight="1" x14ac:dyDescent="0.2">
      <c r="AE128" s="103">
        <v>302037</v>
      </c>
      <c r="AF128" s="1046">
        <v>10</v>
      </c>
    </row>
    <row r="129" spans="31:32" ht="12.6" customHeight="1" x14ac:dyDescent="0.2">
      <c r="AE129" s="103" t="s">
        <v>509</v>
      </c>
      <c r="AF129" s="1046">
        <v>2.5</v>
      </c>
    </row>
    <row r="130" spans="31:32" ht="12.6" customHeight="1" x14ac:dyDescent="0.2">
      <c r="AE130" s="103">
        <v>202518</v>
      </c>
      <c r="AF130" s="1046">
        <v>10</v>
      </c>
    </row>
    <row r="131" spans="31:32" ht="12.6" customHeight="1" x14ac:dyDescent="0.2">
      <c r="AE131" s="103" t="s">
        <v>510</v>
      </c>
      <c r="AF131" s="1046">
        <v>2.5</v>
      </c>
    </row>
    <row r="132" spans="31:32" ht="12.6" customHeight="1" x14ac:dyDescent="0.2">
      <c r="AE132" s="103" t="s">
        <v>511</v>
      </c>
      <c r="AF132" s="1046">
        <v>2.5</v>
      </c>
    </row>
    <row r="133" spans="31:32" ht="12.6" customHeight="1" x14ac:dyDescent="0.2">
      <c r="AE133" s="103" t="s">
        <v>512</v>
      </c>
      <c r="AF133" s="1046">
        <v>2.5</v>
      </c>
    </row>
    <row r="134" spans="31:32" ht="12.6" customHeight="1" x14ac:dyDescent="0.2">
      <c r="AE134" s="103" t="s">
        <v>513</v>
      </c>
      <c r="AF134" s="1046">
        <v>2.5</v>
      </c>
    </row>
    <row r="135" spans="31:32" ht="12.6" customHeight="1" x14ac:dyDescent="0.2">
      <c r="AE135" s="103" t="s">
        <v>514</v>
      </c>
      <c r="AF135" s="1046">
        <v>2.5</v>
      </c>
    </row>
    <row r="136" spans="31:32" ht="12.6" customHeight="1" x14ac:dyDescent="0.2">
      <c r="AE136" s="103" t="s">
        <v>515</v>
      </c>
      <c r="AF136" s="1046">
        <v>3</v>
      </c>
    </row>
    <row r="137" spans="31:32" ht="12.6" customHeight="1" x14ac:dyDescent="0.2">
      <c r="AE137" s="103">
        <v>203018</v>
      </c>
      <c r="AF137" s="1046">
        <v>10</v>
      </c>
    </row>
    <row r="138" spans="31:32" ht="12.6" customHeight="1" x14ac:dyDescent="0.2">
      <c r="AE138" s="103" t="s">
        <v>516</v>
      </c>
      <c r="AF138" s="1046">
        <v>3</v>
      </c>
    </row>
    <row r="139" spans="31:32" ht="12.6" customHeight="1" x14ac:dyDescent="0.2">
      <c r="AE139" s="103" t="s">
        <v>517</v>
      </c>
      <c r="AF139" s="1046">
        <v>3</v>
      </c>
    </row>
    <row r="140" spans="31:32" ht="12.6" customHeight="1" x14ac:dyDescent="0.2">
      <c r="AE140" s="103">
        <v>203025</v>
      </c>
      <c r="AF140" s="1046">
        <v>10</v>
      </c>
    </row>
    <row r="141" spans="31:32" ht="12.6" customHeight="1" x14ac:dyDescent="0.2">
      <c r="AE141" s="103">
        <v>403025</v>
      </c>
      <c r="AF141" s="1046">
        <v>10</v>
      </c>
    </row>
    <row r="142" spans="31:32" ht="12.6" customHeight="1" x14ac:dyDescent="0.2">
      <c r="AE142" s="103">
        <v>503025</v>
      </c>
      <c r="AF142" s="1046">
        <v>10</v>
      </c>
    </row>
    <row r="143" spans="31:32" ht="12.6" customHeight="1" x14ac:dyDescent="0.2">
      <c r="AE143" s="103" t="s">
        <v>518</v>
      </c>
      <c r="AF143" s="1046">
        <v>3</v>
      </c>
    </row>
    <row r="144" spans="31:32" ht="12.6" customHeight="1" x14ac:dyDescent="0.2">
      <c r="AE144" s="103" t="s">
        <v>519</v>
      </c>
      <c r="AF144" s="1046">
        <v>3</v>
      </c>
    </row>
    <row r="145" spans="31:32" ht="12.6" customHeight="1" x14ac:dyDescent="0.2">
      <c r="AE145" s="103" t="s">
        <v>520</v>
      </c>
      <c r="AF145" s="1046">
        <v>3</v>
      </c>
    </row>
    <row r="146" spans="31:32" ht="12.6" customHeight="1" x14ac:dyDescent="0.2">
      <c r="AE146" s="103" t="s">
        <v>521</v>
      </c>
      <c r="AF146" s="1046">
        <v>3</v>
      </c>
    </row>
    <row r="147" spans="31:32" ht="12.6" customHeight="1" x14ac:dyDescent="0.2">
      <c r="AE147" s="103">
        <v>203037</v>
      </c>
      <c r="AF147" s="1046">
        <v>10</v>
      </c>
    </row>
    <row r="148" spans="31:32" ht="12.6" customHeight="1" x14ac:dyDescent="0.2">
      <c r="AE148" s="103">
        <v>403037</v>
      </c>
      <c r="AF148" s="1046">
        <v>10</v>
      </c>
    </row>
    <row r="149" spans="31:32" ht="12.6" customHeight="1" x14ac:dyDescent="0.2">
      <c r="AE149" s="103">
        <v>503037</v>
      </c>
      <c r="AF149" s="1046">
        <v>10</v>
      </c>
    </row>
    <row r="150" spans="31:32" ht="12.6" customHeight="1" x14ac:dyDescent="0.2">
      <c r="AE150" s="103">
        <v>3231</v>
      </c>
      <c r="AF150" s="1046">
        <v>3.25</v>
      </c>
    </row>
    <row r="151" spans="31:32" ht="12.6" customHeight="1" x14ac:dyDescent="0.2">
      <c r="AE151" s="103" t="s">
        <v>522</v>
      </c>
      <c r="AF151" s="1046">
        <v>3.5</v>
      </c>
    </row>
    <row r="152" spans="31:32" ht="12.6" customHeight="1" x14ac:dyDescent="0.2">
      <c r="AE152" s="103" t="s">
        <v>523</v>
      </c>
      <c r="AF152" s="1046">
        <v>3.5</v>
      </c>
    </row>
    <row r="153" spans="31:32" ht="12.6" customHeight="1" x14ac:dyDescent="0.2">
      <c r="AE153" s="103" t="s">
        <v>524</v>
      </c>
      <c r="AF153" s="1046">
        <v>3.5</v>
      </c>
    </row>
    <row r="154" spans="31:32" ht="12.6" customHeight="1" x14ac:dyDescent="0.2">
      <c r="AE154" s="103" t="s">
        <v>525</v>
      </c>
      <c r="AF154" s="1046">
        <v>3.5</v>
      </c>
    </row>
    <row r="155" spans="31:32" ht="12.6" customHeight="1" x14ac:dyDescent="0.2">
      <c r="AE155" s="103">
        <v>503537</v>
      </c>
      <c r="AF155" s="1046">
        <v>10</v>
      </c>
    </row>
    <row r="156" spans="31:32" ht="12.6" customHeight="1" x14ac:dyDescent="0.2">
      <c r="AE156" s="103">
        <v>503550</v>
      </c>
      <c r="AF156" s="1046">
        <v>10</v>
      </c>
    </row>
    <row r="157" spans="31:32" ht="12.6" customHeight="1" x14ac:dyDescent="0.2">
      <c r="AE157" s="103" t="s">
        <v>526</v>
      </c>
      <c r="AF157" s="1046">
        <v>4</v>
      </c>
    </row>
    <row r="158" spans="31:32" ht="12.6" customHeight="1" x14ac:dyDescent="0.2">
      <c r="AE158" s="103">
        <v>304025</v>
      </c>
      <c r="AF158" s="1046">
        <v>10</v>
      </c>
    </row>
    <row r="159" spans="31:32" ht="12.6" customHeight="1" x14ac:dyDescent="0.2">
      <c r="AE159" s="103" t="s">
        <v>527</v>
      </c>
      <c r="AF159" s="1046">
        <v>4</v>
      </c>
    </row>
    <row r="160" spans="31:32" ht="12.6" customHeight="1" x14ac:dyDescent="0.2">
      <c r="AE160" s="103" t="s">
        <v>528</v>
      </c>
      <c r="AF160" s="1046">
        <v>4</v>
      </c>
    </row>
    <row r="161" spans="31:32" ht="12.6" customHeight="1" x14ac:dyDescent="0.2">
      <c r="AE161" s="103" t="s">
        <v>529</v>
      </c>
      <c r="AF161" s="1046">
        <v>4</v>
      </c>
    </row>
    <row r="162" spans="31:32" ht="12.6" customHeight="1" x14ac:dyDescent="0.2">
      <c r="AE162" s="103">
        <v>304037</v>
      </c>
      <c r="AF162" s="1046">
        <v>10</v>
      </c>
    </row>
    <row r="163" spans="31:32" ht="12.6" customHeight="1" x14ac:dyDescent="0.2">
      <c r="AE163" s="103">
        <v>604037</v>
      </c>
      <c r="AF163" s="1046">
        <v>10</v>
      </c>
    </row>
    <row r="164" spans="31:32" ht="12.6" customHeight="1" x14ac:dyDescent="0.2">
      <c r="AE164" s="103">
        <v>704037</v>
      </c>
      <c r="AF164" s="1046">
        <v>10</v>
      </c>
    </row>
    <row r="165" spans="31:32" ht="12.6" customHeight="1" x14ac:dyDescent="0.2">
      <c r="AE165" s="103" t="s">
        <v>530</v>
      </c>
      <c r="AF165" s="1046">
        <v>4</v>
      </c>
    </row>
    <row r="166" spans="31:32" ht="12.6" customHeight="1" x14ac:dyDescent="0.2">
      <c r="AE166" s="103" t="s">
        <v>531</v>
      </c>
      <c r="AF166" s="1046">
        <v>4</v>
      </c>
    </row>
    <row r="167" spans="31:32" ht="12.6" customHeight="1" x14ac:dyDescent="0.2">
      <c r="AE167" s="103">
        <v>704050</v>
      </c>
      <c r="AF167" s="1046">
        <v>10</v>
      </c>
    </row>
    <row r="168" spans="31:32" ht="12.6" customHeight="1" x14ac:dyDescent="0.2">
      <c r="AE168" s="103">
        <v>305025</v>
      </c>
      <c r="AF168" s="1046">
        <v>10</v>
      </c>
    </row>
    <row r="169" spans="31:32" ht="12.6" customHeight="1" x14ac:dyDescent="0.2">
      <c r="AE169" s="103">
        <v>305037</v>
      </c>
      <c r="AF169" s="1046">
        <v>10</v>
      </c>
    </row>
    <row r="170" spans="31:32" ht="12.6" customHeight="1" x14ac:dyDescent="0.2">
      <c r="AE170" s="103">
        <v>355037</v>
      </c>
      <c r="AF170" s="1046">
        <v>10</v>
      </c>
    </row>
    <row r="171" spans="31:32" ht="12.6" customHeight="1" x14ac:dyDescent="0.2">
      <c r="AE171" s="103" t="s">
        <v>532</v>
      </c>
      <c r="AF171" s="1046">
        <v>5</v>
      </c>
    </row>
    <row r="172" spans="31:32" ht="12.6" customHeight="1" x14ac:dyDescent="0.2">
      <c r="AE172" s="103" t="s">
        <v>533</v>
      </c>
      <c r="AF172" s="1046">
        <v>5</v>
      </c>
    </row>
    <row r="173" spans="31:32" ht="12.6" customHeight="1" x14ac:dyDescent="0.2">
      <c r="AE173" s="103">
        <v>355050</v>
      </c>
      <c r="AF173" s="1046">
        <v>10</v>
      </c>
    </row>
    <row r="174" spans="31:32" ht="12.6" customHeight="1" x14ac:dyDescent="0.2">
      <c r="AE174" s="103">
        <v>406037</v>
      </c>
      <c r="AF174" s="1046">
        <v>10</v>
      </c>
    </row>
    <row r="175" spans="31:32" ht="12.6" customHeight="1" x14ac:dyDescent="0.2">
      <c r="AE175" s="103" t="s">
        <v>534</v>
      </c>
      <c r="AF175" s="1046">
        <v>6</v>
      </c>
    </row>
    <row r="176" spans="31:32" ht="12.6" customHeight="1" x14ac:dyDescent="0.2">
      <c r="AE176" s="103" t="s">
        <v>535</v>
      </c>
      <c r="AF176" s="1046">
        <v>6</v>
      </c>
    </row>
    <row r="177" spans="31:32" ht="12.6" customHeight="1" x14ac:dyDescent="0.2">
      <c r="AE177" s="103" t="s">
        <v>536</v>
      </c>
      <c r="AF177" s="1046">
        <v>6</v>
      </c>
    </row>
    <row r="178" spans="31:32" ht="12.6" customHeight="1" x14ac:dyDescent="0.2">
      <c r="AE178" s="103" t="s">
        <v>537</v>
      </c>
      <c r="AF178" s="1046">
        <v>6</v>
      </c>
    </row>
    <row r="179" spans="31:32" ht="12.6" customHeight="1" x14ac:dyDescent="0.2">
      <c r="AE179" s="103">
        <v>806062</v>
      </c>
      <c r="AF179" s="1046">
        <v>10</v>
      </c>
    </row>
    <row r="180" spans="31:32" ht="12.6" customHeight="1" x14ac:dyDescent="0.2">
      <c r="AE180" s="103" t="s">
        <v>538</v>
      </c>
      <c r="AF180" s="1046">
        <v>6</v>
      </c>
    </row>
    <row r="181" spans="31:32" ht="12.6" customHeight="1" x14ac:dyDescent="0.2">
      <c r="AE181" s="103" t="s">
        <v>539</v>
      </c>
      <c r="AF181" s="1046">
        <v>6</v>
      </c>
    </row>
    <row r="182" spans="31:32" ht="12.6" customHeight="1" x14ac:dyDescent="0.2">
      <c r="AE182" s="103">
        <v>407037</v>
      </c>
      <c r="AF182" s="1046">
        <v>10</v>
      </c>
    </row>
    <row r="183" spans="31:32" ht="12.6" customHeight="1" x14ac:dyDescent="0.2">
      <c r="AE183" s="103">
        <v>407050</v>
      </c>
      <c r="AF183" s="1046">
        <v>10</v>
      </c>
    </row>
    <row r="184" spans="31:32" ht="12.6" customHeight="1" x14ac:dyDescent="0.2">
      <c r="AE184" s="103" t="s">
        <v>540</v>
      </c>
      <c r="AF184" s="1046">
        <v>8</v>
      </c>
    </row>
    <row r="185" spans="31:32" ht="12.6" customHeight="1" x14ac:dyDescent="0.2">
      <c r="AE185" s="103">
        <v>8054</v>
      </c>
      <c r="AF185" s="1046">
        <v>8</v>
      </c>
    </row>
    <row r="186" spans="31:32" ht="12.6" customHeight="1" x14ac:dyDescent="0.2">
      <c r="AE186" s="103" t="s">
        <v>541</v>
      </c>
      <c r="AF186" s="1046">
        <v>8</v>
      </c>
    </row>
    <row r="187" spans="31:32" ht="12.6" customHeight="1" x14ac:dyDescent="0.2">
      <c r="AE187" s="103">
        <v>608062</v>
      </c>
      <c r="AF187" s="1046">
        <v>10</v>
      </c>
    </row>
    <row r="188" spans="31:32" ht="12.6" customHeight="1" x14ac:dyDescent="0.2">
      <c r="AE188" s="103" t="s">
        <v>542</v>
      </c>
      <c r="AF188" s="1046">
        <v>8</v>
      </c>
    </row>
    <row r="189" spans="31:32" ht="12.6" customHeight="1" x14ac:dyDescent="0.2">
      <c r="AE189" s="103" t="s">
        <v>543</v>
      </c>
      <c r="AF189" s="1046">
        <v>8</v>
      </c>
    </row>
    <row r="190" spans="31:32" ht="12.6" customHeight="1" x14ac:dyDescent="0.2">
      <c r="AE190" s="103" t="s">
        <v>544</v>
      </c>
      <c r="AF190" s="1046">
        <v>8</v>
      </c>
    </row>
    <row r="191" spans="31:32" ht="12.6" customHeight="1" x14ac:dyDescent="0.2">
      <c r="AE191" s="103" t="s">
        <v>545</v>
      </c>
      <c r="AF191" s="1046">
        <v>10</v>
      </c>
    </row>
    <row r="192" spans="31:32" ht="12.6" customHeight="1" x14ac:dyDescent="0.2">
      <c r="AE192" s="103" t="s">
        <v>546</v>
      </c>
      <c r="AF192" s="1046">
        <v>10</v>
      </c>
    </row>
    <row r="301" spans="31:32" ht="12.6" customHeight="1" x14ac:dyDescent="0.2">
      <c r="AE301" s="578" t="s">
        <v>547</v>
      </c>
      <c r="AF301" s="578"/>
    </row>
  </sheetData>
  <sheetProtection selectLockedCells="1"/>
  <dataConsolidate link="1"/>
  <mergeCells count="43">
    <mergeCell ref="V25:V26"/>
    <mergeCell ref="X25:AA25"/>
    <mergeCell ref="AC25:AD25"/>
    <mergeCell ref="HK12:HK13"/>
    <mergeCell ref="HL12:HL13"/>
    <mergeCell ref="HD12:HD13"/>
    <mergeCell ref="HN12:HN13"/>
    <mergeCell ref="HO12:HO13"/>
    <mergeCell ref="HP12:HP13"/>
    <mergeCell ref="HE12:HE13"/>
    <mergeCell ref="HF12:HF13"/>
    <mergeCell ref="HG12:HG13"/>
    <mergeCell ref="HH12:HH13"/>
    <mergeCell ref="HI12:HI13"/>
    <mergeCell ref="HJ12:HJ13"/>
    <mergeCell ref="HA11:HP11"/>
    <mergeCell ref="A12:B13"/>
    <mergeCell ref="C12:C13"/>
    <mergeCell ref="D12:D13"/>
    <mergeCell ref="E12:E13"/>
    <mergeCell ref="F12:F13"/>
    <mergeCell ref="G12:H12"/>
    <mergeCell ref="I12:J12"/>
    <mergeCell ref="K12:L13"/>
    <mergeCell ref="M12:M13"/>
    <mergeCell ref="N12:N13"/>
    <mergeCell ref="O12:O13"/>
    <mergeCell ref="HA12:HA13"/>
    <mergeCell ref="HB12:HB13"/>
    <mergeCell ref="HC12:HC13"/>
    <mergeCell ref="HM12:HM13"/>
    <mergeCell ref="O6:P6"/>
    <mergeCell ref="I8:K8"/>
    <mergeCell ref="C9:G9"/>
    <mergeCell ref="J9:P9"/>
    <mergeCell ref="C10:G10"/>
    <mergeCell ref="J10:L10"/>
    <mergeCell ref="O10:P10"/>
    <mergeCell ref="I7:L7"/>
    <mergeCell ref="J1:L1"/>
    <mergeCell ref="J2:L3"/>
    <mergeCell ref="J4:L4"/>
    <mergeCell ref="A5:G5"/>
  </mergeCells>
  <conditionalFormatting sqref="A14:A42 C14:C42">
    <cfRule type="expression" dxfId="12" priority="5">
      <formula>AND(NOT($S$1),$C14=0,OR($R$1="",$R$1="M"))</formula>
    </cfRule>
  </conditionalFormatting>
  <conditionalFormatting sqref="J2:L4">
    <cfRule type="cellIs" dxfId="11" priority="10" stopIfTrue="1" operator="equal">
      <formula>""</formula>
    </cfRule>
  </conditionalFormatting>
  <conditionalFormatting sqref="G7">
    <cfRule type="cellIs" dxfId="10" priority="11" stopIfTrue="1" operator="equal">
      <formula>"NO PAINT"</formula>
    </cfRule>
  </conditionalFormatting>
  <conditionalFormatting sqref="I7:K7">
    <cfRule type="expression" dxfId="9" priority="12" stopIfTrue="1">
      <formula>LOWER($I$7)&lt;&gt;"std gray primer: one shop coat"</formula>
    </cfRule>
  </conditionalFormatting>
  <conditionalFormatting sqref="F14:F42">
    <cfRule type="expression" dxfId="8" priority="9">
      <formula>OR(ISERROR(VLOOKUP(E14,$V$27:$V$42,1,FALSE)),ISERROR(VLOOKUP(F14,$AB$27:$AB$42,1,FALSE)))</formula>
    </cfRule>
  </conditionalFormatting>
  <conditionalFormatting sqref="D14:D42">
    <cfRule type="expression" dxfId="7" priority="7">
      <formula>OR(ISERROR(VLOOKUP(TRIM(D14),$AE$27:$AE$300,1,FALSE)),AND(NOT(ISERROR(VLOOKUP(E14,$V$27:$V$300,1,FALSE))),NOT(ISERROR(VLOOKUP(TRIM(D14),$U$27:$U$300,1,FALSE)))))</formula>
    </cfRule>
  </conditionalFormatting>
  <conditionalFormatting sqref="E14:E42">
    <cfRule type="expression" dxfId="6" priority="8">
      <formula>OR(ISERROR(VLOOKUP(E14,$W$27:$W$42,1,FALSE)),AND(NOT(ISERROR(VLOOKUP(E14,$V$27:$V$300,1,FALSE))),NOT(ISERROR(VLOOKUP(D14,$U$27:$U$300,1,FALSE)))))</formula>
    </cfRule>
  </conditionalFormatting>
  <conditionalFormatting sqref="I7:L7">
    <cfRule type="cellIs" dxfId="5" priority="6" operator="equal">
      <formula>0</formula>
    </cfRule>
  </conditionalFormatting>
  <conditionalFormatting sqref="A14:P42">
    <cfRule type="expression" dxfId="4" priority="13">
      <formula>$Q14</formula>
    </cfRule>
  </conditionalFormatting>
  <conditionalFormatting sqref="G14:G42">
    <cfRule type="expression" dxfId="3" priority="4">
      <formula>NOT(VLOOKUP($E14,$W$27:$AA$42,2,FALSE))</formula>
    </cfRule>
  </conditionalFormatting>
  <conditionalFormatting sqref="H14">
    <cfRule type="expression" dxfId="2" priority="3">
      <formula>NOT(VLOOKUP($E14,$W$27:$AA$42,3,FALSE))</formula>
    </cfRule>
  </conditionalFormatting>
  <conditionalFormatting sqref="I14:I42">
    <cfRule type="expression" dxfId="1" priority="2">
      <formula>NOT(VLOOKUP($E14,$W$27:$AA$42,4,FALSE))</formula>
    </cfRule>
  </conditionalFormatting>
  <conditionalFormatting sqref="J14:J42">
    <cfRule type="expression" dxfId="0" priority="1">
      <formula>NOT(VLOOKUP($E14,$W$27:$AA$42,5,FALSE))</formula>
    </cfRule>
  </conditionalFormatting>
  <dataValidations count="6">
    <dataValidation type="whole" operator="greaterThan" allowBlank="1" showInputMessage="1" showErrorMessage="1" errorTitle="Quantity Error" error="Value must be an integer greater than -1000." sqref="C14:C42" xr:uid="{E7CB8F1F-7EF4-4B60-B985-C66CF3ABB998}">
      <formula1>-1001</formula1>
    </dataValidation>
    <dataValidation type="decimal" allowBlank="1" showInputMessage="1" showErrorMessage="1" errorTitle="Dimensional Error" error="&quot;Inches&quot; must be a number from 0 to 11.875." sqref="L14:L42" xr:uid="{DED4E983-4B3D-4786-9BC3-FD0906314960}">
      <formula1>0</formula1>
      <formula2>11.875</formula2>
    </dataValidation>
    <dataValidation type="whole" operator="greaterThanOrEqual" allowBlank="1" showErrorMessage="1" errorTitle="Dimensional Error" error="&quot;Feet&quot; can only be whole numbers." sqref="K14:K42" xr:uid="{86D2B50E-3A55-4561-853C-F25A3CA31BD2}">
      <formula1>0</formula1>
    </dataValidation>
    <dataValidation type="list" allowBlank="1" showInputMessage="1" sqref="I7:L7" xr:uid="{66FAEE87-A1EF-44AA-8EBC-38B578CC06E8}">
      <formula1>"Std Gray Primer: One Shop Coat,NO Shop Primer,NO Shop Primer - GALV,Std Gray Primer: xx Shop Coats"</formula1>
    </dataValidation>
    <dataValidation type="list" allowBlank="1" errorTitle="Invalid Bridging Type" error="You MUST use a bridging type provided in the list." sqref="E14:E42" xr:uid="{BB0559DD-8530-4476-9E59-A7DD6C9DAF2F}">
      <formula1>OFFSET($W$27,0,0,$W$25)</formula1>
    </dataValidation>
    <dataValidation type="list" allowBlank="1" showInputMessage="1" sqref="F14:F42" xr:uid="{5513EBD0-AD30-467A-95E0-774A423730F2}">
      <formula1>$AB$27:$AB$34</formula1>
    </dataValidation>
  </dataValidations>
  <printOptions horizontalCentered="1"/>
  <pageMargins left="0.3" right="0.3" top="0.5" bottom="0.5" header="0" footer="0.25"/>
  <pageSetup pageOrder="overThenDown" orientation="landscape" r:id="rId1"/>
  <headerFooter alignWithMargins="0">
    <oddFooter>&amp;R&amp;7Printed: &amp;D &amp;T&amp;L&amp;7Version: 21.0428
File: &amp;F</oddFooter>
  </headerFooter>
  <drawing r:id="rId2"/>
  <legacyDrawing r:id="rId3"/>
</worksheet>
</file>

<file path=customUI/_rels/customUI.xml.rels><?xml version="1.0" encoding="UTF-8" standalone="yes"?>
<Relationships xmlns="http://schemas.openxmlformats.org/package/2006/relationships"><Relationship Id="AddSpNote32" Type="http://schemas.openxmlformats.org/officeDocument/2006/relationships/image" Target="images/AddSpNote320.png"/><Relationship Id="ReNum32" Type="http://schemas.openxmlformats.org/officeDocument/2006/relationships/image" Target="images/ReNum320.png"/><Relationship Id="AddBrdg32" Type="http://schemas.openxmlformats.org/officeDocument/2006/relationships/image" Target="images/AddBrdg320.png"/><Relationship Id="PrintInput32" Type="http://schemas.openxmlformats.org/officeDocument/2006/relationships/image" Target="images/PrintInput320.png"/><Relationship Id="PrintSel32" Type="http://schemas.openxmlformats.org/officeDocument/2006/relationships/image" Target="images/PrintSel320.png"/><Relationship Id="AddJSeq32" Type="http://schemas.openxmlformats.org/officeDocument/2006/relationships/image" Target="images/AddJSeq320.png"/><Relationship Id="AddKey32" Type="http://schemas.openxmlformats.org/officeDocument/2006/relationships/image" Target="images/AddKey320.png"/><Relationship Id="AddLdNote32" Type="http://schemas.openxmlformats.org/officeDocument/2006/relationships/image" Target="images/AddLdNote320.png"/><Relationship Id="AddPrNote32" Type="http://schemas.openxmlformats.org/officeDocument/2006/relationships/image" Target="images/AddPrNote320.png"/><Relationship Id="AddJst32" Type="http://schemas.openxmlformats.org/officeDocument/2006/relationships/image" Target="images/AddJst320.png"/><Relationship Id="BOMSet32" Type="http://schemas.openxmlformats.org/officeDocument/2006/relationships/image" Target="images/BOMSet320.png"/><Relationship Id="AddGir32" Type="http://schemas.openxmlformats.org/officeDocument/2006/relationships/image" Target="images/AddGir320.png"/><Relationship Id="DelPage32" Type="http://schemas.openxmlformats.org/officeDocument/2006/relationships/image" Target="images/DelPage320.png"/></Relationships>
</file>

<file path=customUI/_rels/customUI14.xml.rels><?xml version="1.0" encoding="UTF-8" standalone="yes"?>
<Relationships xmlns="http://schemas.openxmlformats.org/package/2006/relationships"><Relationship Id="AddSpNote32" Type="http://schemas.openxmlformats.org/officeDocument/2006/relationships/image" Target="images/AddSpNote32.png"/><Relationship Id="ReNum32" Type="http://schemas.openxmlformats.org/officeDocument/2006/relationships/image" Target="images/ReNum32.png"/><Relationship Id="AddBrdg32" Type="http://schemas.openxmlformats.org/officeDocument/2006/relationships/image" Target="images/AddBrdg32.png"/><Relationship Id="PrintInput32" Type="http://schemas.openxmlformats.org/officeDocument/2006/relationships/image" Target="images/PrintInput32.png"/><Relationship Id="PrintSel32" Type="http://schemas.openxmlformats.org/officeDocument/2006/relationships/image" Target="images/PrintSel32.png"/><Relationship Id="AddJSeq32" Type="http://schemas.openxmlformats.org/officeDocument/2006/relationships/image" Target="images/AddJSeq32.png"/><Relationship Id="AddKey32" Type="http://schemas.openxmlformats.org/officeDocument/2006/relationships/image" Target="images/AddKey32.png"/><Relationship Id="AddLdNote32" Type="http://schemas.openxmlformats.org/officeDocument/2006/relationships/image" Target="images/AddLdNote32.png"/><Relationship Id="AddPrNote32" Type="http://schemas.openxmlformats.org/officeDocument/2006/relationships/image" Target="images/AddPrNote32.png"/><Relationship Id="AddJst32" Type="http://schemas.openxmlformats.org/officeDocument/2006/relationships/image" Target="images/AddJst32.png"/><Relationship Id="BOMSet32" Type="http://schemas.openxmlformats.org/officeDocument/2006/relationships/image" Target="images/BOMSet32.png"/><Relationship Id="AddGir32" Type="http://schemas.openxmlformats.org/officeDocument/2006/relationships/image" Target="images/AddGir32.png"/><Relationship Id="DelPage32" Type="http://schemas.openxmlformats.org/officeDocument/2006/relationships/image" Target="images/DelPage32.png"/></Relationships>
</file>

<file path=customUI/customUI.xml><?xml version="1.0" encoding="utf-8"?>
<customUI xmlns="http://schemas.microsoft.com/office/2006/01/customui">
  <ribbon>
    <tabs>
      <tab id="customTab" label="NMBS Joist BOM Tools" insertAfterMso="Developer">
        <group id="customGroup1" label="Add Pages">
          <button id="customButton1" label="Add Sequence Key Page" size="large" onAction="rbnAddKeySheet" image="AddKey32"/>
          <button id="customButton2" label="Add Sequence Page" size="large" onAction="rbnAddSeqSheet" image="AddJSeq32"/>
          <button id="customButton3" label="Add Project Note Page" size="large" onAction="rbnAddProjSheet" image="AddPrNote32"/>
          <button id="customButton4" label="Add Special Note Page" size="large" onAction="rbnAddSpSheet" image="AddSpNote32"/>
          <button id="customButton5" label="Add Load Note Page" size="large" onAction="rbnAddLdSheet" image="AddLdNote32"/>
          <button id="customButton6" label="Add Girder Page" size="large" onAction="rbnAddGirderSheet" image="AddGir32"/>
          <button id="customButton7" label="Add Joist Page" size="large" onAction="rbnAddJoistSheet" image="AddJst32"/>
          <button id="customButton8" label="Add Bridging Page" size="large" onAction="rbnAddBridgingSheet" image="AddBrdg32"/>
        </group>
        <group id="customGroup2" label="Manage BOM">
          <button id="customButton9" label="Re-Number BOM Pages" size="large" onAction="rbnNumberBOMSet" image="ReNum32"/>
          <button id="customButton10" label="Delete Page" size="large" onAction="rbnDeleteSheet" image="DelPage32"/>
        </group>
        <group id="customGroup3" label="Print">
          <button id="customButton11" label="Print BOM Set" size="large" onAction="rbnPrintBOMSet" image="BOMSet32"/>
          <button id="customButton12" label="Print BOM Selection" size="large" onAction="rbnPrintPages" image="PrintSel32"/>
          <button id="customButton13" label="Print Input Set" size="large" onAction="rbnPrintInputSet" image="PrintInput32"/>
          <button id="customButton14" label="Print Input Selection" size="large" onAction="rbnPrintInputPages" image="PrintSel32"/>
        </group>
      </tab>
    </tabs>
  </ribbon>
</customUI>
</file>

<file path=customUI/customUI14.xml><?xml version="1.0" encoding="utf-8"?>
<customUI xmlns="http://schemas.microsoft.com/office/2009/07/customui">
  <ribbon>
    <tabs>
      <tab id="customTab" label="NMBS Joist BOM Tools" insertAfterMso="Developer">
        <group id="customGroup1" label="Add Pages">
          <button id="customButton1" label="Add Sequence Key Page" size="large" onAction="rbnAddKeySheet" image="AddKey32"/>
          <button id="customButton2" label="Add Sequence Page" size="large" onAction="rbnAddSeqSheet" image="AddJSeq32"/>
          <button id="customButton3" label="Add Project Note Page" size="large" onAction="rbnAddProjSheet" image="AddPrNote32"/>
          <button id="customButton4" label="Add Special Note Page" size="large" onAction="rbnAddSpSheet" image="AddSpNote32"/>
          <button id="customButton5" label="Add Load Note Page" size="large" onAction="rbnAddLdSheet" image="AddLdNote32"/>
          <button id="customButton6" label="Add Girder Page" size="large" onAction="rbnAddGirderSheet" image="AddGir32"/>
          <button id="customButton7" label="Add Joist Page" size="large" onAction="rbnAddJoistSheet" image="AddJst32"/>
          <button id="customButton8" label="Add Bridging Page" size="large" onAction="rbnAddBridgingSheet" image="AddBrdg32"/>
        </group>
        <group id="customGroup2" label="Manage BOM">
          <button id="customButton9" label="Re-Number BOM Pages" size="large" onAction="rbnNumberBOMSet" image="ReNum32"/>
          <button id="customButton10" label="Delete Page" size="large" onAction="rbnDeleteSheet" image="DelPage32"/>
        </group>
        <group id="customGroup3" label="Print">
          <button id="customButton11" label="Print BOM Set" size="large" onAction="rbnPrintBOMSet" image="BOMSet32"/>
          <button id="customButton12" label="Print BOM Selection" size="large" onAction="rbnPrintPages" image="PrintSel32"/>
          <button id="customButton13" label="Print Input Set" size="large" onAction="rbnPrintInputSet" image="PrintInput32"/>
          <button id="customButton14" label="Print Input Selection" size="large" onAction="rbnPrintInputPages" image="PrintSel32"/>
        </group>
      </tab>
    </tabs>
  </ribbon>
</customUI>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21</vt:i4>
      </vt:variant>
      <vt:variant>
        <vt:lpstr>Named Ranges</vt:lpstr>
      </vt:variant>
      <vt:variant>
        <vt:i4>26</vt:i4>
      </vt:variant>
    </vt:vector>
  </HeadingPairs>
  <TitlesOfParts>
    <vt:vector size="47" baseType="lpstr">
      <vt:lpstr>C_A</vt:lpstr>
      <vt:lpstr>P_A</vt:lpstr>
      <vt:lpstr>P_B</vt:lpstr>
      <vt:lpstr>L_A</vt:lpstr>
      <vt:lpstr>N_A</vt:lpstr>
      <vt:lpstr>K_A</vt:lpstr>
      <vt:lpstr>S_A</vt:lpstr>
      <vt:lpstr>G_A</vt:lpstr>
      <vt:lpstr>G_B</vt:lpstr>
      <vt:lpstr>J_A</vt:lpstr>
      <vt:lpstr>J_B</vt:lpstr>
      <vt:lpstr>B_A</vt:lpstr>
      <vt:lpstr>B_B</vt:lpstr>
      <vt:lpstr>P (1)</vt:lpstr>
      <vt:lpstr>N (1)</vt:lpstr>
      <vt:lpstr>K (1)</vt:lpstr>
      <vt:lpstr>S (1)</vt:lpstr>
      <vt:lpstr>G (1)</vt:lpstr>
      <vt:lpstr>J (1)</vt:lpstr>
      <vt:lpstr>L (1)</vt:lpstr>
      <vt:lpstr>B (1)</vt:lpstr>
      <vt:lpstr>'L (1)'!Pos</vt:lpstr>
      <vt:lpstr>Pos</vt:lpstr>
      <vt:lpstr>'B (1)'!Print_Area</vt:lpstr>
      <vt:lpstr>B_A!Print_Area</vt:lpstr>
      <vt:lpstr>B_B!Print_Area</vt:lpstr>
      <vt:lpstr>C_A!Print_Area</vt:lpstr>
      <vt:lpstr>'G (1)'!Print_Area</vt:lpstr>
      <vt:lpstr>G_A!Print_Area</vt:lpstr>
      <vt:lpstr>G_B!Print_Area</vt:lpstr>
      <vt:lpstr>'J (1)'!Print_Area</vt:lpstr>
      <vt:lpstr>J_A!Print_Area</vt:lpstr>
      <vt:lpstr>J_B!Print_Area</vt:lpstr>
      <vt:lpstr>'K (1)'!Print_Area</vt:lpstr>
      <vt:lpstr>K_A!Print_Area</vt:lpstr>
      <vt:lpstr>'L (1)'!Print_Area</vt:lpstr>
      <vt:lpstr>L_A!Print_Area</vt:lpstr>
      <vt:lpstr>'N (1)'!Print_Area</vt:lpstr>
      <vt:lpstr>N_A!Print_Area</vt:lpstr>
      <vt:lpstr>'P (1)'!Print_Area</vt:lpstr>
      <vt:lpstr>P_A!Print_Area</vt:lpstr>
      <vt:lpstr>P_B!Print_Area</vt:lpstr>
      <vt:lpstr>'S (1)'!Print_Area</vt:lpstr>
      <vt:lpstr>S_A!Print_Area</vt:lpstr>
      <vt:lpstr>J_A!Print_Titles</vt:lpstr>
      <vt:lpstr>'L (1)'!Type</vt:lpstr>
      <vt:lpstr>Type</vt:lpstr>
    </vt:vector>
  </TitlesOfParts>
  <Company>New Millennium Building Systems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Joist BOM</dc:title>
  <dc:creator>Sellers, Rich</dc:creator>
  <cp:lastModifiedBy>Shannon, Darien</cp:lastModifiedBy>
  <cp:lastPrinted>2021-07-16T22:37:00Z</cp:lastPrinted>
  <dcterms:created xsi:type="dcterms:W3CDTF">2000-11-20T22:20:26Z</dcterms:created>
  <dcterms:modified xsi:type="dcterms:W3CDTF">2021-11-27T21:18:28Z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wner">
    <vt:lpwstr>R. Sellers</vt:lpwstr>
  </property>
</Properties>
</file>