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Matsi\Desktop\Projects\IB Projects\Equity_Research\Nasdaq\"/>
    </mc:Choice>
  </mc:AlternateContent>
  <xr:revisionPtr revIDLastSave="0" documentId="13_ncr:1_{6B2886D9-FBFD-4310-A3DE-7AB614B41095}" xr6:coauthVersionLast="47" xr6:coauthVersionMax="47" xr10:uidLastSave="{00000000-0000-0000-0000-000000000000}"/>
  <bookViews>
    <workbookView xWindow="-120" yWindow="-120" windowWidth="20730" windowHeight="11040" xr2:uid="{00000000-000D-0000-FFFF-FFFF00000000}"/>
  </bookViews>
  <sheets>
    <sheet name="3-Statement_Model" sheetId="1" r:id="rId1"/>
    <sheet name="Assumptions" sheetId="3" r:id="rId2"/>
    <sheet name="Schedules" sheetId="4" r:id="rId3"/>
    <sheet name="Sheet1" sheetId="5" r:id="rId4"/>
    <sheet name="Revenue_Regression" sheetId="2" r:id="rId5"/>
  </sheets>
  <definedNames>
    <definedName name="S">'3-Statement_Model'!$B$2</definedName>
    <definedName name="solver_eng" localSheetId="3" hidden="1">1</definedName>
    <definedName name="solver_neg" localSheetId="3" hidden="1">1</definedName>
    <definedName name="solver_num" localSheetId="3" hidden="1">0</definedName>
    <definedName name="solver_opt" localSheetId="3" hidden="1">Sheet1!#REF!</definedName>
    <definedName name="solver_typ" localSheetId="3" hidden="1">1</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3" l="1"/>
  <c r="K59" i="3"/>
  <c r="L59" i="3"/>
  <c r="M59" i="3"/>
  <c r="I59" i="3"/>
  <c r="D59" i="3"/>
  <c r="E59" i="3"/>
  <c r="F59" i="3"/>
  <c r="G59" i="3"/>
  <c r="H59" i="3"/>
  <c r="C59" i="3"/>
  <c r="E57" i="3"/>
  <c r="K57" i="3" s="1"/>
  <c r="F57" i="3"/>
  <c r="M57" i="3" s="1"/>
  <c r="G57" i="3"/>
  <c r="H57" i="3"/>
  <c r="D57" i="3"/>
  <c r="E49" i="4"/>
  <c r="F49" i="4"/>
  <c r="G49" i="4"/>
  <c r="H49" i="4"/>
  <c r="D49" i="4"/>
  <c r="J57" i="3"/>
  <c r="D47" i="4"/>
  <c r="D44" i="4"/>
  <c r="E44" i="4"/>
  <c r="E47" i="4" s="1"/>
  <c r="F44" i="4"/>
  <c r="F47" i="4" s="1"/>
  <c r="G44" i="4"/>
  <c r="G47" i="4" s="1"/>
  <c r="H44" i="4"/>
  <c r="H47" i="4" s="1"/>
  <c r="C44" i="4"/>
  <c r="C47" i="4" s="1"/>
  <c r="D41" i="4"/>
  <c r="E41" i="4" s="1"/>
  <c r="F41" i="4" s="1"/>
  <c r="G41" i="4" s="1"/>
  <c r="H41" i="4" s="1"/>
  <c r="I41" i="4" s="1"/>
  <c r="J41" i="4" s="1"/>
  <c r="K41" i="4" s="1"/>
  <c r="L41" i="4" s="1"/>
  <c r="M41" i="4" s="1"/>
  <c r="J52" i="3"/>
  <c r="K52" i="3"/>
  <c r="L52" i="3"/>
  <c r="M52" i="3"/>
  <c r="I52" i="3"/>
  <c r="J53" i="3"/>
  <c r="K53" i="3"/>
  <c r="L53" i="3"/>
  <c r="M53" i="3"/>
  <c r="J54" i="3"/>
  <c r="K54" i="3"/>
  <c r="L54" i="3"/>
  <c r="M54" i="3"/>
  <c r="J55" i="3"/>
  <c r="K55" i="3"/>
  <c r="L55" i="3"/>
  <c r="M55" i="3"/>
  <c r="I55" i="3"/>
  <c r="I54" i="3"/>
  <c r="I53" i="3"/>
  <c r="D52" i="3"/>
  <c r="E52" i="3"/>
  <c r="F52" i="3"/>
  <c r="G52" i="3"/>
  <c r="H52" i="3"/>
  <c r="C52" i="3"/>
  <c r="I57" i="3" l="1"/>
  <c r="L57" i="3"/>
  <c r="J48" i="3" l="1"/>
  <c r="K48" i="3"/>
  <c r="L48" i="3"/>
  <c r="M48" i="3"/>
  <c r="I48" i="3"/>
  <c r="J47" i="3"/>
  <c r="K47" i="3"/>
  <c r="L47" i="3"/>
  <c r="M47" i="3"/>
  <c r="I47" i="3"/>
  <c r="J46" i="3"/>
  <c r="K46" i="3"/>
  <c r="L46" i="3"/>
  <c r="M46" i="3"/>
  <c r="M45" i="3" s="1"/>
  <c r="I46" i="3"/>
  <c r="J45" i="3"/>
  <c r="K45" i="3"/>
  <c r="L45" i="3"/>
  <c r="I45" i="3"/>
  <c r="D45" i="3"/>
  <c r="E45" i="3"/>
  <c r="F45" i="3"/>
  <c r="G45" i="3"/>
  <c r="H45" i="3"/>
  <c r="C45" i="3"/>
  <c r="J43" i="3"/>
  <c r="K43" i="3"/>
  <c r="L43" i="3"/>
  <c r="M43" i="3"/>
  <c r="I43" i="3"/>
  <c r="I42" i="3"/>
  <c r="J42" i="3"/>
  <c r="K42" i="3"/>
  <c r="L42" i="3"/>
  <c r="M42" i="3"/>
  <c r="I41" i="3"/>
  <c r="I40" i="3" s="1"/>
  <c r="I70" i="1" s="1"/>
  <c r="J41" i="3"/>
  <c r="K41" i="3"/>
  <c r="L41" i="3"/>
  <c r="M41" i="3"/>
  <c r="J40" i="3"/>
  <c r="L40" i="3"/>
  <c r="K40" i="3"/>
  <c r="M40" i="3"/>
  <c r="E34" i="4"/>
  <c r="E35" i="4" s="1"/>
  <c r="C31" i="4"/>
  <c r="C34" i="4" s="1"/>
  <c r="D31" i="4"/>
  <c r="D34" i="4" s="1"/>
  <c r="D35" i="4" s="1"/>
  <c r="E31" i="4"/>
  <c r="F31" i="4"/>
  <c r="F34" i="4" s="1"/>
  <c r="G31" i="4"/>
  <c r="H31" i="4"/>
  <c r="H34" i="4" s="1"/>
  <c r="C32" i="4"/>
  <c r="D32" i="4"/>
  <c r="E32" i="4"/>
  <c r="F32" i="4"/>
  <c r="G32" i="4"/>
  <c r="G34" i="4" s="1"/>
  <c r="G35" i="4" s="1"/>
  <c r="H32" i="4"/>
  <c r="C33" i="4"/>
  <c r="F33" i="4"/>
  <c r="G33" i="4"/>
  <c r="H33" i="4"/>
  <c r="B33" i="4"/>
  <c r="B32" i="4"/>
  <c r="B31" i="4"/>
  <c r="H29" i="4"/>
  <c r="E29" i="4"/>
  <c r="F29" i="4"/>
  <c r="F35" i="4" s="1"/>
  <c r="G29" i="4"/>
  <c r="D29" i="4"/>
  <c r="C29" i="4"/>
  <c r="C35" i="4" s="1"/>
  <c r="D28" i="4"/>
  <c r="E28" i="4" s="1"/>
  <c r="F28" i="4" s="1"/>
  <c r="G28" i="4" s="1"/>
  <c r="H28" i="4" s="1"/>
  <c r="I28" i="4" s="1"/>
  <c r="J28" i="4" s="1"/>
  <c r="K28" i="4" s="1"/>
  <c r="L28" i="4" s="1"/>
  <c r="M28" i="4" s="1"/>
  <c r="D38" i="3"/>
  <c r="E38" i="3" s="1"/>
  <c r="F38" i="3" s="1"/>
  <c r="G38" i="3" s="1"/>
  <c r="H38" i="3" s="1"/>
  <c r="I38" i="3" s="1"/>
  <c r="J38" i="3" s="1"/>
  <c r="K38" i="3" s="1"/>
  <c r="L38" i="3" s="1"/>
  <c r="M38" i="3" s="1"/>
  <c r="D26" i="4"/>
  <c r="H26" i="4"/>
  <c r="D25" i="4"/>
  <c r="E25" i="4"/>
  <c r="E26" i="4" s="1"/>
  <c r="F25" i="4"/>
  <c r="F26" i="4" s="1"/>
  <c r="G25" i="4"/>
  <c r="G26" i="4" s="1"/>
  <c r="H25" i="4"/>
  <c r="I25" i="4"/>
  <c r="J25" i="4"/>
  <c r="K25" i="4"/>
  <c r="L25" i="4"/>
  <c r="M25" i="4"/>
  <c r="C25" i="4"/>
  <c r="C26" i="4" s="1"/>
  <c r="D20" i="4"/>
  <c r="E20" i="4" s="1"/>
  <c r="F20" i="4" s="1"/>
  <c r="G20" i="4" s="1"/>
  <c r="H20" i="4" s="1"/>
  <c r="I20" i="4" s="1"/>
  <c r="J20" i="4" s="1"/>
  <c r="K20" i="4" s="1"/>
  <c r="L20" i="4" s="1"/>
  <c r="M20" i="4" s="1"/>
  <c r="J69" i="1"/>
  <c r="K69" i="1"/>
  <c r="L69" i="1"/>
  <c r="M69" i="1"/>
  <c r="I69" i="1"/>
  <c r="J68" i="1"/>
  <c r="K68" i="1"/>
  <c r="L68" i="1"/>
  <c r="M68" i="1"/>
  <c r="I68" i="1"/>
  <c r="D169" i="1"/>
  <c r="E169" i="1"/>
  <c r="G169" i="1"/>
  <c r="C169" i="1"/>
  <c r="D167" i="1"/>
  <c r="E167" i="1"/>
  <c r="G167" i="1"/>
  <c r="C167" i="1"/>
  <c r="D164" i="1"/>
  <c r="E164" i="1"/>
  <c r="F164" i="1"/>
  <c r="F167" i="1" s="1"/>
  <c r="F169" i="1" s="1"/>
  <c r="G164" i="1"/>
  <c r="H164" i="1"/>
  <c r="H167" i="1" s="1"/>
  <c r="H169" i="1" s="1"/>
  <c r="C164" i="1"/>
  <c r="D150" i="1"/>
  <c r="E150" i="1"/>
  <c r="F150" i="1"/>
  <c r="G150" i="1"/>
  <c r="H150" i="1"/>
  <c r="I150" i="1"/>
  <c r="J150" i="1"/>
  <c r="K150" i="1"/>
  <c r="L150" i="1"/>
  <c r="M150" i="1"/>
  <c r="C150" i="1"/>
  <c r="D139" i="1"/>
  <c r="E139" i="1"/>
  <c r="F139" i="1"/>
  <c r="G139" i="1"/>
  <c r="H139" i="1"/>
  <c r="C139" i="1"/>
  <c r="D119" i="1"/>
  <c r="E119" i="1"/>
  <c r="F119" i="1"/>
  <c r="G119" i="1"/>
  <c r="H119" i="1"/>
  <c r="C119" i="1"/>
  <c r="D1" i="1"/>
  <c r="E1" i="1" s="1"/>
  <c r="F1" i="1" s="1"/>
  <c r="G1" i="1" s="1"/>
  <c r="H1" i="1" s="1"/>
  <c r="I1" i="1" s="1"/>
  <c r="J1" i="1" s="1"/>
  <c r="K1" i="1" s="1"/>
  <c r="L1" i="1" s="1"/>
  <c r="M1" i="1" s="1"/>
  <c r="D117" i="1"/>
  <c r="E117" i="1" s="1"/>
  <c r="F117" i="1" s="1"/>
  <c r="G117" i="1" s="1"/>
  <c r="H117" i="1" s="1"/>
  <c r="I117" i="1" s="1"/>
  <c r="J117" i="1" s="1"/>
  <c r="K117" i="1" s="1"/>
  <c r="L117" i="1" s="1"/>
  <c r="M117" i="1" s="1"/>
  <c r="G111" i="1"/>
  <c r="H111" i="1"/>
  <c r="I111" i="1"/>
  <c r="D108" i="1"/>
  <c r="D111" i="1" s="1"/>
  <c r="D113" i="1" s="1"/>
  <c r="E108" i="1"/>
  <c r="E111" i="1" s="1"/>
  <c r="E113" i="1" s="1"/>
  <c r="F108" i="1"/>
  <c r="F111" i="1" s="1"/>
  <c r="F113" i="1" s="1"/>
  <c r="G108" i="1"/>
  <c r="H108" i="1"/>
  <c r="I108" i="1"/>
  <c r="J108" i="1"/>
  <c r="J111" i="1" s="1"/>
  <c r="K108" i="1"/>
  <c r="K111" i="1" s="1"/>
  <c r="L108" i="1"/>
  <c r="L111" i="1" s="1"/>
  <c r="L113" i="1" s="1"/>
  <c r="M108" i="1"/>
  <c r="M111" i="1" s="1"/>
  <c r="M113" i="1" s="1"/>
  <c r="C108" i="1"/>
  <c r="C111" i="1" s="1"/>
  <c r="C113" i="1" s="1"/>
  <c r="D93" i="1"/>
  <c r="D100" i="1" s="1"/>
  <c r="E93" i="1"/>
  <c r="E100" i="1" s="1"/>
  <c r="F93" i="1"/>
  <c r="F100" i="1" s="1"/>
  <c r="G93" i="1"/>
  <c r="G100" i="1" s="1"/>
  <c r="H93" i="1"/>
  <c r="H100" i="1" s="1"/>
  <c r="I93" i="1"/>
  <c r="I100" i="1" s="1"/>
  <c r="J93" i="1"/>
  <c r="J100" i="1" s="1"/>
  <c r="K93" i="1"/>
  <c r="K100" i="1" s="1"/>
  <c r="L93" i="1"/>
  <c r="L100" i="1" s="1"/>
  <c r="M93" i="1"/>
  <c r="M100" i="1" s="1"/>
  <c r="C93" i="1"/>
  <c r="C100" i="1" s="1"/>
  <c r="D74" i="1"/>
  <c r="D82" i="1" s="1"/>
  <c r="E74" i="1"/>
  <c r="E82" i="1" s="1"/>
  <c r="F74" i="1"/>
  <c r="F82" i="1" s="1"/>
  <c r="G74" i="1"/>
  <c r="G82" i="1" s="1"/>
  <c r="H74" i="1"/>
  <c r="H82" i="1" s="1"/>
  <c r="C74" i="1"/>
  <c r="C82" i="1" s="1"/>
  <c r="H35" i="4" l="1"/>
  <c r="J70" i="1"/>
  <c r="K70" i="1" s="1"/>
  <c r="K113" i="1"/>
  <c r="I113" i="1"/>
  <c r="J113" i="1"/>
  <c r="G113" i="1"/>
  <c r="H113" i="1"/>
  <c r="D65" i="1"/>
  <c r="E65" i="1" s="1"/>
  <c r="F65" i="1" s="1"/>
  <c r="G65" i="1" s="1"/>
  <c r="H65" i="1" s="1"/>
  <c r="I65" i="1" s="1"/>
  <c r="J65" i="1" s="1"/>
  <c r="K65" i="1" s="1"/>
  <c r="L65" i="1" s="1"/>
  <c r="M65" i="1" s="1"/>
  <c r="C18" i="4"/>
  <c r="F18" i="4"/>
  <c r="D18" i="4"/>
  <c r="E18" i="4"/>
  <c r="G18" i="4"/>
  <c r="H18" i="4"/>
  <c r="C7" i="4"/>
  <c r="D7" i="4" s="1"/>
  <c r="E7" i="4" s="1"/>
  <c r="F7" i="4" s="1"/>
  <c r="G7" i="4" s="1"/>
  <c r="H7" i="4" s="1"/>
  <c r="I7" i="4" s="1"/>
  <c r="J7" i="4" s="1"/>
  <c r="K7" i="4" s="1"/>
  <c r="L7" i="4" s="1"/>
  <c r="M7" i="4" s="1"/>
  <c r="D8" i="4"/>
  <c r="E8" i="4" s="1"/>
  <c r="F8" i="4" s="1"/>
  <c r="G8" i="4" s="1"/>
  <c r="H8" i="4" s="1"/>
  <c r="I8" i="4" s="1"/>
  <c r="J8" i="4" s="1"/>
  <c r="K8" i="4" s="1"/>
  <c r="L8" i="4" s="1"/>
  <c r="M8" i="4" s="1"/>
  <c r="E7" i="3"/>
  <c r="F7" i="3"/>
  <c r="G7" i="3"/>
  <c r="H7" i="3"/>
  <c r="D7" i="3"/>
  <c r="D4" i="3"/>
  <c r="E4" i="3" s="1"/>
  <c r="F4" i="3" s="1"/>
  <c r="G4" i="3" s="1"/>
  <c r="H4" i="3" s="1"/>
  <c r="I4" i="3" s="1"/>
  <c r="J4" i="3" s="1"/>
  <c r="K4" i="3" s="1"/>
  <c r="L4" i="3" s="1"/>
  <c r="M4" i="3" s="1"/>
  <c r="D1" i="3"/>
  <c r="E1" i="3" s="1"/>
  <c r="F1" i="3" s="1"/>
  <c r="G1" i="3" s="1"/>
  <c r="H1" i="3" s="1"/>
  <c r="I1" i="3" s="1"/>
  <c r="J1" i="3" s="1"/>
  <c r="K1" i="3" s="1"/>
  <c r="L1" i="3" s="1"/>
  <c r="M1" i="3" s="1"/>
  <c r="D5" i="4"/>
  <c r="E5" i="4"/>
  <c r="F5" i="4"/>
  <c r="G5" i="4"/>
  <c r="H5" i="4"/>
  <c r="C5" i="4"/>
  <c r="D3" i="4"/>
  <c r="E3" i="4" s="1"/>
  <c r="F3" i="4" s="1"/>
  <c r="G3" i="4" s="1"/>
  <c r="H3" i="4" s="1"/>
  <c r="I3" i="4" s="1"/>
  <c r="J3" i="4" s="1"/>
  <c r="K3" i="4" s="1"/>
  <c r="L3" i="4" s="1"/>
  <c r="M3" i="4" s="1"/>
  <c r="D1" i="4"/>
  <c r="E1" i="4" s="1"/>
  <c r="F1" i="4" s="1"/>
  <c r="G1" i="4" s="1"/>
  <c r="H1" i="4" s="1"/>
  <c r="I1" i="4" s="1"/>
  <c r="J1" i="4" s="1"/>
  <c r="K1" i="4" s="1"/>
  <c r="L1" i="4" s="1"/>
  <c r="M1" i="4" s="1"/>
  <c r="M16" i="4"/>
  <c r="L70" i="1" l="1"/>
  <c r="I9" i="3"/>
  <c r="I5" i="4"/>
  <c r="J5" i="4" s="1"/>
  <c r="M9" i="3"/>
  <c r="J8" i="3"/>
  <c r="J7" i="3" s="1"/>
  <c r="M10" i="3"/>
  <c r="K10" i="3"/>
  <c r="L10" i="3"/>
  <c r="L9" i="3"/>
  <c r="J9" i="3"/>
  <c r="M8" i="3"/>
  <c r="M7" i="3" s="1"/>
  <c r="L8" i="3"/>
  <c r="L7" i="3" s="1"/>
  <c r="I10" i="3"/>
  <c r="J10" i="3"/>
  <c r="K9" i="3"/>
  <c r="I8" i="3"/>
  <c r="I7" i="3" s="1"/>
  <c r="I4" i="4" s="1"/>
  <c r="K8" i="3"/>
  <c r="K7" i="3" s="1"/>
  <c r="L16" i="4"/>
  <c r="J14" i="4"/>
  <c r="M17" i="4"/>
  <c r="L11" i="4"/>
  <c r="L14" i="4"/>
  <c r="K12" i="4"/>
  <c r="K17" i="4"/>
  <c r="I14" i="4"/>
  <c r="K11" i="4"/>
  <c r="L15" i="4"/>
  <c r="J12" i="4"/>
  <c r="I16" i="4"/>
  <c r="J15" i="4"/>
  <c r="M13" i="4"/>
  <c r="J17" i="4"/>
  <c r="L10" i="4"/>
  <c r="K10" i="4"/>
  <c r="I10" i="4"/>
  <c r="K16" i="4"/>
  <c r="J11" i="4"/>
  <c r="I15" i="4"/>
  <c r="J16" i="4"/>
  <c r="I17" i="4"/>
  <c r="L17" i="4"/>
  <c r="I11" i="4"/>
  <c r="I12" i="4"/>
  <c r="M15" i="4"/>
  <c r="K15" i="4"/>
  <c r="K13" i="4"/>
  <c r="K14" i="4"/>
  <c r="L12" i="4"/>
  <c r="J10" i="4"/>
  <c r="M10" i="4"/>
  <c r="M12" i="4"/>
  <c r="J13" i="4"/>
  <c r="M11" i="4"/>
  <c r="M14" i="4"/>
  <c r="L13" i="4"/>
  <c r="I13" i="4"/>
  <c r="M70" i="1" l="1"/>
  <c r="M18" i="4"/>
  <c r="I18" i="4"/>
  <c r="J18" i="4"/>
  <c r="K18" i="4"/>
  <c r="L18" i="4"/>
  <c r="I14" i="1"/>
  <c r="K5" i="4"/>
  <c r="L5" i="4" s="1"/>
  <c r="M5" i="4" s="1"/>
  <c r="J4" i="4"/>
  <c r="K4" i="4" s="1"/>
  <c r="J14" i="1" l="1"/>
  <c r="L4" i="4"/>
  <c r="K14" i="1"/>
  <c r="M4" i="4" l="1"/>
  <c r="M14" i="1" s="1"/>
  <c r="L14" i="1"/>
  <c r="C11" i="1" l="1"/>
  <c r="B65" i="2"/>
  <c r="C64" i="2"/>
  <c r="D64" i="2"/>
  <c r="E64" i="2"/>
  <c r="F64" i="2"/>
  <c r="B64" i="2"/>
  <c r="D30" i="2"/>
  <c r="D29" i="2"/>
  <c r="E30" i="2"/>
  <c r="E29" i="2"/>
  <c r="H48" i="2"/>
  <c r="G45" i="2" s="1"/>
  <c r="H44" i="2"/>
  <c r="G41" i="2" s="1"/>
  <c r="H40" i="2"/>
  <c r="G37" i="2" s="1"/>
  <c r="H36" i="2"/>
  <c r="G33" i="2" s="1"/>
  <c r="H32" i="2"/>
  <c r="G32" i="2" s="1"/>
  <c r="C32" i="3" l="1"/>
  <c r="C12" i="3"/>
  <c r="C27" i="3"/>
  <c r="C22" i="3"/>
  <c r="G48" i="2"/>
  <c r="G47" i="2"/>
  <c r="G46" i="2"/>
  <c r="G44" i="2"/>
  <c r="G43" i="2"/>
  <c r="G42" i="2"/>
  <c r="G39" i="2"/>
  <c r="G40" i="2"/>
  <c r="G38" i="2"/>
  <c r="G35" i="2"/>
  <c r="G36" i="2"/>
  <c r="G34" i="2"/>
  <c r="G4" i="2" l="1"/>
  <c r="G5" i="2"/>
  <c r="G6" i="2"/>
  <c r="G7" i="2"/>
  <c r="G8" i="2"/>
  <c r="G9" i="2"/>
  <c r="G10" i="2"/>
  <c r="G11" i="2"/>
  <c r="G12" i="2"/>
  <c r="G13" i="2"/>
  <c r="G14" i="2"/>
  <c r="G15" i="2"/>
  <c r="G16" i="2"/>
  <c r="G17" i="2"/>
  <c r="G18" i="2"/>
  <c r="G19" i="2"/>
  <c r="G20" i="2"/>
  <c r="G21" i="2"/>
  <c r="G22" i="2"/>
  <c r="G23" i="2"/>
  <c r="G24" i="2"/>
  <c r="G25" i="2"/>
  <c r="G3" i="2"/>
  <c r="F65" i="2"/>
  <c r="E65" i="2"/>
  <c r="D65" i="2"/>
  <c r="C65" i="2"/>
  <c r="C62" i="2"/>
  <c r="D62" i="2" s="1"/>
  <c r="E62" i="2" s="1"/>
  <c r="F62" i="2" s="1"/>
  <c r="A29" i="2"/>
  <c r="A33" i="2" s="1"/>
  <c r="A37" i="2" s="1"/>
  <c r="A41" i="2" s="1"/>
  <c r="A45" i="2" s="1"/>
  <c r="G31" i="2" l="1"/>
  <c r="F31" i="2" l="1"/>
  <c r="F32" i="2" l="1"/>
  <c r="E31" i="2"/>
  <c r="D31" i="2" l="1"/>
  <c r="C31" i="2" s="1"/>
  <c r="F33" i="2"/>
  <c r="E32" i="2"/>
  <c r="D32" i="2" s="1"/>
  <c r="C32" i="2" s="1"/>
  <c r="F11" i="1"/>
  <c r="F32" i="3" l="1"/>
  <c r="F27" i="3"/>
  <c r="F22" i="3"/>
  <c r="F12" i="3"/>
  <c r="I11" i="1"/>
  <c r="I43" i="4" s="1"/>
  <c r="F34" i="2"/>
  <c r="E33" i="2"/>
  <c r="D33" i="2" s="1"/>
  <c r="C33" i="2" s="1"/>
  <c r="H52" i="1"/>
  <c r="G52" i="1"/>
  <c r="F52" i="1"/>
  <c r="E52" i="1"/>
  <c r="D52" i="1"/>
  <c r="C52" i="1"/>
  <c r="H48" i="1"/>
  <c r="G48" i="1"/>
  <c r="F48" i="1"/>
  <c r="E48" i="1"/>
  <c r="D48" i="1"/>
  <c r="C48" i="1"/>
  <c r="H24" i="1"/>
  <c r="G24" i="1"/>
  <c r="F24" i="1"/>
  <c r="F26" i="1" s="1"/>
  <c r="F33" i="1" s="1"/>
  <c r="F36" i="1" s="1"/>
  <c r="E24" i="1"/>
  <c r="D24" i="1"/>
  <c r="C24" i="1"/>
  <c r="H11" i="1"/>
  <c r="G11" i="1"/>
  <c r="E11" i="1"/>
  <c r="D11" i="1"/>
  <c r="D5" i="1"/>
  <c r="E5" i="1" s="1"/>
  <c r="F5" i="1" s="1"/>
  <c r="G5" i="1" s="1"/>
  <c r="H5" i="1" s="1"/>
  <c r="I5" i="1" s="1"/>
  <c r="J5" i="1" s="1"/>
  <c r="K5" i="1" s="1"/>
  <c r="L5" i="1" s="1"/>
  <c r="M5" i="1" s="1"/>
  <c r="I42" i="4" l="1"/>
  <c r="I73" i="1"/>
  <c r="I71" i="1"/>
  <c r="G56" i="1"/>
  <c r="E56" i="1"/>
  <c r="C56" i="1"/>
  <c r="D22" i="3"/>
  <c r="D32" i="3"/>
  <c r="D12" i="3"/>
  <c r="D27" i="3"/>
  <c r="G12" i="3"/>
  <c r="G32" i="3"/>
  <c r="G27" i="3"/>
  <c r="G22" i="3"/>
  <c r="D56" i="1"/>
  <c r="E27" i="3"/>
  <c r="E22" i="3"/>
  <c r="E32" i="3"/>
  <c r="E12" i="3"/>
  <c r="H12" i="3"/>
  <c r="H27" i="3"/>
  <c r="H22" i="3"/>
  <c r="H32" i="3"/>
  <c r="F56" i="1"/>
  <c r="I5" i="3"/>
  <c r="I50" i="3" s="1"/>
  <c r="I72" i="1" s="1"/>
  <c r="F35" i="2"/>
  <c r="E34" i="2"/>
  <c r="D34" i="2" s="1"/>
  <c r="C34" i="2" s="1"/>
  <c r="G26" i="1"/>
  <c r="G33" i="1" s="1"/>
  <c r="G36" i="1" s="1"/>
  <c r="G39" i="1" s="1"/>
  <c r="C26" i="1"/>
  <c r="C33" i="1" s="1"/>
  <c r="C36" i="1" s="1"/>
  <c r="C44" i="1" s="1"/>
  <c r="E26" i="1"/>
  <c r="E33" i="1" s="1"/>
  <c r="E36" i="1" s="1"/>
  <c r="E44" i="1" s="1"/>
  <c r="D26" i="1"/>
  <c r="D33" i="1" s="1"/>
  <c r="D36" i="1" s="1"/>
  <c r="D44" i="1" s="1"/>
  <c r="D57" i="1" s="1"/>
  <c r="D60" i="1" s="1"/>
  <c r="H26" i="1"/>
  <c r="H56" i="1"/>
  <c r="F44" i="1"/>
  <c r="F57" i="1" s="1"/>
  <c r="F60" i="1" s="1"/>
  <c r="F39" i="1"/>
  <c r="I44" i="4" l="1"/>
  <c r="I46" i="4" s="1"/>
  <c r="I74" i="1"/>
  <c r="E57" i="1"/>
  <c r="E60" i="1" s="1"/>
  <c r="C57" i="1"/>
  <c r="C60" i="1" s="1"/>
  <c r="H33" i="1"/>
  <c r="H36" i="1" s="1"/>
  <c r="H39" i="1" s="1"/>
  <c r="I13" i="3"/>
  <c r="I12" i="3" s="1"/>
  <c r="I15" i="1" s="1"/>
  <c r="L14" i="3"/>
  <c r="M15" i="3"/>
  <c r="M14" i="3"/>
  <c r="I14" i="3"/>
  <c r="K13" i="3"/>
  <c r="K12" i="3" s="1"/>
  <c r="L13" i="3"/>
  <c r="L12" i="3" s="1"/>
  <c r="L15" i="3"/>
  <c r="I15" i="3"/>
  <c r="J15" i="3"/>
  <c r="J14" i="3"/>
  <c r="K15" i="3"/>
  <c r="M13" i="3"/>
  <c r="M12" i="3" s="1"/>
  <c r="K14" i="3"/>
  <c r="L35" i="3"/>
  <c r="J35" i="3"/>
  <c r="M35" i="3"/>
  <c r="J33" i="3"/>
  <c r="J32" i="3" s="1"/>
  <c r="K33" i="3"/>
  <c r="K32" i="3" s="1"/>
  <c r="K35" i="3"/>
  <c r="M34" i="3"/>
  <c r="J34" i="3"/>
  <c r="M33" i="3"/>
  <c r="M32" i="3" s="1"/>
  <c r="I35" i="3"/>
  <c r="K34" i="3"/>
  <c r="I34" i="3"/>
  <c r="L34" i="3"/>
  <c r="I33" i="3"/>
  <c r="I32" i="3" s="1"/>
  <c r="I21" i="1" s="1"/>
  <c r="L33" i="3"/>
  <c r="L32" i="3" s="1"/>
  <c r="G44" i="1"/>
  <c r="G57" i="1" s="1"/>
  <c r="G60" i="1" s="1"/>
  <c r="K25" i="3"/>
  <c r="K24" i="3"/>
  <c r="L25" i="3"/>
  <c r="M24" i="3"/>
  <c r="L24" i="3"/>
  <c r="I23" i="3"/>
  <c r="I22" i="3" s="1"/>
  <c r="I18" i="1" s="1"/>
  <c r="J25" i="3"/>
  <c r="I25" i="3"/>
  <c r="K23" i="3"/>
  <c r="K22" i="3" s="1"/>
  <c r="I24" i="3"/>
  <c r="J24" i="3"/>
  <c r="L23" i="3"/>
  <c r="L22" i="3" s="1"/>
  <c r="M25" i="3"/>
  <c r="M23" i="3"/>
  <c r="M22" i="3" s="1"/>
  <c r="J23" i="3"/>
  <c r="J22" i="3" s="1"/>
  <c r="E39" i="1"/>
  <c r="D39" i="1"/>
  <c r="M30" i="3"/>
  <c r="K30" i="3"/>
  <c r="I30" i="3"/>
  <c r="J30" i="3"/>
  <c r="K28" i="3"/>
  <c r="K27" i="3" s="1"/>
  <c r="L28" i="3"/>
  <c r="L27" i="3" s="1"/>
  <c r="L30" i="3"/>
  <c r="M29" i="3"/>
  <c r="J29" i="3"/>
  <c r="J28" i="3"/>
  <c r="J27" i="3" s="1"/>
  <c r="K29" i="3"/>
  <c r="I29" i="3"/>
  <c r="L29" i="3"/>
  <c r="I28" i="3"/>
  <c r="I27" i="3" s="1"/>
  <c r="I19" i="1" s="1"/>
  <c r="M28" i="3"/>
  <c r="M27" i="3" s="1"/>
  <c r="J13" i="3"/>
  <c r="J12" i="3" s="1"/>
  <c r="H44" i="1"/>
  <c r="H57" i="1" s="1"/>
  <c r="H60" i="1" s="1"/>
  <c r="C39" i="1"/>
  <c r="F36" i="2"/>
  <c r="E35" i="2"/>
  <c r="D35" i="2" s="1"/>
  <c r="C35" i="2" s="1"/>
  <c r="I47" i="4" l="1"/>
  <c r="I76" i="1" s="1"/>
  <c r="I82" i="1" s="1"/>
  <c r="I49" i="4"/>
  <c r="F37" i="2"/>
  <c r="E36" i="2"/>
  <c r="D36" i="2" s="1"/>
  <c r="C36" i="2" s="1"/>
  <c r="J11" i="1" s="1"/>
  <c r="J43" i="4" l="1"/>
  <c r="J42" i="4"/>
  <c r="J71" i="1"/>
  <c r="J73" i="1"/>
  <c r="J21" i="1"/>
  <c r="J18" i="1"/>
  <c r="J19" i="1"/>
  <c r="J15" i="1"/>
  <c r="J5" i="3"/>
  <c r="J50" i="3" s="1"/>
  <c r="J72" i="1" s="1"/>
  <c r="F38" i="2"/>
  <c r="E37" i="2"/>
  <c r="D37" i="2" s="1"/>
  <c r="C37" i="2" s="1"/>
  <c r="J44" i="4" l="1"/>
  <c r="J74" i="1"/>
  <c r="F39" i="2"/>
  <c r="E38" i="2"/>
  <c r="D38" i="2" s="1"/>
  <c r="C38" i="2" s="1"/>
  <c r="J46" i="4" l="1"/>
  <c r="J47" i="4" s="1"/>
  <c r="J76" i="1" s="1"/>
  <c r="J82" i="1" s="1"/>
  <c r="F40" i="2"/>
  <c r="E39" i="2"/>
  <c r="D39" i="2" s="1"/>
  <c r="C39" i="2" s="1"/>
  <c r="F41" i="2" l="1"/>
  <c r="E40" i="2"/>
  <c r="D40" i="2" s="1"/>
  <c r="C40" i="2" s="1"/>
  <c r="K11" i="1" s="1"/>
  <c r="K43" i="4" l="1"/>
  <c r="K42" i="4"/>
  <c r="K71" i="1"/>
  <c r="K73" i="1"/>
  <c r="K21" i="1"/>
  <c r="K18" i="1"/>
  <c r="K19" i="1"/>
  <c r="K15" i="1"/>
  <c r="K5" i="3"/>
  <c r="K50" i="3" s="1"/>
  <c r="K72" i="1" s="1"/>
  <c r="F42" i="2"/>
  <c r="E41" i="2"/>
  <c r="D41" i="2" s="1"/>
  <c r="C41" i="2" s="1"/>
  <c r="K44" i="4" l="1"/>
  <c r="K74" i="1"/>
  <c r="F43" i="2"/>
  <c r="E42" i="2"/>
  <c r="D42" i="2" s="1"/>
  <c r="C42" i="2" s="1"/>
  <c r="K46" i="4" l="1"/>
  <c r="K47" i="4" s="1"/>
  <c r="K76" i="1" s="1"/>
  <c r="K82" i="1" s="1"/>
  <c r="F44" i="2"/>
  <c r="E43" i="2"/>
  <c r="D43" i="2" s="1"/>
  <c r="C43" i="2" s="1"/>
  <c r="F45" i="2" l="1"/>
  <c r="E44" i="2"/>
  <c r="D44" i="2" s="1"/>
  <c r="C44" i="2" s="1"/>
  <c r="L11" i="1" s="1"/>
  <c r="L42" i="4" l="1"/>
  <c r="L43" i="4"/>
  <c r="L71" i="1"/>
  <c r="L73" i="1"/>
  <c r="L21" i="1"/>
  <c r="L18" i="1"/>
  <c r="L19" i="1"/>
  <c r="L15" i="1"/>
  <c r="L5" i="3"/>
  <c r="L50" i="3" s="1"/>
  <c r="L72" i="1" s="1"/>
  <c r="F46" i="2"/>
  <c r="E45" i="2"/>
  <c r="D45" i="2" s="1"/>
  <c r="C45" i="2" s="1"/>
  <c r="L44" i="4" l="1"/>
  <c r="L74" i="1"/>
  <c r="F47" i="2"/>
  <c r="E46" i="2"/>
  <c r="D46" i="2" s="1"/>
  <c r="C46" i="2" s="1"/>
  <c r="L46" i="4" l="1"/>
  <c r="L47" i="4" s="1"/>
  <c r="L76" i="1" s="1"/>
  <c r="L82" i="1" s="1"/>
  <c r="F48" i="2"/>
  <c r="E48" i="2" s="1"/>
  <c r="D48" i="2" s="1"/>
  <c r="C48" i="2" s="1"/>
  <c r="E47" i="2"/>
  <c r="D47" i="2" s="1"/>
  <c r="C47" i="2" s="1"/>
  <c r="M11" i="1" l="1"/>
  <c r="M42" i="4" l="1"/>
  <c r="M43" i="4"/>
  <c r="M71" i="1"/>
  <c r="M73" i="1"/>
  <c r="M21" i="1"/>
  <c r="M18" i="1"/>
  <c r="M19" i="1"/>
  <c r="M15" i="1"/>
  <c r="M5" i="3"/>
  <c r="M50" i="3" s="1"/>
  <c r="M72" i="1" s="1"/>
  <c r="M44" i="4" l="1"/>
  <c r="M74" i="1"/>
  <c r="I20" i="3"/>
  <c r="M20" i="3"/>
  <c r="J20" i="3"/>
  <c r="L19" i="3"/>
  <c r="J18" i="3"/>
  <c r="J17" i="3" s="1"/>
  <c r="L20" i="3"/>
  <c r="M19" i="3"/>
  <c r="K18" i="3"/>
  <c r="K17" i="3" s="1"/>
  <c r="M18" i="3"/>
  <c r="K20" i="3"/>
  <c r="K19" i="3"/>
  <c r="J19" i="3"/>
  <c r="L18" i="3"/>
  <c r="L17" i="3" s="1"/>
  <c r="I18" i="3"/>
  <c r="I19" i="3"/>
  <c r="M46" i="4" l="1"/>
  <c r="M47" i="4" s="1"/>
  <c r="M76" i="1" s="1"/>
  <c r="M82" i="1" s="1"/>
  <c r="I17" i="3"/>
  <c r="I16" i="1" s="1"/>
  <c r="I24" i="1" s="1"/>
  <c r="I26" i="1" s="1"/>
  <c r="I33" i="1" s="1"/>
  <c r="M17" i="3"/>
  <c r="J16" i="1" l="1"/>
  <c r="K16" i="1" s="1"/>
  <c r="I35" i="1"/>
  <c r="I36" i="1" s="1"/>
  <c r="I39" i="1" l="1"/>
  <c r="I119" i="1"/>
  <c r="I139" i="1" s="1"/>
  <c r="I167" i="1" s="1"/>
  <c r="J24" i="1"/>
  <c r="J26" i="1" s="1"/>
  <c r="J33" i="1" s="1"/>
  <c r="J35" i="1" s="1"/>
  <c r="J36" i="1" s="1"/>
  <c r="L16" i="1"/>
  <c r="K24" i="1"/>
  <c r="K26" i="1" s="1"/>
  <c r="K33" i="1" s="1"/>
  <c r="J39" i="1" l="1"/>
  <c r="J119" i="1"/>
  <c r="J139" i="1" s="1"/>
  <c r="J167" i="1" s="1"/>
  <c r="K35" i="1"/>
  <c r="K36" i="1" s="1"/>
  <c r="M16" i="1"/>
  <c r="M24" i="1" s="1"/>
  <c r="M26" i="1" s="1"/>
  <c r="M33" i="1" s="1"/>
  <c r="L24" i="1"/>
  <c r="L26" i="1" s="1"/>
  <c r="L33" i="1" s="1"/>
  <c r="K39" i="1" l="1"/>
  <c r="K119" i="1"/>
  <c r="K139" i="1" s="1"/>
  <c r="K167" i="1" s="1"/>
  <c r="M35" i="1"/>
  <c r="M36" i="1" s="1"/>
  <c r="L35" i="1"/>
  <c r="L36" i="1" s="1"/>
  <c r="L39" i="1" l="1"/>
  <c r="L119" i="1"/>
  <c r="L139" i="1" s="1"/>
  <c r="L167" i="1" s="1"/>
  <c r="M39" i="1"/>
  <c r="M119" i="1"/>
  <c r="M139" i="1" s="1"/>
  <c r="M16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Nkgopoleng Sebake</author>
  </authors>
  <commentList>
    <comment ref="B22" authorId="0" shapeId="0" xr:uid="{638AEA9F-D0FE-46CB-A4BB-7E67DBEDA405}">
      <text>
        <r>
          <rPr>
            <b/>
            <sz val="9"/>
            <color indexed="81"/>
            <rFont val="Tahoma"/>
            <family val="2"/>
          </rPr>
          <t>Nkgopoleng Sebake:</t>
        </r>
        <r>
          <rPr>
            <sz val="9"/>
            <color indexed="81"/>
            <rFont val="Tahoma"/>
            <family val="2"/>
          </rPr>
          <t xml:space="preserve">
historically tied to acquisitions</t>
        </r>
      </text>
    </comment>
    <comment ref="B23" authorId="0" shapeId="0" xr:uid="{D9BA6CE8-0941-4256-A2E7-2A77F336B04A}">
      <text>
        <r>
          <rPr>
            <b/>
            <sz val="9"/>
            <color indexed="81"/>
            <rFont val="Tahoma"/>
            <family val="2"/>
          </rPr>
          <t>Nkgopoleng Sebake:</t>
        </r>
        <r>
          <rPr>
            <sz val="9"/>
            <color indexed="81"/>
            <rFont val="Tahoma"/>
            <family val="2"/>
          </rPr>
          <t xml:space="preserve">
historically tied to acquisitions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Nkgopoleng Sebake</author>
  </authors>
  <commentList>
    <comment ref="B12" authorId="0" shapeId="0" xr:uid="{D09EF99C-13EF-4002-8FB7-67E0623B75CB}">
      <text>
        <r>
          <rPr>
            <b/>
            <sz val="9"/>
            <color indexed="81"/>
            <rFont val="Tahoma"/>
            <family val="2"/>
          </rPr>
          <t>Nkgopoleng Sebake:</t>
        </r>
        <r>
          <rPr>
            <sz val="9"/>
            <color indexed="81"/>
            <rFont val="Tahoma"/>
            <family val="2"/>
          </rPr>
          <t xml:space="preserve">
as % of revenue
</t>
        </r>
      </text>
    </comment>
    <comment ref="B17" authorId="0" shapeId="0" xr:uid="{04914A2D-D603-41E6-8693-2517131D3E1B}">
      <text>
        <r>
          <rPr>
            <b/>
            <sz val="9"/>
            <color indexed="81"/>
            <rFont val="Tahoma"/>
            <family val="2"/>
          </rPr>
          <t>Nkgopoleng Sebake:</t>
        </r>
        <r>
          <rPr>
            <sz val="9"/>
            <color indexed="81"/>
            <rFont val="Tahoma"/>
            <family val="2"/>
          </rPr>
          <t xml:space="preserve">
grows with revenue
</t>
        </r>
      </text>
    </comment>
    <comment ref="B22" authorId="0" shapeId="0" xr:uid="{5C3CA5A9-6984-44F2-9624-8368867591B3}">
      <text>
        <r>
          <rPr>
            <b/>
            <sz val="9"/>
            <color indexed="81"/>
            <rFont val="Tahoma"/>
            <family val="2"/>
          </rPr>
          <t>Nkgopoleng Sebake:</t>
        </r>
        <r>
          <rPr>
            <sz val="9"/>
            <color indexed="81"/>
            <rFont val="Tahoma"/>
            <family val="2"/>
          </rPr>
          <t xml:space="preserve">
as % of revenue</t>
        </r>
      </text>
    </comment>
    <comment ref="B27" authorId="0" shapeId="0" xr:uid="{B31BF010-2F04-4A04-B5CC-AC51CD62FA59}">
      <text>
        <r>
          <rPr>
            <b/>
            <sz val="9"/>
            <color indexed="81"/>
            <rFont val="Tahoma"/>
            <family val="2"/>
          </rPr>
          <t>Nkgopoleng Sebake:</t>
        </r>
        <r>
          <rPr>
            <sz val="9"/>
            <color indexed="81"/>
            <rFont val="Tahoma"/>
            <family val="2"/>
          </rPr>
          <t xml:space="preserve">
as % of revenue</t>
        </r>
      </text>
    </comment>
    <comment ref="B32" authorId="0" shapeId="0" xr:uid="{9C7DC8B7-DC94-46AC-97F5-9618D3E640FE}">
      <text>
        <r>
          <rPr>
            <b/>
            <sz val="9"/>
            <color indexed="81"/>
            <rFont val="Tahoma"/>
            <family val="2"/>
          </rPr>
          <t xml:space="preserve">Nkgopoleng Sebake:
</t>
        </r>
        <r>
          <rPr>
            <sz val="9"/>
            <color indexed="81"/>
            <rFont val="Tahoma"/>
            <family val="2"/>
          </rPr>
          <t>as % of revenue.
Regulatory expenses includes settlements</t>
        </r>
      </text>
    </comment>
    <comment ref="B40" authorId="0" shapeId="0" xr:uid="{1C3E2B9C-AB02-4A63-81F6-AA5927856B79}">
      <text>
        <r>
          <rPr>
            <b/>
            <sz val="9"/>
            <color indexed="81"/>
            <rFont val="Tahoma"/>
            <family val="2"/>
          </rPr>
          <t>Nkgopoleng Sebake:</t>
        </r>
        <r>
          <rPr>
            <sz val="9"/>
            <color indexed="81"/>
            <rFont val="Tahoma"/>
            <family val="2"/>
          </rPr>
          <t xml:space="preserve">
We use the historical CAGR as the base case, adjusting it up or down by 2–3 percentage points to form best and worst cases, since Financial Investments are primarily regulatory-driven. This approach captures the historical trend while allowing for reasonable variation in capital needs due to changes in clearing volumes, regulatory buffers, or capital efficiency.</t>
        </r>
      </text>
    </comment>
    <comment ref="B45" authorId="0" shapeId="0" xr:uid="{CD96EC44-ABDC-45D6-806D-E319F58082EE}">
      <text>
        <r>
          <rPr>
            <b/>
            <sz val="9"/>
            <color indexed="81"/>
            <rFont val="Tahoma"/>
            <family val="2"/>
          </rPr>
          <t>Nkgopoleng Sebake:</t>
        </r>
        <r>
          <rPr>
            <sz val="9"/>
            <color indexed="81"/>
            <rFont val="Tahoma"/>
            <family val="2"/>
          </rPr>
          <t xml:space="preserve">
Receivables are directly tied to revenues because they represent amounts billed to customers for services rendered. As Nasdaq’s revenues grow with client activity, the volume of outstanding invoices naturally rises, making revenues the primary driver of receivables.</t>
        </r>
      </text>
    </comment>
    <comment ref="B50" authorId="0" shapeId="0" xr:uid="{CBC806BE-FBA6-4868-9676-9B1FB3EF5A71}">
      <text>
        <r>
          <rPr>
            <b/>
            <sz val="9"/>
            <color indexed="81"/>
            <rFont val="Tahoma"/>
            <family val="2"/>
          </rPr>
          <t>Nkgopoleng Sebake:</t>
        </r>
        <r>
          <rPr>
            <sz val="9"/>
            <color indexed="81"/>
            <rFont val="Tahoma"/>
            <family val="2"/>
          </rPr>
          <t xml:space="preserve">
Default funds and margin deposits are projected in line with revenue growth, since client collateral requirements scale with overall trading activity and business volumes reflected in Nasdaq’s revenues.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D09F27-F0AB-4E80-B655-6763EE7C0DFB}" keepAlive="1" name="Query - Table258 (Page 78)" description="Connection to the 'Table258 (Page 78)' query in the workbook." type="5" refreshedVersion="0" background="1">
    <dbPr connection="Provider=Microsoft.Mashup.OleDb.1;Data Source=$Workbook$;Location=&quot;Table258 (Page 78)&quot;;Extended Properties=&quot;&quot;" command="SELECT * FROM [Table258 (Page 78)]"/>
  </connection>
</connections>
</file>

<file path=xl/sharedStrings.xml><?xml version="1.0" encoding="utf-8"?>
<sst xmlns="http://schemas.openxmlformats.org/spreadsheetml/2006/main" count="413" uniqueCount="233">
  <si>
    <t>Total revenues</t>
  </si>
  <si>
    <t>Transaction-based expenses:</t>
  </si>
  <si>
    <t>Transaction rebates</t>
  </si>
  <si>
    <t>Brokerage, clearance and exchange fees</t>
  </si>
  <si>
    <t>Operating expenses:</t>
  </si>
  <si>
    <t>Compensation and benefits</t>
  </si>
  <si>
    <t>Professional and contract services</t>
  </si>
  <si>
    <t>Computer operations and data communications</t>
  </si>
  <si>
    <t>Occupancy</t>
  </si>
  <si>
    <t>General, administrative and other</t>
  </si>
  <si>
    <t>Marketing and advertising</t>
  </si>
  <si>
    <t>Depreciation and amortization</t>
  </si>
  <si>
    <t>Regulatory</t>
  </si>
  <si>
    <t>Merger and strategic initiatives</t>
  </si>
  <si>
    <t>Restructuring charges</t>
  </si>
  <si>
    <t>Total operating expenses</t>
  </si>
  <si>
    <t>Operating income</t>
  </si>
  <si>
    <t>Interest income</t>
  </si>
  <si>
    <t>Interest expense</t>
  </si>
  <si>
    <t>Net gain on divestiture of businesses</t>
  </si>
  <si>
    <t>Other income (loss)</t>
  </si>
  <si>
    <t>Net income (loss) from unconsolidated investees</t>
  </si>
  <si>
    <t>Income before income taxes</t>
  </si>
  <si>
    <t>Income tax provision</t>
  </si>
  <si>
    <t>Net income</t>
  </si>
  <si>
    <t>Net loss attributable to noncontrolling interests</t>
  </si>
  <si>
    <t>Net income attributable to Nasdaq</t>
  </si>
  <si>
    <t>Per share information:</t>
  </si>
  <si>
    <t>EPS</t>
  </si>
  <si>
    <t>Other comprehensive income(loss):</t>
  </si>
  <si>
    <t>Foreign currency translation gains(losses)</t>
  </si>
  <si>
    <t>Income tax benefit (expense)</t>
  </si>
  <si>
    <t>Foreign currency translation, net</t>
  </si>
  <si>
    <t>Employee benefit plan adjustment losses</t>
  </si>
  <si>
    <t>Employee benefit plan income tax benefit</t>
  </si>
  <si>
    <t>Employee benefit plan, net</t>
  </si>
  <si>
    <t>Unrealized gain(loss) on derivatives instruments, net</t>
  </si>
  <si>
    <t>Total other comprehensive income(loss), net of tax</t>
  </si>
  <si>
    <t>Comprehensive income</t>
  </si>
  <si>
    <t>Comprehensive loss attributable to noncontrolling interests</t>
  </si>
  <si>
    <t>Comprehensive income attributable to Nasdaq</t>
  </si>
  <si>
    <t>X</t>
  </si>
  <si>
    <t>Income Statement</t>
  </si>
  <si>
    <t>Billions</t>
  </si>
  <si>
    <t>2019</t>
  </si>
  <si>
    <t>Q1</t>
  </si>
  <si>
    <t>Q2</t>
  </si>
  <si>
    <t>Q3</t>
  </si>
  <si>
    <t>Q4</t>
  </si>
  <si>
    <t>2020</t>
  </si>
  <si>
    <t>2021</t>
  </si>
  <si>
    <t>2022</t>
  </si>
  <si>
    <t>2023</t>
  </si>
  <si>
    <t>2024</t>
  </si>
  <si>
    <t>MSCI_World</t>
  </si>
  <si>
    <t>Nasdaq_Net_Revenue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</si>
  <si>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</si>
  <si>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</si>
  <si>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</si>
  <si>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</si>
  <si>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</si>
  <si>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</si>
  <si>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</si>
  <si>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</si>
  <si>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</si>
  <si>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</si>
  <si>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</si>
  <si>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</si>
  <si>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</si>
  <si>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</si>
  <si>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</si>
  <si>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</si>
  <si>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</si>
  <si>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</si>
  <si>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</si>
  <si>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</si>
  <si>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</si>
  <si>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</si>
  <si>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</si>
  <si>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</si>
  <si>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10_T-bill</t>
  </si>
  <si>
    <t xml:space="preserve">        Gross domestic product</t>
  </si>
  <si>
    <t>Expected annual GDP growth as per IMF</t>
  </si>
  <si>
    <t>Actual = 0,80%</t>
  </si>
  <si>
    <t>Actual = 1%</t>
  </si>
  <si>
    <t>Scenario</t>
  </si>
  <si>
    <t>GDP Growth (Annual)</t>
  </si>
  <si>
    <t>Description</t>
  </si>
  <si>
    <t>Base</t>
  </si>
  <si>
    <t>Most likely macro environment</t>
  </si>
  <si>
    <t>Best</t>
  </si>
  <si>
    <t>Faster economic recovery, stronger consumer spending</t>
  </si>
  <si>
    <t>Worst</t>
  </si>
  <si>
    <t>-1–2% below Base</t>
  </si>
  <si>
    <t>Slowdown or recession, weaker consumer spending</t>
  </si>
  <si>
    <t>GDP Growth</t>
  </si>
  <si>
    <t>Scenerio</t>
  </si>
  <si>
    <t>SUMMARY OUTPUT (MSCI World)</t>
  </si>
  <si>
    <t>Average growth+Base</t>
  </si>
  <si>
    <t>Net Revenue</t>
  </si>
  <si>
    <t>Headcount</t>
  </si>
  <si>
    <t>Average Cost per head</t>
  </si>
  <si>
    <t>Headcount(Compensation and benefits)</t>
  </si>
  <si>
    <t>millions</t>
  </si>
  <si>
    <t>Headcount growth</t>
  </si>
  <si>
    <t>Average</t>
  </si>
  <si>
    <t>Min</t>
  </si>
  <si>
    <t>Max</t>
  </si>
  <si>
    <t>Max/1,5</t>
  </si>
  <si>
    <t>projected revenue growth</t>
  </si>
  <si>
    <t>Income Tax Provision</t>
  </si>
  <si>
    <t>x</t>
  </si>
  <si>
    <t>Federal income tax provision at Statutory rate</t>
  </si>
  <si>
    <t>State income tax prvision, net of federal effect</t>
  </si>
  <si>
    <t>Excess tax benefits(SBC)</t>
  </si>
  <si>
    <t>Non-U.S. subsidiary earnings</t>
  </si>
  <si>
    <t>Tax credits and deductions</t>
  </si>
  <si>
    <t>Change in unrecognized tax benefits</t>
  </si>
  <si>
    <t>Other, net</t>
  </si>
  <si>
    <t>Actual income tax provision</t>
  </si>
  <si>
    <t>Deduction for foreign derived intangible income</t>
  </si>
  <si>
    <t>Intra-group transfer of IP</t>
  </si>
  <si>
    <t>Balance Sheet</t>
  </si>
  <si>
    <t>Cash and cash equivalents</t>
  </si>
  <si>
    <t>Restricted cash and cash equivalents</t>
  </si>
  <si>
    <t>Financial investments</t>
  </si>
  <si>
    <t>Receivables, net</t>
  </si>
  <si>
    <t>Default funds and margin deposits</t>
  </si>
  <si>
    <t>Other current assets</t>
  </si>
  <si>
    <t>Total current assets</t>
  </si>
  <si>
    <t>Property and equipment, net</t>
  </si>
  <si>
    <t>Goodwill</t>
  </si>
  <si>
    <t>Intangible assets, net</t>
  </si>
  <si>
    <t>Operating lease assets</t>
  </si>
  <si>
    <t>Other non-current assets</t>
  </si>
  <si>
    <t>Total assets</t>
  </si>
  <si>
    <t>Liabilities</t>
  </si>
  <si>
    <t>Accounts payable and accrued expenses</t>
  </si>
  <si>
    <t>Section 31 fees payable to SEC</t>
  </si>
  <si>
    <t>Accrued personnel costs</t>
  </si>
  <si>
    <t>Deferred revenue</t>
  </si>
  <si>
    <t>Other current liabilities</t>
  </si>
  <si>
    <t>Short-term debt</t>
  </si>
  <si>
    <t>—</t>
  </si>
  <si>
    <t>Total current liabilities</t>
  </si>
  <si>
    <t>Long-term debt</t>
  </si>
  <si>
    <t>Deferred tax liabilities, net</t>
  </si>
  <si>
    <t>Operating lease liabilities</t>
  </si>
  <si>
    <t>Other non-current liabilities</t>
  </si>
  <si>
    <t>Total liabilities</t>
  </si>
  <si>
    <t>Additional paid-in capital</t>
  </si>
  <si>
    <t>Retained earnings</t>
  </si>
  <si>
    <t>Total Nasdaq stockholders’ equity</t>
  </si>
  <si>
    <t>Noncontrolling interests</t>
  </si>
  <si>
    <t>Total equity</t>
  </si>
  <si>
    <t>Total liabilities and equity</t>
  </si>
  <si>
    <t>Accumulated other comprehensive loss</t>
  </si>
  <si>
    <t>Assets</t>
  </si>
  <si>
    <t>Current assets:</t>
  </si>
  <si>
    <t>Current liabilities:</t>
  </si>
  <si>
    <t>Common stock</t>
  </si>
  <si>
    <t>Common stock in treasury</t>
  </si>
  <si>
    <t>Cash flows from operating activities:</t>
  </si>
  <si>
    <t>Adjustments to reconcile net income to net cash provided by operating activities:</t>
  </si>
  <si>
    <t>Share-based compensation</t>
  </si>
  <si>
    <t>Deferred income taxes</t>
  </si>
  <si>
    <t>Other reconciling items included in net income</t>
  </si>
  <si>
    <t>Net change in operating assets and liabilities, net of effects of acquisitions:</t>
  </si>
  <si>
    <t>Other assets</t>
  </si>
  <si>
    <t>Net cash provided by operating activities</t>
  </si>
  <si>
    <t>Cash flows from investing activities:</t>
  </si>
  <si>
    <t>Purchases of securities</t>
  </si>
  <si>
    <t>Proceeds from sales and redemptions of securities</t>
  </si>
  <si>
    <t>Proceeds from divestiture of businesses, net of cash divested</t>
  </si>
  <si>
    <t>Proceeds from sale of investment securities</t>
  </si>
  <si>
    <t>Acquisition of businesses, net of cash and cash equivalents acquired</t>
  </si>
  <si>
    <t>Purchases of property and equipment</t>
  </si>
  <si>
    <t>Investments related to default funds and margin deposits, net</t>
  </si>
  <si>
    <t>Other investing activities</t>
  </si>
  <si>
    <t>Cash flows from financing activities:</t>
  </si>
  <si>
    <t>Proceeds from (repayments of) commercial paper, net</t>
  </si>
  <si>
    <t>Payment of debt extinguishment cost</t>
  </si>
  <si>
    <t>Repurchases of common stock</t>
  </si>
  <si>
    <t>ASR agreement</t>
  </si>
  <si>
    <t>Dividends paid</t>
  </si>
  <si>
    <t>Proceeds received from employee stock activity and other issuances</t>
  </si>
  <si>
    <t>Payments related to employee shares withheld for taxes</t>
  </si>
  <si>
    <t>Other financing activities</t>
  </si>
  <si>
    <t>Net cash provided by (used in) financing activities</t>
  </si>
  <si>
    <t>Effect of exchange rate changes on cash and cash equivalents and restricted cash and cash equivalents</t>
  </si>
  <si>
    <t>Net increase (decrease) in cash and cash equivalents and restricted cash and cash equivalents</t>
  </si>
  <si>
    <t>Cash and cash equivalents, restricted cash and cash equivalents at beginning of period</t>
  </si>
  <si>
    <t>Cash and cash equivalents, restricted cash and cash equivalents at end of period</t>
  </si>
  <si>
    <t>Reconciliation of Cash, Cash Equivalents and Restricted Cash and Cash Equivalents</t>
  </si>
  <si>
    <t>Restricted cash and cash equivalents (default funds and margin deposits)</t>
  </si>
  <si>
    <t>Supplemental Disclosure Cash Flow Information</t>
  </si>
  <si>
    <t>Extinguishment of debt and bridge fees</t>
  </si>
  <si>
    <t>Non-cash restructuring charges</t>
  </si>
  <si>
    <t>Net (income) loss from unconsolidated investees</t>
  </si>
  <si>
    <t>Operating lease asset impairments</t>
  </si>
  <si>
    <t>Adenza purchase accounting adjustment</t>
  </si>
  <si>
    <t>Other liabilities</t>
  </si>
  <si>
    <t>Net cash provided by (used in) investing activities</t>
  </si>
  <si>
    <t>Repayments of debt and credit commitment</t>
  </si>
  <si>
    <t>Proceeds from issuances of debt, net of issuance costs</t>
  </si>
  <si>
    <t>Interest paid</t>
  </si>
  <si>
    <t>Income taxes paid, net of refund</t>
  </si>
  <si>
    <t>Statement of Cashflows</t>
  </si>
  <si>
    <t>Regulatory Capital Requirements</t>
  </si>
  <si>
    <t>Broker-Dealer</t>
  </si>
  <si>
    <t>Nordic and Baltic Exchange</t>
  </si>
  <si>
    <t>Other</t>
  </si>
  <si>
    <t>Total Regulatory Capital Requirements</t>
  </si>
  <si>
    <t>Nasdaq Clearing Operations</t>
  </si>
  <si>
    <t>Financial Investments</t>
  </si>
  <si>
    <t>diff</t>
  </si>
  <si>
    <t>total include in reg capital req</t>
  </si>
  <si>
    <t>Yearly Average VIX</t>
  </si>
  <si>
    <t>Quately Financial Investments</t>
  </si>
  <si>
    <t xml:space="preserve">Vix </t>
  </si>
  <si>
    <t>CAGR</t>
  </si>
  <si>
    <t>Receivables, net (% of revenue)</t>
  </si>
  <si>
    <t>Default funds and margin deposits(Revenue growth)</t>
  </si>
  <si>
    <t>Other current assets(% of revenue)</t>
  </si>
  <si>
    <t>Property and Equipment, net</t>
  </si>
  <si>
    <t>Data processing equipment and software</t>
  </si>
  <si>
    <t>Furniture, equipment and leasehold improvements</t>
  </si>
  <si>
    <t>Total Property and Equipment</t>
  </si>
  <si>
    <t>Less: Accumulated D&amp;A</t>
  </si>
  <si>
    <t>Total Property and Equipment, net</t>
  </si>
  <si>
    <t>Capex</t>
  </si>
  <si>
    <t>Capex(as % of revenue, average)</t>
  </si>
  <si>
    <t>Accumulated D&amp;A(% of PPE,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</si>
</sst>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quot;A&quot;"/>
    <numFmt numFmtId="165" formatCode="#,##0.0;\(#,##0.0\);&quot;-&quot;"/>
    <numFmt numFmtId="166" formatCode="#,##0.00;\(#,##0.00\);&quot;-&quot;"/>
    <numFmt numFmtId="167" formatCode="0000&quot;E&quot;"/>
    <numFmt numFmtId="168" formatCode="0.0%"/>
    <numFmt numFmtId="169" formatCode="0.0%;\(0.0%\);&quot;-&quot;"/>
    <numFmt numFmtId="172" formatCode="#,##0.0"/>
  </numFmts>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rgb="FF0000FF"/>
      <name val="Calibri"/>
      <family val="2"/>
      <scheme val="minor"/>
    </font>
    <font>
      <b/>
      <u/>
      <sz val="11"/>
      <color theme="1"/>
      <name val="Calibri"/>
      <family val="2"/>
      <scheme val="minor"/>
    </font>
    <font>
      <sz val="11"/>
      <name val="Calibri"/>
      <family val="2"/>
      <scheme val="minor"/>
    </font>
    <font>
      <b/>
      <sz val="11"/>
      <color indexed="9"/>
      <name val="Calibri"/>
      <family val="2"/>
    </font>
    <font>
      <i/>
      <sz val="11"/>
      <color theme="1"/>
      <name val="Calibri"/>
      <family val="2"/>
      <scheme val="minor"/>
    </font>
    <font>
      <sz val="11"/>
      <name val="Calibri"/>
      <family val="2"/>
    </font>
    <font>
      <i/>
      <sz val="11"/>
      <color theme="0"/>
      <name val="Calibri"/>
      <family val="2"/>
      <scheme val="minor"/>
    </font>
    <font>
      <b/>
      <i/>
      <sz val="11"/>
      <color theme="1"/>
      <name val="Calibri"/>
      <family val="2"/>
      <scheme val="minor"/>
    </font>
    <font>
      <sz val="9"/>
      <color indexed="81"/>
      <name val="Tahoma"/>
      <family val="2"/>
    </font>
    <font>
      <b/>
      <sz val="9"/>
      <color indexed="81"/>
      <name val="Tahoma"/>
      <family val="2"/>
    </font>
    <font>
      <b/>
      <sz val="11"/>
      <name val="Calibri"/>
      <family val="2"/>
      <scheme val="minor"/>
    </font>
    <font>
      <b/>
      <i/>
      <sz val="11"/>
      <name val="Calibri"/>
      <family val="2"/>
      <scheme val="minor"/>
    </font>
  </fonts>
  <fills count="10">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rgb="FF002060"/>
        <bgColor indexed="64"/>
      </patternFill>
    </fill>
    <fill>
      <patternFill patternType="darkGray">
        <bgColor indexed="12"/>
      </patternFill>
    </fill>
    <fill>
      <patternFill patternType="solid">
        <fgColor theme="0" tint="-0.249977111117893"/>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bgColor indexed="64"/>
      </patternFill>
    </fill>
  </fills>
  <borders count="22">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top style="medium">
        <color indexed="64"/>
      </top>
      <bottom style="thin">
        <color indexed="64"/>
      </bottom>
      <diagonal/>
    </border>
    <border>
      <left style="thin">
        <color indexed="9"/>
      </left>
      <right style="thin">
        <color indexed="9"/>
      </right>
      <top style="thin">
        <color indexed="9"/>
      </top>
      <bottom style="thin">
        <color indexed="64"/>
      </bottom>
      <diagonal/>
    </border>
    <border>
      <left style="thin">
        <color indexed="9"/>
      </left>
      <right/>
      <top/>
      <bottom style="thin">
        <color indexed="64"/>
      </bottom>
      <diagonal/>
    </border>
    <border>
      <left/>
      <right/>
      <top/>
      <bottom style="thin">
        <color indexed="64"/>
      </bottom>
      <diagonal/>
    </border>
    <border>
      <left style="thin">
        <color indexed="9"/>
      </left>
      <right/>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164" fontId="1" fillId="2" borderId="0" xfId="0" applyNumberFormat="1" applyFont="1" applyFill="1"/>
    <xf numFmtId="165" fontId="3" fillId="0" borderId="0" xfId="0" applyNumberFormat="1" applyFont="1"/>
    <xf numFmtId="0" fontId="2" fillId="0" borderId="0" xfId="0" applyFont="1"/>
    <xf numFmtId="0" fontId="2" fillId="0" borderId="1" xfId="0" applyFont="1" applyBorder="1"/>
    <xf numFmtId="165" fontId="2" fillId="0" borderId="1" xfId="0" applyNumberFormat="1" applyFont="1" applyBorder="1"/>
    <xf numFmtId="165" fontId="0" fillId="0" borderId="0" xfId="0" applyNumberFormat="1"/>
    <xf numFmtId="0" fontId="2" fillId="0" borderId="2" xfId="0" applyFont="1" applyBorder="1"/>
    <xf numFmtId="165" fontId="2" fillId="0" borderId="2" xfId="0" applyNumberFormat="1" applyFont="1" applyBorder="1"/>
    <xf numFmtId="0" fontId="2" fillId="0" borderId="3" xfId="0" applyFont="1" applyBorder="1"/>
    <xf numFmtId="165" fontId="2" fillId="0" borderId="3" xfId="0" applyNumberFormat="1" applyFont="1" applyBorder="1"/>
    <xf numFmtId="0" fontId="0" fillId="0" borderId="3" xfId="0" applyBorder="1"/>
    <xf numFmtId="165" fontId="0" fillId="0" borderId="3" xfId="0" applyNumberFormat="1" applyBorder="1"/>
    <xf numFmtId="10" fontId="0" fillId="0" borderId="0" xfId="0" applyNumberFormat="1"/>
    <xf numFmtId="0" fontId="2" fillId="0" borderId="4" xfId="0" applyFont="1" applyBorder="1"/>
    <xf numFmtId="165" fontId="2" fillId="0" borderId="4" xfId="0" applyNumberFormat="1" applyFont="1" applyBorder="1"/>
    <xf numFmtId="0" fontId="4" fillId="0" borderId="0" xfId="0" applyFont="1"/>
    <xf numFmtId="166" fontId="3" fillId="0" borderId="0" xfId="0" applyNumberFormat="1" applyFont="1"/>
    <xf numFmtId="0" fontId="5" fillId="0" borderId="0" xfId="0" applyFont="1"/>
    <xf numFmtId="165" fontId="5" fillId="0" borderId="0" xfId="0" applyNumberFormat="1" applyFont="1"/>
    <xf numFmtId="0" fontId="0" fillId="0" borderId="1" xfId="0" applyBorder="1" applyAlignment="1">
      <alignment horizontal="left" indent="2"/>
    </xf>
    <xf numFmtId="165" fontId="0" fillId="0" borderId="1" xfId="0" applyNumberFormat="1" applyBorder="1"/>
    <xf numFmtId="0" fontId="0" fillId="0" borderId="4" xfId="0" applyBorder="1"/>
    <xf numFmtId="165" fontId="0" fillId="0" borderId="4" xfId="0" applyNumberFormat="1" applyBorder="1"/>
    <xf numFmtId="167" fontId="1" fillId="3" borderId="0" xfId="0" applyNumberFormat="1" applyFont="1" applyFill="1"/>
    <xf numFmtId="0" fontId="1" fillId="4" borderId="0" xfId="0" applyFont="1" applyFill="1"/>
    <xf numFmtId="0" fontId="6" fillId="5" borderId="5" xfId="0" applyFont="1" applyFill="1" applyBorder="1" applyAlignment="1">
      <alignment horizontal="center" vertical="center"/>
    </xf>
    <xf numFmtId="0" fontId="0" fillId="0" borderId="6" xfId="0" applyBorder="1"/>
    <xf numFmtId="0" fontId="7" fillId="0" borderId="7" xfId="0" applyFont="1" applyBorder="1" applyAlignment="1">
      <alignment horizontal="center"/>
    </xf>
    <xf numFmtId="0" fontId="7" fillId="0" borderId="7" xfId="0" applyFont="1" applyBorder="1" applyAlignment="1">
      <alignment horizontal="centerContinuous"/>
    </xf>
    <xf numFmtId="0" fontId="2" fillId="6" borderId="0" xfId="0" applyFont="1" applyFill="1"/>
    <xf numFmtId="165" fontId="8" fillId="0" borderId="0" xfId="0" applyNumberFormat="1" applyFont="1"/>
    <xf numFmtId="0" fontId="6" fillId="5" borderId="8" xfId="0" applyFont="1" applyFill="1" applyBorder="1" applyAlignment="1">
      <alignment horizontal="center" vertical="center"/>
    </xf>
    <xf numFmtId="165" fontId="0" fillId="0" borderId="10" xfId="0" applyNumberFormat="1" applyBorder="1"/>
    <xf numFmtId="168" fontId="0" fillId="0" borderId="10" xfId="0" applyNumberFormat="1" applyBorder="1"/>
    <xf numFmtId="0" fontId="6" fillId="5" borderId="11" xfId="0" applyFont="1" applyFill="1" applyBorder="1" applyAlignment="1">
      <alignment horizontal="center" vertical="center"/>
    </xf>
    <xf numFmtId="168" fontId="0" fillId="0" borderId="0" xfId="0" applyNumberFormat="1"/>
    <xf numFmtId="0" fontId="6" fillId="5" borderId="12" xfId="0" applyFont="1" applyFill="1" applyBorder="1" applyAlignment="1">
      <alignment horizontal="center" vertical="center"/>
    </xf>
    <xf numFmtId="0" fontId="6" fillId="5" borderId="13" xfId="0" applyFont="1" applyFill="1" applyBorder="1" applyAlignment="1">
      <alignment horizontal="center" vertical="center"/>
    </xf>
    <xf numFmtId="0" fontId="0" fillId="0" borderId="10" xfId="0" applyBorder="1"/>
    <xf numFmtId="9" fontId="0" fillId="0" borderId="0" xfId="0" applyNumberFormat="1"/>
    <xf numFmtId="167" fontId="2" fillId="7" borderId="0" xfId="0" applyNumberFormat="1" applyFont="1" applyFill="1"/>
    <xf numFmtId="168" fontId="8" fillId="0" borderId="0" xfId="0" applyNumberFormat="1" applyFont="1"/>
    <xf numFmtId="0" fontId="2" fillId="8" borderId="0" xfId="0" applyFont="1" applyFill="1"/>
    <xf numFmtId="0" fontId="0" fillId="8" borderId="0" xfId="0" applyFill="1"/>
    <xf numFmtId="165" fontId="0" fillId="0" borderId="9" xfId="0" applyNumberFormat="1" applyBorder="1"/>
    <xf numFmtId="0" fontId="9" fillId="2" borderId="0" xfId="0" applyFont="1" applyFill="1"/>
    <xf numFmtId="10" fontId="10" fillId="0" borderId="14" xfId="0" applyNumberFormat="1" applyFont="1" applyBorder="1"/>
    <xf numFmtId="10" fontId="10" fillId="0" borderId="2" xfId="0" applyNumberFormat="1" applyFont="1" applyBorder="1"/>
    <xf numFmtId="10" fontId="10" fillId="0" borderId="15" xfId="0" applyNumberFormat="1" applyFont="1" applyBorder="1"/>
    <xf numFmtId="164" fontId="1" fillId="0" borderId="0" xfId="0" applyNumberFormat="1" applyFont="1"/>
    <xf numFmtId="164" fontId="13" fillId="0" borderId="0" xfId="0" applyNumberFormat="1" applyFont="1"/>
    <xf numFmtId="9" fontId="13" fillId="0" borderId="0" xfId="0" applyNumberFormat="1" applyFont="1"/>
    <xf numFmtId="165" fontId="0" fillId="6" borderId="0" xfId="0" applyNumberFormat="1" applyFill="1"/>
    <xf numFmtId="0" fontId="0" fillId="6" borderId="0" xfId="0" applyFill="1"/>
    <xf numFmtId="14" fontId="0" fillId="0" borderId="0" xfId="0" applyNumberFormat="1"/>
    <xf numFmtId="169" fontId="3" fillId="0" borderId="0" xfId="0" applyNumberFormat="1" applyFont="1"/>
    <xf numFmtId="169" fontId="0" fillId="0" borderId="0" xfId="0" applyNumberFormat="1"/>
    <xf numFmtId="169" fontId="0" fillId="0" borderId="4" xfId="0" applyNumberFormat="1" applyBorder="1"/>
    <xf numFmtId="0" fontId="2" fillId="9" borderId="0" xfId="0" applyFont="1" applyFill="1"/>
    <xf numFmtId="0" fontId="14" fillId="9" borderId="0" xfId="0" applyFont="1" applyFill="1"/>
    <xf numFmtId="0" fontId="10" fillId="9" borderId="0" xfId="0" applyFont="1" applyFill="1"/>
    <xf numFmtId="0" fontId="10" fillId="0" borderId="0" xfId="0" applyFont="1"/>
    <xf numFmtId="0" fontId="14" fillId="0" borderId="0" xfId="0" applyFont="1"/>
    <xf numFmtId="0" fontId="0" fillId="0" borderId="1" xfId="0" applyBorder="1"/>
    <xf numFmtId="165" fontId="14" fillId="9" borderId="0" xfId="0" applyNumberFormat="1" applyFont="1" applyFill="1"/>
    <xf numFmtId="165" fontId="10" fillId="9" borderId="0" xfId="0" applyNumberFormat="1" applyFont="1" applyFill="1"/>
    <xf numFmtId="0" fontId="0" fillId="0" borderId="0" xfId="0" applyAlignment="1">
      <alignment horizontal="left" indent="2"/>
    </xf>
    <xf numFmtId="165" fontId="10" fillId="0" borderId="0" xfId="0" applyNumberFormat="1" applyFont="1"/>
    <xf numFmtId="0" fontId="7" fillId="0" borderId="0" xfId="0" applyFont="1" applyAlignment="1">
      <alignment horizontal="left"/>
    </xf>
    <xf numFmtId="0" fontId="7" fillId="0" borderId="0" xfId="0" applyFont="1"/>
    <xf numFmtId="167" fontId="1" fillId="0" borderId="0" xfId="0" applyNumberFormat="1" applyFon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7" fillId="0" borderId="0" xfId="0" applyFont="1" applyAlignment="1">
      <alignment horizontal="center"/>
    </xf>
    <xf numFmtId="0" fontId="6" fillId="5" borderId="5" xfId="0" applyFont="1" applyFill="1" applyBorder="1" applyAlignment="1">
      <alignment horizontal="center" vertical="center"/>
    </xf>
    <xf numFmtId="10" fontId="2" fillId="0" borderId="14" xfId="0" applyNumberFormat="1" applyFont="1" applyBorder="1"/>
    <xf numFmtId="10" fontId="2" fillId="0" borderId="2" xfId="0" applyNumberFormat="1" applyFont="1" applyBorder="1"/>
    <xf numFmtId="10" fontId="2" fillId="0" borderId="15" xfId="0" applyNumberFormat="1" applyFont="1" applyBorder="1"/>
    <xf numFmtId="172" fontId="0" fillId="0" borderId="0" xfId="0" applyNumberForma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0"/>
  <sheetViews>
    <sheetView showGridLines="0" tabSelected="1" topLeftCell="B1" workbookViewId="0">
      <pane ySplit="1" topLeftCell="A62" activePane="bottomLeft" state="frozen"/>
      <selection pane="bottomLeft" activeCell="H77" sqref="H77"/>
    </sheetView>
  </sheetViews>
  <sheetFormatPr defaultRowHeight="15" x14ac:dyDescent="0.25"/>
  <cols>
    <col min="1" max="1" width="2.140625" bestFit="1" customWidth="1"/>
    <col min="2" max="2" width="93.42578125" bestFit="1" customWidth="1"/>
    <col min="3" max="3" width="9" bestFit="1" customWidth="1"/>
    <col min="4" max="8" width="8.42578125" bestFit="1" customWidth="1"/>
  </cols>
  <sheetData>
    <row r="1" spans="1:13" x14ac:dyDescent="0.25">
      <c r="B1" s="43" t="s">
        <v>96</v>
      </c>
      <c r="C1" s="1">
        <v>2019</v>
      </c>
      <c r="D1" s="1">
        <f t="shared" ref="D1" si="0">C1+1</f>
        <v>2020</v>
      </c>
      <c r="E1" s="1">
        <f t="shared" ref="E1" si="1">D1+1</f>
        <v>2021</v>
      </c>
      <c r="F1" s="1">
        <f t="shared" ref="F1" si="2">E1+1</f>
        <v>2022</v>
      </c>
      <c r="G1" s="1">
        <f t="shared" ref="G1" si="3">F1+1</f>
        <v>2023</v>
      </c>
      <c r="H1" s="1">
        <f t="shared" ref="H1" si="4">G1+1</f>
        <v>2024</v>
      </c>
      <c r="I1" s="24">
        <f t="shared" ref="I1" si="5">H1+1</f>
        <v>2025</v>
      </c>
      <c r="J1" s="24">
        <f t="shared" ref="J1" si="6">I1+1</f>
        <v>2026</v>
      </c>
      <c r="K1" s="24">
        <f t="shared" ref="K1" si="7">J1+1</f>
        <v>2027</v>
      </c>
      <c r="L1" s="24">
        <f t="shared" ref="L1" si="8">K1+1</f>
        <v>2028</v>
      </c>
      <c r="M1" s="24">
        <f t="shared" ref="M1" si="9">L1+1</f>
        <v>2029</v>
      </c>
    </row>
    <row r="2" spans="1:13" x14ac:dyDescent="0.25">
      <c r="B2" s="44" t="s">
        <v>88</v>
      </c>
    </row>
    <row r="4" spans="1:13" x14ac:dyDescent="0.25">
      <c r="B4" s="25" t="s">
        <v>42</v>
      </c>
      <c r="C4" s="25"/>
      <c r="D4" s="25"/>
      <c r="E4" s="25"/>
      <c r="F4" s="25"/>
      <c r="G4" s="25"/>
      <c r="H4" s="25"/>
      <c r="I4" s="25"/>
      <c r="J4" s="25"/>
      <c r="K4" s="25"/>
      <c r="L4" s="25"/>
      <c r="M4" s="25"/>
    </row>
    <row r="5" spans="1:13" x14ac:dyDescent="0.25">
      <c r="A5" t="s">
        <v>41</v>
      </c>
      <c r="B5" s="46" t="s">
        <v>103</v>
      </c>
      <c r="C5" s="1">
        <v>2019</v>
      </c>
      <c r="D5" s="1">
        <f t="shared" ref="D5:M5" si="10">C5+1</f>
        <v>2020</v>
      </c>
      <c r="E5" s="1">
        <f t="shared" si="10"/>
        <v>2021</v>
      </c>
      <c r="F5" s="1">
        <f t="shared" si="10"/>
        <v>2022</v>
      </c>
      <c r="G5" s="1">
        <f t="shared" si="10"/>
        <v>2023</v>
      </c>
      <c r="H5" s="1">
        <f t="shared" si="10"/>
        <v>2024</v>
      </c>
      <c r="I5" s="24">
        <f t="shared" si="10"/>
        <v>2025</v>
      </c>
      <c r="J5" s="24">
        <f t="shared" si="10"/>
        <v>2026</v>
      </c>
      <c r="K5" s="24">
        <f t="shared" si="10"/>
        <v>2027</v>
      </c>
      <c r="L5" s="24">
        <f t="shared" si="10"/>
        <v>2028</v>
      </c>
      <c r="M5" s="24">
        <f t="shared" si="10"/>
        <v>2029</v>
      </c>
    </row>
    <row r="6" spans="1:13" x14ac:dyDescent="0.25">
      <c r="B6" t="s">
        <v>0</v>
      </c>
      <c r="C6" s="2">
        <v>4258</v>
      </c>
      <c r="D6" s="2">
        <v>5625</v>
      </c>
      <c r="E6" s="2">
        <v>5886</v>
      </c>
      <c r="F6" s="2">
        <v>6226</v>
      </c>
      <c r="G6" s="2">
        <v>6064</v>
      </c>
      <c r="H6" s="2">
        <v>7400</v>
      </c>
    </row>
    <row r="7" spans="1:13" x14ac:dyDescent="0.25">
      <c r="C7" s="2"/>
      <c r="D7" s="2"/>
      <c r="E7" s="2"/>
      <c r="F7" s="2"/>
      <c r="G7" s="2"/>
      <c r="H7" s="2"/>
    </row>
    <row r="8" spans="1:13" x14ac:dyDescent="0.25">
      <c r="B8" s="3" t="s">
        <v>1</v>
      </c>
      <c r="C8" s="2"/>
      <c r="D8" s="2"/>
      <c r="E8" s="2"/>
      <c r="F8" s="2"/>
      <c r="G8" s="2"/>
    </row>
    <row r="9" spans="1:13" x14ac:dyDescent="0.25">
      <c r="B9" t="s">
        <v>2</v>
      </c>
      <c r="C9" s="2">
        <v>-1324</v>
      </c>
      <c r="D9" s="2">
        <v>-2028</v>
      </c>
      <c r="E9" s="2">
        <v>-2168</v>
      </c>
      <c r="F9" s="2">
        <v>-2092</v>
      </c>
      <c r="G9" s="2">
        <v>-1838</v>
      </c>
      <c r="H9" s="2">
        <v>-2026</v>
      </c>
    </row>
    <row r="10" spans="1:13" x14ac:dyDescent="0.25">
      <c r="B10" t="s">
        <v>3</v>
      </c>
      <c r="C10" s="2">
        <v>-399</v>
      </c>
      <c r="D10" s="2">
        <v>-694</v>
      </c>
      <c r="E10" s="2">
        <v>-298</v>
      </c>
      <c r="F10" s="2">
        <v>-552</v>
      </c>
      <c r="G10" s="2">
        <v>-331</v>
      </c>
      <c r="H10" s="2">
        <v>-725</v>
      </c>
    </row>
    <row r="11" spans="1:13" ht="15.75" thickBot="1" x14ac:dyDescent="0.3">
      <c r="B11" s="3" t="s">
        <v>99</v>
      </c>
      <c r="C11" s="5">
        <f t="shared" ref="C11:H11" si="11">SUM(C6,C9,C10)</f>
        <v>2535</v>
      </c>
      <c r="D11" s="5">
        <f t="shared" si="11"/>
        <v>2903</v>
      </c>
      <c r="E11" s="5">
        <f t="shared" si="11"/>
        <v>3420</v>
      </c>
      <c r="F11" s="5">
        <f>SUM(F6,F9,F10)</f>
        <v>3582</v>
      </c>
      <c r="G11" s="5">
        <f t="shared" si="11"/>
        <v>3895</v>
      </c>
      <c r="H11" s="5">
        <f t="shared" si="11"/>
        <v>4649</v>
      </c>
      <c r="I11" s="5">
        <f ca="1">SUM(Revenue_Regression!C29:C32)</f>
        <v>4949.5515509563884</v>
      </c>
      <c r="J11" s="5">
        <f ca="1">SUM(Revenue_Regression!C33:C36)</f>
        <v>4987.7415308067011</v>
      </c>
      <c r="K11" s="5">
        <f ca="1">SUM(Revenue_Regression!C37:C40)</f>
        <v>5192.8847845443197</v>
      </c>
      <c r="L11" s="5">
        <f ca="1">SUM(Revenue_Regression!C41:C44)</f>
        <v>5404.1823358940665</v>
      </c>
      <c r="M11" s="5">
        <f ca="1">SUM(Revenue_Regression!C45:C48)</f>
        <v>5621.8188137843026</v>
      </c>
    </row>
    <row r="12" spans="1:13" x14ac:dyDescent="0.25">
      <c r="C12" s="6"/>
      <c r="D12" s="6"/>
      <c r="E12" s="6"/>
      <c r="F12" s="6"/>
      <c r="G12" s="6"/>
    </row>
    <row r="13" spans="1:13" x14ac:dyDescent="0.25">
      <c r="B13" s="3" t="s">
        <v>4</v>
      </c>
      <c r="C13" s="6"/>
      <c r="D13" s="6"/>
      <c r="E13" s="6"/>
      <c r="F13" s="6"/>
      <c r="G13" s="6"/>
    </row>
    <row r="14" spans="1:13" x14ac:dyDescent="0.25">
      <c r="B14" t="s">
        <v>5</v>
      </c>
      <c r="C14" s="2">
        <v>707</v>
      </c>
      <c r="D14" s="2">
        <v>786</v>
      </c>
      <c r="E14" s="2">
        <v>938</v>
      </c>
      <c r="F14" s="2">
        <v>1003</v>
      </c>
      <c r="G14" s="2">
        <v>1082</v>
      </c>
      <c r="H14" s="2">
        <v>1324</v>
      </c>
      <c r="I14" s="6">
        <f ca="1">Schedules!I4*Schedules!I5</f>
        <v>1626.0767581510352</v>
      </c>
      <c r="J14" s="6">
        <f ca="1">Schedules!J4*Schedules!J5</f>
        <v>1872.7114214732424</v>
      </c>
      <c r="K14" s="6">
        <f ca="1">Schedules!K4*Schedules!K5</f>
        <v>2151.164610126265</v>
      </c>
      <c r="L14" s="6">
        <f ca="1">Schedules!L4*Schedules!L5</f>
        <v>2468.966921565876</v>
      </c>
      <c r="M14" s="6">
        <f ca="1">Schedules!M4*Schedules!M5</f>
        <v>2839.6093635903208</v>
      </c>
    </row>
    <row r="15" spans="1:13" x14ac:dyDescent="0.25">
      <c r="B15" t="s">
        <v>6</v>
      </c>
      <c r="C15" s="2">
        <v>127</v>
      </c>
      <c r="D15" s="2">
        <v>137</v>
      </c>
      <c r="E15" s="2">
        <v>144</v>
      </c>
      <c r="F15" s="2">
        <v>140</v>
      </c>
      <c r="G15" s="2">
        <v>128</v>
      </c>
      <c r="H15" s="2">
        <v>152</v>
      </c>
      <c r="I15" s="6">
        <f ca="1">I11*Assumptions!I12</f>
        <v>201.31360521616259</v>
      </c>
      <c r="J15" s="6">
        <f ca="1">J11*Assumptions!J12</f>
        <v>202.86691008583577</v>
      </c>
      <c r="K15" s="6">
        <f ca="1">K11*Assumptions!K12</f>
        <v>211.21072216063155</v>
      </c>
      <c r="L15" s="6">
        <f ca="1">L11*Assumptions!L12</f>
        <v>219.80484859767117</v>
      </c>
      <c r="M15" s="6">
        <f ca="1">M11*Assumptions!M12</f>
        <v>228.65679882782186</v>
      </c>
    </row>
    <row r="16" spans="1:13" x14ac:dyDescent="0.25">
      <c r="B16" t="s">
        <v>7</v>
      </c>
      <c r="C16" s="2">
        <v>133</v>
      </c>
      <c r="D16" s="2">
        <v>151</v>
      </c>
      <c r="E16" s="2">
        <v>186</v>
      </c>
      <c r="F16" s="2">
        <v>207</v>
      </c>
      <c r="G16" s="2">
        <v>233</v>
      </c>
      <c r="H16" s="2">
        <v>281</v>
      </c>
      <c r="I16" s="6">
        <f ca="1">H16*(1+Assumptions!I17)</f>
        <v>291.92840812828308</v>
      </c>
      <c r="J16" s="6">
        <f ca="1">I16*(1+Assumptions!J17)</f>
        <v>303.28183442104415</v>
      </c>
      <c r="K16" s="6">
        <f ca="1">J16*(1+Assumptions!K17)</f>
        <v>315.07680831587527</v>
      </c>
      <c r="L16" s="6">
        <f ca="1">K16*(1+Assumptions!L17)</f>
        <v>327.33050209890979</v>
      </c>
      <c r="M16" s="6">
        <f ca="1">L16*(1+Assumptions!M17)</f>
        <v>340.06075590593008</v>
      </c>
    </row>
    <row r="17" spans="2:13" x14ac:dyDescent="0.25">
      <c r="B17" t="s">
        <v>8</v>
      </c>
      <c r="C17" s="2">
        <v>97</v>
      </c>
      <c r="D17" s="2">
        <v>107</v>
      </c>
      <c r="E17" s="2">
        <v>109</v>
      </c>
      <c r="F17" s="2">
        <v>104</v>
      </c>
      <c r="G17" s="2">
        <v>129</v>
      </c>
      <c r="H17" s="2">
        <v>112</v>
      </c>
      <c r="I17" s="53"/>
      <c r="J17" s="53"/>
      <c r="K17" s="53"/>
      <c r="L17" s="53"/>
      <c r="M17" s="53"/>
    </row>
    <row r="18" spans="2:13" x14ac:dyDescent="0.25">
      <c r="B18" t="s">
        <v>9</v>
      </c>
      <c r="C18" s="2">
        <v>125</v>
      </c>
      <c r="D18" s="2">
        <v>142</v>
      </c>
      <c r="E18" s="2">
        <v>85</v>
      </c>
      <c r="F18" s="2">
        <v>125</v>
      </c>
      <c r="G18" s="2">
        <v>113</v>
      </c>
      <c r="H18" s="2">
        <v>109</v>
      </c>
      <c r="I18" s="6">
        <f ca="1">I11*Assumptions!I22</f>
        <v>173.59111979543533</v>
      </c>
      <c r="J18" s="6">
        <f ca="1">J11*Assumptions!J22</f>
        <v>174.93052222390381</v>
      </c>
      <c r="K18" s="6">
        <f ca="1">K11*Assumptions!K22</f>
        <v>182.12532497889507</v>
      </c>
      <c r="L18" s="6">
        <f ca="1">L11*Assumptions!L22</f>
        <v>189.53597181653606</v>
      </c>
      <c r="M18" s="6">
        <f ca="1">M11*Assumptions!M22</f>
        <v>197.16893805930619</v>
      </c>
    </row>
    <row r="19" spans="2:13" x14ac:dyDescent="0.25">
      <c r="B19" t="s">
        <v>10</v>
      </c>
      <c r="C19" s="2">
        <v>39</v>
      </c>
      <c r="D19" s="2">
        <v>39</v>
      </c>
      <c r="E19" s="2">
        <v>57</v>
      </c>
      <c r="F19" s="2">
        <v>51</v>
      </c>
      <c r="G19" s="2">
        <v>47</v>
      </c>
      <c r="H19" s="2">
        <v>54</v>
      </c>
      <c r="I19" s="6">
        <f ca="1">Assumptions!I27*'3-Statement_Model'!I11</f>
        <v>68.803443583501235</v>
      </c>
      <c r="J19" s="6">
        <f ca="1">Assumptions!J27*'3-Statement_Model'!J11</f>
        <v>69.334320390629003</v>
      </c>
      <c r="K19" s="6">
        <f ca="1">Assumptions!K27*'3-Statement_Model'!K11</f>
        <v>72.186005465480847</v>
      </c>
      <c r="L19" s="6">
        <f ca="1">Assumptions!L27*'3-Statement_Model'!L11</f>
        <v>75.12324109257824</v>
      </c>
      <c r="M19" s="6">
        <f ca="1">Assumptions!M27*'3-Statement_Model'!M11</f>
        <v>78.148593788488512</v>
      </c>
    </row>
    <row r="20" spans="2:13" x14ac:dyDescent="0.25">
      <c r="B20" t="s">
        <v>11</v>
      </c>
      <c r="C20" s="2">
        <v>190</v>
      </c>
      <c r="D20" s="2">
        <v>202</v>
      </c>
      <c r="E20" s="2">
        <v>278</v>
      </c>
      <c r="F20" s="2">
        <v>258</v>
      </c>
      <c r="G20" s="2">
        <v>323</v>
      </c>
      <c r="H20" s="2">
        <v>613</v>
      </c>
      <c r="I20" s="53"/>
      <c r="J20" s="53"/>
      <c r="K20" s="53"/>
      <c r="L20" s="53"/>
      <c r="M20" s="53"/>
    </row>
    <row r="21" spans="2:13" x14ac:dyDescent="0.25">
      <c r="B21" t="s">
        <v>12</v>
      </c>
      <c r="C21" s="2">
        <v>31</v>
      </c>
      <c r="D21" s="2">
        <v>24</v>
      </c>
      <c r="E21" s="2">
        <v>64</v>
      </c>
      <c r="F21" s="2">
        <v>33</v>
      </c>
      <c r="G21" s="2">
        <v>34</v>
      </c>
      <c r="H21" s="2">
        <v>55</v>
      </c>
      <c r="I21" s="6">
        <f ca="1">I11*Assumptions!I32</f>
        <v>56.904934985127383</v>
      </c>
      <c r="J21" s="6">
        <f ca="1">J11*Assumptions!J32</f>
        <v>57.3440047267175</v>
      </c>
      <c r="K21" s="6">
        <f ca="1">K11*Assumptions!K32</f>
        <v>59.702534261442928</v>
      </c>
      <c r="L21" s="6">
        <f ca="1">L11*Assumptions!L32</f>
        <v>62.131819682210107</v>
      </c>
      <c r="M21" s="6">
        <f ca="1">M11*Assumptions!M32</f>
        <v>64.633983665600269</v>
      </c>
    </row>
    <row r="22" spans="2:13" x14ac:dyDescent="0.25">
      <c r="B22" t="s">
        <v>13</v>
      </c>
      <c r="C22" s="2">
        <v>30</v>
      </c>
      <c r="D22" s="2">
        <v>33</v>
      </c>
      <c r="E22" s="2">
        <v>87</v>
      </c>
      <c r="F22" s="2">
        <v>82</v>
      </c>
      <c r="G22" s="2">
        <v>148</v>
      </c>
      <c r="H22" s="2">
        <v>35</v>
      </c>
      <c r="I22" s="53"/>
      <c r="J22" s="53"/>
      <c r="K22" s="53"/>
      <c r="L22" s="53"/>
      <c r="M22" s="53"/>
    </row>
    <row r="23" spans="2:13" x14ac:dyDescent="0.25">
      <c r="B23" t="s">
        <v>14</v>
      </c>
      <c r="C23" s="2">
        <v>39</v>
      </c>
      <c r="D23" s="2">
        <v>48</v>
      </c>
      <c r="E23" s="2">
        <v>31</v>
      </c>
      <c r="F23" s="2">
        <v>15</v>
      </c>
      <c r="G23" s="2">
        <v>80</v>
      </c>
      <c r="H23" s="2">
        <v>116</v>
      </c>
      <c r="I23" s="53"/>
      <c r="J23" s="53"/>
      <c r="K23" s="53"/>
      <c r="L23" s="53"/>
      <c r="M23" s="53"/>
    </row>
    <row r="24" spans="2:13" x14ac:dyDescent="0.25">
      <c r="B24" s="7" t="s">
        <v>15</v>
      </c>
      <c r="C24" s="8">
        <f>SUM(C14:C23)</f>
        <v>1518</v>
      </c>
      <c r="D24" s="8">
        <f t="shared" ref="D24:M24" si="12">SUM(D14:D23)</f>
        <v>1669</v>
      </c>
      <c r="E24" s="8">
        <f t="shared" si="12"/>
        <v>1979</v>
      </c>
      <c r="F24" s="8">
        <f t="shared" si="12"/>
        <v>2018</v>
      </c>
      <c r="G24" s="8">
        <f t="shared" si="12"/>
        <v>2317</v>
      </c>
      <c r="H24" s="8">
        <f t="shared" si="12"/>
        <v>2851</v>
      </c>
      <c r="I24" s="8">
        <f t="shared" ca="1" si="12"/>
        <v>2418.6182698595449</v>
      </c>
      <c r="J24" s="8">
        <f t="shared" ca="1" si="12"/>
        <v>2680.4690133213721</v>
      </c>
      <c r="K24" s="8">
        <f t="shared" ca="1" si="12"/>
        <v>2991.4660053085904</v>
      </c>
      <c r="L24" s="8">
        <f t="shared" ca="1" si="12"/>
        <v>3342.893304853781</v>
      </c>
      <c r="M24" s="8">
        <f t="shared" ca="1" si="12"/>
        <v>3748.2784338374677</v>
      </c>
    </row>
    <row r="25" spans="2:13" x14ac:dyDescent="0.25">
      <c r="B25" s="9"/>
      <c r="C25" s="8"/>
      <c r="D25" s="8"/>
      <c r="E25" s="8"/>
      <c r="F25" s="8"/>
      <c r="G25" s="8"/>
    </row>
    <row r="26" spans="2:13" ht="15.75" thickBot="1" x14ac:dyDescent="0.3">
      <c r="B26" s="4" t="s">
        <v>16</v>
      </c>
      <c r="C26" s="5">
        <f t="shared" ref="C26:M26" si="13">C11-C24</f>
        <v>1017</v>
      </c>
      <c r="D26" s="5">
        <f t="shared" si="13"/>
        <v>1234</v>
      </c>
      <c r="E26" s="5">
        <f t="shared" si="13"/>
        <v>1441</v>
      </c>
      <c r="F26" s="5">
        <f t="shared" si="13"/>
        <v>1564</v>
      </c>
      <c r="G26" s="5">
        <f t="shared" si="13"/>
        <v>1578</v>
      </c>
      <c r="H26" s="5">
        <f t="shared" si="13"/>
        <v>1798</v>
      </c>
      <c r="I26" s="5">
        <f t="shared" ca="1" si="13"/>
        <v>2530.9332810968435</v>
      </c>
      <c r="J26" s="5">
        <f t="shared" ca="1" si="13"/>
        <v>2307.272517485329</v>
      </c>
      <c r="K26" s="5">
        <f t="shared" ca="1" si="13"/>
        <v>2201.4187792357293</v>
      </c>
      <c r="L26" s="5">
        <f t="shared" ca="1" si="13"/>
        <v>2061.2890310402854</v>
      </c>
      <c r="M26" s="5">
        <f t="shared" ca="1" si="13"/>
        <v>1873.5403799468349</v>
      </c>
    </row>
    <row r="28" spans="2:13" x14ac:dyDescent="0.25">
      <c r="B28" t="s">
        <v>17</v>
      </c>
      <c r="C28" s="2">
        <v>10</v>
      </c>
      <c r="D28" s="2">
        <v>4</v>
      </c>
      <c r="E28" s="2">
        <v>1</v>
      </c>
      <c r="F28" s="2">
        <v>7</v>
      </c>
      <c r="G28" s="2">
        <v>115</v>
      </c>
      <c r="H28" s="2">
        <v>28</v>
      </c>
      <c r="I28" s="54"/>
      <c r="J28" s="54"/>
      <c r="K28" s="54"/>
      <c r="L28" s="54"/>
      <c r="M28" s="54"/>
    </row>
    <row r="29" spans="2:13" x14ac:dyDescent="0.25">
      <c r="B29" t="s">
        <v>18</v>
      </c>
      <c r="C29" s="2">
        <v>-124</v>
      </c>
      <c r="D29" s="2">
        <v>-101</v>
      </c>
      <c r="E29" s="2">
        <v>-125</v>
      </c>
      <c r="F29" s="2">
        <v>-129</v>
      </c>
      <c r="G29" s="2">
        <v>-284</v>
      </c>
      <c r="H29" s="2">
        <v>-414</v>
      </c>
      <c r="I29" s="54"/>
      <c r="J29" s="54"/>
      <c r="K29" s="54"/>
      <c r="L29" s="54"/>
      <c r="M29" s="54"/>
    </row>
    <row r="30" spans="2:13" x14ac:dyDescent="0.25">
      <c r="B30" t="s">
        <v>19</v>
      </c>
      <c r="C30" s="2">
        <v>27</v>
      </c>
      <c r="D30" s="2">
        <v>0</v>
      </c>
      <c r="E30" s="2">
        <v>84</v>
      </c>
      <c r="F30" s="2">
        <v>0</v>
      </c>
      <c r="G30" s="2">
        <v>0</v>
      </c>
      <c r="H30" s="2">
        <v>0</v>
      </c>
    </row>
    <row r="31" spans="2:13" x14ac:dyDescent="0.25">
      <c r="B31" t="s">
        <v>20</v>
      </c>
      <c r="C31" s="2">
        <v>5</v>
      </c>
      <c r="D31" s="2">
        <v>5</v>
      </c>
      <c r="E31" s="2">
        <v>81</v>
      </c>
      <c r="F31" s="2">
        <v>2</v>
      </c>
      <c r="G31" s="2">
        <v>-1</v>
      </c>
      <c r="H31" s="2">
        <v>21</v>
      </c>
      <c r="I31" s="54"/>
      <c r="J31" s="54"/>
      <c r="K31" s="54"/>
      <c r="L31" s="54"/>
      <c r="M31" s="54"/>
    </row>
    <row r="32" spans="2:13" x14ac:dyDescent="0.25">
      <c r="B32" t="s">
        <v>21</v>
      </c>
      <c r="C32" s="2">
        <v>84</v>
      </c>
      <c r="D32" s="2">
        <v>70</v>
      </c>
      <c r="E32" s="2">
        <v>52</v>
      </c>
      <c r="F32" s="2">
        <v>31</v>
      </c>
      <c r="G32" s="2">
        <v>-7</v>
      </c>
      <c r="H32" s="2">
        <v>16</v>
      </c>
      <c r="I32" s="54"/>
      <c r="J32" s="54"/>
      <c r="K32" s="54"/>
      <c r="L32" s="54"/>
      <c r="M32" s="54"/>
    </row>
    <row r="33" spans="2:13" x14ac:dyDescent="0.25">
      <c r="B33" s="9" t="s">
        <v>22</v>
      </c>
      <c r="C33" s="10">
        <f>SUM(C26,C28:C32)</f>
        <v>1019</v>
      </c>
      <c r="D33" s="10">
        <f t="shared" ref="D33:G33" si="14">SUM(D26,D28:D32)</f>
        <v>1212</v>
      </c>
      <c r="E33" s="10">
        <f t="shared" si="14"/>
        <v>1534</v>
      </c>
      <c r="F33" s="10">
        <f t="shared" si="14"/>
        <v>1475</v>
      </c>
      <c r="G33" s="10">
        <f t="shared" si="14"/>
        <v>1401</v>
      </c>
      <c r="H33" s="10">
        <f>SUM(H26,H28:H32)</f>
        <v>1449</v>
      </c>
      <c r="I33" s="10">
        <f t="shared" ref="I33:M33" ca="1" si="15">SUM(I26,I28:I32)</f>
        <v>2530.9332810968435</v>
      </c>
      <c r="J33" s="10">
        <f t="shared" ca="1" si="15"/>
        <v>2307.272517485329</v>
      </c>
      <c r="K33" s="10">
        <f t="shared" ca="1" si="15"/>
        <v>2201.4187792357293</v>
      </c>
      <c r="L33" s="10">
        <f t="shared" ca="1" si="15"/>
        <v>2061.2890310402854</v>
      </c>
      <c r="M33" s="10">
        <f t="shared" ca="1" si="15"/>
        <v>1873.5403799468349</v>
      </c>
    </row>
    <row r="34" spans="2:13" x14ac:dyDescent="0.25">
      <c r="C34" s="6"/>
      <c r="D34" s="6"/>
      <c r="E34" s="6"/>
      <c r="F34" s="6"/>
      <c r="G34" s="6"/>
    </row>
    <row r="35" spans="2:13" x14ac:dyDescent="0.25">
      <c r="B35" t="s">
        <v>23</v>
      </c>
      <c r="C35" s="2">
        <v>245</v>
      </c>
      <c r="D35" s="2">
        <v>279</v>
      </c>
      <c r="E35" s="2">
        <v>347</v>
      </c>
      <c r="F35" s="2">
        <v>352</v>
      </c>
      <c r="G35" s="2">
        <v>344</v>
      </c>
      <c r="H35" s="2">
        <v>334</v>
      </c>
      <c r="I35">
        <f ca="1">I33*Schedules!I18</f>
        <v>613.62673845714994</v>
      </c>
      <c r="J35">
        <f ca="1">J33*Schedules!J18</f>
        <v>561.82818814169502</v>
      </c>
      <c r="K35">
        <f ca="1">K33*Schedules!K18</f>
        <v>538.36924144872364</v>
      </c>
      <c r="L35">
        <f ca="1">L33*Schedules!L18</f>
        <v>506.26903212438242</v>
      </c>
      <c r="M35">
        <f ca="1">M33*Schedules!M18</f>
        <v>462.12818083160948</v>
      </c>
    </row>
    <row r="36" spans="2:13" x14ac:dyDescent="0.25">
      <c r="B36" s="11" t="s">
        <v>24</v>
      </c>
      <c r="C36" s="12">
        <f>C33-C35</f>
        <v>774</v>
      </c>
      <c r="D36" s="12">
        <f t="shared" ref="D36:G36" si="16">D33-D35</f>
        <v>933</v>
      </c>
      <c r="E36" s="12">
        <f t="shared" si="16"/>
        <v>1187</v>
      </c>
      <c r="F36" s="12">
        <f t="shared" si="16"/>
        <v>1123</v>
      </c>
      <c r="G36" s="12">
        <f t="shared" si="16"/>
        <v>1057</v>
      </c>
      <c r="H36" s="12">
        <f>H33-H35</f>
        <v>1115</v>
      </c>
      <c r="I36" s="12">
        <f t="shared" ref="I36:M36" ca="1" si="17">I33-I35</f>
        <v>1917.3065426396936</v>
      </c>
      <c r="J36" s="12">
        <f t="shared" ca="1" si="17"/>
        <v>1745.4443293436339</v>
      </c>
      <c r="K36" s="12">
        <f t="shared" ca="1" si="17"/>
        <v>1663.0495377870056</v>
      </c>
      <c r="L36" s="12">
        <f t="shared" ca="1" si="17"/>
        <v>1555.019998915903</v>
      </c>
      <c r="M36" s="12">
        <f t="shared" ca="1" si="17"/>
        <v>1411.4121991152256</v>
      </c>
    </row>
    <row r="37" spans="2:13" x14ac:dyDescent="0.25">
      <c r="C37" s="6"/>
      <c r="D37" s="6"/>
      <c r="E37" s="6"/>
      <c r="F37" s="6"/>
      <c r="G37" s="6"/>
      <c r="H37" s="13"/>
    </row>
    <row r="38" spans="2:13" x14ac:dyDescent="0.25">
      <c r="B38" t="s">
        <v>25</v>
      </c>
      <c r="C38" s="2">
        <v>0</v>
      </c>
      <c r="D38" s="2">
        <v>0</v>
      </c>
      <c r="E38" s="2">
        <v>0</v>
      </c>
      <c r="F38" s="2">
        <v>2</v>
      </c>
      <c r="G38" s="2">
        <v>2</v>
      </c>
      <c r="H38" s="2">
        <v>2</v>
      </c>
    </row>
    <row r="39" spans="2:13" ht="15.75" thickBot="1" x14ac:dyDescent="0.3">
      <c r="B39" s="14" t="s">
        <v>26</v>
      </c>
      <c r="C39" s="15">
        <f>C36+C38</f>
        <v>774</v>
      </c>
      <c r="D39" s="15">
        <f t="shared" ref="D39:M39" si="18">D36+D38</f>
        <v>933</v>
      </c>
      <c r="E39" s="15">
        <f t="shared" si="18"/>
        <v>1187</v>
      </c>
      <c r="F39" s="15">
        <f t="shared" si="18"/>
        <v>1125</v>
      </c>
      <c r="G39" s="15">
        <f t="shared" si="18"/>
        <v>1059</v>
      </c>
      <c r="H39" s="15">
        <f t="shared" si="18"/>
        <v>1117</v>
      </c>
      <c r="I39" s="15">
        <f t="shared" ca="1" si="18"/>
        <v>1917.3065426396936</v>
      </c>
      <c r="J39" s="15">
        <f t="shared" ca="1" si="18"/>
        <v>1745.4443293436339</v>
      </c>
      <c r="K39" s="15">
        <f t="shared" ca="1" si="18"/>
        <v>1663.0495377870056</v>
      </c>
      <c r="L39" s="15">
        <f t="shared" ca="1" si="18"/>
        <v>1555.019998915903</v>
      </c>
      <c r="M39" s="15">
        <f t="shared" ca="1" si="18"/>
        <v>1411.4121991152256</v>
      </c>
    </row>
    <row r="40" spans="2:13" ht="15.75" thickTop="1" x14ac:dyDescent="0.25">
      <c r="C40" s="6"/>
      <c r="D40" s="6"/>
      <c r="E40" s="6"/>
      <c r="F40" s="6"/>
      <c r="G40" s="6"/>
    </row>
    <row r="41" spans="2:13" x14ac:dyDescent="0.25">
      <c r="B41" s="16" t="s">
        <v>27</v>
      </c>
      <c r="C41" s="6"/>
      <c r="D41" s="6"/>
      <c r="E41" s="6"/>
      <c r="F41" s="6"/>
      <c r="G41" s="6"/>
      <c r="H41" s="6"/>
    </row>
    <row r="42" spans="2:13" x14ac:dyDescent="0.25">
      <c r="B42" t="s">
        <v>28</v>
      </c>
      <c r="C42" s="17">
        <v>4.6900000000000004</v>
      </c>
      <c r="D42" s="17">
        <v>5.67</v>
      </c>
      <c r="E42" s="17">
        <v>7.15</v>
      </c>
      <c r="F42" s="17">
        <v>2.2799999999999998</v>
      </c>
      <c r="G42" s="17">
        <v>2.1</v>
      </c>
      <c r="H42" s="17">
        <v>1.94</v>
      </c>
    </row>
    <row r="44" spans="2:13" x14ac:dyDescent="0.25">
      <c r="B44" s="18" t="s">
        <v>24</v>
      </c>
      <c r="C44" s="19">
        <f t="shared" ref="C44:H44" si="19">C36</f>
        <v>774</v>
      </c>
      <c r="D44" s="19">
        <f t="shared" si="19"/>
        <v>933</v>
      </c>
      <c r="E44" s="19">
        <f t="shared" si="19"/>
        <v>1187</v>
      </c>
      <c r="F44" s="19">
        <f t="shared" si="19"/>
        <v>1123</v>
      </c>
      <c r="G44" s="19">
        <f t="shared" si="19"/>
        <v>1057</v>
      </c>
      <c r="H44" s="19">
        <f t="shared" si="19"/>
        <v>1115</v>
      </c>
    </row>
    <row r="45" spans="2:13" x14ac:dyDescent="0.25">
      <c r="B45" s="3" t="s">
        <v>29</v>
      </c>
    </row>
    <row r="46" spans="2:13" x14ac:dyDescent="0.25">
      <c r="B46" t="s">
        <v>30</v>
      </c>
      <c r="C46" s="2">
        <v>-122</v>
      </c>
      <c r="D46" s="2">
        <v>269</v>
      </c>
      <c r="E46" s="2">
        <v>-176</v>
      </c>
      <c r="F46" s="2">
        <v>-375</v>
      </c>
      <c r="G46" s="2">
        <v>39</v>
      </c>
      <c r="H46" s="2">
        <v>-135</v>
      </c>
    </row>
    <row r="47" spans="2:13" x14ac:dyDescent="0.25">
      <c r="B47" t="s">
        <v>31</v>
      </c>
      <c r="C47" s="2">
        <v>-31</v>
      </c>
      <c r="D47" s="2">
        <v>49</v>
      </c>
      <c r="E47" s="2">
        <v>-42</v>
      </c>
      <c r="F47" s="2">
        <v>-32</v>
      </c>
      <c r="G47" s="2">
        <v>18</v>
      </c>
      <c r="H47" s="2">
        <v>-45</v>
      </c>
    </row>
    <row r="48" spans="2:13" ht="15.75" thickBot="1" x14ac:dyDescent="0.3">
      <c r="B48" s="20" t="s">
        <v>32</v>
      </c>
      <c r="C48" s="21">
        <f>SUM(C46:C47)</f>
        <v>-153</v>
      </c>
      <c r="D48" s="21">
        <f t="shared" ref="D48:H48" si="20">SUM(D46:D47)</f>
        <v>318</v>
      </c>
      <c r="E48" s="21">
        <f t="shared" si="20"/>
        <v>-218</v>
      </c>
      <c r="F48" s="21">
        <f>SUM(F46:F47)</f>
        <v>-407</v>
      </c>
      <c r="G48" s="21">
        <f t="shared" si="20"/>
        <v>57</v>
      </c>
      <c r="H48" s="21">
        <f t="shared" si="20"/>
        <v>-180</v>
      </c>
    </row>
    <row r="50" spans="1:13" x14ac:dyDescent="0.25">
      <c r="B50" t="s">
        <v>33</v>
      </c>
      <c r="C50" s="2">
        <v>-4</v>
      </c>
      <c r="D50" s="2">
        <v>0</v>
      </c>
      <c r="E50" s="2">
        <v>-1</v>
      </c>
      <c r="F50" s="2">
        <v>5</v>
      </c>
      <c r="G50" s="2">
        <v>11</v>
      </c>
      <c r="H50" s="2">
        <v>17</v>
      </c>
    </row>
    <row r="51" spans="1:13" x14ac:dyDescent="0.25">
      <c r="B51" t="s">
        <v>34</v>
      </c>
      <c r="C51" s="2">
        <v>1</v>
      </c>
      <c r="D51" s="2">
        <v>0</v>
      </c>
      <c r="E51" s="2">
        <v>0</v>
      </c>
      <c r="F51" s="2">
        <v>-2</v>
      </c>
      <c r="G51" s="2">
        <v>-3</v>
      </c>
      <c r="H51" s="2">
        <v>-4</v>
      </c>
    </row>
    <row r="52" spans="1:13" ht="15.75" thickBot="1" x14ac:dyDescent="0.3">
      <c r="B52" s="20" t="s">
        <v>35</v>
      </c>
      <c r="C52" s="21">
        <f>SUM(C50:C51)</f>
        <v>-3</v>
      </c>
      <c r="D52" s="21">
        <f t="shared" ref="D52:H52" si="21">SUM(D50:D51)</f>
        <v>0</v>
      </c>
      <c r="E52" s="21">
        <f t="shared" si="21"/>
        <v>-1</v>
      </c>
      <c r="F52" s="21">
        <f t="shared" si="21"/>
        <v>3</v>
      </c>
      <c r="G52" s="21">
        <f t="shared" si="21"/>
        <v>8</v>
      </c>
      <c r="H52" s="21">
        <f t="shared" si="21"/>
        <v>13</v>
      </c>
    </row>
    <row r="54" spans="1:13" x14ac:dyDescent="0.25">
      <c r="B54" t="s">
        <v>36</v>
      </c>
      <c r="C54" s="2">
        <v>0</v>
      </c>
      <c r="D54" s="2">
        <v>0</v>
      </c>
      <c r="E54" s="2">
        <v>0</v>
      </c>
      <c r="F54" s="2">
        <v>0</v>
      </c>
      <c r="G54" s="2">
        <v>2</v>
      </c>
      <c r="H54" s="2">
        <v>-8</v>
      </c>
    </row>
    <row r="56" spans="1:13" x14ac:dyDescent="0.25">
      <c r="B56" t="s">
        <v>37</v>
      </c>
      <c r="C56" s="2">
        <f>SUM(C52,C48,C54)</f>
        <v>-156</v>
      </c>
      <c r="D56" s="2">
        <f t="shared" ref="D56:H56" si="22">SUM(D52,D48,D54)</f>
        <v>318</v>
      </c>
      <c r="E56" s="2">
        <f t="shared" si="22"/>
        <v>-219</v>
      </c>
      <c r="F56" s="2">
        <f t="shared" si="22"/>
        <v>-404</v>
      </c>
      <c r="G56" s="2">
        <f t="shared" si="22"/>
        <v>67</v>
      </c>
      <c r="H56" s="2">
        <f t="shared" si="22"/>
        <v>-175</v>
      </c>
    </row>
    <row r="57" spans="1:13" ht="15.75" thickBot="1" x14ac:dyDescent="0.3">
      <c r="B57" s="22" t="s">
        <v>38</v>
      </c>
      <c r="C57" s="23">
        <f>SUM(C56,C44)</f>
        <v>618</v>
      </c>
      <c r="D57" s="23">
        <f t="shared" ref="D57:H57" si="23">SUM(D56,D44)</f>
        <v>1251</v>
      </c>
      <c r="E57" s="23">
        <f t="shared" si="23"/>
        <v>968</v>
      </c>
      <c r="F57" s="23">
        <f t="shared" si="23"/>
        <v>719</v>
      </c>
      <c r="G57" s="23">
        <f t="shared" si="23"/>
        <v>1124</v>
      </c>
      <c r="H57" s="23">
        <f t="shared" si="23"/>
        <v>940</v>
      </c>
    </row>
    <row r="58" spans="1:13" ht="15.75" thickTop="1" x14ac:dyDescent="0.25">
      <c r="C58" s="6"/>
      <c r="D58" s="6"/>
      <c r="E58" s="6"/>
      <c r="F58" s="6"/>
      <c r="G58" s="6"/>
      <c r="H58" s="6"/>
    </row>
    <row r="59" spans="1:13" x14ac:dyDescent="0.25">
      <c r="B59" t="s">
        <v>39</v>
      </c>
      <c r="C59" s="2">
        <v>0</v>
      </c>
      <c r="D59" s="2">
        <v>0</v>
      </c>
      <c r="E59" s="2">
        <v>0</v>
      </c>
      <c r="F59" s="2">
        <v>2</v>
      </c>
      <c r="G59" s="2">
        <v>2</v>
      </c>
      <c r="H59" s="2">
        <v>2</v>
      </c>
    </row>
    <row r="60" spans="1:13" ht="15.75" thickBot="1" x14ac:dyDescent="0.3">
      <c r="B60" s="22" t="s">
        <v>40</v>
      </c>
      <c r="C60" s="23">
        <f>SUM(C59,C57)</f>
        <v>618</v>
      </c>
      <c r="D60" s="23">
        <f t="shared" ref="D60:H60" si="24">SUM(D59,D57)</f>
        <v>1251</v>
      </c>
      <c r="E60" s="23">
        <f t="shared" si="24"/>
        <v>968</v>
      </c>
      <c r="F60" s="23">
        <f t="shared" si="24"/>
        <v>721</v>
      </c>
      <c r="G60" s="23">
        <f t="shared" si="24"/>
        <v>1126</v>
      </c>
      <c r="H60" s="23">
        <f t="shared" si="24"/>
        <v>942</v>
      </c>
    </row>
    <row r="61" spans="1:13" ht="15.75" thickTop="1" x14ac:dyDescent="0.25"/>
    <row r="64" spans="1:13" x14ac:dyDescent="0.25">
      <c r="A64" t="s">
        <v>111</v>
      </c>
      <c r="B64" s="25" t="s">
        <v>122</v>
      </c>
      <c r="C64" s="25"/>
      <c r="D64" s="25"/>
      <c r="E64" s="25"/>
      <c r="F64" s="25"/>
      <c r="G64" s="25"/>
      <c r="H64" s="25"/>
      <c r="I64" s="25"/>
      <c r="J64" s="25"/>
      <c r="K64" s="25"/>
      <c r="L64" s="25"/>
      <c r="M64" s="25"/>
    </row>
    <row r="65" spans="2:13" x14ac:dyDescent="0.25">
      <c r="B65" s="46" t="s">
        <v>103</v>
      </c>
      <c r="C65" s="1">
        <v>2019</v>
      </c>
      <c r="D65" s="1">
        <f t="shared" ref="D65" si="25">C65+1</f>
        <v>2020</v>
      </c>
      <c r="E65" s="1">
        <f t="shared" ref="E65" si="26">D65+1</f>
        <v>2021</v>
      </c>
      <c r="F65" s="1">
        <f t="shared" ref="F65" si="27">E65+1</f>
        <v>2022</v>
      </c>
      <c r="G65" s="1">
        <f t="shared" ref="G65" si="28">F65+1</f>
        <v>2023</v>
      </c>
      <c r="H65" s="1">
        <f t="shared" ref="H65" si="29">G65+1</f>
        <v>2024</v>
      </c>
      <c r="I65" s="24">
        <f t="shared" ref="I65" si="30">H65+1</f>
        <v>2025</v>
      </c>
      <c r="J65" s="24">
        <f t="shared" ref="J65" si="31">I65+1</f>
        <v>2026</v>
      </c>
      <c r="K65" s="24">
        <f t="shared" ref="K65" si="32">J65+1</f>
        <v>2027</v>
      </c>
      <c r="L65" s="24">
        <f t="shared" ref="L65" si="33">K65+1</f>
        <v>2028</v>
      </c>
      <c r="M65" s="24">
        <f t="shared" ref="M65" si="34">L65+1</f>
        <v>2029</v>
      </c>
    </row>
    <row r="66" spans="2:13" x14ac:dyDescent="0.25">
      <c r="B66" s="59" t="s">
        <v>157</v>
      </c>
      <c r="C66" s="60"/>
      <c r="D66" s="60"/>
      <c r="E66" s="61"/>
      <c r="F66" s="61"/>
      <c r="G66" s="61"/>
      <c r="H66" s="61"/>
      <c r="I66" s="61"/>
      <c r="J66" s="61"/>
      <c r="K66" s="61"/>
      <c r="L66" s="61"/>
      <c r="M66" s="61"/>
    </row>
    <row r="67" spans="2:13" x14ac:dyDescent="0.25">
      <c r="B67" s="62" t="s">
        <v>158</v>
      </c>
      <c r="C67" s="63"/>
      <c r="D67" s="63"/>
      <c r="E67" s="62"/>
      <c r="F67" s="62"/>
      <c r="G67" s="62"/>
      <c r="H67" s="62"/>
      <c r="I67" s="62"/>
      <c r="J67" s="62"/>
      <c r="K67" s="62"/>
      <c r="L67" s="62"/>
      <c r="M67" s="62"/>
    </row>
    <row r="68" spans="2:13" x14ac:dyDescent="0.25">
      <c r="B68" t="s">
        <v>123</v>
      </c>
      <c r="C68" s="2">
        <v>332</v>
      </c>
      <c r="D68" s="2">
        <v>2745</v>
      </c>
      <c r="E68" s="2">
        <v>393</v>
      </c>
      <c r="F68" s="2">
        <v>502</v>
      </c>
      <c r="G68" s="2">
        <v>453</v>
      </c>
      <c r="H68" s="2">
        <v>592</v>
      </c>
      <c r="I68" s="6">
        <f>I173</f>
        <v>0</v>
      </c>
      <c r="J68" s="6">
        <f t="shared" ref="J68:M68" si="35">J173</f>
        <v>0</v>
      </c>
      <c r="K68" s="6">
        <f t="shared" si="35"/>
        <v>0</v>
      </c>
      <c r="L68" s="6">
        <f t="shared" si="35"/>
        <v>0</v>
      </c>
      <c r="M68" s="6">
        <f t="shared" si="35"/>
        <v>0</v>
      </c>
    </row>
    <row r="69" spans="2:13" x14ac:dyDescent="0.25">
      <c r="B69" t="s">
        <v>124</v>
      </c>
      <c r="C69" s="2">
        <v>30</v>
      </c>
      <c r="D69" s="2">
        <v>37</v>
      </c>
      <c r="E69" s="2">
        <v>29</v>
      </c>
      <c r="F69" s="2">
        <v>22</v>
      </c>
      <c r="G69" s="2">
        <v>20</v>
      </c>
      <c r="H69" s="2">
        <v>31</v>
      </c>
      <c r="I69" s="6">
        <f>I174</f>
        <v>0</v>
      </c>
      <c r="J69" s="6">
        <f t="shared" ref="J69:M69" si="36">J174</f>
        <v>0</v>
      </c>
      <c r="K69" s="6">
        <f t="shared" si="36"/>
        <v>0</v>
      </c>
      <c r="L69" s="6">
        <f t="shared" si="36"/>
        <v>0</v>
      </c>
      <c r="M69" s="6">
        <f t="shared" si="36"/>
        <v>0</v>
      </c>
    </row>
    <row r="70" spans="2:13" x14ac:dyDescent="0.25">
      <c r="B70" t="s">
        <v>125</v>
      </c>
      <c r="C70" s="2">
        <v>291</v>
      </c>
      <c r="D70" s="2">
        <v>195</v>
      </c>
      <c r="E70" s="2">
        <v>208</v>
      </c>
      <c r="F70" s="2">
        <v>181</v>
      </c>
      <c r="G70" s="2">
        <v>188</v>
      </c>
      <c r="H70" s="2">
        <v>184</v>
      </c>
      <c r="I70" s="6">
        <f ca="1">H70*(1+Assumptions!I40)</f>
        <v>170.46633684119072</v>
      </c>
      <c r="J70" s="6">
        <f ca="1">I70*(1+Assumptions!J40)</f>
        <v>157.92810867420815</v>
      </c>
      <c r="K70" s="6">
        <f ca="1">J70*(1+Assumptions!K40)</f>
        <v>146.31209874972686</v>
      </c>
      <c r="L70" s="6">
        <f ca="1">K70*(1+Assumptions!L40)</f>
        <v>135.55047559463316</v>
      </c>
      <c r="M70" s="6">
        <f ca="1">L70*(1+Assumptions!M40)</f>
        <v>125.58039691140401</v>
      </c>
    </row>
    <row r="71" spans="2:13" x14ac:dyDescent="0.25">
      <c r="B71" t="s">
        <v>126</v>
      </c>
      <c r="C71" s="2">
        <v>422</v>
      </c>
      <c r="D71" s="2">
        <v>566</v>
      </c>
      <c r="E71" s="2">
        <v>588</v>
      </c>
      <c r="F71" s="2">
        <v>677</v>
      </c>
      <c r="G71" s="2">
        <v>929</v>
      </c>
      <c r="H71" s="2">
        <v>1022</v>
      </c>
      <c r="I71" s="6">
        <f ca="1">Assumptions!I45*'3-Statement_Model'!I11</f>
        <v>974.00052470349624</v>
      </c>
      <c r="J71" s="6">
        <f ca="1">Assumptions!J45*'3-Statement_Model'!J11</f>
        <v>981.51576321140374</v>
      </c>
      <c r="K71" s="6">
        <f ca="1">Assumptions!K45*'3-Statement_Model'!K11</f>
        <v>1021.8850036815256</v>
      </c>
      <c r="L71" s="6">
        <f ca="1">Assumptions!L45*'3-Statement_Model'!L11</f>
        <v>1063.4653213657509</v>
      </c>
      <c r="M71" s="6">
        <f ca="1">Assumptions!M45*'3-Statement_Model'!M11</f>
        <v>1106.2930485805027</v>
      </c>
    </row>
    <row r="72" spans="2:13" x14ac:dyDescent="0.25">
      <c r="B72" t="s">
        <v>127</v>
      </c>
      <c r="C72" s="2">
        <v>2996</v>
      </c>
      <c r="D72" s="2">
        <v>3942</v>
      </c>
      <c r="E72" s="2">
        <v>5911</v>
      </c>
      <c r="F72" s="2">
        <v>7021</v>
      </c>
      <c r="G72" s="2">
        <v>7275</v>
      </c>
      <c r="H72" s="2">
        <v>5664</v>
      </c>
      <c r="I72" s="6">
        <f ca="1">H72*(1+Assumptions!I50)</f>
        <v>6030.1699257081054</v>
      </c>
      <c r="J72" s="6">
        <f ca="1">I72*(1+Assumptions!J50)</f>
        <v>6076.6977910279966</v>
      </c>
      <c r="K72" s="6">
        <f ca="1">J72*(1+Assumptions!K50)</f>
        <v>6326.6292578315824</v>
      </c>
      <c r="L72" s="6">
        <f ca="1">K72*(1+Assumptions!L50)</f>
        <v>6584.0586686392762</v>
      </c>
      <c r="M72" s="6">
        <f ca="1">L72*(1+Assumptions!M50)</f>
        <v>6849.2109617711967</v>
      </c>
    </row>
    <row r="73" spans="2:13" x14ac:dyDescent="0.25">
      <c r="B73" t="s">
        <v>128</v>
      </c>
      <c r="C73" s="2">
        <v>219</v>
      </c>
      <c r="D73" s="2">
        <v>175</v>
      </c>
      <c r="E73" s="2">
        <v>294</v>
      </c>
      <c r="F73" s="2">
        <v>201</v>
      </c>
      <c r="G73" s="2">
        <v>231</v>
      </c>
      <c r="H73" s="2">
        <v>293</v>
      </c>
      <c r="I73" s="6">
        <f ca="1">Assumptions!I52*'3-Statement_Model'!I11</f>
        <v>339.1126873290271</v>
      </c>
      <c r="J73" s="6">
        <f ca="1">Assumptions!J52*'3-Statement_Model'!J11</f>
        <v>341.72922875964991</v>
      </c>
      <c r="K73" s="6">
        <f ca="1">Assumptions!K52*'3-Statement_Model'!K11</f>
        <v>355.78437685664107</v>
      </c>
      <c r="L73" s="6">
        <f ca="1">Assumptions!L52*'3-Statement_Model'!L11</f>
        <v>370.26117939654193</v>
      </c>
      <c r="M73" s="6">
        <f ca="1">Assumptions!M52*'3-Statement_Model'!M11</f>
        <v>385.17228601263963</v>
      </c>
    </row>
    <row r="74" spans="2:13" ht="15.75" thickBot="1" x14ac:dyDescent="0.3">
      <c r="B74" s="64" t="s">
        <v>129</v>
      </c>
      <c r="C74" s="21">
        <f>SUM(C68:C73)</f>
        <v>4290</v>
      </c>
      <c r="D74" s="21">
        <f t="shared" ref="D74:M74" si="37">SUM(D68:D73)</f>
        <v>7660</v>
      </c>
      <c r="E74" s="21">
        <f t="shared" si="37"/>
        <v>7423</v>
      </c>
      <c r="F74" s="21">
        <f t="shared" si="37"/>
        <v>8604</v>
      </c>
      <c r="G74" s="21">
        <f t="shared" si="37"/>
        <v>9096</v>
      </c>
      <c r="H74" s="21">
        <f t="shared" si="37"/>
        <v>7786</v>
      </c>
      <c r="I74" s="21">
        <f t="shared" ca="1" si="37"/>
        <v>7513.7494745818194</v>
      </c>
      <c r="J74" s="21">
        <f t="shared" ca="1" si="37"/>
        <v>7557.8708916732585</v>
      </c>
      <c r="K74" s="21">
        <f t="shared" ca="1" si="37"/>
        <v>7850.6107371194757</v>
      </c>
      <c r="L74" s="21">
        <f t="shared" ca="1" si="37"/>
        <v>8153.3356449962021</v>
      </c>
      <c r="M74" s="21">
        <f t="shared" ca="1" si="37"/>
        <v>8466.2566932757436</v>
      </c>
    </row>
    <row r="75" spans="2:13" x14ac:dyDescent="0.25">
      <c r="C75" s="6"/>
      <c r="D75" s="6"/>
      <c r="E75" s="6"/>
      <c r="F75" s="6"/>
      <c r="G75" s="6"/>
      <c r="H75" s="6"/>
      <c r="I75" s="6"/>
      <c r="J75" s="6"/>
      <c r="K75" s="6"/>
      <c r="L75" s="6"/>
      <c r="M75" s="6"/>
    </row>
    <row r="76" spans="2:13" x14ac:dyDescent="0.25">
      <c r="B76" t="s">
        <v>130</v>
      </c>
      <c r="C76" s="2">
        <v>384</v>
      </c>
      <c r="D76" s="2">
        <v>475</v>
      </c>
      <c r="E76" s="2">
        <v>509</v>
      </c>
      <c r="F76" s="2">
        <v>532</v>
      </c>
      <c r="G76" s="2">
        <v>576</v>
      </c>
      <c r="H76" s="2">
        <v>593</v>
      </c>
      <c r="I76" s="6">
        <f ca="1">Schedules!I47</f>
        <v>664.20990557868799</v>
      </c>
      <c r="J76" s="6">
        <f ca="1">Schedules!J47</f>
        <v>760.29430524604879</v>
      </c>
      <c r="K76" s="6">
        <f ca="1">Schedules!K47</f>
        <v>860.33060704375112</v>
      </c>
      <c r="L76" s="6">
        <f ca="1">Schedules!L47</f>
        <v>964.4373680357055</v>
      </c>
      <c r="M76" s="6">
        <f ca="1">Schedules!M47</f>
        <v>1072.7367019977389</v>
      </c>
    </row>
    <row r="77" spans="2:13" x14ac:dyDescent="0.25">
      <c r="B77" t="s">
        <v>131</v>
      </c>
      <c r="C77" s="2">
        <v>6366</v>
      </c>
      <c r="D77" s="2">
        <v>6850</v>
      </c>
      <c r="E77" s="2">
        <v>8433</v>
      </c>
      <c r="F77" s="2">
        <v>8099</v>
      </c>
      <c r="G77" s="2">
        <v>14112</v>
      </c>
      <c r="H77" s="2">
        <v>13957</v>
      </c>
      <c r="I77" s="6"/>
      <c r="J77" s="6"/>
      <c r="K77" s="6"/>
      <c r="L77" s="6"/>
      <c r="M77" s="6"/>
    </row>
    <row r="78" spans="2:13" x14ac:dyDescent="0.25">
      <c r="B78" t="s">
        <v>132</v>
      </c>
      <c r="C78" s="2">
        <v>2249</v>
      </c>
      <c r="D78" s="2">
        <v>2255</v>
      </c>
      <c r="E78" s="2">
        <v>2813</v>
      </c>
      <c r="F78" s="2">
        <v>2581</v>
      </c>
      <c r="G78" s="2">
        <v>7443</v>
      </c>
      <c r="H78" s="2">
        <v>6905</v>
      </c>
      <c r="I78" s="6"/>
      <c r="J78" s="6"/>
      <c r="K78" s="6"/>
      <c r="L78" s="6"/>
      <c r="M78" s="6"/>
    </row>
    <row r="79" spans="2:13" x14ac:dyDescent="0.25">
      <c r="B79" t="s">
        <v>133</v>
      </c>
      <c r="C79" s="2">
        <v>346</v>
      </c>
      <c r="D79" s="2">
        <v>381</v>
      </c>
      <c r="E79" s="2">
        <v>366</v>
      </c>
      <c r="F79" s="2">
        <v>444</v>
      </c>
      <c r="G79" s="2">
        <v>402</v>
      </c>
      <c r="H79" s="2">
        <v>375</v>
      </c>
      <c r="I79" s="6"/>
      <c r="J79" s="6"/>
      <c r="K79" s="6"/>
      <c r="L79" s="6"/>
      <c r="M79" s="6"/>
    </row>
    <row r="80" spans="2:13" x14ac:dyDescent="0.25">
      <c r="B80" t="s">
        <v>134</v>
      </c>
      <c r="C80" s="2">
        <v>289</v>
      </c>
      <c r="D80" s="2">
        <v>358</v>
      </c>
      <c r="E80" s="2">
        <v>571</v>
      </c>
      <c r="F80" s="2">
        <v>608</v>
      </c>
      <c r="G80" s="2">
        <v>665</v>
      </c>
      <c r="H80" s="2">
        <v>779</v>
      </c>
      <c r="I80" s="6"/>
      <c r="J80" s="6"/>
      <c r="K80" s="6"/>
      <c r="L80" s="6"/>
      <c r="M80" s="6"/>
    </row>
    <row r="81" spans="2:13" x14ac:dyDescent="0.25">
      <c r="C81" s="6"/>
      <c r="D81" s="6"/>
      <c r="E81" s="6"/>
      <c r="F81" s="6"/>
      <c r="G81" s="6"/>
      <c r="H81" s="6"/>
      <c r="I81" s="6"/>
      <c r="J81" s="6"/>
      <c r="K81" s="6"/>
      <c r="L81" s="6"/>
      <c r="M81" s="6"/>
    </row>
    <row r="82" spans="2:13" ht="15.75" thickBot="1" x14ac:dyDescent="0.3">
      <c r="B82" s="22" t="s">
        <v>135</v>
      </c>
      <c r="C82" s="23">
        <f>SUM(C74,C76:C80)</f>
        <v>13924</v>
      </c>
      <c r="D82" s="23">
        <f t="shared" ref="D82:M82" si="38">SUM(D74,D76:D80)</f>
        <v>17979</v>
      </c>
      <c r="E82" s="23">
        <f t="shared" si="38"/>
        <v>20115</v>
      </c>
      <c r="F82" s="23">
        <f t="shared" si="38"/>
        <v>20868</v>
      </c>
      <c r="G82" s="23">
        <f t="shared" si="38"/>
        <v>32294</v>
      </c>
      <c r="H82" s="23">
        <f t="shared" si="38"/>
        <v>30395</v>
      </c>
      <c r="I82" s="23">
        <f t="shared" ca="1" si="38"/>
        <v>8177.9593801605079</v>
      </c>
      <c r="J82" s="23">
        <f t="shared" ca="1" si="38"/>
        <v>8318.1651969193081</v>
      </c>
      <c r="K82" s="23">
        <f t="shared" ca="1" si="38"/>
        <v>8710.9413441632278</v>
      </c>
      <c r="L82" s="23">
        <f t="shared" ca="1" si="38"/>
        <v>9117.7730130319069</v>
      </c>
      <c r="M82" s="23">
        <f t="shared" ca="1" si="38"/>
        <v>9538.9933952734827</v>
      </c>
    </row>
    <row r="83" spans="2:13" ht="15.75" thickTop="1" x14ac:dyDescent="0.25">
      <c r="C83" s="6"/>
      <c r="D83" s="6"/>
      <c r="E83" s="6"/>
      <c r="F83" s="6"/>
      <c r="G83" s="6"/>
      <c r="H83" s="6"/>
      <c r="I83" s="6"/>
      <c r="J83" s="6"/>
      <c r="K83" s="6"/>
      <c r="L83" s="6"/>
      <c r="M83" s="6"/>
    </row>
    <row r="84" spans="2:13" x14ac:dyDescent="0.25">
      <c r="B84" s="59" t="s">
        <v>136</v>
      </c>
      <c r="C84" s="65"/>
      <c r="D84" s="65"/>
      <c r="E84" s="66"/>
      <c r="F84" s="66"/>
      <c r="G84" s="66"/>
      <c r="H84" s="66"/>
      <c r="I84" s="66"/>
      <c r="J84" s="66"/>
      <c r="K84" s="66"/>
      <c r="L84" s="66"/>
      <c r="M84" s="66"/>
    </row>
    <row r="85" spans="2:13" x14ac:dyDescent="0.25">
      <c r="B85" s="62" t="s">
        <v>159</v>
      </c>
      <c r="C85" s="6"/>
      <c r="D85" s="6"/>
      <c r="E85" s="6"/>
      <c r="F85" s="6"/>
      <c r="G85" s="6"/>
      <c r="H85" s="6"/>
      <c r="I85" s="6"/>
      <c r="J85" s="6"/>
      <c r="K85" s="6"/>
      <c r="L85" s="6"/>
      <c r="M85" s="6"/>
    </row>
    <row r="86" spans="2:13" x14ac:dyDescent="0.25">
      <c r="B86" t="s">
        <v>137</v>
      </c>
      <c r="C86" s="2">
        <v>148</v>
      </c>
      <c r="D86" s="2">
        <v>175</v>
      </c>
      <c r="E86" s="2">
        <v>185</v>
      </c>
      <c r="F86" s="2">
        <v>185</v>
      </c>
      <c r="G86" s="2">
        <v>332</v>
      </c>
      <c r="H86" s="2">
        <v>269</v>
      </c>
      <c r="I86" s="6"/>
      <c r="J86" s="6"/>
      <c r="K86" s="6"/>
      <c r="L86" s="6"/>
      <c r="M86" s="6"/>
    </row>
    <row r="87" spans="2:13" x14ac:dyDescent="0.25">
      <c r="B87" t="s">
        <v>138</v>
      </c>
      <c r="C87" s="2">
        <v>132</v>
      </c>
      <c r="D87" s="2">
        <v>224</v>
      </c>
      <c r="E87" s="2">
        <v>62</v>
      </c>
      <c r="F87" s="2">
        <v>243</v>
      </c>
      <c r="G87" s="2">
        <v>84</v>
      </c>
      <c r="H87" s="2">
        <v>319</v>
      </c>
      <c r="I87" s="6"/>
      <c r="J87" s="6"/>
      <c r="K87" s="6"/>
      <c r="L87" s="6"/>
      <c r="M87" s="6"/>
    </row>
    <row r="88" spans="2:13" x14ac:dyDescent="0.25">
      <c r="B88" t="s">
        <v>139</v>
      </c>
      <c r="C88" s="2">
        <v>188</v>
      </c>
      <c r="D88" s="2">
        <v>227</v>
      </c>
      <c r="E88" s="2">
        <v>252</v>
      </c>
      <c r="F88" s="2">
        <v>243</v>
      </c>
      <c r="G88" s="2">
        <v>303</v>
      </c>
      <c r="H88" s="2">
        <v>325</v>
      </c>
      <c r="I88" s="6"/>
      <c r="J88" s="6"/>
      <c r="K88" s="6"/>
      <c r="L88" s="6"/>
      <c r="M88" s="6"/>
    </row>
    <row r="89" spans="2:13" x14ac:dyDescent="0.25">
      <c r="B89" t="s">
        <v>140</v>
      </c>
      <c r="C89" s="2">
        <v>211</v>
      </c>
      <c r="D89" s="2">
        <v>235</v>
      </c>
      <c r="E89" s="2">
        <v>329</v>
      </c>
      <c r="F89" s="2">
        <v>357</v>
      </c>
      <c r="G89" s="2">
        <v>594</v>
      </c>
      <c r="H89" s="2">
        <v>711</v>
      </c>
      <c r="I89" s="6"/>
      <c r="J89" s="6"/>
      <c r="K89" s="6"/>
      <c r="L89" s="6"/>
      <c r="M89" s="6"/>
    </row>
    <row r="90" spans="2:13" x14ac:dyDescent="0.25">
      <c r="B90" t="s">
        <v>141</v>
      </c>
      <c r="C90" s="2">
        <v>161</v>
      </c>
      <c r="D90" s="2">
        <v>121</v>
      </c>
      <c r="E90" s="2">
        <v>115</v>
      </c>
      <c r="F90" s="2">
        <v>122</v>
      </c>
      <c r="G90" s="2">
        <v>146</v>
      </c>
      <c r="H90" s="2">
        <v>215</v>
      </c>
      <c r="I90" s="6"/>
      <c r="J90" s="6"/>
      <c r="K90" s="6"/>
      <c r="L90" s="6"/>
      <c r="M90" s="6"/>
    </row>
    <row r="91" spans="2:13" x14ac:dyDescent="0.25">
      <c r="B91" t="s">
        <v>127</v>
      </c>
      <c r="C91" s="2">
        <v>2996</v>
      </c>
      <c r="D91" s="2">
        <v>3942</v>
      </c>
      <c r="E91" s="2">
        <v>5911</v>
      </c>
      <c r="F91" s="2">
        <v>7021</v>
      </c>
      <c r="G91" s="2">
        <v>7275</v>
      </c>
      <c r="H91" s="2">
        <v>5664</v>
      </c>
      <c r="I91" s="6"/>
      <c r="J91" s="6"/>
      <c r="K91" s="6"/>
      <c r="L91" s="6"/>
      <c r="M91" s="6"/>
    </row>
    <row r="92" spans="2:13" x14ac:dyDescent="0.25">
      <c r="B92" t="s">
        <v>142</v>
      </c>
      <c r="C92" s="2">
        <v>391</v>
      </c>
      <c r="D92" s="2"/>
      <c r="E92" s="2">
        <v>1018</v>
      </c>
      <c r="F92" s="2">
        <v>664</v>
      </c>
      <c r="G92" s="2">
        <v>291</v>
      </c>
      <c r="H92" s="2">
        <v>399</v>
      </c>
      <c r="I92" s="6"/>
      <c r="J92" s="6"/>
      <c r="K92" s="6"/>
      <c r="L92" s="6"/>
      <c r="M92" s="6"/>
    </row>
    <row r="93" spans="2:13" ht="15.75" thickBot="1" x14ac:dyDescent="0.3">
      <c r="B93" s="64" t="s">
        <v>144</v>
      </c>
      <c r="C93" s="21">
        <f>SUM(C86:C92)</f>
        <v>4227</v>
      </c>
      <c r="D93" s="21">
        <f t="shared" ref="D93:M93" si="39">SUM(D86:D92)</f>
        <v>4924</v>
      </c>
      <c r="E93" s="21">
        <f t="shared" si="39"/>
        <v>7872</v>
      </c>
      <c r="F93" s="21">
        <f t="shared" si="39"/>
        <v>8835</v>
      </c>
      <c r="G93" s="21">
        <f t="shared" si="39"/>
        <v>9025</v>
      </c>
      <c r="H93" s="21">
        <f t="shared" si="39"/>
        <v>7902</v>
      </c>
      <c r="I93" s="21">
        <f t="shared" si="39"/>
        <v>0</v>
      </c>
      <c r="J93" s="21">
        <f t="shared" si="39"/>
        <v>0</v>
      </c>
      <c r="K93" s="21">
        <f t="shared" si="39"/>
        <v>0</v>
      </c>
      <c r="L93" s="21">
        <f t="shared" si="39"/>
        <v>0</v>
      </c>
      <c r="M93" s="21">
        <f t="shared" si="39"/>
        <v>0</v>
      </c>
    </row>
    <row r="94" spans="2:13" x14ac:dyDescent="0.25">
      <c r="C94" s="6"/>
      <c r="D94" s="6"/>
      <c r="E94" s="6"/>
      <c r="F94" s="6"/>
      <c r="G94" s="6"/>
      <c r="H94" s="6"/>
      <c r="I94" s="6"/>
      <c r="J94" s="6"/>
      <c r="K94" s="6"/>
      <c r="L94" s="6"/>
      <c r="M94" s="6"/>
    </row>
    <row r="95" spans="2:13" x14ac:dyDescent="0.25">
      <c r="B95" t="s">
        <v>145</v>
      </c>
      <c r="C95" s="2">
        <v>2996</v>
      </c>
      <c r="D95" s="2">
        <v>5541</v>
      </c>
      <c r="E95" s="2">
        <v>4812</v>
      </c>
      <c r="F95" s="2">
        <v>4735</v>
      </c>
      <c r="G95" s="2">
        <v>10163</v>
      </c>
      <c r="H95" s="2">
        <v>9081</v>
      </c>
      <c r="I95" s="6"/>
      <c r="J95" s="6"/>
      <c r="K95" s="6"/>
      <c r="L95" s="6"/>
      <c r="M95" s="6"/>
    </row>
    <row r="96" spans="2:13" x14ac:dyDescent="0.25">
      <c r="B96" t="s">
        <v>146</v>
      </c>
      <c r="C96" s="2">
        <v>552</v>
      </c>
      <c r="D96" s="2">
        <v>502</v>
      </c>
      <c r="E96" s="2">
        <v>406</v>
      </c>
      <c r="F96" s="2">
        <v>456</v>
      </c>
      <c r="G96" s="2">
        <v>1642</v>
      </c>
      <c r="H96" s="2">
        <v>1594</v>
      </c>
      <c r="I96" s="6"/>
      <c r="J96" s="6"/>
      <c r="K96" s="6"/>
      <c r="L96" s="6"/>
      <c r="M96" s="6"/>
    </row>
    <row r="97" spans="2:13" x14ac:dyDescent="0.25">
      <c r="B97" t="s">
        <v>147</v>
      </c>
      <c r="C97" s="2">
        <v>331</v>
      </c>
      <c r="D97" s="2">
        <v>389</v>
      </c>
      <c r="E97" s="2">
        <v>386</v>
      </c>
      <c r="F97" s="2">
        <v>452</v>
      </c>
      <c r="G97" s="2">
        <v>417</v>
      </c>
      <c r="H97" s="2">
        <v>388</v>
      </c>
      <c r="I97" s="6"/>
      <c r="J97" s="6"/>
      <c r="K97" s="6"/>
      <c r="L97" s="6"/>
      <c r="M97" s="6"/>
    </row>
    <row r="98" spans="2:13" x14ac:dyDescent="0.25">
      <c r="B98" t="s">
        <v>148</v>
      </c>
      <c r="C98" s="2">
        <v>179</v>
      </c>
      <c r="D98" s="2">
        <v>187</v>
      </c>
      <c r="E98" s="2">
        <v>234</v>
      </c>
      <c r="F98" s="2">
        <v>226</v>
      </c>
      <c r="G98" s="2">
        <v>220</v>
      </c>
      <c r="H98" s="2">
        <v>230</v>
      </c>
      <c r="I98" s="6"/>
      <c r="J98" s="6"/>
      <c r="K98" s="6"/>
      <c r="L98" s="6"/>
      <c r="M98" s="6"/>
    </row>
    <row r="99" spans="2:13" x14ac:dyDescent="0.25">
      <c r="C99" s="6"/>
      <c r="D99" s="6"/>
      <c r="E99" s="6"/>
      <c r="F99" s="6"/>
      <c r="G99" s="6"/>
      <c r="H99" s="6"/>
      <c r="I99" s="6"/>
      <c r="J99" s="6"/>
      <c r="K99" s="6"/>
      <c r="L99" s="6"/>
      <c r="M99" s="6"/>
    </row>
    <row r="100" spans="2:13" ht="15.75" thickBot="1" x14ac:dyDescent="0.3">
      <c r="B100" s="22" t="s">
        <v>149</v>
      </c>
      <c r="C100" s="23">
        <f>SUM(C93,C95:C98)</f>
        <v>8285</v>
      </c>
      <c r="D100" s="23">
        <f t="shared" ref="D100:M100" si="40">SUM(D93,D95:D98)</f>
        <v>11543</v>
      </c>
      <c r="E100" s="23">
        <f t="shared" si="40"/>
        <v>13710</v>
      </c>
      <c r="F100" s="23">
        <f t="shared" si="40"/>
        <v>14704</v>
      </c>
      <c r="G100" s="23">
        <f t="shared" si="40"/>
        <v>21467</v>
      </c>
      <c r="H100" s="23">
        <f t="shared" si="40"/>
        <v>19195</v>
      </c>
      <c r="I100" s="23">
        <f t="shared" si="40"/>
        <v>0</v>
      </c>
      <c r="J100" s="23">
        <f t="shared" si="40"/>
        <v>0</v>
      </c>
      <c r="K100" s="23">
        <f t="shared" si="40"/>
        <v>0</v>
      </c>
      <c r="L100" s="23">
        <f t="shared" si="40"/>
        <v>0</v>
      </c>
      <c r="M100" s="23">
        <f t="shared" si="40"/>
        <v>0</v>
      </c>
    </row>
    <row r="101" spans="2:13" ht="15.75" thickTop="1" x14ac:dyDescent="0.25">
      <c r="C101" s="6"/>
      <c r="D101" s="6"/>
      <c r="E101" s="6"/>
      <c r="F101" s="6"/>
      <c r="G101" s="6"/>
      <c r="H101" s="6"/>
      <c r="I101" s="6"/>
      <c r="J101" s="6"/>
      <c r="K101" s="6"/>
      <c r="L101" s="6"/>
      <c r="M101" s="6"/>
    </row>
    <row r="102" spans="2:13" x14ac:dyDescent="0.25">
      <c r="C102" s="6"/>
      <c r="D102" s="6"/>
      <c r="E102" s="6"/>
      <c r="F102" s="6"/>
      <c r="G102" s="6"/>
      <c r="H102" s="6"/>
      <c r="I102" s="6"/>
      <c r="J102" s="6"/>
      <c r="K102" s="6"/>
      <c r="L102" s="6"/>
      <c r="M102" s="6"/>
    </row>
    <row r="103" spans="2:13" x14ac:dyDescent="0.25">
      <c r="B103" t="s">
        <v>160</v>
      </c>
      <c r="C103" s="2">
        <v>2</v>
      </c>
      <c r="D103" s="2">
        <v>2</v>
      </c>
      <c r="E103" s="2">
        <v>5</v>
      </c>
      <c r="F103" s="2">
        <v>5</v>
      </c>
      <c r="G103" s="2">
        <v>6</v>
      </c>
      <c r="H103" s="2">
        <v>6</v>
      </c>
      <c r="I103" s="6"/>
      <c r="J103" s="6"/>
      <c r="K103" s="6"/>
      <c r="L103" s="6"/>
      <c r="M103" s="6"/>
    </row>
    <row r="104" spans="2:13" x14ac:dyDescent="0.25">
      <c r="B104" t="s">
        <v>150</v>
      </c>
      <c r="C104" s="2">
        <v>2632</v>
      </c>
      <c r="D104" s="2">
        <v>2547</v>
      </c>
      <c r="E104" s="2">
        <v>1949</v>
      </c>
      <c r="F104" s="2">
        <v>1445</v>
      </c>
      <c r="G104" s="2">
        <v>5496</v>
      </c>
      <c r="H104" s="2">
        <v>5530</v>
      </c>
      <c r="I104" s="6"/>
      <c r="J104" s="6"/>
      <c r="K104" s="6"/>
      <c r="L104" s="6"/>
      <c r="M104" s="6"/>
    </row>
    <row r="105" spans="2:13" x14ac:dyDescent="0.25">
      <c r="B105" t="s">
        <v>161</v>
      </c>
      <c r="C105" s="2">
        <v>-336</v>
      </c>
      <c r="D105" s="2">
        <v>-376</v>
      </c>
      <c r="E105" s="2">
        <v>-437</v>
      </c>
      <c r="F105" s="2">
        <v>-515</v>
      </c>
      <c r="G105" s="2">
        <v>-587</v>
      </c>
      <c r="H105" s="2">
        <v>-647</v>
      </c>
      <c r="I105" s="6"/>
      <c r="J105" s="6"/>
      <c r="K105" s="6"/>
      <c r="L105" s="6"/>
      <c r="M105" s="6"/>
    </row>
    <row r="106" spans="2:13" x14ac:dyDescent="0.25">
      <c r="B106" t="s">
        <v>156</v>
      </c>
      <c r="C106" s="2">
        <v>-1686</v>
      </c>
      <c r="D106" s="2">
        <v>-1368</v>
      </c>
      <c r="E106" s="2">
        <v>-1587</v>
      </c>
      <c r="F106" s="2">
        <v>-1991</v>
      </c>
      <c r="G106" s="2">
        <v>-1924</v>
      </c>
      <c r="H106" s="2">
        <v>-2099</v>
      </c>
      <c r="I106" s="6"/>
      <c r="J106" s="6"/>
      <c r="K106" s="6"/>
      <c r="L106" s="6"/>
      <c r="M106" s="6"/>
    </row>
    <row r="107" spans="2:13" x14ac:dyDescent="0.25">
      <c r="B107" t="s">
        <v>151</v>
      </c>
      <c r="C107" s="2">
        <v>5027</v>
      </c>
      <c r="D107" s="2">
        <v>5628</v>
      </c>
      <c r="E107" s="2">
        <v>6465</v>
      </c>
      <c r="F107" s="2">
        <v>7207</v>
      </c>
      <c r="G107" s="2">
        <v>7825</v>
      </c>
      <c r="H107" s="2">
        <v>8401</v>
      </c>
      <c r="I107" s="6"/>
      <c r="J107" s="6"/>
      <c r="K107" s="6"/>
      <c r="L107" s="6"/>
      <c r="M107" s="6"/>
    </row>
    <row r="108" spans="2:13" ht="15.75" thickBot="1" x14ac:dyDescent="0.3">
      <c r="B108" s="64" t="s">
        <v>152</v>
      </c>
      <c r="C108" s="21">
        <f>SUM(C103:C107)</f>
        <v>5639</v>
      </c>
      <c r="D108" s="21">
        <f t="shared" ref="D108:M108" si="41">SUM(D103:D107)</f>
        <v>6433</v>
      </c>
      <c r="E108" s="21">
        <f t="shared" si="41"/>
        <v>6395</v>
      </c>
      <c r="F108" s="21">
        <f t="shared" si="41"/>
        <v>6151</v>
      </c>
      <c r="G108" s="21">
        <f t="shared" si="41"/>
        <v>10816</v>
      </c>
      <c r="H108" s="21">
        <f t="shared" si="41"/>
        <v>11191</v>
      </c>
      <c r="I108" s="21">
        <f t="shared" si="41"/>
        <v>0</v>
      </c>
      <c r="J108" s="21">
        <f t="shared" si="41"/>
        <v>0</v>
      </c>
      <c r="K108" s="21">
        <f t="shared" si="41"/>
        <v>0</v>
      </c>
      <c r="L108" s="21">
        <f t="shared" si="41"/>
        <v>0</v>
      </c>
      <c r="M108" s="21">
        <f t="shared" si="41"/>
        <v>0</v>
      </c>
    </row>
    <row r="109" spans="2:13" x14ac:dyDescent="0.25">
      <c r="C109" s="6"/>
      <c r="D109" s="6"/>
      <c r="E109" s="6"/>
      <c r="F109" s="6"/>
      <c r="G109" s="6"/>
      <c r="H109" s="6"/>
      <c r="I109" s="6"/>
      <c r="J109" s="6"/>
      <c r="K109" s="6"/>
      <c r="L109" s="6"/>
      <c r="M109" s="6"/>
    </row>
    <row r="110" spans="2:13" x14ac:dyDescent="0.25">
      <c r="B110" t="s">
        <v>153</v>
      </c>
      <c r="C110" s="6" t="s">
        <v>143</v>
      </c>
      <c r="D110" s="6">
        <v>3</v>
      </c>
      <c r="E110" s="6">
        <v>10</v>
      </c>
      <c r="F110" s="6">
        <v>13</v>
      </c>
      <c r="G110" s="6">
        <v>11</v>
      </c>
      <c r="H110" s="6">
        <v>9</v>
      </c>
      <c r="I110" s="6"/>
      <c r="J110" s="6"/>
      <c r="K110" s="6"/>
      <c r="L110" s="6"/>
      <c r="M110" s="6"/>
    </row>
    <row r="111" spans="2:13" ht="15.75" thickBot="1" x14ac:dyDescent="0.3">
      <c r="B111" s="64" t="s">
        <v>154</v>
      </c>
      <c r="C111" s="21">
        <f>SUM(C110,C108)</f>
        <v>5639</v>
      </c>
      <c r="D111" s="21">
        <f t="shared" ref="D111:M111" si="42">SUM(D110,D108)</f>
        <v>6436</v>
      </c>
      <c r="E111" s="21">
        <f t="shared" si="42"/>
        <v>6405</v>
      </c>
      <c r="F111" s="21">
        <f t="shared" si="42"/>
        <v>6164</v>
      </c>
      <c r="G111" s="21">
        <f t="shared" si="42"/>
        <v>10827</v>
      </c>
      <c r="H111" s="21">
        <f t="shared" si="42"/>
        <v>11200</v>
      </c>
      <c r="I111" s="21">
        <f t="shared" si="42"/>
        <v>0</v>
      </c>
      <c r="J111" s="21">
        <f t="shared" si="42"/>
        <v>0</v>
      </c>
      <c r="K111" s="21">
        <f t="shared" si="42"/>
        <v>0</v>
      </c>
      <c r="L111" s="21">
        <f t="shared" si="42"/>
        <v>0</v>
      </c>
      <c r="M111" s="21">
        <f t="shared" si="42"/>
        <v>0</v>
      </c>
    </row>
    <row r="112" spans="2:13" x14ac:dyDescent="0.25">
      <c r="C112" s="6"/>
      <c r="D112" s="6"/>
      <c r="E112" s="6"/>
      <c r="F112" s="6"/>
      <c r="G112" s="6"/>
      <c r="H112" s="6"/>
      <c r="I112" s="6"/>
      <c r="J112" s="6"/>
      <c r="K112" s="6"/>
      <c r="L112" s="6"/>
      <c r="M112" s="6"/>
    </row>
    <row r="113" spans="2:13" ht="15.75" thickBot="1" x14ac:dyDescent="0.3">
      <c r="B113" s="22" t="s">
        <v>155</v>
      </c>
      <c r="C113" s="23">
        <f>SUM(C111,C100)</f>
        <v>13924</v>
      </c>
      <c r="D113" s="23">
        <f t="shared" ref="D113:M113" si="43">SUM(D111,D100)</f>
        <v>17979</v>
      </c>
      <c r="E113" s="23">
        <f t="shared" si="43"/>
        <v>20115</v>
      </c>
      <c r="F113" s="23">
        <f t="shared" si="43"/>
        <v>20868</v>
      </c>
      <c r="G113" s="23">
        <f t="shared" si="43"/>
        <v>32294</v>
      </c>
      <c r="H113" s="23">
        <f t="shared" si="43"/>
        <v>30395</v>
      </c>
      <c r="I113" s="23">
        <f t="shared" si="43"/>
        <v>0</v>
      </c>
      <c r="J113" s="23">
        <f t="shared" si="43"/>
        <v>0</v>
      </c>
      <c r="K113" s="23">
        <f t="shared" si="43"/>
        <v>0</v>
      </c>
      <c r="L113" s="23">
        <f t="shared" si="43"/>
        <v>0</v>
      </c>
      <c r="M113" s="23">
        <f t="shared" si="43"/>
        <v>0</v>
      </c>
    </row>
    <row r="114" spans="2:13" ht="15.75" thickTop="1" x14ac:dyDescent="0.25"/>
    <row r="116" spans="2:13" x14ac:dyDescent="0.25">
      <c r="B116" s="25" t="s">
        <v>207</v>
      </c>
      <c r="C116" s="25"/>
      <c r="D116" s="25"/>
      <c r="E116" s="25"/>
      <c r="F116" s="25"/>
      <c r="G116" s="25"/>
      <c r="H116" s="25"/>
      <c r="I116" s="25"/>
      <c r="J116" s="25"/>
      <c r="K116" s="25"/>
      <c r="L116" s="25"/>
      <c r="M116" s="25"/>
    </row>
    <row r="117" spans="2:13" x14ac:dyDescent="0.25">
      <c r="B117" s="46" t="s">
        <v>103</v>
      </c>
      <c r="C117" s="1">
        <v>2019</v>
      </c>
      <c r="D117" s="1">
        <f t="shared" ref="D117" si="44">C117+1</f>
        <v>2020</v>
      </c>
      <c r="E117" s="1">
        <f t="shared" ref="E117" si="45">D117+1</f>
        <v>2021</v>
      </c>
      <c r="F117" s="1">
        <f t="shared" ref="F117" si="46">E117+1</f>
        <v>2022</v>
      </c>
      <c r="G117" s="1">
        <f t="shared" ref="G117" si="47">F117+1</f>
        <v>2023</v>
      </c>
      <c r="H117" s="1">
        <f t="shared" ref="H117" si="48">G117+1</f>
        <v>2024</v>
      </c>
      <c r="I117" s="24">
        <f t="shared" ref="I117" si="49">H117+1</f>
        <v>2025</v>
      </c>
      <c r="J117" s="24">
        <f t="shared" ref="J117" si="50">I117+1</f>
        <v>2026</v>
      </c>
      <c r="K117" s="24">
        <f t="shared" ref="K117" si="51">J117+1</f>
        <v>2027</v>
      </c>
      <c r="L117" s="24">
        <f t="shared" ref="L117" si="52">K117+1</f>
        <v>2028</v>
      </c>
      <c r="M117" s="24">
        <f t="shared" ref="M117" si="53">L117+1</f>
        <v>2029</v>
      </c>
    </row>
    <row r="118" spans="2:13" x14ac:dyDescent="0.25">
      <c r="B118" s="62" t="s">
        <v>162</v>
      </c>
    </row>
    <row r="119" spans="2:13" x14ac:dyDescent="0.25">
      <c r="B119" t="s">
        <v>24</v>
      </c>
      <c r="C119" s="6">
        <f>C36</f>
        <v>774</v>
      </c>
      <c r="D119" s="6">
        <f t="shared" ref="D119:M119" si="54">D36</f>
        <v>933</v>
      </c>
      <c r="E119" s="6">
        <f t="shared" si="54"/>
        <v>1187</v>
      </c>
      <c r="F119" s="6">
        <f t="shared" si="54"/>
        <v>1123</v>
      </c>
      <c r="G119" s="6">
        <f t="shared" si="54"/>
        <v>1057</v>
      </c>
      <c r="H119" s="6">
        <f t="shared" si="54"/>
        <v>1115</v>
      </c>
      <c r="I119" s="6">
        <f t="shared" ca="1" si="54"/>
        <v>1917.3065426396936</v>
      </c>
      <c r="J119" s="6">
        <f t="shared" ca="1" si="54"/>
        <v>1745.4443293436339</v>
      </c>
      <c r="K119" s="6">
        <f t="shared" ca="1" si="54"/>
        <v>1663.0495377870056</v>
      </c>
      <c r="L119" s="6">
        <f t="shared" ca="1" si="54"/>
        <v>1555.019998915903</v>
      </c>
      <c r="M119" s="6">
        <f t="shared" ca="1" si="54"/>
        <v>1411.4121991152256</v>
      </c>
    </row>
    <row r="120" spans="2:13" x14ac:dyDescent="0.25">
      <c r="B120" s="69" t="s">
        <v>163</v>
      </c>
      <c r="C120" s="6"/>
      <c r="D120" s="6"/>
      <c r="E120" s="6"/>
      <c r="F120" s="6"/>
      <c r="G120" s="6"/>
      <c r="H120" s="6"/>
      <c r="I120" s="6"/>
      <c r="J120" s="6"/>
      <c r="K120" s="6"/>
      <c r="L120" s="6"/>
      <c r="M120" s="6"/>
    </row>
    <row r="121" spans="2:13" x14ac:dyDescent="0.25">
      <c r="B121" s="67" t="s">
        <v>11</v>
      </c>
      <c r="C121" s="6">
        <v>190</v>
      </c>
      <c r="D121" s="6">
        <v>202</v>
      </c>
      <c r="E121" s="6">
        <v>278</v>
      </c>
      <c r="F121" s="6">
        <v>258</v>
      </c>
      <c r="G121" s="6">
        <v>323</v>
      </c>
      <c r="H121" s="6">
        <v>613</v>
      </c>
      <c r="I121" s="6"/>
      <c r="J121" s="6"/>
      <c r="K121" s="6"/>
      <c r="L121" s="6"/>
      <c r="M121" s="6"/>
    </row>
    <row r="122" spans="2:13" x14ac:dyDescent="0.25">
      <c r="B122" s="67" t="s">
        <v>164</v>
      </c>
      <c r="C122" s="6">
        <v>79</v>
      </c>
      <c r="D122" s="6">
        <v>87</v>
      </c>
      <c r="E122" s="6">
        <v>90</v>
      </c>
      <c r="F122" s="6">
        <v>106</v>
      </c>
      <c r="G122" s="6">
        <v>122</v>
      </c>
      <c r="H122" s="6">
        <v>141</v>
      </c>
      <c r="I122" s="6"/>
      <c r="J122" s="6"/>
      <c r="K122" s="6"/>
      <c r="L122" s="6"/>
      <c r="M122" s="6"/>
    </row>
    <row r="123" spans="2:13" x14ac:dyDescent="0.25">
      <c r="B123" s="67" t="s">
        <v>165</v>
      </c>
      <c r="C123" s="6">
        <v>35</v>
      </c>
      <c r="D123" s="6">
        <v>41</v>
      </c>
      <c r="E123" s="6">
        <v>94</v>
      </c>
      <c r="F123" s="6">
        <v>38</v>
      </c>
      <c r="G123" s="6">
        <v>68</v>
      </c>
      <c r="H123" s="6">
        <v>-67</v>
      </c>
      <c r="I123" s="6"/>
      <c r="J123" s="6"/>
      <c r="K123" s="6"/>
      <c r="L123" s="6"/>
      <c r="M123" s="6"/>
    </row>
    <row r="124" spans="2:13" x14ac:dyDescent="0.25">
      <c r="B124" s="67" t="s">
        <v>196</v>
      </c>
      <c r="C124" s="6">
        <v>11</v>
      </c>
      <c r="D124" s="6">
        <v>36</v>
      </c>
      <c r="E124" s="6">
        <v>33</v>
      </c>
      <c r="F124" s="6">
        <v>16</v>
      </c>
      <c r="G124" s="6">
        <v>25</v>
      </c>
      <c r="H124" s="6">
        <v>3</v>
      </c>
      <c r="I124" s="6"/>
      <c r="J124" s="6"/>
      <c r="K124" s="6"/>
      <c r="L124" s="6"/>
      <c r="M124" s="6"/>
    </row>
    <row r="125" spans="2:13" x14ac:dyDescent="0.25">
      <c r="B125" s="67" t="s">
        <v>19</v>
      </c>
      <c r="C125" s="6">
        <v>-27</v>
      </c>
      <c r="D125" s="6">
        <v>0</v>
      </c>
      <c r="E125" s="6">
        <v>-84</v>
      </c>
      <c r="F125" s="6">
        <v>0</v>
      </c>
      <c r="G125" s="6">
        <v>0</v>
      </c>
      <c r="H125" s="6">
        <v>0</v>
      </c>
      <c r="I125" s="6"/>
      <c r="J125" s="6"/>
      <c r="K125" s="6"/>
      <c r="L125" s="6"/>
      <c r="M125" s="6"/>
    </row>
    <row r="126" spans="2:13" x14ac:dyDescent="0.25">
      <c r="B126" s="67" t="s">
        <v>197</v>
      </c>
      <c r="C126" s="6">
        <v>0</v>
      </c>
      <c r="D126" s="6">
        <v>0</v>
      </c>
      <c r="E126" s="6">
        <v>0</v>
      </c>
      <c r="F126" s="6">
        <v>0</v>
      </c>
      <c r="G126" s="6">
        <v>12</v>
      </c>
      <c r="H126" s="6">
        <v>37</v>
      </c>
      <c r="I126" s="6"/>
      <c r="J126" s="6"/>
      <c r="K126" s="6"/>
      <c r="L126" s="6"/>
      <c r="M126" s="6"/>
    </row>
    <row r="127" spans="2:13" x14ac:dyDescent="0.25">
      <c r="B127" s="67" t="s">
        <v>198</v>
      </c>
      <c r="C127" s="6">
        <v>-84</v>
      </c>
      <c r="D127" s="6">
        <v>-70</v>
      </c>
      <c r="E127" s="6">
        <v>-52</v>
      </c>
      <c r="F127" s="6">
        <v>-31</v>
      </c>
      <c r="G127" s="6">
        <v>7</v>
      </c>
      <c r="H127" s="6">
        <v>-16</v>
      </c>
      <c r="I127" s="6"/>
      <c r="J127" s="6"/>
      <c r="K127" s="6"/>
      <c r="L127" s="6"/>
      <c r="M127" s="6"/>
    </row>
    <row r="128" spans="2:13" x14ac:dyDescent="0.25">
      <c r="B128" s="67" t="s">
        <v>199</v>
      </c>
      <c r="C128" s="6">
        <v>0</v>
      </c>
      <c r="D128" s="6">
        <v>0</v>
      </c>
      <c r="E128" s="6">
        <v>0</v>
      </c>
      <c r="F128" s="6">
        <v>0</v>
      </c>
      <c r="G128" s="6">
        <v>13</v>
      </c>
      <c r="H128" s="6">
        <v>0</v>
      </c>
      <c r="I128" s="6"/>
      <c r="J128" s="6"/>
      <c r="K128" s="6"/>
      <c r="L128" s="6"/>
      <c r="M128" s="6"/>
    </row>
    <row r="129" spans="2:13" x14ac:dyDescent="0.25">
      <c r="B129" s="67" t="s">
        <v>200</v>
      </c>
      <c r="C129" s="6">
        <v>0</v>
      </c>
      <c r="D129" s="6">
        <v>0</v>
      </c>
      <c r="E129" s="6">
        <v>0</v>
      </c>
      <c r="F129" s="6">
        <v>0</v>
      </c>
      <c r="G129" s="6">
        <v>0</v>
      </c>
      <c r="H129" s="6">
        <v>32</v>
      </c>
      <c r="I129" s="6"/>
      <c r="J129" s="6"/>
      <c r="K129" s="6"/>
      <c r="L129" s="6"/>
      <c r="M129" s="6"/>
    </row>
    <row r="130" spans="2:13" x14ac:dyDescent="0.25">
      <c r="B130" s="67" t="s">
        <v>166</v>
      </c>
      <c r="C130" s="6">
        <v>33</v>
      </c>
      <c r="D130" s="6">
        <v>32</v>
      </c>
      <c r="E130" s="6">
        <v>6</v>
      </c>
      <c r="F130" s="6">
        <v>28</v>
      </c>
      <c r="G130" s="6">
        <v>30</v>
      </c>
      <c r="H130" s="6">
        <v>35</v>
      </c>
      <c r="I130" s="6"/>
      <c r="J130" s="6"/>
      <c r="K130" s="6"/>
      <c r="L130" s="6"/>
      <c r="M130" s="6"/>
    </row>
    <row r="131" spans="2:13" x14ac:dyDescent="0.25">
      <c r="B131" s="70" t="s">
        <v>167</v>
      </c>
      <c r="C131" s="6"/>
      <c r="D131" s="6"/>
      <c r="E131" s="6"/>
      <c r="F131" s="6"/>
      <c r="G131" s="6"/>
      <c r="H131" s="6"/>
      <c r="I131" s="6"/>
      <c r="J131" s="6"/>
      <c r="K131" s="6"/>
      <c r="L131" s="6"/>
      <c r="M131" s="6"/>
    </row>
    <row r="132" spans="2:13" x14ac:dyDescent="0.25">
      <c r="B132" s="67" t="s">
        <v>126</v>
      </c>
      <c r="C132" s="6">
        <v>-42</v>
      </c>
      <c r="D132" s="6">
        <v>-167</v>
      </c>
      <c r="E132" s="6">
        <v>-6</v>
      </c>
      <c r="F132" s="6">
        <v>-101</v>
      </c>
      <c r="G132" s="6">
        <v>3</v>
      </c>
      <c r="H132" s="6">
        <v>-193</v>
      </c>
      <c r="I132" s="6"/>
      <c r="J132" s="6"/>
      <c r="K132" s="6"/>
      <c r="L132" s="6"/>
      <c r="M132" s="6"/>
    </row>
    <row r="133" spans="2:13" x14ac:dyDescent="0.25">
      <c r="B133" s="67" t="s">
        <v>168</v>
      </c>
      <c r="C133" s="6">
        <v>-173</v>
      </c>
      <c r="D133" s="6">
        <v>26</v>
      </c>
      <c r="E133" s="6">
        <v>-140</v>
      </c>
      <c r="F133" s="6">
        <v>98</v>
      </c>
      <c r="G133" s="6">
        <v>9</v>
      </c>
      <c r="H133" s="6">
        <v>-50</v>
      </c>
      <c r="I133" s="6"/>
      <c r="J133" s="6"/>
      <c r="K133" s="6"/>
      <c r="L133" s="6"/>
      <c r="M133" s="6"/>
    </row>
    <row r="134" spans="2:13" x14ac:dyDescent="0.25">
      <c r="B134" s="67" t="s">
        <v>137</v>
      </c>
      <c r="C134" s="6">
        <v>-49</v>
      </c>
      <c r="D134" s="6">
        <v>5</v>
      </c>
      <c r="E134" s="6">
        <v>-17</v>
      </c>
      <c r="F134" s="6">
        <v>19</v>
      </c>
      <c r="G134" s="6">
        <v>149</v>
      </c>
      <c r="H134" s="6">
        <v>-60</v>
      </c>
      <c r="I134" s="6"/>
      <c r="J134" s="6"/>
      <c r="K134" s="6"/>
      <c r="L134" s="6"/>
      <c r="M134" s="6"/>
    </row>
    <row r="135" spans="2:13" x14ac:dyDescent="0.25">
      <c r="B135" s="67" t="s">
        <v>138</v>
      </c>
      <c r="C135" s="6">
        <v>23</v>
      </c>
      <c r="D135" s="6">
        <v>92</v>
      </c>
      <c r="E135" s="6">
        <v>-162</v>
      </c>
      <c r="F135" s="6">
        <v>181</v>
      </c>
      <c r="G135" s="6">
        <v>-160</v>
      </c>
      <c r="H135" s="6">
        <v>235</v>
      </c>
      <c r="I135" s="6"/>
      <c r="J135" s="6"/>
      <c r="K135" s="6"/>
      <c r="L135" s="6"/>
      <c r="M135" s="6"/>
    </row>
    <row r="136" spans="2:13" x14ac:dyDescent="0.25">
      <c r="B136" s="67" t="s">
        <v>139</v>
      </c>
      <c r="C136" s="6">
        <v>-9</v>
      </c>
      <c r="D136" s="6">
        <v>32</v>
      </c>
      <c r="E136" s="6">
        <v>28</v>
      </c>
      <c r="F136" s="6">
        <v>0</v>
      </c>
      <c r="G136" s="6">
        <v>13</v>
      </c>
      <c r="H136" s="6">
        <v>34</v>
      </c>
      <c r="I136" s="6"/>
      <c r="J136" s="6"/>
      <c r="K136" s="6"/>
      <c r="L136" s="6"/>
      <c r="M136" s="6"/>
    </row>
    <row r="137" spans="2:13" x14ac:dyDescent="0.25">
      <c r="B137" s="67" t="s">
        <v>140</v>
      </c>
      <c r="C137" s="6">
        <v>-15</v>
      </c>
      <c r="D137" s="6">
        <v>15</v>
      </c>
      <c r="E137" s="6">
        <v>106</v>
      </c>
      <c r="F137" s="6">
        <v>16</v>
      </c>
      <c r="G137" s="6">
        <v>88</v>
      </c>
      <c r="H137" s="6">
        <v>67</v>
      </c>
      <c r="I137" s="6"/>
      <c r="J137" s="6"/>
      <c r="K137" s="6"/>
      <c r="L137" s="6"/>
      <c r="M137" s="6"/>
    </row>
    <row r="138" spans="2:13" x14ac:dyDescent="0.25">
      <c r="B138" s="67" t="s">
        <v>201</v>
      </c>
      <c r="C138" s="6">
        <v>217</v>
      </c>
      <c r="D138" s="6">
        <v>-12</v>
      </c>
      <c r="E138" s="6">
        <v>-278</v>
      </c>
      <c r="F138" s="6">
        <v>-45</v>
      </c>
      <c r="G138" s="6">
        <v>-63</v>
      </c>
      <c r="H138" s="6">
        <v>13</v>
      </c>
      <c r="I138" s="6"/>
      <c r="J138" s="6"/>
      <c r="K138" s="6"/>
      <c r="L138" s="6"/>
      <c r="M138" s="6"/>
    </row>
    <row r="139" spans="2:13" ht="15.75" thickBot="1" x14ac:dyDescent="0.3">
      <c r="B139" s="4" t="s">
        <v>169</v>
      </c>
      <c r="C139" s="5">
        <f>SUM(C119,C121:C130,C132:C138)</f>
        <v>963</v>
      </c>
      <c r="D139" s="5">
        <f t="shared" ref="D139:M139" si="55">SUM(D119,D121:D130,D132:D138)</f>
        <v>1252</v>
      </c>
      <c r="E139" s="5">
        <f t="shared" si="55"/>
        <v>1083</v>
      </c>
      <c r="F139" s="5">
        <f t="shared" si="55"/>
        <v>1706</v>
      </c>
      <c r="G139" s="5">
        <f t="shared" si="55"/>
        <v>1696</v>
      </c>
      <c r="H139" s="5">
        <f t="shared" si="55"/>
        <v>1939</v>
      </c>
      <c r="I139" s="5">
        <f t="shared" ca="1" si="55"/>
        <v>1917.3065426396936</v>
      </c>
      <c r="J139" s="5">
        <f t="shared" ca="1" si="55"/>
        <v>1745.4443293436339</v>
      </c>
      <c r="K139" s="5">
        <f t="shared" ca="1" si="55"/>
        <v>1663.0495377870056</v>
      </c>
      <c r="L139" s="5">
        <f t="shared" ca="1" si="55"/>
        <v>1555.019998915903</v>
      </c>
      <c r="M139" s="5">
        <f t="shared" ca="1" si="55"/>
        <v>1411.4121991152256</v>
      </c>
    </row>
    <row r="140" spans="2:13" x14ac:dyDescent="0.25">
      <c r="C140" s="6"/>
      <c r="D140" s="6"/>
      <c r="E140" s="6"/>
      <c r="F140" s="6"/>
      <c r="G140" s="6"/>
      <c r="H140" s="6"/>
      <c r="I140" s="6"/>
      <c r="J140" s="6"/>
      <c r="K140" s="6"/>
      <c r="L140" s="6"/>
      <c r="M140" s="6"/>
    </row>
    <row r="141" spans="2:13" x14ac:dyDescent="0.25">
      <c r="B141" s="3" t="s">
        <v>170</v>
      </c>
      <c r="C141" s="6"/>
      <c r="D141" s="6"/>
      <c r="E141" s="6"/>
      <c r="F141" s="6"/>
      <c r="G141" s="6"/>
      <c r="H141" s="6"/>
      <c r="I141" s="6"/>
      <c r="J141" s="6"/>
      <c r="K141" s="6"/>
      <c r="L141" s="6"/>
      <c r="M141" s="6"/>
    </row>
    <row r="142" spans="2:13" x14ac:dyDescent="0.25">
      <c r="B142" t="s">
        <v>171</v>
      </c>
      <c r="C142" s="6">
        <v>-579</v>
      </c>
      <c r="D142" s="6">
        <v>-283</v>
      </c>
      <c r="E142" s="6">
        <v>-316</v>
      </c>
      <c r="F142" s="6">
        <v>-322</v>
      </c>
      <c r="G142" s="6">
        <v>-712</v>
      </c>
      <c r="H142" s="6">
        <v>-206</v>
      </c>
      <c r="I142" s="6"/>
      <c r="J142" s="6"/>
      <c r="K142" s="6"/>
      <c r="L142" s="6"/>
      <c r="M142" s="6"/>
    </row>
    <row r="143" spans="2:13" x14ac:dyDescent="0.25">
      <c r="B143" t="s">
        <v>172</v>
      </c>
      <c r="C143" s="6">
        <v>543</v>
      </c>
      <c r="D143" s="6">
        <v>402</v>
      </c>
      <c r="E143" s="6">
        <v>285</v>
      </c>
      <c r="F143" s="6">
        <v>320</v>
      </c>
      <c r="G143" s="6">
        <v>719</v>
      </c>
      <c r="H143" s="6">
        <v>199</v>
      </c>
      <c r="I143" s="6"/>
      <c r="J143" s="6"/>
      <c r="K143" s="6"/>
      <c r="L143" s="6"/>
      <c r="M143" s="6"/>
    </row>
    <row r="144" spans="2:13" x14ac:dyDescent="0.25">
      <c r="B144" t="s">
        <v>173</v>
      </c>
      <c r="C144" s="6">
        <v>132</v>
      </c>
      <c r="D144" s="6">
        <v>0</v>
      </c>
      <c r="E144" s="6">
        <v>190</v>
      </c>
      <c r="F144" s="6">
        <v>0</v>
      </c>
      <c r="G144" s="6">
        <v>0</v>
      </c>
      <c r="H144" s="6">
        <v>0</v>
      </c>
      <c r="I144" s="6"/>
      <c r="J144" s="6"/>
      <c r="K144" s="6"/>
      <c r="L144" s="6"/>
      <c r="M144" s="6"/>
    </row>
    <row r="145" spans="2:13" x14ac:dyDescent="0.25">
      <c r="B145" t="s">
        <v>174</v>
      </c>
      <c r="C145" s="6">
        <v>11</v>
      </c>
      <c r="D145" s="6">
        <v>22</v>
      </c>
      <c r="E145" s="6">
        <v>0</v>
      </c>
      <c r="F145" s="6">
        <v>0</v>
      </c>
      <c r="G145" s="6">
        <v>0</v>
      </c>
      <c r="H145" s="6">
        <v>0</v>
      </c>
      <c r="I145" s="6"/>
      <c r="J145" s="6"/>
      <c r="K145" s="6"/>
      <c r="L145" s="6"/>
      <c r="M145" s="6"/>
    </row>
    <row r="146" spans="2:13" x14ac:dyDescent="0.25">
      <c r="B146" t="s">
        <v>175</v>
      </c>
      <c r="C146" s="6">
        <v>-206</v>
      </c>
      <c r="D146" s="6">
        <v>-157</v>
      </c>
      <c r="E146" s="6">
        <v>-2430</v>
      </c>
      <c r="F146" s="6">
        <v>-41</v>
      </c>
      <c r="G146" s="6">
        <v>-5766</v>
      </c>
      <c r="H146" s="6">
        <v>0</v>
      </c>
      <c r="I146" s="6"/>
      <c r="J146" s="6"/>
      <c r="K146" s="6"/>
      <c r="L146" s="6"/>
      <c r="M146" s="6"/>
    </row>
    <row r="147" spans="2:13" x14ac:dyDescent="0.25">
      <c r="B147" t="s">
        <v>176</v>
      </c>
      <c r="C147" s="6">
        <v>-127</v>
      </c>
      <c r="D147" s="6">
        <v>-188</v>
      </c>
      <c r="E147" s="6">
        <v>-163</v>
      </c>
      <c r="F147" s="6">
        <v>-152</v>
      </c>
      <c r="G147" s="6">
        <v>-158</v>
      </c>
      <c r="H147" s="6">
        <v>-207</v>
      </c>
      <c r="I147" s="6"/>
      <c r="J147" s="6"/>
      <c r="K147" s="6"/>
      <c r="L147" s="6"/>
      <c r="M147" s="6"/>
    </row>
    <row r="148" spans="2:13" x14ac:dyDescent="0.25">
      <c r="B148" t="s">
        <v>177</v>
      </c>
      <c r="C148" s="6">
        <v>-174</v>
      </c>
      <c r="D148" s="6">
        <v>109</v>
      </c>
      <c r="E148" s="6">
        <v>-132</v>
      </c>
      <c r="F148" s="6">
        <v>211</v>
      </c>
      <c r="G148" s="6">
        <v>-74</v>
      </c>
      <c r="H148" s="6">
        <v>-707</v>
      </c>
      <c r="I148" s="6"/>
      <c r="J148" s="6"/>
      <c r="K148" s="6"/>
      <c r="L148" s="6"/>
      <c r="M148" s="6"/>
    </row>
    <row r="149" spans="2:13" x14ac:dyDescent="0.25">
      <c r="B149" t="s">
        <v>178</v>
      </c>
      <c r="C149" s="6">
        <v>-14</v>
      </c>
      <c r="D149" s="6">
        <v>-27</v>
      </c>
      <c r="E149" s="6">
        <v>-87</v>
      </c>
      <c r="F149" s="6">
        <v>33</v>
      </c>
      <c r="G149" s="6">
        <v>-3</v>
      </c>
      <c r="H149" s="6">
        <v>-32</v>
      </c>
      <c r="I149" s="6"/>
      <c r="J149" s="6"/>
      <c r="K149" s="6"/>
      <c r="L149" s="6"/>
      <c r="M149" s="6"/>
    </row>
    <row r="150" spans="2:13" ht="15.75" thickBot="1" x14ac:dyDescent="0.3">
      <c r="B150" s="64" t="s">
        <v>202</v>
      </c>
      <c r="C150" s="21">
        <f>SUM(C142:C149)</f>
        <v>-414</v>
      </c>
      <c r="D150" s="21">
        <f t="shared" ref="D150:M150" si="56">SUM(D142:D149)</f>
        <v>-122</v>
      </c>
      <c r="E150" s="21">
        <f t="shared" si="56"/>
        <v>-2653</v>
      </c>
      <c r="F150" s="21">
        <f t="shared" si="56"/>
        <v>49</v>
      </c>
      <c r="G150" s="21">
        <f t="shared" si="56"/>
        <v>-5994</v>
      </c>
      <c r="H150" s="21">
        <f t="shared" si="56"/>
        <v>-953</v>
      </c>
      <c r="I150" s="21">
        <f t="shared" si="56"/>
        <v>0</v>
      </c>
      <c r="J150" s="21">
        <f t="shared" si="56"/>
        <v>0</v>
      </c>
      <c r="K150" s="21">
        <f t="shared" si="56"/>
        <v>0</v>
      </c>
      <c r="L150" s="21">
        <f t="shared" si="56"/>
        <v>0</v>
      </c>
      <c r="M150" s="21">
        <f t="shared" si="56"/>
        <v>0</v>
      </c>
    </row>
    <row r="151" spans="2:13" x14ac:dyDescent="0.25">
      <c r="C151" s="6"/>
      <c r="D151" s="6"/>
      <c r="E151" s="6"/>
      <c r="F151" s="6"/>
      <c r="G151" s="6"/>
      <c r="H151" s="6"/>
      <c r="I151" s="6"/>
      <c r="J151" s="6"/>
      <c r="K151" s="6"/>
      <c r="L151" s="6"/>
      <c r="M151" s="6"/>
    </row>
    <row r="152" spans="2:13" x14ac:dyDescent="0.25">
      <c r="B152" s="3" t="s">
        <v>179</v>
      </c>
      <c r="C152" s="6"/>
      <c r="D152" s="6"/>
      <c r="E152" s="6"/>
      <c r="F152" s="6"/>
      <c r="G152" s="6"/>
      <c r="H152" s="6"/>
      <c r="I152" s="6"/>
      <c r="J152" s="6"/>
      <c r="K152" s="6"/>
      <c r="L152" s="6"/>
      <c r="M152" s="6"/>
    </row>
    <row r="153" spans="2:13" x14ac:dyDescent="0.25">
      <c r="B153" t="s">
        <v>180</v>
      </c>
      <c r="C153" s="6">
        <v>116</v>
      </c>
      <c r="D153" s="6">
        <v>-391</v>
      </c>
      <c r="E153" s="6">
        <v>420</v>
      </c>
      <c r="F153" s="6">
        <v>238</v>
      </c>
      <c r="G153" s="6">
        <v>-371</v>
      </c>
      <c r="H153" s="6">
        <v>-291</v>
      </c>
      <c r="I153" s="6"/>
      <c r="J153" s="6"/>
      <c r="K153" s="6"/>
      <c r="L153" s="6"/>
      <c r="M153" s="6"/>
    </row>
    <row r="154" spans="2:13" x14ac:dyDescent="0.25">
      <c r="B154" t="s">
        <v>203</v>
      </c>
      <c r="C154" s="6">
        <v>-1215</v>
      </c>
      <c r="D154" s="6">
        <v>-1468</v>
      </c>
      <c r="E154" s="6">
        <v>-804</v>
      </c>
      <c r="F154" s="6">
        <v>-1097</v>
      </c>
      <c r="G154" s="6">
        <v>-260</v>
      </c>
      <c r="H154" s="6">
        <v>-521</v>
      </c>
      <c r="I154" s="6"/>
      <c r="J154" s="6"/>
      <c r="K154" s="6"/>
      <c r="L154" s="6"/>
      <c r="M154" s="6"/>
    </row>
    <row r="155" spans="2:13" x14ac:dyDescent="0.25">
      <c r="B155" t="s">
        <v>181</v>
      </c>
      <c r="C155" s="6">
        <v>-11</v>
      </c>
      <c r="D155" s="6">
        <v>-36</v>
      </c>
      <c r="E155" s="6">
        <v>-33</v>
      </c>
      <c r="F155" s="6">
        <v>0</v>
      </c>
      <c r="G155" s="6">
        <v>0</v>
      </c>
      <c r="H155" s="6">
        <v>0</v>
      </c>
      <c r="I155" s="6"/>
      <c r="J155" s="6"/>
      <c r="K155" s="6"/>
      <c r="L155" s="6"/>
      <c r="M155" s="6"/>
    </row>
    <row r="156" spans="2:13" x14ac:dyDescent="0.25">
      <c r="B156" t="s">
        <v>204</v>
      </c>
      <c r="C156" s="6">
        <v>680</v>
      </c>
      <c r="D156" s="6">
        <v>3807</v>
      </c>
      <c r="E156" s="6">
        <v>826</v>
      </c>
      <c r="F156" s="6">
        <v>541</v>
      </c>
      <c r="G156" s="6">
        <v>5608</v>
      </c>
      <c r="H156" s="6">
        <v>0</v>
      </c>
      <c r="I156" s="6"/>
      <c r="J156" s="6"/>
      <c r="K156" s="6"/>
      <c r="L156" s="6"/>
      <c r="M156" s="6"/>
    </row>
    <row r="157" spans="2:13" x14ac:dyDescent="0.25">
      <c r="B157" t="s">
        <v>182</v>
      </c>
      <c r="C157" s="6">
        <v>-200</v>
      </c>
      <c r="D157" s="6">
        <v>-222</v>
      </c>
      <c r="E157" s="6">
        <v>-468</v>
      </c>
      <c r="F157" s="6">
        <v>-308</v>
      </c>
      <c r="G157" s="6">
        <v>-269</v>
      </c>
      <c r="H157" s="6">
        <v>-145</v>
      </c>
      <c r="I157" s="6"/>
      <c r="J157" s="6"/>
      <c r="K157" s="6"/>
      <c r="L157" s="6"/>
      <c r="M157" s="6"/>
    </row>
    <row r="158" spans="2:13" x14ac:dyDescent="0.25">
      <c r="B158" t="s">
        <v>183</v>
      </c>
      <c r="C158" s="6">
        <v>0</v>
      </c>
      <c r="D158" s="6">
        <v>0</v>
      </c>
      <c r="E158" s="6">
        <v>-475</v>
      </c>
      <c r="F158" s="6">
        <v>-325</v>
      </c>
      <c r="G158" s="6">
        <v>0</v>
      </c>
      <c r="H158" s="6">
        <v>0</v>
      </c>
      <c r="I158" s="6"/>
      <c r="J158" s="6"/>
      <c r="K158" s="6"/>
      <c r="L158" s="6"/>
      <c r="M158" s="6"/>
    </row>
    <row r="159" spans="2:13" x14ac:dyDescent="0.25">
      <c r="B159" t="s">
        <v>184</v>
      </c>
      <c r="C159" s="6">
        <v>-305</v>
      </c>
      <c r="D159" s="6">
        <v>-320</v>
      </c>
      <c r="E159" s="6">
        <v>-350</v>
      </c>
      <c r="F159" s="6">
        <v>-383</v>
      </c>
      <c r="G159" s="6">
        <v>-441</v>
      </c>
      <c r="H159" s="6">
        <v>-541</v>
      </c>
      <c r="I159" s="6"/>
      <c r="J159" s="6"/>
      <c r="K159" s="6"/>
      <c r="L159" s="6"/>
      <c r="M159" s="6"/>
    </row>
    <row r="160" spans="2:13" x14ac:dyDescent="0.25">
      <c r="B160" t="s">
        <v>185</v>
      </c>
      <c r="C160" s="6">
        <v>37</v>
      </c>
      <c r="D160" s="6">
        <v>50</v>
      </c>
      <c r="E160" s="6">
        <v>26</v>
      </c>
      <c r="F160" s="6">
        <v>0</v>
      </c>
      <c r="G160" s="6">
        <v>0</v>
      </c>
      <c r="H160" s="6">
        <v>0</v>
      </c>
      <c r="I160" s="6"/>
      <c r="J160" s="6"/>
      <c r="K160" s="6"/>
      <c r="L160" s="6"/>
      <c r="M160" s="6"/>
    </row>
    <row r="161" spans="2:13" x14ac:dyDescent="0.25">
      <c r="B161" t="s">
        <v>186</v>
      </c>
      <c r="C161" s="6">
        <v>-39</v>
      </c>
      <c r="D161" s="6">
        <v>-40</v>
      </c>
      <c r="E161" s="6">
        <v>-61</v>
      </c>
      <c r="F161" s="6">
        <v>-78</v>
      </c>
      <c r="G161" s="6">
        <v>-72</v>
      </c>
      <c r="H161" s="6">
        <v>-60</v>
      </c>
      <c r="I161" s="6"/>
      <c r="J161" s="6"/>
      <c r="K161" s="6"/>
      <c r="L161" s="6"/>
      <c r="M161" s="6"/>
    </row>
    <row r="162" spans="2:13" x14ac:dyDescent="0.25">
      <c r="B162" t="s">
        <v>127</v>
      </c>
      <c r="C162" s="6">
        <v>-1535</v>
      </c>
      <c r="D162" s="6">
        <v>527</v>
      </c>
      <c r="E162" s="6">
        <v>2330</v>
      </c>
      <c r="F162" s="6">
        <v>2440</v>
      </c>
      <c r="G162" s="6">
        <v>22</v>
      </c>
      <c r="H162" s="6">
        <v>-1030</v>
      </c>
      <c r="I162" s="6"/>
      <c r="J162" s="6"/>
      <c r="K162" s="6"/>
      <c r="L162" s="6"/>
      <c r="M162" s="6"/>
    </row>
    <row r="163" spans="2:13" x14ac:dyDescent="0.25">
      <c r="B163" t="s">
        <v>187</v>
      </c>
      <c r="C163" s="6">
        <v>0</v>
      </c>
      <c r="D163" s="6">
        <v>3</v>
      </c>
      <c r="E163" s="6">
        <v>7</v>
      </c>
      <c r="F163" s="6">
        <v>8</v>
      </c>
      <c r="G163" s="6">
        <v>3</v>
      </c>
      <c r="H163" s="6">
        <v>27</v>
      </c>
      <c r="I163" s="6"/>
      <c r="J163" s="6"/>
      <c r="K163" s="6"/>
      <c r="L163" s="6"/>
      <c r="M163" s="6"/>
    </row>
    <row r="164" spans="2:13" ht="15.75" thickBot="1" x14ac:dyDescent="0.3">
      <c r="B164" s="64" t="s">
        <v>188</v>
      </c>
      <c r="C164" s="21">
        <f>SUM(C153:C163)</f>
        <v>-2472</v>
      </c>
      <c r="D164" s="21">
        <f t="shared" ref="D164:H164" si="57">SUM(D153:D163)</f>
        <v>1910</v>
      </c>
      <c r="E164" s="21">
        <f t="shared" si="57"/>
        <v>1418</v>
      </c>
      <c r="F164" s="21">
        <f t="shared" si="57"/>
        <v>1036</v>
      </c>
      <c r="G164" s="21">
        <f t="shared" si="57"/>
        <v>4220</v>
      </c>
      <c r="H164" s="21">
        <f t="shared" si="57"/>
        <v>-2561</v>
      </c>
      <c r="I164" s="21"/>
      <c r="J164" s="21"/>
      <c r="K164" s="21"/>
      <c r="L164" s="21"/>
      <c r="M164" s="21"/>
    </row>
    <row r="165" spans="2:13" x14ac:dyDescent="0.25">
      <c r="B165" t="s">
        <v>189</v>
      </c>
      <c r="C165" s="6">
        <v>-188</v>
      </c>
      <c r="D165" s="6">
        <v>353</v>
      </c>
      <c r="E165" s="6">
        <v>-331</v>
      </c>
      <c r="F165" s="6">
        <v>-1293</v>
      </c>
      <c r="G165" s="6">
        <v>202</v>
      </c>
      <c r="H165" s="6">
        <v>-537</v>
      </c>
      <c r="I165" s="6"/>
      <c r="J165" s="6"/>
      <c r="K165" s="6"/>
      <c r="L165" s="6"/>
      <c r="M165" s="6"/>
    </row>
    <row r="166" spans="2:13" x14ac:dyDescent="0.25">
      <c r="C166" s="6"/>
      <c r="I166" s="6"/>
      <c r="J166" s="6"/>
      <c r="K166" s="6"/>
      <c r="L166" s="6"/>
      <c r="M166" s="6"/>
    </row>
    <row r="167" spans="2:13" x14ac:dyDescent="0.25">
      <c r="B167" s="62" t="s">
        <v>190</v>
      </c>
      <c r="C167" s="68">
        <f>C139+C150+C164+C165</f>
        <v>-2111</v>
      </c>
      <c r="D167" s="68">
        <f t="shared" ref="D167:M167" si="58">D139+D150+D164+D165</f>
        <v>3393</v>
      </c>
      <c r="E167" s="68">
        <f t="shared" si="58"/>
        <v>-483</v>
      </c>
      <c r="F167" s="68">
        <f t="shared" si="58"/>
        <v>1498</v>
      </c>
      <c r="G167" s="68">
        <f t="shared" si="58"/>
        <v>124</v>
      </c>
      <c r="H167" s="68">
        <f t="shared" si="58"/>
        <v>-2112</v>
      </c>
      <c r="I167" s="68">
        <f t="shared" ca="1" si="58"/>
        <v>1917.3065426396936</v>
      </c>
      <c r="J167" s="68">
        <f t="shared" ca="1" si="58"/>
        <v>1745.4443293436339</v>
      </c>
      <c r="K167" s="68">
        <f t="shared" ca="1" si="58"/>
        <v>1663.0495377870056</v>
      </c>
      <c r="L167" s="68">
        <f t="shared" ca="1" si="58"/>
        <v>1555.019998915903</v>
      </c>
      <c r="M167" s="68">
        <f t="shared" ca="1" si="58"/>
        <v>1411.4121991152256</v>
      </c>
    </row>
    <row r="168" spans="2:13" x14ac:dyDescent="0.25">
      <c r="B168" t="s">
        <v>191</v>
      </c>
      <c r="C168" s="6">
        <v>4697</v>
      </c>
      <c r="D168" s="6">
        <v>2586</v>
      </c>
      <c r="E168" s="6">
        <v>5979</v>
      </c>
      <c r="F168" s="6">
        <v>5496</v>
      </c>
      <c r="G168" s="6">
        <v>6994</v>
      </c>
      <c r="H168" s="6">
        <v>7118</v>
      </c>
      <c r="I168" s="6"/>
      <c r="J168" s="6"/>
      <c r="K168" s="6"/>
      <c r="L168" s="6"/>
      <c r="M168" s="6"/>
    </row>
    <row r="169" spans="2:13" ht="15.75" thickBot="1" x14ac:dyDescent="0.3">
      <c r="B169" s="22" t="s">
        <v>192</v>
      </c>
      <c r="C169" s="23">
        <f>C167+C168</f>
        <v>2586</v>
      </c>
      <c r="D169" s="23">
        <f t="shared" ref="D169:H169" si="59">D167+D168</f>
        <v>5979</v>
      </c>
      <c r="E169" s="23">
        <f t="shared" si="59"/>
        <v>5496</v>
      </c>
      <c r="F169" s="23">
        <f t="shared" si="59"/>
        <v>6994</v>
      </c>
      <c r="G169" s="23">
        <f t="shared" si="59"/>
        <v>7118</v>
      </c>
      <c r="H169" s="23">
        <f t="shared" si="59"/>
        <v>5006</v>
      </c>
      <c r="I169" s="23"/>
      <c r="J169" s="23"/>
      <c r="K169" s="23"/>
      <c r="L169" s="23"/>
      <c r="M169" s="23"/>
    </row>
    <row r="170" spans="2:13" ht="15.75" thickTop="1" x14ac:dyDescent="0.25">
      <c r="C170" s="6"/>
      <c r="D170" s="6"/>
      <c r="E170" s="6"/>
      <c r="F170" s="6"/>
      <c r="G170" s="6"/>
      <c r="H170" s="6"/>
      <c r="I170" s="6"/>
      <c r="J170" s="6"/>
      <c r="K170" s="6"/>
      <c r="L170" s="6"/>
      <c r="M170" s="6"/>
    </row>
    <row r="171" spans="2:13" x14ac:dyDescent="0.25">
      <c r="C171" s="6"/>
      <c r="D171" s="6"/>
      <c r="E171" s="6"/>
      <c r="F171" s="6"/>
      <c r="G171" s="6"/>
      <c r="H171" s="6"/>
      <c r="I171" s="6"/>
      <c r="J171" s="6"/>
      <c r="K171" s="6"/>
      <c r="L171" s="6"/>
      <c r="M171" s="6"/>
    </row>
    <row r="172" spans="2:13" x14ac:dyDescent="0.25">
      <c r="B172" s="3" t="s">
        <v>193</v>
      </c>
      <c r="C172" s="6">
        <v>0</v>
      </c>
      <c r="D172" s="6">
        <v>0</v>
      </c>
      <c r="E172" s="6">
        <v>0</v>
      </c>
      <c r="F172" s="6">
        <v>0</v>
      </c>
      <c r="G172" s="6">
        <v>0</v>
      </c>
      <c r="H172" s="6">
        <v>0</v>
      </c>
      <c r="I172" s="6"/>
      <c r="J172" s="6"/>
      <c r="K172" s="6"/>
      <c r="L172" s="6"/>
      <c r="M172" s="6"/>
    </row>
    <row r="173" spans="2:13" x14ac:dyDescent="0.25">
      <c r="B173" t="s">
        <v>123</v>
      </c>
      <c r="C173" s="6">
        <v>332</v>
      </c>
      <c r="D173" s="6">
        <v>2745</v>
      </c>
      <c r="E173" s="6">
        <v>393</v>
      </c>
      <c r="F173" s="6">
        <v>502</v>
      </c>
      <c r="G173" s="6">
        <v>453</v>
      </c>
      <c r="H173" s="6">
        <v>592</v>
      </c>
      <c r="I173" s="6"/>
      <c r="J173" s="6"/>
      <c r="K173" s="6"/>
      <c r="L173" s="6"/>
      <c r="M173" s="6"/>
    </row>
    <row r="174" spans="2:13" x14ac:dyDescent="0.25">
      <c r="B174" t="s">
        <v>124</v>
      </c>
      <c r="C174" s="6">
        <v>30</v>
      </c>
      <c r="D174" s="6">
        <v>37</v>
      </c>
      <c r="E174" s="6">
        <v>29</v>
      </c>
      <c r="F174" s="6">
        <v>22</v>
      </c>
      <c r="G174" s="6">
        <v>20</v>
      </c>
      <c r="H174" s="6">
        <v>31</v>
      </c>
      <c r="I174" s="6"/>
      <c r="J174" s="6"/>
      <c r="K174" s="6"/>
      <c r="L174" s="6"/>
      <c r="M174" s="6"/>
    </row>
    <row r="175" spans="2:13" x14ac:dyDescent="0.25">
      <c r="B175" t="s">
        <v>194</v>
      </c>
      <c r="C175" s="6">
        <v>2224</v>
      </c>
      <c r="D175" s="6">
        <v>3197</v>
      </c>
      <c r="E175" s="6">
        <v>5074</v>
      </c>
      <c r="F175" s="6">
        <v>647</v>
      </c>
      <c r="G175" s="6">
        <v>6645</v>
      </c>
      <c r="H175" s="6">
        <v>4383</v>
      </c>
      <c r="I175" s="6"/>
      <c r="J175" s="6"/>
      <c r="K175" s="6"/>
      <c r="L175" s="6"/>
      <c r="M175" s="6"/>
    </row>
    <row r="176" spans="2:13" ht="15.75" thickBot="1" x14ac:dyDescent="0.3">
      <c r="B176" s="22" t="s">
        <v>66</v>
      </c>
      <c r="C176" s="23">
        <v>2586</v>
      </c>
      <c r="D176" s="23">
        <v>5979</v>
      </c>
      <c r="E176" s="23">
        <v>5496</v>
      </c>
      <c r="F176" s="23">
        <v>6994</v>
      </c>
      <c r="G176" s="23">
        <v>7118</v>
      </c>
      <c r="H176" s="23">
        <v>5006</v>
      </c>
      <c r="I176" s="23"/>
      <c r="J176" s="23"/>
      <c r="K176" s="23"/>
      <c r="L176" s="23"/>
      <c r="M176" s="23"/>
    </row>
    <row r="177" spans="2:13" ht="15.75" thickTop="1" x14ac:dyDescent="0.25">
      <c r="C177" s="6"/>
      <c r="D177" s="6"/>
      <c r="E177" s="6"/>
      <c r="F177" s="6"/>
      <c r="G177" s="6"/>
      <c r="H177" s="6"/>
      <c r="I177" s="6"/>
      <c r="J177" s="6"/>
      <c r="K177" s="6"/>
      <c r="L177" s="6"/>
      <c r="M177" s="6"/>
    </row>
    <row r="178" spans="2:13" x14ac:dyDescent="0.25">
      <c r="B178" s="62" t="s">
        <v>195</v>
      </c>
      <c r="C178" s="6"/>
      <c r="D178" s="6"/>
      <c r="E178" s="6"/>
      <c r="F178" s="6"/>
      <c r="G178" s="6"/>
      <c r="H178" s="6"/>
      <c r="I178" s="6"/>
      <c r="J178" s="6"/>
      <c r="K178" s="6"/>
      <c r="L178" s="6"/>
      <c r="M178" s="6"/>
    </row>
    <row r="179" spans="2:13" x14ac:dyDescent="0.25">
      <c r="B179" t="s">
        <v>205</v>
      </c>
      <c r="C179" s="6">
        <v>120</v>
      </c>
      <c r="D179" s="6">
        <v>97</v>
      </c>
      <c r="E179" s="6">
        <v>118</v>
      </c>
      <c r="F179" s="6">
        <v>116</v>
      </c>
      <c r="G179" s="6">
        <v>177</v>
      </c>
      <c r="H179" s="6">
        <v>405</v>
      </c>
      <c r="I179" s="6"/>
      <c r="J179" s="6"/>
      <c r="K179" s="6"/>
      <c r="L179" s="6"/>
      <c r="M179" s="6"/>
    </row>
    <row r="180" spans="2:13" x14ac:dyDescent="0.25">
      <c r="B180" t="s">
        <v>206</v>
      </c>
      <c r="C180" s="6">
        <v>205</v>
      </c>
      <c r="D180" s="6">
        <v>290</v>
      </c>
      <c r="E180" s="6">
        <v>501</v>
      </c>
      <c r="F180" s="6">
        <v>274</v>
      </c>
      <c r="G180" s="6">
        <v>254</v>
      </c>
      <c r="H180" s="6">
        <v>358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8AE3281-223A-43EB-8967-4D3F3525E1C1}">
          <x14:formula1>
            <xm:f>Revenue_Regression!$A$63:$A$65</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DA8A-5D47-40F3-9C63-0CF5C121FEED}">
  <dimension ref="B1:M59"/>
  <sheetViews>
    <sheetView showGridLines="0" workbookViewId="0">
      <pane ySplit="1" topLeftCell="A52" activePane="bottomLeft" state="frozen"/>
      <selection pane="bottomLeft" activeCell="H60" sqref="H60"/>
    </sheetView>
  </sheetViews>
  <sheetFormatPr defaultRowHeight="15" x14ac:dyDescent="0.25"/>
  <cols>
    <col min="2" max="2" width="48.5703125" bestFit="1" customWidth="1"/>
    <col min="4" max="8" width="12" bestFit="1" customWidth="1"/>
  </cols>
  <sheetData>
    <row r="1" spans="2:13" x14ac:dyDescent="0.25">
      <c r="C1" s="1">
        <v>2019</v>
      </c>
      <c r="D1" s="1">
        <f t="shared" ref="D1:M1" si="0">C1+1</f>
        <v>2020</v>
      </c>
      <c r="E1" s="1">
        <f t="shared" si="0"/>
        <v>2021</v>
      </c>
      <c r="F1" s="1">
        <f t="shared" si="0"/>
        <v>2022</v>
      </c>
      <c r="G1" s="1">
        <f t="shared" si="0"/>
        <v>2023</v>
      </c>
      <c r="H1" s="1">
        <f t="shared" si="0"/>
        <v>2024</v>
      </c>
      <c r="I1" s="24">
        <f t="shared" si="0"/>
        <v>2025</v>
      </c>
      <c r="J1" s="24">
        <f t="shared" si="0"/>
        <v>2026</v>
      </c>
      <c r="K1" s="24">
        <f t="shared" si="0"/>
        <v>2027</v>
      </c>
      <c r="L1" s="24">
        <f t="shared" si="0"/>
        <v>2028</v>
      </c>
      <c r="M1" s="24">
        <f t="shared" si="0"/>
        <v>2029</v>
      </c>
    </row>
    <row r="4" spans="2:13" x14ac:dyDescent="0.25">
      <c r="B4" s="1" t="s">
        <v>42</v>
      </c>
      <c r="C4" s="1">
        <v>2019</v>
      </c>
      <c r="D4" s="1">
        <f t="shared" ref="D4:M4" si="1">C4+1</f>
        <v>2020</v>
      </c>
      <c r="E4" s="1">
        <f t="shared" si="1"/>
        <v>2021</v>
      </c>
      <c r="F4" s="1">
        <f t="shared" si="1"/>
        <v>2022</v>
      </c>
      <c r="G4" s="1">
        <f t="shared" si="1"/>
        <v>2023</v>
      </c>
      <c r="H4" s="1">
        <f t="shared" si="1"/>
        <v>2024</v>
      </c>
      <c r="I4" s="24">
        <f t="shared" si="1"/>
        <v>2025</v>
      </c>
      <c r="J4" s="24">
        <f t="shared" si="1"/>
        <v>2026</v>
      </c>
      <c r="K4" s="24">
        <f t="shared" si="1"/>
        <v>2027</v>
      </c>
      <c r="L4" s="24">
        <f t="shared" si="1"/>
        <v>2028</v>
      </c>
      <c r="M4" s="24">
        <f t="shared" si="1"/>
        <v>2029</v>
      </c>
    </row>
    <row r="5" spans="2:13" x14ac:dyDescent="0.25">
      <c r="B5" s="51" t="s">
        <v>109</v>
      </c>
      <c r="C5" s="50"/>
      <c r="D5" s="50"/>
      <c r="E5" s="50"/>
      <c r="F5" s="50"/>
      <c r="G5" s="50"/>
      <c r="H5" s="50"/>
      <c r="I5" s="52">
        <f ca="1">('3-Statement_Model'!I11/'3-Statement_Model'!H11)-1</f>
        <v>6.4648645075583655E-2</v>
      </c>
      <c r="J5" s="52">
        <f ca="1">('3-Statement_Model'!J11/'3-Statement_Model'!I11)-1</f>
        <v>7.7158464675317617E-3</v>
      </c>
      <c r="K5" s="52">
        <f ca="1">('3-Statement_Model'!K11/'3-Statement_Model'!J11)-1</f>
        <v>4.1129487659004482E-2</v>
      </c>
      <c r="L5" s="52">
        <f ca="1">('3-Statement_Model'!L11/'3-Statement_Model'!K11)-1</f>
        <v>4.0689820806083743E-2</v>
      </c>
      <c r="M5" s="52">
        <f ca="1">('3-Statement_Model'!M11/'3-Statement_Model'!L11)-1</f>
        <v>4.0271860637402179E-2</v>
      </c>
    </row>
    <row r="7" spans="2:13" x14ac:dyDescent="0.25">
      <c r="B7" s="3" t="s">
        <v>104</v>
      </c>
      <c r="D7" s="13">
        <f>(Schedules!D4/Schedules!C4)-1</f>
        <v>0.1075441412520064</v>
      </c>
      <c r="E7" s="13">
        <f>(Schedules!E4/Schedules!D4)-1</f>
        <v>0.20372670807453419</v>
      </c>
      <c r="F7" s="13">
        <f>(Schedules!F4/Schedules!E4)-1</f>
        <v>9.6835225318197438E-2</v>
      </c>
      <c r="G7" s="13">
        <f>(Schedules!G4/Schedules!F4)-1</f>
        <v>0.33683550258742345</v>
      </c>
      <c r="H7" s="13">
        <f>(Schedules!H4/Schedules!G4)-1</f>
        <v>7.4721407624633418E-2</v>
      </c>
      <c r="I7" s="47">
        <f ca="1">OFFSET(I7,MATCH(S,$B$8:$B$10,0),0)</f>
        <v>0.16393259697135898</v>
      </c>
      <c r="J7" s="48">
        <f ca="1">OFFSET(J7,MATCH(S,$B$8:$B$10,0),0)</f>
        <v>0.16393259697135898</v>
      </c>
      <c r="K7" s="48">
        <f ca="1">OFFSET(K7,MATCH(S,$B$8:$B$10,0),0)</f>
        <v>0.16393259697135898</v>
      </c>
      <c r="L7" s="48">
        <f ca="1">OFFSET(L7,MATCH(S,$B$8:$B$10,0),0)</f>
        <v>0.16393259697135898</v>
      </c>
      <c r="M7" s="49">
        <f ca="1">OFFSET(M7,MATCH(S,$B$8:$B$10,0),0)</f>
        <v>0.16393259697135898</v>
      </c>
    </row>
    <row r="8" spans="2:13" x14ac:dyDescent="0.25">
      <c r="B8" t="s">
        <v>88</v>
      </c>
      <c r="H8" t="s">
        <v>105</v>
      </c>
      <c r="I8" s="13">
        <f>AVERAGE($D$7:$H$7)</f>
        <v>0.16393259697135898</v>
      </c>
      <c r="J8" s="13">
        <f t="shared" ref="J8:M8" si="2">AVERAGE($D$7:$H$7)</f>
        <v>0.16393259697135898</v>
      </c>
      <c r="K8" s="13">
        <f t="shared" si="2"/>
        <v>0.16393259697135898</v>
      </c>
      <c r="L8" s="13">
        <f t="shared" si="2"/>
        <v>0.16393259697135898</v>
      </c>
      <c r="M8" s="13">
        <f t="shared" si="2"/>
        <v>0.16393259697135898</v>
      </c>
    </row>
    <row r="9" spans="2:13" x14ac:dyDescent="0.25">
      <c r="B9" t="s">
        <v>90</v>
      </c>
      <c r="H9" t="s">
        <v>106</v>
      </c>
      <c r="I9" s="13">
        <f>MIN($D$7:$H$7)</f>
        <v>7.4721407624633418E-2</v>
      </c>
      <c r="J9" s="13">
        <f t="shared" ref="J9:M9" si="3">MIN($D$7:$H$7)</f>
        <v>7.4721407624633418E-2</v>
      </c>
      <c r="K9" s="13">
        <f t="shared" si="3"/>
        <v>7.4721407624633418E-2</v>
      </c>
      <c r="L9" s="13">
        <f t="shared" si="3"/>
        <v>7.4721407624633418E-2</v>
      </c>
      <c r="M9" s="13">
        <f t="shared" si="3"/>
        <v>7.4721407624633418E-2</v>
      </c>
    </row>
    <row r="10" spans="2:13" x14ac:dyDescent="0.25">
      <c r="B10" t="s">
        <v>92</v>
      </c>
      <c r="H10" t="s">
        <v>108</v>
      </c>
      <c r="I10" s="13">
        <f>MAX($D$7:$H$7)/1.5</f>
        <v>0.22455700172494897</v>
      </c>
      <c r="J10" s="13">
        <f t="shared" ref="J10:M10" si="4">MAX($D$7:$H$7)/1.5</f>
        <v>0.22455700172494897</v>
      </c>
      <c r="K10" s="13">
        <f t="shared" si="4"/>
        <v>0.22455700172494897</v>
      </c>
      <c r="L10" s="13">
        <f t="shared" si="4"/>
        <v>0.22455700172494897</v>
      </c>
      <c r="M10" s="13">
        <f t="shared" si="4"/>
        <v>0.22455700172494897</v>
      </c>
    </row>
    <row r="12" spans="2:13" x14ac:dyDescent="0.25">
      <c r="B12" s="3" t="s">
        <v>6</v>
      </c>
      <c r="C12" s="13">
        <f>'3-Statement_Model'!C15/'3-Statement_Model'!C11</f>
        <v>5.0098619329388562E-2</v>
      </c>
      <c r="D12" s="13">
        <f>'3-Statement_Model'!D15/'3-Statement_Model'!D11</f>
        <v>4.7192559421288326E-2</v>
      </c>
      <c r="E12" s="13">
        <f>'3-Statement_Model'!E15/'3-Statement_Model'!E11</f>
        <v>4.2105263157894736E-2</v>
      </c>
      <c r="F12" s="13">
        <f>'3-Statement_Model'!F15/'3-Statement_Model'!F11</f>
        <v>3.908431044109436E-2</v>
      </c>
      <c r="G12" s="13">
        <f>'3-Statement_Model'!G15/'3-Statement_Model'!G11</f>
        <v>3.2862644415917845E-2</v>
      </c>
      <c r="H12" s="13">
        <f>'3-Statement_Model'!H15/'3-Statement_Model'!H11</f>
        <v>3.2695203269520329E-2</v>
      </c>
      <c r="I12" s="47">
        <f ca="1">OFFSET(I12,MATCH(S,$B$13:$B$15,0),0)</f>
        <v>4.0673100005850692E-2</v>
      </c>
      <c r="J12" s="48">
        <f ca="1">OFFSET(J12,MATCH(S,$B$13:$B$15,0),0)</f>
        <v>4.0673100005850692E-2</v>
      </c>
      <c r="K12" s="48">
        <f ca="1">OFFSET(K12,MATCH(S,$B$13:$B$15,0),0)</f>
        <v>4.0673100005850692E-2</v>
      </c>
      <c r="L12" s="48">
        <f ca="1">OFFSET(L12,MATCH(S,$B$13:$B$15,0),0)</f>
        <v>4.0673100005850692E-2</v>
      </c>
      <c r="M12" s="49">
        <f ca="1">OFFSET(M12,MATCH(S,$B$13:$B$15,0),0)</f>
        <v>4.0673100005850692E-2</v>
      </c>
    </row>
    <row r="13" spans="2:13" x14ac:dyDescent="0.25">
      <c r="B13" t="s">
        <v>88</v>
      </c>
      <c r="H13" t="s">
        <v>105</v>
      </c>
      <c r="I13" s="13">
        <f>AVERAGE($C$12:$H$12)</f>
        <v>4.0673100005850692E-2</v>
      </c>
      <c r="J13" s="13">
        <f t="shared" ref="J13:M13" si="5">AVERAGE($C$12:$H$12)</f>
        <v>4.0673100005850692E-2</v>
      </c>
      <c r="K13" s="13">
        <f t="shared" si="5"/>
        <v>4.0673100005850692E-2</v>
      </c>
      <c r="L13" s="13">
        <f t="shared" si="5"/>
        <v>4.0673100005850692E-2</v>
      </c>
      <c r="M13" s="13">
        <f t="shared" si="5"/>
        <v>4.0673100005850692E-2</v>
      </c>
    </row>
    <row r="14" spans="2:13" x14ac:dyDescent="0.25">
      <c r="B14" t="s">
        <v>90</v>
      </c>
      <c r="H14" t="s">
        <v>106</v>
      </c>
      <c r="I14" s="13">
        <f>MIN($C$12:$H$12)</f>
        <v>3.2695203269520329E-2</v>
      </c>
      <c r="J14" s="13">
        <f t="shared" ref="J14:M14" si="6">MIN($C$12:$H$12)</f>
        <v>3.2695203269520329E-2</v>
      </c>
      <c r="K14" s="13">
        <f t="shared" si="6"/>
        <v>3.2695203269520329E-2</v>
      </c>
      <c r="L14" s="13">
        <f t="shared" si="6"/>
        <v>3.2695203269520329E-2</v>
      </c>
      <c r="M14" s="13">
        <f t="shared" si="6"/>
        <v>3.2695203269520329E-2</v>
      </c>
    </row>
    <row r="15" spans="2:13" x14ac:dyDescent="0.25">
      <c r="B15" t="s">
        <v>92</v>
      </c>
      <c r="H15" t="s">
        <v>107</v>
      </c>
      <c r="I15" s="13">
        <f>MAX($C$12:$H$12)</f>
        <v>5.0098619329388562E-2</v>
      </c>
      <c r="J15" s="13">
        <f t="shared" ref="J15:M15" si="7">MAX($C$12:$H$12)</f>
        <v>5.0098619329388562E-2</v>
      </c>
      <c r="K15" s="13">
        <f t="shared" si="7"/>
        <v>5.0098619329388562E-2</v>
      </c>
      <c r="L15" s="13">
        <f t="shared" si="7"/>
        <v>5.0098619329388562E-2</v>
      </c>
      <c r="M15" s="13">
        <f t="shared" si="7"/>
        <v>5.0098619329388562E-2</v>
      </c>
    </row>
    <row r="17" spans="2:13" x14ac:dyDescent="0.25">
      <c r="B17" s="3" t="s">
        <v>7</v>
      </c>
      <c r="I17" s="47">
        <f ca="1">OFFSET(I17,MATCH(S,$B$18:$B$20,0),0)</f>
        <v>3.8891132129121167E-2</v>
      </c>
      <c r="J17" s="48">
        <f ca="1">OFFSET(J17,MATCH(S,$B$18:$B$20,0),0)</f>
        <v>3.8891132129121167E-2</v>
      </c>
      <c r="K17" s="48">
        <f ca="1">OFFSET(K17,MATCH(S,$B$18:$B$20,0),0)</f>
        <v>3.8891132129121167E-2</v>
      </c>
      <c r="L17" s="48">
        <f ca="1">OFFSET(L17,MATCH(S,$B$18:$B$20,0),0)</f>
        <v>3.8891132129121167E-2</v>
      </c>
      <c r="M17" s="49">
        <f ca="1">OFFSET(M17,MATCH(S,$B$18:$B$20,0),0)</f>
        <v>3.8891132129121167E-2</v>
      </c>
    </row>
    <row r="18" spans="2:13" x14ac:dyDescent="0.25">
      <c r="B18" t="s">
        <v>88</v>
      </c>
      <c r="H18" t="s">
        <v>105</v>
      </c>
      <c r="I18" s="13">
        <f ca="1">AVERAGE($I$5:$M$5)</f>
        <v>3.8891132129121167E-2</v>
      </c>
      <c r="J18" s="13">
        <f t="shared" ref="J18:M18" ca="1" si="8">AVERAGE($I$5:$M$5)</f>
        <v>3.8891132129121167E-2</v>
      </c>
      <c r="K18" s="13">
        <f t="shared" ca="1" si="8"/>
        <v>3.8891132129121167E-2</v>
      </c>
      <c r="L18" s="13">
        <f t="shared" ca="1" si="8"/>
        <v>3.8891132129121167E-2</v>
      </c>
      <c r="M18" s="13">
        <f t="shared" ca="1" si="8"/>
        <v>3.8891132129121167E-2</v>
      </c>
    </row>
    <row r="19" spans="2:13" x14ac:dyDescent="0.25">
      <c r="B19" t="s">
        <v>90</v>
      </c>
      <c r="H19" t="s">
        <v>106</v>
      </c>
      <c r="I19" s="13">
        <f ca="1">MIN($I$5:$M$5)*2</f>
        <v>1.5431692935063523E-2</v>
      </c>
      <c r="J19" s="13">
        <f t="shared" ref="J19:M19" ca="1" si="9">MIN($I$5:$M$5)*2</f>
        <v>1.5431692935063523E-2</v>
      </c>
      <c r="K19" s="13">
        <f t="shared" ca="1" si="9"/>
        <v>1.5431692935063523E-2</v>
      </c>
      <c r="L19" s="13">
        <f t="shared" ca="1" si="9"/>
        <v>1.5431692935063523E-2</v>
      </c>
      <c r="M19" s="13">
        <f t="shared" ca="1" si="9"/>
        <v>1.5431692935063523E-2</v>
      </c>
    </row>
    <row r="20" spans="2:13" x14ac:dyDescent="0.25">
      <c r="B20" t="s">
        <v>92</v>
      </c>
      <c r="H20" t="s">
        <v>107</v>
      </c>
      <c r="I20" s="13">
        <f ca="1">MAX($I$5:$M$5)</f>
        <v>6.4648645075583655E-2</v>
      </c>
      <c r="J20" s="13">
        <f t="shared" ref="J20:M20" ca="1" si="10">MAX($I$5:$M$5)</f>
        <v>6.4648645075583655E-2</v>
      </c>
      <c r="K20" s="13">
        <f t="shared" ca="1" si="10"/>
        <v>6.4648645075583655E-2</v>
      </c>
      <c r="L20" s="13">
        <f t="shared" ca="1" si="10"/>
        <v>6.4648645075583655E-2</v>
      </c>
      <c r="M20" s="13">
        <f t="shared" ca="1" si="10"/>
        <v>6.4648645075583655E-2</v>
      </c>
    </row>
    <row r="22" spans="2:13" x14ac:dyDescent="0.25">
      <c r="B22" s="3" t="s">
        <v>9</v>
      </c>
      <c r="C22" s="13">
        <f>'3-Statement_Model'!C18/'3-Statement_Model'!C11</f>
        <v>4.9309664694280081E-2</v>
      </c>
      <c r="D22" s="13">
        <f>'3-Statement_Model'!D18/'3-Statement_Model'!D11</f>
        <v>4.891491560454702E-2</v>
      </c>
      <c r="E22" s="13">
        <f>'3-Statement_Model'!E18/'3-Statement_Model'!E11</f>
        <v>2.4853801169590642E-2</v>
      </c>
      <c r="F22" s="13">
        <f>'3-Statement_Model'!F18/'3-Statement_Model'!F11</f>
        <v>3.4896705750977107E-2</v>
      </c>
      <c r="G22" s="13">
        <f>'3-Statement_Model'!G18/'3-Statement_Model'!G11</f>
        <v>2.9011553273427471E-2</v>
      </c>
      <c r="H22" s="13">
        <f>'3-Statement_Model'!H18/'3-Statement_Model'!H11</f>
        <v>2.3445902344590236E-2</v>
      </c>
      <c r="I22" s="47">
        <f ca="1">OFFSET(I22,MATCH(S,$B$23:$B$25,0),0)</f>
        <v>3.5072090472902093E-2</v>
      </c>
      <c r="J22" s="48">
        <f ca="1">OFFSET(J22,MATCH(S,$B$23:$B$25,0),0)</f>
        <v>3.5072090472902093E-2</v>
      </c>
      <c r="K22" s="48">
        <f ca="1">OFFSET(K22,MATCH(S,$B$23:$B$25,0),0)</f>
        <v>3.5072090472902093E-2</v>
      </c>
      <c r="L22" s="48">
        <f ca="1">OFFSET(L22,MATCH(S,$B$23:$B$25,0),0)</f>
        <v>3.5072090472902093E-2</v>
      </c>
      <c r="M22" s="49">
        <f ca="1">OFFSET(M22,MATCH(S,$B$23:$B$25,0),0)</f>
        <v>3.5072090472902093E-2</v>
      </c>
    </row>
    <row r="23" spans="2:13" x14ac:dyDescent="0.25">
      <c r="B23" t="s">
        <v>88</v>
      </c>
      <c r="H23" t="s">
        <v>105</v>
      </c>
      <c r="I23" s="13">
        <f>AVERAGE($C$22:$H$22)</f>
        <v>3.5072090472902093E-2</v>
      </c>
      <c r="J23" s="13">
        <f t="shared" ref="J23:M23" si="11">AVERAGE($C$22:$H$22)</f>
        <v>3.5072090472902093E-2</v>
      </c>
      <c r="K23" s="13">
        <f t="shared" si="11"/>
        <v>3.5072090472902093E-2</v>
      </c>
      <c r="L23" s="13">
        <f t="shared" si="11"/>
        <v>3.5072090472902093E-2</v>
      </c>
      <c r="M23" s="13">
        <f t="shared" si="11"/>
        <v>3.5072090472902093E-2</v>
      </c>
    </row>
    <row r="24" spans="2:13" x14ac:dyDescent="0.25">
      <c r="B24" t="s">
        <v>90</v>
      </c>
      <c r="H24" t="s">
        <v>106</v>
      </c>
      <c r="I24" s="13">
        <f>MIN($C$22:$H$22)</f>
        <v>2.3445902344590236E-2</v>
      </c>
      <c r="J24" s="13">
        <f t="shared" ref="J24:M24" si="12">MIN($C$22:$H$22)</f>
        <v>2.3445902344590236E-2</v>
      </c>
      <c r="K24" s="13">
        <f t="shared" si="12"/>
        <v>2.3445902344590236E-2</v>
      </c>
      <c r="L24" s="13">
        <f t="shared" si="12"/>
        <v>2.3445902344590236E-2</v>
      </c>
      <c r="M24" s="13">
        <f t="shared" si="12"/>
        <v>2.3445902344590236E-2</v>
      </c>
    </row>
    <row r="25" spans="2:13" x14ac:dyDescent="0.25">
      <c r="B25" t="s">
        <v>92</v>
      </c>
      <c r="H25" t="s">
        <v>107</v>
      </c>
      <c r="I25" s="13">
        <f>MAX($C$22:$H$22)</f>
        <v>4.9309664694280081E-2</v>
      </c>
      <c r="J25" s="13">
        <f t="shared" ref="J25:M25" si="13">MAX($C$22:$H$22)</f>
        <v>4.9309664694280081E-2</v>
      </c>
      <c r="K25" s="13">
        <f t="shared" si="13"/>
        <v>4.9309664694280081E-2</v>
      </c>
      <c r="L25" s="13">
        <f t="shared" si="13"/>
        <v>4.9309664694280081E-2</v>
      </c>
      <c r="M25" s="13">
        <f t="shared" si="13"/>
        <v>4.9309664694280081E-2</v>
      </c>
    </row>
    <row r="27" spans="2:13" x14ac:dyDescent="0.25">
      <c r="B27" s="3" t="s">
        <v>10</v>
      </c>
      <c r="C27" s="13">
        <f>'3-Statement_Model'!C19/'3-Statement_Model'!C11</f>
        <v>1.5384615384615385E-2</v>
      </c>
      <c r="D27" s="13">
        <f>'3-Statement_Model'!D19/'3-Statement_Model'!D11</f>
        <v>1.3434378229417844E-2</v>
      </c>
      <c r="E27" s="13">
        <f>'3-Statement_Model'!E19/'3-Statement_Model'!E11</f>
        <v>1.6666666666666666E-2</v>
      </c>
      <c r="F27" s="13">
        <f>'3-Statement_Model'!F19/'3-Statement_Model'!F11</f>
        <v>1.423785594639866E-2</v>
      </c>
      <c r="G27" s="13">
        <f>'3-Statement_Model'!G19/'3-Statement_Model'!G11</f>
        <v>1.2066752246469832E-2</v>
      </c>
      <c r="H27" s="13">
        <f>'3-Statement_Model'!H19/'3-Statement_Model'!H11</f>
        <v>1.1615401161540116E-2</v>
      </c>
      <c r="I27" s="47">
        <f ca="1">OFFSET(I27,MATCH(S,$B$28:$B$30,0),0)</f>
        <v>1.3900944939184749E-2</v>
      </c>
      <c r="J27" s="48">
        <f ca="1">OFFSET(J27,MATCH(S,$B$28:$B$30,0),0)</f>
        <v>1.3900944939184749E-2</v>
      </c>
      <c r="K27" s="48">
        <f ca="1">OFFSET(K27,MATCH(S,$B$28:$B$30,0),0)</f>
        <v>1.3900944939184749E-2</v>
      </c>
      <c r="L27" s="48">
        <f ca="1">OFFSET(L27,MATCH(S,$B$28:$B$30,0),0)</f>
        <v>1.3900944939184749E-2</v>
      </c>
      <c r="M27" s="49">
        <f ca="1">OFFSET(M27,MATCH(S,$B$28:$B$30,0),0)</f>
        <v>1.3900944939184749E-2</v>
      </c>
    </row>
    <row r="28" spans="2:13" x14ac:dyDescent="0.25">
      <c r="B28" t="s">
        <v>88</v>
      </c>
      <c r="H28" t="s">
        <v>105</v>
      </c>
      <c r="I28" s="13">
        <f>AVERAGE($C$27:$H$27)</f>
        <v>1.3900944939184749E-2</v>
      </c>
      <c r="J28" s="13">
        <f t="shared" ref="J28:M28" si="14">AVERAGE($C$27:$H$27)</f>
        <v>1.3900944939184749E-2</v>
      </c>
      <c r="K28" s="13">
        <f t="shared" si="14"/>
        <v>1.3900944939184749E-2</v>
      </c>
      <c r="L28" s="13">
        <f t="shared" si="14"/>
        <v>1.3900944939184749E-2</v>
      </c>
      <c r="M28" s="13">
        <f t="shared" si="14"/>
        <v>1.3900944939184749E-2</v>
      </c>
    </row>
    <row r="29" spans="2:13" x14ac:dyDescent="0.25">
      <c r="B29" t="s">
        <v>90</v>
      </c>
      <c r="H29" t="s">
        <v>106</v>
      </c>
      <c r="I29" s="13">
        <f>MIN($C$27:$H$27)</f>
        <v>1.1615401161540116E-2</v>
      </c>
      <c r="J29" s="13">
        <f t="shared" ref="J29:M29" si="15">MIN($C$27:$H$27)</f>
        <v>1.1615401161540116E-2</v>
      </c>
      <c r="K29" s="13">
        <f t="shared" si="15"/>
        <v>1.1615401161540116E-2</v>
      </c>
      <c r="L29" s="13">
        <f t="shared" si="15"/>
        <v>1.1615401161540116E-2</v>
      </c>
      <c r="M29" s="13">
        <f t="shared" si="15"/>
        <v>1.1615401161540116E-2</v>
      </c>
    </row>
    <row r="30" spans="2:13" x14ac:dyDescent="0.25">
      <c r="B30" t="s">
        <v>92</v>
      </c>
      <c r="H30" t="s">
        <v>107</v>
      </c>
      <c r="I30" s="13">
        <f>MAX($C$27:$H$27)</f>
        <v>1.6666666666666666E-2</v>
      </c>
      <c r="J30" s="13">
        <f t="shared" ref="J30:M30" si="16">MAX($C$27:$H$27)</f>
        <v>1.6666666666666666E-2</v>
      </c>
      <c r="K30" s="13">
        <f t="shared" si="16"/>
        <v>1.6666666666666666E-2</v>
      </c>
      <c r="L30" s="13">
        <f t="shared" si="16"/>
        <v>1.6666666666666666E-2</v>
      </c>
      <c r="M30" s="13">
        <f t="shared" si="16"/>
        <v>1.6666666666666666E-2</v>
      </c>
    </row>
    <row r="32" spans="2:13" x14ac:dyDescent="0.25">
      <c r="B32" s="3" t="s">
        <v>12</v>
      </c>
      <c r="C32" s="13">
        <f>'3-Statement_Model'!C21/'3-Statement_Model'!C11</f>
        <v>1.2228796844181459E-2</v>
      </c>
      <c r="D32" s="13">
        <f>'3-Statement_Model'!D21/'3-Statement_Model'!D11</f>
        <v>8.2673096796417496E-3</v>
      </c>
      <c r="E32" s="13">
        <f>'3-Statement_Model'!E21/'3-Statement_Model'!E11</f>
        <v>1.8713450292397661E-2</v>
      </c>
      <c r="F32" s="13">
        <f>'3-Statement_Model'!F21/'3-Statement_Model'!F11</f>
        <v>9.212730318257957E-3</v>
      </c>
      <c r="G32" s="13">
        <f>'3-Statement_Model'!G21/'3-Statement_Model'!G11</f>
        <v>8.7291399229781769E-3</v>
      </c>
      <c r="H32" s="13">
        <f>'3-Statement_Model'!H21/'3-Statement_Model'!H11</f>
        <v>1.1830501183050119E-2</v>
      </c>
      <c r="I32" s="47">
        <f ca="1">OFFSET(I32,MATCH(S,$B$33:$B$35,0),0)</f>
        <v>1.149698804008452E-2</v>
      </c>
      <c r="J32" s="48">
        <f ca="1">OFFSET(J32,MATCH(S,$B$33:$B$35,0),0)</f>
        <v>1.149698804008452E-2</v>
      </c>
      <c r="K32" s="48">
        <f ca="1">OFFSET(K32,MATCH(S,$B$33:$B$35,0),0)</f>
        <v>1.149698804008452E-2</v>
      </c>
      <c r="L32" s="48">
        <f ca="1">OFFSET(L32,MATCH(S,$B$33:$B$35,0),0)</f>
        <v>1.149698804008452E-2</v>
      </c>
      <c r="M32" s="49">
        <f ca="1">OFFSET(M32,MATCH(S,$B$33:$B$35,0),0)</f>
        <v>1.149698804008452E-2</v>
      </c>
    </row>
    <row r="33" spans="2:13" x14ac:dyDescent="0.25">
      <c r="B33" t="s">
        <v>88</v>
      </c>
      <c r="H33" t="s">
        <v>105</v>
      </c>
      <c r="I33" s="13">
        <f>AVERAGE($C$32:$H$32)</f>
        <v>1.149698804008452E-2</v>
      </c>
      <c r="J33" s="13">
        <f t="shared" ref="J33:M33" si="17">AVERAGE($C$32:$H$32)</f>
        <v>1.149698804008452E-2</v>
      </c>
      <c r="K33" s="13">
        <f t="shared" si="17"/>
        <v>1.149698804008452E-2</v>
      </c>
      <c r="L33" s="13">
        <f t="shared" si="17"/>
        <v>1.149698804008452E-2</v>
      </c>
      <c r="M33" s="13">
        <f t="shared" si="17"/>
        <v>1.149698804008452E-2</v>
      </c>
    </row>
    <row r="34" spans="2:13" x14ac:dyDescent="0.25">
      <c r="B34" t="s">
        <v>90</v>
      </c>
      <c r="H34" t="s">
        <v>106</v>
      </c>
      <c r="I34" s="13">
        <f>MIN($C$32:$H$32)</f>
        <v>8.2673096796417496E-3</v>
      </c>
      <c r="J34" s="13">
        <f t="shared" ref="J34:M34" si="18">MIN($C$32:$H$32)</f>
        <v>8.2673096796417496E-3</v>
      </c>
      <c r="K34" s="13">
        <f t="shared" si="18"/>
        <v>8.2673096796417496E-3</v>
      </c>
      <c r="L34" s="13">
        <f t="shared" si="18"/>
        <v>8.2673096796417496E-3</v>
      </c>
      <c r="M34" s="13">
        <f t="shared" si="18"/>
        <v>8.2673096796417496E-3</v>
      </c>
    </row>
    <row r="35" spans="2:13" x14ac:dyDescent="0.25">
      <c r="B35" t="s">
        <v>92</v>
      </c>
      <c r="H35" t="s">
        <v>107</v>
      </c>
      <c r="I35" s="13">
        <f>MAX($C$32:$H$32)</f>
        <v>1.8713450292397661E-2</v>
      </c>
      <c r="J35" s="13">
        <f t="shared" ref="J35:M35" si="19">MAX($C$32:$H$32)</f>
        <v>1.8713450292397661E-2</v>
      </c>
      <c r="K35" s="13">
        <f t="shared" si="19"/>
        <v>1.8713450292397661E-2</v>
      </c>
      <c r="L35" s="13">
        <f t="shared" si="19"/>
        <v>1.8713450292397661E-2</v>
      </c>
      <c r="M35" s="13">
        <f t="shared" si="19"/>
        <v>1.8713450292397661E-2</v>
      </c>
    </row>
    <row r="38" spans="2:13" x14ac:dyDescent="0.25">
      <c r="B38" s="1" t="s">
        <v>122</v>
      </c>
      <c r="C38" s="1">
        <v>2019</v>
      </c>
      <c r="D38" s="1">
        <f t="shared" ref="D38" si="20">C38+1</f>
        <v>2020</v>
      </c>
      <c r="E38" s="1">
        <f t="shared" ref="E38" si="21">D38+1</f>
        <v>2021</v>
      </c>
      <c r="F38" s="1">
        <f t="shared" ref="F38" si="22">E38+1</f>
        <v>2022</v>
      </c>
      <c r="G38" s="1">
        <f t="shared" ref="G38" si="23">F38+1</f>
        <v>2023</v>
      </c>
      <c r="H38" s="1">
        <f t="shared" ref="H38" si="24">G38+1</f>
        <v>2024</v>
      </c>
      <c r="I38" s="24">
        <f t="shared" ref="I38" si="25">H38+1</f>
        <v>2025</v>
      </c>
      <c r="J38" s="24">
        <f t="shared" ref="J38" si="26">I38+1</f>
        <v>2026</v>
      </c>
      <c r="K38" s="24">
        <f t="shared" ref="K38" si="27">J38+1</f>
        <v>2027</v>
      </c>
      <c r="L38" s="24">
        <f t="shared" ref="L38" si="28">K38+1</f>
        <v>2028</v>
      </c>
      <c r="M38" s="24">
        <f t="shared" ref="M38" si="29">L38+1</f>
        <v>2029</v>
      </c>
    </row>
    <row r="40" spans="2:13" x14ac:dyDescent="0.25">
      <c r="B40" s="3" t="s">
        <v>214</v>
      </c>
      <c r="C40" s="13"/>
      <c r="D40" s="13"/>
      <c r="E40" s="13"/>
      <c r="F40" s="13"/>
      <c r="G40" s="13"/>
      <c r="H40" s="13"/>
      <c r="I40" s="47">
        <f ca="1">OFFSET(I40,MATCH(S,$B$41:$B$43,0),0)</f>
        <v>-7.3552517167441711E-2</v>
      </c>
      <c r="J40" s="48">
        <f ca="1">OFFSET(J40,MATCH(S,$B$41:$B$43,0),0)</f>
        <v>-7.3552517167441711E-2</v>
      </c>
      <c r="K40" s="48">
        <f ca="1">OFFSET(K40,MATCH(S,$B$41:$B$43,0),0)</f>
        <v>-7.3552517167441711E-2</v>
      </c>
      <c r="L40" s="48">
        <f ca="1">OFFSET(L40,MATCH(S,$B$41:$B$43,0),0)</f>
        <v>-7.3552517167441711E-2</v>
      </c>
      <c r="M40" s="49">
        <f ca="1">OFFSET(M40,MATCH(S,$B$41:$B$43,0),0)</f>
        <v>-7.3552517167441711E-2</v>
      </c>
    </row>
    <row r="41" spans="2:13" x14ac:dyDescent="0.25">
      <c r="B41" t="s">
        <v>88</v>
      </c>
      <c r="H41" t="s">
        <v>220</v>
      </c>
      <c r="I41" s="13">
        <f>(('3-Statement_Model'!$H$70/'3-Statement_Model'!$C$70)^(1/6))-1</f>
        <v>-7.3552517167441711E-2</v>
      </c>
      <c r="J41" s="13">
        <f>(('3-Statement_Model'!$H$70/'3-Statement_Model'!$C$70)^(1/6))-1</f>
        <v>-7.3552517167441711E-2</v>
      </c>
      <c r="K41" s="13">
        <f>(('3-Statement_Model'!$H$70/'3-Statement_Model'!$C$70)^(1/6))-1</f>
        <v>-7.3552517167441711E-2</v>
      </c>
      <c r="L41" s="13">
        <f>(('3-Statement_Model'!$H$70/'3-Statement_Model'!$C$70)^(1/6))-1</f>
        <v>-7.3552517167441711E-2</v>
      </c>
      <c r="M41" s="13">
        <f>(('3-Statement_Model'!$H$70/'3-Statement_Model'!$C$70)^(1/6))-1</f>
        <v>-7.3552517167441711E-2</v>
      </c>
    </row>
    <row r="42" spans="2:13" x14ac:dyDescent="0.25">
      <c r="B42" t="s">
        <v>90</v>
      </c>
      <c r="H42" t="s">
        <v>107</v>
      </c>
      <c r="I42" s="13">
        <f>((('3-Statement_Model'!$H$70/'3-Statement_Model'!$C$70)^(1/6))-1)+0.03</f>
        <v>-4.3552517167441712E-2</v>
      </c>
      <c r="J42" s="13">
        <f>((('3-Statement_Model'!$H$70/'3-Statement_Model'!$C$70)^(1/6))-1)+0.03</f>
        <v>-4.3552517167441712E-2</v>
      </c>
      <c r="K42" s="13">
        <f>((('3-Statement_Model'!$H$70/'3-Statement_Model'!$C$70)^(1/6))-1)+0.03</f>
        <v>-4.3552517167441712E-2</v>
      </c>
      <c r="L42" s="13">
        <f>((('3-Statement_Model'!$H$70/'3-Statement_Model'!$C$70)^(1/6))-1)+0.03</f>
        <v>-4.3552517167441712E-2</v>
      </c>
      <c r="M42" s="13">
        <f>((('3-Statement_Model'!$H$70/'3-Statement_Model'!$C$70)^(1/6))-1)+0.03</f>
        <v>-4.3552517167441712E-2</v>
      </c>
    </row>
    <row r="43" spans="2:13" x14ac:dyDescent="0.25">
      <c r="B43" t="s">
        <v>92</v>
      </c>
      <c r="H43" t="s">
        <v>106</v>
      </c>
      <c r="I43" s="13">
        <f>((('3-Statement_Model'!$H$70/'3-Statement_Model'!$C$70)^(1/6))-1)-0.03</f>
        <v>-0.10355251716744171</v>
      </c>
      <c r="J43" s="13">
        <f>((('3-Statement_Model'!$H$70/'3-Statement_Model'!$C$70)^(1/6))-1)-0.03</f>
        <v>-0.10355251716744171</v>
      </c>
      <c r="K43" s="13">
        <f>((('3-Statement_Model'!$H$70/'3-Statement_Model'!$C$70)^(1/6))-1)-0.03</f>
        <v>-0.10355251716744171</v>
      </c>
      <c r="L43" s="13">
        <f>((('3-Statement_Model'!$H$70/'3-Statement_Model'!$C$70)^(1/6))-1)-0.03</f>
        <v>-0.10355251716744171</v>
      </c>
      <c r="M43" s="13">
        <f>((('3-Statement_Model'!$H$70/'3-Statement_Model'!$C$70)^(1/6))-1)-0.03</f>
        <v>-0.10355251716744171</v>
      </c>
    </row>
    <row r="45" spans="2:13" x14ac:dyDescent="0.25">
      <c r="B45" s="3" t="s">
        <v>221</v>
      </c>
      <c r="C45" s="13">
        <f>'3-Statement_Model'!C71/'3-Statement_Model'!C11</f>
        <v>0.16646942800788955</v>
      </c>
      <c r="D45" s="13">
        <f>'3-Statement_Model'!D71/'3-Statement_Model'!D11</f>
        <v>0.1949707199448846</v>
      </c>
      <c r="E45" s="13">
        <f>'3-Statement_Model'!E71/'3-Statement_Model'!E11</f>
        <v>0.17192982456140352</v>
      </c>
      <c r="F45" s="13">
        <f>'3-Statement_Model'!F71/'3-Statement_Model'!F11</f>
        <v>0.18900055834729201</v>
      </c>
      <c r="G45" s="13">
        <f>'3-Statement_Model'!G71/'3-Statement_Model'!G11</f>
        <v>0.23851091142490372</v>
      </c>
      <c r="H45" s="13">
        <f>'3-Statement_Model'!H71/'3-Statement_Model'!H11</f>
        <v>0.21983222198322219</v>
      </c>
      <c r="I45" s="47">
        <f ca="1">OFFSET(I45,MATCH(S,$B$46:$B$48,0),0)</f>
        <v>0.19678561071159928</v>
      </c>
      <c r="J45" s="48">
        <f ca="1">OFFSET(J45,MATCH(S,$B$46:$B$48,0),0)</f>
        <v>0.19678561071159928</v>
      </c>
      <c r="K45" s="48">
        <f ca="1">OFFSET(K45,MATCH(S,$B$46:$B$48,0),0)</f>
        <v>0.19678561071159928</v>
      </c>
      <c r="L45" s="48">
        <f ca="1">OFFSET(L45,MATCH(S,$B$46:$B$48,0),0)</f>
        <v>0.19678561071159928</v>
      </c>
      <c r="M45" s="49">
        <f ca="1">OFFSET(M45,MATCH(S,$B$46:$B$48,0),0)</f>
        <v>0.19678561071159928</v>
      </c>
    </row>
    <row r="46" spans="2:13" x14ac:dyDescent="0.25">
      <c r="B46" t="s">
        <v>88</v>
      </c>
      <c r="H46" t="s">
        <v>105</v>
      </c>
      <c r="I46" s="13">
        <f>AVERAGE($C$45:$H$45)</f>
        <v>0.19678561071159928</v>
      </c>
      <c r="J46" s="13">
        <f t="shared" ref="J46:M46" si="30">AVERAGE($C$45:$H$45)</f>
        <v>0.19678561071159928</v>
      </c>
      <c r="K46" s="13">
        <f t="shared" si="30"/>
        <v>0.19678561071159928</v>
      </c>
      <c r="L46" s="13">
        <f t="shared" si="30"/>
        <v>0.19678561071159928</v>
      </c>
      <c r="M46" s="13">
        <f t="shared" si="30"/>
        <v>0.19678561071159928</v>
      </c>
    </row>
    <row r="47" spans="2:13" x14ac:dyDescent="0.25">
      <c r="B47" t="s">
        <v>90</v>
      </c>
      <c r="H47" t="s">
        <v>106</v>
      </c>
      <c r="I47" s="13">
        <f>MIN($C$45:$H$45)</f>
        <v>0.16646942800788955</v>
      </c>
      <c r="J47" s="13">
        <f t="shared" ref="J47:M47" si="31">MIN($C$45:$H$45)</f>
        <v>0.16646942800788955</v>
      </c>
      <c r="K47" s="13">
        <f t="shared" si="31"/>
        <v>0.16646942800788955</v>
      </c>
      <c r="L47" s="13">
        <f t="shared" si="31"/>
        <v>0.16646942800788955</v>
      </c>
      <c r="M47" s="13">
        <f t="shared" si="31"/>
        <v>0.16646942800788955</v>
      </c>
    </row>
    <row r="48" spans="2:13" x14ac:dyDescent="0.25">
      <c r="B48" t="s">
        <v>92</v>
      </c>
      <c r="H48" t="s">
        <v>107</v>
      </c>
      <c r="I48" s="13">
        <f>MAX($C$45:$H$45)</f>
        <v>0.23851091142490372</v>
      </c>
      <c r="J48" s="13">
        <f t="shared" ref="J48:M48" si="32">MAX($C$45:$H$45)</f>
        <v>0.23851091142490372</v>
      </c>
      <c r="K48" s="13">
        <f t="shared" si="32"/>
        <v>0.23851091142490372</v>
      </c>
      <c r="L48" s="13">
        <f t="shared" si="32"/>
        <v>0.23851091142490372</v>
      </c>
      <c r="M48" s="13">
        <f t="shared" si="32"/>
        <v>0.23851091142490372</v>
      </c>
    </row>
    <row r="50" spans="2:13" x14ac:dyDescent="0.25">
      <c r="B50" s="3" t="s">
        <v>222</v>
      </c>
      <c r="I50" s="40">
        <f ca="1">I5</f>
        <v>6.4648645075583655E-2</v>
      </c>
      <c r="J50" s="40">
        <f t="shared" ref="J50:M50" ca="1" si="33">J5</f>
        <v>7.7158464675317617E-3</v>
      </c>
      <c r="K50" s="40">
        <f t="shared" ca="1" si="33"/>
        <v>4.1129487659004482E-2</v>
      </c>
      <c r="L50" s="40">
        <f t="shared" ca="1" si="33"/>
        <v>4.0689820806083743E-2</v>
      </c>
      <c r="M50" s="40">
        <f t="shared" ca="1" si="33"/>
        <v>4.0271860637402179E-2</v>
      </c>
    </row>
    <row r="52" spans="2:13" x14ac:dyDescent="0.25">
      <c r="B52" s="3" t="s">
        <v>223</v>
      </c>
      <c r="C52" s="13">
        <f>'3-Statement_Model'!C73/'3-Statement_Model'!C11</f>
        <v>8.6390532544378701E-2</v>
      </c>
      <c r="D52" s="13">
        <f>'3-Statement_Model'!D73/'3-Statement_Model'!D11</f>
        <v>6.0282466414054429E-2</v>
      </c>
      <c r="E52" s="13">
        <f>'3-Statement_Model'!E73/'3-Statement_Model'!E11</f>
        <v>8.5964912280701758E-2</v>
      </c>
      <c r="F52" s="13">
        <f>'3-Statement_Model'!F73/'3-Statement_Model'!F11</f>
        <v>5.6113902847571187E-2</v>
      </c>
      <c r="G52" s="13">
        <f>'3-Statement_Model'!G73/'3-Statement_Model'!G11</f>
        <v>5.9306803594351733E-2</v>
      </c>
      <c r="H52" s="13">
        <f>'3-Statement_Model'!H73/'3-Statement_Model'!H11</f>
        <v>6.3024306302430624E-2</v>
      </c>
      <c r="I52" s="47">
        <f ca="1">OFFSET(I52,MATCH(S,$B$53:$B$55,0),0)</f>
        <v>6.8513820663914746E-2</v>
      </c>
      <c r="J52" s="48">
        <f ca="1">OFFSET(J52,MATCH(S,$B$53:$B$55,0),0)</f>
        <v>6.8513820663914746E-2</v>
      </c>
      <c r="K52" s="48">
        <f ca="1">OFFSET(K52,MATCH(S,$B$53:$B$55,0),0)</f>
        <v>6.8513820663914746E-2</v>
      </c>
      <c r="L52" s="48">
        <f ca="1">OFFSET(L52,MATCH(S,$B$53:$B$55,0),0)</f>
        <v>6.8513820663914746E-2</v>
      </c>
      <c r="M52" s="49">
        <f ca="1">OFFSET(M52,MATCH(S,$B$53:$B$55,0),0)</f>
        <v>6.8513820663914746E-2</v>
      </c>
    </row>
    <row r="53" spans="2:13" x14ac:dyDescent="0.25">
      <c r="B53" t="s">
        <v>88</v>
      </c>
      <c r="H53" t="s">
        <v>105</v>
      </c>
      <c r="I53" s="13">
        <f>AVERAGE($C$52:$H$52)</f>
        <v>6.8513820663914746E-2</v>
      </c>
      <c r="J53" s="13">
        <f t="shared" ref="J53:M53" si="34">AVERAGE($C$52:$H$52)</f>
        <v>6.8513820663914746E-2</v>
      </c>
      <c r="K53" s="13">
        <f t="shared" si="34"/>
        <v>6.8513820663914746E-2</v>
      </c>
      <c r="L53" s="13">
        <f t="shared" si="34"/>
        <v>6.8513820663914746E-2</v>
      </c>
      <c r="M53" s="13">
        <f t="shared" si="34"/>
        <v>6.8513820663914746E-2</v>
      </c>
    </row>
    <row r="54" spans="2:13" x14ac:dyDescent="0.25">
      <c r="B54" t="s">
        <v>90</v>
      </c>
      <c r="H54" t="s">
        <v>106</v>
      </c>
      <c r="I54" s="13">
        <f>MIN($C$52:$H$52)</f>
        <v>5.6113902847571187E-2</v>
      </c>
      <c r="J54" s="13">
        <f t="shared" ref="J54:M54" si="35">MIN($C$52:$H$52)</f>
        <v>5.6113902847571187E-2</v>
      </c>
      <c r="K54" s="13">
        <f t="shared" si="35"/>
        <v>5.6113902847571187E-2</v>
      </c>
      <c r="L54" s="13">
        <f t="shared" si="35"/>
        <v>5.6113902847571187E-2</v>
      </c>
      <c r="M54" s="13">
        <f t="shared" si="35"/>
        <v>5.6113902847571187E-2</v>
      </c>
    </row>
    <row r="55" spans="2:13" x14ac:dyDescent="0.25">
      <c r="B55" t="s">
        <v>92</v>
      </c>
      <c r="H55" t="s">
        <v>107</v>
      </c>
      <c r="I55" s="13">
        <f>MAX($C$52:$H$52)</f>
        <v>8.6390532544378701E-2</v>
      </c>
      <c r="J55" s="13">
        <f t="shared" ref="J55:M55" si="36">MAX($C$52:$H$52)</f>
        <v>8.6390532544378701E-2</v>
      </c>
      <c r="K55" s="13">
        <f t="shared" si="36"/>
        <v>8.6390532544378701E-2</v>
      </c>
      <c r="L55" s="13">
        <f t="shared" si="36"/>
        <v>8.6390532544378701E-2</v>
      </c>
      <c r="M55" s="13">
        <f t="shared" si="36"/>
        <v>8.6390532544378701E-2</v>
      </c>
    </row>
    <row r="57" spans="2:13" x14ac:dyDescent="0.25">
      <c r="B57" s="3" t="s">
        <v>231</v>
      </c>
      <c r="D57" s="13">
        <f>Schedules!D49/'3-Statement_Model'!D11</f>
        <v>5.5804340337581811E-2</v>
      </c>
      <c r="E57" s="13">
        <f>Schedules!E49/'3-Statement_Model'!E11</f>
        <v>-2.631578947368421E-3</v>
      </c>
      <c r="F57" s="13">
        <f>Schedules!F49/'3-Statement_Model'!F11</f>
        <v>1.8983807928531545E-2</v>
      </c>
      <c r="G57" s="13">
        <f>Schedules!G49/'3-Statement_Model'!G11</f>
        <v>3.7740693196405647E-2</v>
      </c>
      <c r="H57" s="13">
        <f>Schedules!H49/'3-Statement_Model'!H11</f>
        <v>-8.3889008388900836E-3</v>
      </c>
      <c r="I57" s="80">
        <f>AVERAGE($D$57:$H$57)</f>
        <v>2.03016723352521E-2</v>
      </c>
      <c r="J57" s="81">
        <f t="shared" ref="J57:M57" si="37">AVERAGE($D$57:$H$57)</f>
        <v>2.03016723352521E-2</v>
      </c>
      <c r="K57" s="81">
        <f t="shared" si="37"/>
        <v>2.03016723352521E-2</v>
      </c>
      <c r="L57" s="81">
        <f t="shared" si="37"/>
        <v>2.03016723352521E-2</v>
      </c>
      <c r="M57" s="82">
        <f t="shared" si="37"/>
        <v>2.03016723352521E-2</v>
      </c>
    </row>
    <row r="59" spans="2:13" x14ac:dyDescent="0.25">
      <c r="B59" s="3" t="s">
        <v>232</v>
      </c>
      <c r="C59" s="13">
        <f>Schedules!C46/Schedules!C44</f>
        <v>-0.55862068965517242</v>
      </c>
      <c r="D59" s="13">
        <f>Schedules!D46/Schedules!D44</f>
        <v>-0.5397286821705426</v>
      </c>
      <c r="E59" s="13">
        <f>Schedules!E46/Schedules!E44</f>
        <v>-0.50244379276637341</v>
      </c>
      <c r="F59" s="13">
        <f>Schedules!F46/Schedules!F44</f>
        <v>-0.51237396883593034</v>
      </c>
      <c r="G59" s="13">
        <f>Schedules!G46/Schedules!G44</f>
        <v>-0.53473344103392573</v>
      </c>
      <c r="H59" s="13">
        <f>Schedules!H46/Schedules!H44</f>
        <v>-0.50542118432026684</v>
      </c>
      <c r="I59" s="80">
        <f>AVERAGE($C$59:$H$59)</f>
        <v>-0.52555362646370185</v>
      </c>
      <c r="J59" s="81">
        <f t="shared" ref="J59:M59" si="38">AVERAGE($C$59:$H$59)</f>
        <v>-0.52555362646370185</v>
      </c>
      <c r="K59" s="81">
        <f t="shared" si="38"/>
        <v>-0.52555362646370185</v>
      </c>
      <c r="L59" s="81">
        <f t="shared" si="38"/>
        <v>-0.52555362646370185</v>
      </c>
      <c r="M59" s="82">
        <f t="shared" si="38"/>
        <v>-0.52555362646370185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7E7C-ACD7-4AB8-BBE2-2A5742FE995F}">
  <dimension ref="A1:M49"/>
  <sheetViews>
    <sheetView showGridLines="0" workbookViewId="0">
      <pane ySplit="1" topLeftCell="A39" activePane="bottomLeft" state="frozen"/>
      <selection pane="bottomLeft" activeCell="I49" sqref="I49"/>
    </sheetView>
  </sheetViews>
  <sheetFormatPr defaultRowHeight="15" x14ac:dyDescent="0.25"/>
  <cols>
    <col min="2" max="2" width="47.7109375" bestFit="1" customWidth="1"/>
    <col min="3" max="13" width="10.7109375" bestFit="1" customWidth="1"/>
  </cols>
  <sheetData>
    <row r="1" spans="1:13" x14ac:dyDescent="0.25">
      <c r="C1" s="1">
        <v>2019</v>
      </c>
      <c r="D1" s="1">
        <f t="shared" ref="D1:M1" si="0">C1+1</f>
        <v>2020</v>
      </c>
      <c r="E1" s="1">
        <f t="shared" si="0"/>
        <v>2021</v>
      </c>
      <c r="F1" s="1">
        <f t="shared" si="0"/>
        <v>2022</v>
      </c>
      <c r="G1" s="1">
        <f t="shared" si="0"/>
        <v>2023</v>
      </c>
      <c r="H1" s="1">
        <f t="shared" si="0"/>
        <v>2024</v>
      </c>
      <c r="I1" s="24">
        <f t="shared" si="0"/>
        <v>2025</v>
      </c>
      <c r="J1" s="24">
        <f t="shared" si="0"/>
        <v>2026</v>
      </c>
      <c r="K1" s="24">
        <f t="shared" si="0"/>
        <v>2027</v>
      </c>
      <c r="L1" s="24">
        <f t="shared" si="0"/>
        <v>2028</v>
      </c>
      <c r="M1" s="24">
        <f t="shared" si="0"/>
        <v>2029</v>
      </c>
    </row>
    <row r="3" spans="1:13" x14ac:dyDescent="0.25">
      <c r="A3" t="s">
        <v>111</v>
      </c>
      <c r="B3" s="1" t="s">
        <v>102</v>
      </c>
      <c r="C3" s="1">
        <v>2019</v>
      </c>
      <c r="D3" s="1">
        <f t="shared" ref="D3" si="1">C3+1</f>
        <v>2020</v>
      </c>
      <c r="E3" s="1">
        <f t="shared" ref="E3" si="2">D3+1</f>
        <v>2021</v>
      </c>
      <c r="F3" s="1">
        <f t="shared" ref="F3" si="3">E3+1</f>
        <v>2022</v>
      </c>
      <c r="G3" s="1">
        <f t="shared" ref="G3" si="4">F3+1</f>
        <v>2023</v>
      </c>
      <c r="H3" s="1">
        <f t="shared" ref="H3" si="5">G3+1</f>
        <v>2024</v>
      </c>
      <c r="I3" s="24">
        <f t="shared" ref="I3" si="6">H3+1</f>
        <v>2025</v>
      </c>
      <c r="J3" s="24">
        <f t="shared" ref="J3" si="7">I3+1</f>
        <v>2026</v>
      </c>
      <c r="K3" s="24">
        <f t="shared" ref="K3" si="8">J3+1</f>
        <v>2027</v>
      </c>
      <c r="L3" s="24">
        <f t="shared" ref="L3" si="9">K3+1</f>
        <v>2028</v>
      </c>
      <c r="M3" s="24">
        <f t="shared" ref="M3" si="10">L3+1</f>
        <v>2029</v>
      </c>
    </row>
    <row r="4" spans="1:13" x14ac:dyDescent="0.25">
      <c r="B4" t="s">
        <v>100</v>
      </c>
      <c r="C4" s="6">
        <v>4361</v>
      </c>
      <c r="D4" s="6">
        <v>4830</v>
      </c>
      <c r="E4" s="6">
        <v>5814</v>
      </c>
      <c r="F4" s="6">
        <v>6377</v>
      </c>
      <c r="G4" s="6">
        <v>8525</v>
      </c>
      <c r="H4" s="6">
        <v>9162</v>
      </c>
      <c r="I4" s="6">
        <f ca="1">H4*(1+Assumptions!I7)</f>
        <v>10663.950453451591</v>
      </c>
      <c r="J4" s="6">
        <f ca="1">I4*(1+Assumptions!J7)</f>
        <v>12412.119545259811</v>
      </c>
      <c r="K4" s="6">
        <f ca="1">J4*(1+Assumptions!K7)</f>
        <v>14446.870536233215</v>
      </c>
      <c r="L4" s="6">
        <f ca="1">K4*(1+Assumptions!L7)</f>
        <v>16815.183541346934</v>
      </c>
      <c r="M4" s="6">
        <f ca="1">L4*(1+Assumptions!M7)</f>
        <v>19571.740247829992</v>
      </c>
    </row>
    <row r="5" spans="1:13" x14ac:dyDescent="0.25">
      <c r="B5" t="s">
        <v>101</v>
      </c>
      <c r="C5" s="6">
        <f>'3-Statement_Model'!C14/Schedules!C4</f>
        <v>0.16211878009630817</v>
      </c>
      <c r="D5" s="6">
        <f>'3-Statement_Model'!D14/Schedules!D4</f>
        <v>0.16273291925465838</v>
      </c>
      <c r="E5" s="6">
        <f>'3-Statement_Model'!E14/Schedules!E4</f>
        <v>0.16133470932232541</v>
      </c>
      <c r="F5" s="6">
        <f>'3-Statement_Model'!F14/Schedules!F4</f>
        <v>0.1572839893366787</v>
      </c>
      <c r="G5" s="6">
        <f>'3-Statement_Model'!G14/Schedules!G4</f>
        <v>0.1269208211143695</v>
      </c>
      <c r="H5" s="6">
        <f>'3-Statement_Model'!H14/Schedules!H4</f>
        <v>0.14450993232918577</v>
      </c>
      <c r="I5" s="6">
        <f>AVERAGE(C5:H5)</f>
        <v>0.15248352524225434</v>
      </c>
      <c r="J5" s="6">
        <f t="shared" ref="J5:M5" si="11">AVERAGE(D5:I5)</f>
        <v>0.15087764943324533</v>
      </c>
      <c r="K5" s="6">
        <f t="shared" si="11"/>
        <v>0.14890177112967651</v>
      </c>
      <c r="L5" s="6">
        <f t="shared" si="11"/>
        <v>0.14682961476423503</v>
      </c>
      <c r="M5" s="6">
        <f t="shared" si="11"/>
        <v>0.14508721900216109</v>
      </c>
    </row>
    <row r="6" spans="1:13" x14ac:dyDescent="0.25">
      <c r="C6" s="6"/>
      <c r="D6" s="6"/>
      <c r="E6" s="6"/>
      <c r="F6" s="6"/>
      <c r="G6" s="6"/>
      <c r="H6" s="6"/>
      <c r="I6" s="6"/>
      <c r="J6" s="6"/>
      <c r="K6" s="6"/>
      <c r="L6" s="6"/>
      <c r="M6" s="6"/>
    </row>
    <row r="7" spans="1:13" x14ac:dyDescent="0.25">
      <c r="C7" s="55">
        <f>DATE(2019,12,31)</f>
        <v>43830</v>
      </c>
      <c r="D7" s="55">
        <f>EOMONTH(C7,12)</f>
        <v>44196</v>
      </c>
      <c r="E7" s="55">
        <f t="shared" ref="E7:M7" si="12">EOMONTH(D7,12)</f>
        <v>44561</v>
      </c>
      <c r="F7" s="55">
        <f t="shared" si="12"/>
        <v>44926</v>
      </c>
      <c r="G7" s="55">
        <f t="shared" si="12"/>
        <v>45291</v>
      </c>
      <c r="H7" s="55">
        <f t="shared" si="12"/>
        <v>45657</v>
      </c>
      <c r="I7" s="55">
        <f t="shared" si="12"/>
        <v>46022</v>
      </c>
      <c r="J7" s="55">
        <f t="shared" si="12"/>
        <v>46387</v>
      </c>
      <c r="K7" s="55">
        <f t="shared" si="12"/>
        <v>46752</v>
      </c>
      <c r="L7" s="55">
        <f t="shared" si="12"/>
        <v>47118</v>
      </c>
      <c r="M7" s="55">
        <f t="shared" si="12"/>
        <v>47483</v>
      </c>
    </row>
    <row r="8" spans="1:13" x14ac:dyDescent="0.25">
      <c r="A8" t="s">
        <v>111</v>
      </c>
      <c r="B8" s="1" t="s">
        <v>110</v>
      </c>
      <c r="C8" s="1">
        <v>2019</v>
      </c>
      <c r="D8" s="1">
        <f t="shared" ref="D8" si="13">C8+1</f>
        <v>2020</v>
      </c>
      <c r="E8" s="1">
        <f t="shared" ref="E8" si="14">D8+1</f>
        <v>2021</v>
      </c>
      <c r="F8" s="1">
        <f t="shared" ref="F8" si="15">E8+1</f>
        <v>2022</v>
      </c>
      <c r="G8" s="1">
        <f t="shared" ref="G8" si="16">F8+1</f>
        <v>2023</v>
      </c>
      <c r="H8" s="1">
        <f t="shared" ref="H8" si="17">G8+1</f>
        <v>2024</v>
      </c>
      <c r="I8" s="24">
        <f t="shared" ref="I8" si="18">H8+1</f>
        <v>2025</v>
      </c>
      <c r="J8" s="24">
        <f t="shared" ref="J8" si="19">I8+1</f>
        <v>2026</v>
      </c>
      <c r="K8" s="24">
        <f t="shared" ref="K8" si="20">J8+1</f>
        <v>2027</v>
      </c>
      <c r="L8" s="24">
        <f t="shared" ref="L8" si="21">K8+1</f>
        <v>2028</v>
      </c>
      <c r="M8" s="24">
        <f t="shared" ref="M8" si="22">L8+1</f>
        <v>2029</v>
      </c>
    </row>
    <row r="9" spans="1:13" x14ac:dyDescent="0.25">
      <c r="B9" t="s">
        <v>112</v>
      </c>
      <c r="C9" s="56">
        <v>0.21</v>
      </c>
      <c r="D9" s="56">
        <v>0.21</v>
      </c>
      <c r="E9" s="56">
        <v>0.21</v>
      </c>
      <c r="F9" s="56">
        <v>0.21</v>
      </c>
      <c r="G9" s="56">
        <v>0.21</v>
      </c>
      <c r="H9" s="56">
        <v>0.21</v>
      </c>
      <c r="I9" s="56">
        <v>0.21</v>
      </c>
      <c r="J9" s="56">
        <v>0.21</v>
      </c>
      <c r="K9" s="56">
        <v>0.21</v>
      </c>
      <c r="L9" s="56">
        <v>0.21</v>
      </c>
      <c r="M9" s="56">
        <v>0.21</v>
      </c>
    </row>
    <row r="10" spans="1:13" x14ac:dyDescent="0.25">
      <c r="B10" t="s">
        <v>113</v>
      </c>
      <c r="C10" s="57">
        <v>4.1000000000000002E-2</v>
      </c>
      <c r="D10" s="57">
        <v>4.2000000000000003E-2</v>
      </c>
      <c r="E10" s="57">
        <v>3.9E-2</v>
      </c>
      <c r="F10" s="57">
        <v>3.7999999999999999E-2</v>
      </c>
      <c r="G10" s="57">
        <v>3.2000000000000001E-2</v>
      </c>
      <c r="H10" s="57">
        <v>2.9000000000000001E-2</v>
      </c>
      <c r="I10" s="57">
        <f>_xlfn.FORECAST.ETS(I7,$C$10:$H$10,$C$7:$H$7,0)</f>
        <v>2.6197519832927833E-2</v>
      </c>
      <c r="J10" s="57">
        <f t="shared" ref="J10:M10" si="23">_xlfn.FORECAST.ETS(J7,$C$10:$H$10,$C$7:$H$7,0)</f>
        <v>2.3350051084162052E-2</v>
      </c>
      <c r="K10" s="57">
        <f t="shared" si="23"/>
        <v>2.0502582335396268E-2</v>
      </c>
      <c r="L10" s="57">
        <f t="shared" si="23"/>
        <v>1.7655113586630487E-2</v>
      </c>
      <c r="M10" s="57">
        <f t="shared" si="23"/>
        <v>1.4807644837864701E-2</v>
      </c>
    </row>
    <row r="11" spans="1:13" x14ac:dyDescent="0.25">
      <c r="B11" t="s">
        <v>114</v>
      </c>
      <c r="C11" s="57">
        <v>-5.0000000000000001E-3</v>
      </c>
      <c r="D11" s="57">
        <v>-6.0000000000000001E-3</v>
      </c>
      <c r="E11" s="57">
        <v>-1.2999999999999999E-2</v>
      </c>
      <c r="F11" s="57">
        <v>-8.9999999999999993E-3</v>
      </c>
      <c r="G11" s="57">
        <v>-7.0000000000000001E-3</v>
      </c>
      <c r="H11" s="57">
        <v>-3.0000000000000001E-3</v>
      </c>
      <c r="I11" s="57">
        <f>_xlfn.FORECAST.ETS(I7,$C$11:$H$11,$C$7:$H$7,0)</f>
        <v>-2.7248556183203411E-3</v>
      </c>
      <c r="J11" s="57">
        <f t="shared" ref="J11:M11" si="24">_xlfn.FORECAST.ETS(J7,$C$11:$H$11,$C$7:$H$7,0)</f>
        <v>-2.0958920592090862E-3</v>
      </c>
      <c r="K11" s="57">
        <f t="shared" si="24"/>
        <v>-1.4669285000978359E-3</v>
      </c>
      <c r="L11" s="57">
        <f t="shared" si="24"/>
        <v>-8.3796494098658137E-4</v>
      </c>
      <c r="M11" s="57">
        <f t="shared" si="24"/>
        <v>-2.0900138187533149E-4</v>
      </c>
    </row>
    <row r="12" spans="1:13" x14ac:dyDescent="0.25">
      <c r="B12" t="s">
        <v>115</v>
      </c>
      <c r="C12" s="57">
        <v>0.01</v>
      </c>
      <c r="D12" s="57">
        <v>5.0000000000000001E-3</v>
      </c>
      <c r="E12" s="57">
        <v>3.0000000000000001E-3</v>
      </c>
      <c r="F12" s="57">
        <v>1.2E-2</v>
      </c>
      <c r="G12" s="57">
        <v>2.5000000000000001E-2</v>
      </c>
      <c r="H12" s="57">
        <v>1.6E-2</v>
      </c>
      <c r="I12" s="57">
        <f>_xlfn.FORECAST.ETS(I7,$C$12:$H$12,$C$7:$H$7,0)</f>
        <v>2.4547008826832903E-2</v>
      </c>
      <c r="J12" s="57">
        <f t="shared" ref="J12:M12" si="25">_xlfn.FORECAST.ETS(J7,$C$12:$H$12,$C$7:$H$7,0)</f>
        <v>2.7913999064907474E-2</v>
      </c>
      <c r="K12" s="57">
        <f t="shared" si="25"/>
        <v>3.1280989302982044E-2</v>
      </c>
      <c r="L12" s="57">
        <f t="shared" si="25"/>
        <v>3.4647979541056612E-2</v>
      </c>
      <c r="M12" s="57">
        <f t="shared" si="25"/>
        <v>3.8014969779131186E-2</v>
      </c>
    </row>
    <row r="13" spans="1:13" x14ac:dyDescent="0.25">
      <c r="B13" t="s">
        <v>116</v>
      </c>
      <c r="C13" s="57">
        <v>-2E-3</v>
      </c>
      <c r="D13" s="57">
        <v>-2E-3</v>
      </c>
      <c r="E13" s="57">
        <v>-3.0000000000000001E-3</v>
      </c>
      <c r="F13" s="57">
        <v>-3.0000000000000001E-3</v>
      </c>
      <c r="G13" s="57">
        <v>-2E-3</v>
      </c>
      <c r="H13" s="57">
        <v>-1.7000000000000001E-2</v>
      </c>
      <c r="I13" s="57">
        <f>_xlfn.FORECAST.ETS(I7,$C$13:$H$13,$C$7:$H$7,0)</f>
        <v>-1.3898848152363865E-2</v>
      </c>
      <c r="J13" s="57">
        <f t="shared" ref="J13:M13" si="26">_xlfn.FORECAST.ETS(J7,$C$13:$H$13,$C$7:$H$7,0)</f>
        <v>-1.6301974966358573E-2</v>
      </c>
      <c r="K13" s="57">
        <f t="shared" si="26"/>
        <v>-1.870510178035328E-2</v>
      </c>
      <c r="L13" s="57">
        <f t="shared" si="26"/>
        <v>-2.1108228594347987E-2</v>
      </c>
      <c r="M13" s="57">
        <f t="shared" si="26"/>
        <v>-2.3511355408342698E-2</v>
      </c>
    </row>
    <row r="14" spans="1:13" x14ac:dyDescent="0.25">
      <c r="B14" t="s">
        <v>117</v>
      </c>
      <c r="C14" s="57">
        <v>-1E-3</v>
      </c>
      <c r="D14" s="57">
        <v>-6.0000000000000001E-3</v>
      </c>
      <c r="E14" s="57">
        <v>6.0000000000000001E-3</v>
      </c>
      <c r="F14" s="57">
        <v>1.0999999999999999E-2</v>
      </c>
      <c r="G14" s="57">
        <v>0.01</v>
      </c>
      <c r="H14" s="57">
        <v>4.0000000000000001E-3</v>
      </c>
      <c r="I14" s="57">
        <f>_xlfn.FORECAST.ETS(I7,$C$14:$H$14,$C$7:$H$7,0)</f>
        <v>1.2716240128212604E-2</v>
      </c>
      <c r="J14" s="57">
        <f t="shared" ref="J14:M14" si="27">_xlfn.FORECAST.ETS(J7,$C$14:$H$14,$C$7:$H$7,0)</f>
        <v>1.5001749393571599E-2</v>
      </c>
      <c r="K14" s="57">
        <f t="shared" si="27"/>
        <v>1.7287258658930601E-2</v>
      </c>
      <c r="L14" s="57">
        <f t="shared" si="27"/>
        <v>1.9572767924289601E-2</v>
      </c>
      <c r="M14" s="57">
        <f t="shared" si="27"/>
        <v>2.1858277189648598E-2</v>
      </c>
    </row>
    <row r="15" spans="1:13" x14ac:dyDescent="0.25">
      <c r="B15" t="s">
        <v>120</v>
      </c>
      <c r="C15" s="57">
        <v>0</v>
      </c>
      <c r="D15" s="57">
        <v>0</v>
      </c>
      <c r="E15" s="57">
        <v>0</v>
      </c>
      <c r="F15" s="57">
        <v>-0.01</v>
      </c>
      <c r="G15" s="57">
        <v>-1.6E-2</v>
      </c>
      <c r="H15" s="57">
        <v>-2.8000000000000001E-2</v>
      </c>
      <c r="I15" s="57">
        <f>_xlfn.FORECAST.ETS(I7,$C$15:$H$15,$C$7:$H$7,0)</f>
        <v>-3.3622878807970054E-2</v>
      </c>
      <c r="J15" s="57">
        <f t="shared" ref="J15:M15" si="28">_xlfn.FORECAST.ETS(J7,$C$15:$H$15,$C$7:$H$7,0)</f>
        <v>-3.982706076472823E-2</v>
      </c>
      <c r="K15" s="57">
        <f t="shared" si="28"/>
        <v>-4.6031242721486398E-2</v>
      </c>
      <c r="L15" s="57">
        <f t="shared" si="28"/>
        <v>-5.2235424678244574E-2</v>
      </c>
      <c r="M15" s="57">
        <f t="shared" si="28"/>
        <v>-5.8439606635002743E-2</v>
      </c>
    </row>
    <row r="16" spans="1:13" x14ac:dyDescent="0.25">
      <c r="B16" t="s">
        <v>121</v>
      </c>
      <c r="C16" s="57">
        <v>0</v>
      </c>
      <c r="D16" s="57">
        <v>0</v>
      </c>
      <c r="E16" s="57">
        <v>0</v>
      </c>
      <c r="F16" s="57">
        <v>0</v>
      </c>
      <c r="G16" s="57">
        <v>0</v>
      </c>
      <c r="H16" s="57">
        <v>1.7000000000000001E-2</v>
      </c>
      <c r="I16" s="57">
        <f>_xlfn.FORECAST.ETS(I7,$C$16:$H$16,$C$7:$H$7,0)</f>
        <v>1.3334881107024285E-2</v>
      </c>
      <c r="J16" s="57">
        <f t="shared" ref="J16:M16" si="29">_xlfn.FORECAST.ETS(J7,$C$16:$H$16,$C$7:$H$7,0)</f>
        <v>1.6097354937801591E-2</v>
      </c>
      <c r="K16" s="57">
        <f t="shared" si="29"/>
        <v>1.8859828768578897E-2</v>
      </c>
      <c r="L16" s="57">
        <f t="shared" si="29"/>
        <v>2.16223025993562E-2</v>
      </c>
      <c r="M16" s="57">
        <f t="shared" si="29"/>
        <v>2.4384776430133506E-2</v>
      </c>
    </row>
    <row r="17" spans="2:13" x14ac:dyDescent="0.25">
      <c r="B17" t="s">
        <v>118</v>
      </c>
      <c r="C17" s="57">
        <v>-1.2999999999999999E-2</v>
      </c>
      <c r="D17" s="57">
        <v>-1.2999999999999999E-2</v>
      </c>
      <c r="E17" s="57">
        <v>-1.6E-2</v>
      </c>
      <c r="F17" s="57">
        <v>-0.01</v>
      </c>
      <c r="G17" s="57">
        <v>-6.0000000000000001E-3</v>
      </c>
      <c r="H17" s="57">
        <v>3.0000000000000001E-3</v>
      </c>
      <c r="I17" s="57">
        <f>_xlfn.FORECAST.ETS(I7,$C$17:$H$17,$C$7:$H$7,0)</f>
        <v>5.9017088618493986E-3</v>
      </c>
      <c r="J17" s="57">
        <f t="shared" ref="J17:M17" si="30">_xlfn.FORECAST.ETS(J7,$C$17:$H$17,$C$7:$H$7,0)</f>
        <v>9.364950279180332E-3</v>
      </c>
      <c r="K17" s="57">
        <f t="shared" si="30"/>
        <v>1.2828191696511259E-2</v>
      </c>
      <c r="L17" s="57">
        <f t="shared" si="30"/>
        <v>1.629143311384219E-2</v>
      </c>
      <c r="M17" s="57">
        <f t="shared" si="30"/>
        <v>1.9754674531173123E-2</v>
      </c>
    </row>
    <row r="18" spans="2:13" ht="15.75" thickBot="1" x14ac:dyDescent="0.3">
      <c r="B18" s="22" t="s">
        <v>119</v>
      </c>
      <c r="C18" s="58">
        <f>SUM(C9:C17)</f>
        <v>0.24</v>
      </c>
      <c r="D18" s="58">
        <f t="shared" ref="D18:M18" si="31">SUM(D9:D17)</f>
        <v>0.22999999999999998</v>
      </c>
      <c r="E18" s="58">
        <f t="shared" si="31"/>
        <v>0.22599999999999998</v>
      </c>
      <c r="F18" s="58">
        <f t="shared" si="31"/>
        <v>0.23899999999999999</v>
      </c>
      <c r="G18" s="58">
        <f t="shared" si="31"/>
        <v>0.246</v>
      </c>
      <c r="H18" s="58">
        <f t="shared" si="31"/>
        <v>0.23099999999999998</v>
      </c>
      <c r="I18" s="58">
        <f t="shared" si="31"/>
        <v>0.2424507761781928</v>
      </c>
      <c r="J18" s="58">
        <f t="shared" si="31"/>
        <v>0.24350317696932716</v>
      </c>
      <c r="K18" s="58">
        <f t="shared" si="31"/>
        <v>0.24455557776046152</v>
      </c>
      <c r="L18" s="58">
        <f t="shared" si="31"/>
        <v>0.24560797855159594</v>
      </c>
      <c r="M18" s="58">
        <f t="shared" si="31"/>
        <v>0.24666037934273036</v>
      </c>
    </row>
    <row r="19" spans="2:13" ht="15.75" thickTop="1" x14ac:dyDescent="0.25"/>
    <row r="20" spans="2:13" x14ac:dyDescent="0.25">
      <c r="B20" s="1" t="s">
        <v>208</v>
      </c>
      <c r="C20" s="1">
        <v>2019</v>
      </c>
      <c r="D20" s="1">
        <f t="shared" ref="D20" si="32">C20+1</f>
        <v>2020</v>
      </c>
      <c r="E20" s="1">
        <f t="shared" ref="E20" si="33">D20+1</f>
        <v>2021</v>
      </c>
      <c r="F20" s="1">
        <f t="shared" ref="F20" si="34">E20+1</f>
        <v>2022</v>
      </c>
      <c r="G20" s="1">
        <f t="shared" ref="G20" si="35">F20+1</f>
        <v>2023</v>
      </c>
      <c r="H20" s="1">
        <f t="shared" ref="H20" si="36">G20+1</f>
        <v>2024</v>
      </c>
      <c r="I20" s="24">
        <f t="shared" ref="I20" si="37">H20+1</f>
        <v>2025</v>
      </c>
      <c r="J20" s="24">
        <f t="shared" ref="J20" si="38">I20+1</f>
        <v>2026</v>
      </c>
      <c r="K20" s="24">
        <f t="shared" ref="K20" si="39">J20+1</f>
        <v>2027</v>
      </c>
      <c r="L20" s="24">
        <f t="shared" ref="L20" si="40">K20+1</f>
        <v>2028</v>
      </c>
      <c r="M20" s="24">
        <f t="shared" ref="M20" si="41">L20+1</f>
        <v>2029</v>
      </c>
    </row>
    <row r="21" spans="2:13" x14ac:dyDescent="0.25">
      <c r="B21" t="s">
        <v>213</v>
      </c>
      <c r="C21" s="6">
        <v>147</v>
      </c>
      <c r="D21" s="6">
        <v>145</v>
      </c>
      <c r="E21" s="6">
        <v>138</v>
      </c>
      <c r="F21" s="6">
        <v>125</v>
      </c>
      <c r="G21" s="6">
        <v>123</v>
      </c>
      <c r="H21" s="6">
        <v>129</v>
      </c>
      <c r="I21" s="6"/>
      <c r="J21" s="6"/>
      <c r="K21" s="6"/>
      <c r="L21" s="6"/>
      <c r="M21" s="6"/>
    </row>
    <row r="22" spans="2:13" x14ac:dyDescent="0.25">
      <c r="B22" t="s">
        <v>209</v>
      </c>
      <c r="C22" s="6">
        <v>48</v>
      </c>
      <c r="D22" s="6">
        <v>55</v>
      </c>
      <c r="E22" s="6">
        <v>21</v>
      </c>
      <c r="F22" s="6">
        <v>18</v>
      </c>
      <c r="G22" s="6">
        <v>27</v>
      </c>
      <c r="H22" s="6">
        <v>24</v>
      </c>
      <c r="I22" s="6"/>
      <c r="J22" s="6"/>
      <c r="K22" s="6"/>
      <c r="L22" s="6"/>
      <c r="M22" s="6"/>
    </row>
    <row r="23" spans="2:13" x14ac:dyDescent="0.25">
      <c r="B23" t="s">
        <v>210</v>
      </c>
      <c r="C23" s="6">
        <v>33</v>
      </c>
      <c r="D23" s="6">
        <v>39</v>
      </c>
      <c r="E23" s="6">
        <v>35</v>
      </c>
      <c r="F23" s="6">
        <v>34</v>
      </c>
      <c r="G23" s="6">
        <v>37</v>
      </c>
      <c r="H23" s="6">
        <v>35</v>
      </c>
      <c r="I23" s="6"/>
      <c r="J23" s="6"/>
      <c r="K23" s="6"/>
      <c r="L23" s="6"/>
      <c r="M23" s="6"/>
    </row>
    <row r="24" spans="2:13" x14ac:dyDescent="0.25">
      <c r="B24" t="s">
        <v>211</v>
      </c>
      <c r="C24" s="6">
        <v>11</v>
      </c>
      <c r="D24" s="6">
        <v>12</v>
      </c>
      <c r="E24" s="6">
        <v>8</v>
      </c>
      <c r="F24" s="6">
        <v>10</v>
      </c>
      <c r="G24" s="6">
        <v>16</v>
      </c>
      <c r="H24" s="6">
        <v>12</v>
      </c>
      <c r="I24" s="6"/>
      <c r="J24" s="6"/>
      <c r="K24" s="6"/>
      <c r="L24" s="6"/>
      <c r="M24" s="6"/>
    </row>
    <row r="25" spans="2:13" ht="15.75" thickBot="1" x14ac:dyDescent="0.3">
      <c r="B25" s="22" t="s">
        <v>212</v>
      </c>
      <c r="C25" s="23">
        <f>SUM(C21:C24)</f>
        <v>239</v>
      </c>
      <c r="D25" s="23">
        <f t="shared" ref="D25:M25" si="42">SUM(D21:D24)</f>
        <v>251</v>
      </c>
      <c r="E25" s="23">
        <f t="shared" si="42"/>
        <v>202</v>
      </c>
      <c r="F25" s="23">
        <f t="shared" si="42"/>
        <v>187</v>
      </c>
      <c r="G25" s="23">
        <f t="shared" si="42"/>
        <v>203</v>
      </c>
      <c r="H25" s="23">
        <f t="shared" si="42"/>
        <v>200</v>
      </c>
      <c r="I25" s="23">
        <f t="shared" si="42"/>
        <v>0</v>
      </c>
      <c r="J25" s="23">
        <f t="shared" si="42"/>
        <v>0</v>
      </c>
      <c r="K25" s="23">
        <f t="shared" si="42"/>
        <v>0</v>
      </c>
      <c r="L25" s="23">
        <f t="shared" si="42"/>
        <v>0</v>
      </c>
      <c r="M25" s="23">
        <f t="shared" si="42"/>
        <v>0</v>
      </c>
    </row>
    <row r="26" spans="2:13" ht="15.75" thickTop="1" x14ac:dyDescent="0.25">
      <c r="C26" s="6">
        <f>'3-Statement_Model'!C70-Schedules!C25</f>
        <v>52</v>
      </c>
      <c r="D26" s="6">
        <f>'3-Statement_Model'!D70-Schedules!D25</f>
        <v>-56</v>
      </c>
      <c r="E26" s="6">
        <f>'3-Statement_Model'!E70-Schedules!E25</f>
        <v>6</v>
      </c>
      <c r="F26" s="6">
        <f>'3-Statement_Model'!F70-Schedules!F25</f>
        <v>-6</v>
      </c>
      <c r="G26" s="6">
        <f>'3-Statement_Model'!G70-Schedules!G25</f>
        <v>-15</v>
      </c>
      <c r="H26" s="6">
        <f>'3-Statement_Model'!H70-Schedules!H25</f>
        <v>-16</v>
      </c>
    </row>
    <row r="28" spans="2:13" x14ac:dyDescent="0.25">
      <c r="B28" s="50" t="s">
        <v>214</v>
      </c>
      <c r="C28" s="50">
        <v>2019</v>
      </c>
      <c r="D28" s="50">
        <f t="shared" ref="D28" si="43">C28+1</f>
        <v>2020</v>
      </c>
      <c r="E28" s="50">
        <f t="shared" ref="E28" si="44">D28+1</f>
        <v>2021</v>
      </c>
      <c r="F28" s="50">
        <f t="shared" ref="F28" si="45">E28+1</f>
        <v>2022</v>
      </c>
      <c r="G28" s="50">
        <f t="shared" ref="G28" si="46">F28+1</f>
        <v>2023</v>
      </c>
      <c r="H28" s="50">
        <f t="shared" ref="H28" si="47">G28+1</f>
        <v>2024</v>
      </c>
      <c r="I28" s="71">
        <f t="shared" ref="I28" si="48">H28+1</f>
        <v>2025</v>
      </c>
      <c r="J28" s="71">
        <f t="shared" ref="J28" si="49">I28+1</f>
        <v>2026</v>
      </c>
      <c r="K28" s="71">
        <f t="shared" ref="K28" si="50">J28+1</f>
        <v>2027</v>
      </c>
      <c r="L28" s="71">
        <f t="shared" ref="L28" si="51">K28+1</f>
        <v>2028</v>
      </c>
      <c r="M28" s="71">
        <f t="shared" ref="M28" si="52">L28+1</f>
        <v>2029</v>
      </c>
    </row>
    <row r="29" spans="2:13" x14ac:dyDescent="0.25">
      <c r="B29" t="s">
        <v>125</v>
      </c>
      <c r="C29">
        <f>'3-Statement_Model'!C70</f>
        <v>291</v>
      </c>
      <c r="D29">
        <f>'3-Statement_Model'!D70</f>
        <v>195</v>
      </c>
      <c r="E29">
        <f>'3-Statement_Model'!E70</f>
        <v>208</v>
      </c>
      <c r="F29">
        <f>'3-Statement_Model'!F70</f>
        <v>181</v>
      </c>
      <c r="G29">
        <f>'3-Statement_Model'!G70</f>
        <v>188</v>
      </c>
      <c r="H29">
        <f>'3-Statement_Model'!H70</f>
        <v>184</v>
      </c>
    </row>
    <row r="30" spans="2:13" x14ac:dyDescent="0.25">
      <c r="D30" s="13"/>
      <c r="E30" s="13"/>
      <c r="F30" s="13"/>
      <c r="G30" s="13"/>
      <c r="H30" s="13"/>
      <c r="I30" s="13"/>
    </row>
    <row r="31" spans="2:13" x14ac:dyDescent="0.25">
      <c r="B31" s="72" t="str">
        <f>B21</f>
        <v>Nasdaq Clearing Operations</v>
      </c>
      <c r="C31" s="11">
        <f t="shared" ref="C31:H31" si="53">C21</f>
        <v>147</v>
      </c>
      <c r="D31" s="11">
        <f t="shared" si="53"/>
        <v>145</v>
      </c>
      <c r="E31" s="11">
        <f t="shared" si="53"/>
        <v>138</v>
      </c>
      <c r="F31" s="11">
        <f t="shared" si="53"/>
        <v>125</v>
      </c>
      <c r="G31" s="11">
        <f t="shared" si="53"/>
        <v>123</v>
      </c>
      <c r="H31" s="73">
        <f t="shared" si="53"/>
        <v>129</v>
      </c>
    </row>
    <row r="32" spans="2:13" x14ac:dyDescent="0.25">
      <c r="B32" s="74" t="str">
        <f>B23</f>
        <v>Nordic and Baltic Exchange</v>
      </c>
      <c r="C32">
        <f t="shared" ref="C32:H32" si="54">C23</f>
        <v>33</v>
      </c>
      <c r="D32">
        <f t="shared" si="54"/>
        <v>39</v>
      </c>
      <c r="E32">
        <f t="shared" si="54"/>
        <v>35</v>
      </c>
      <c r="F32">
        <f t="shared" si="54"/>
        <v>34</v>
      </c>
      <c r="G32">
        <f t="shared" si="54"/>
        <v>37</v>
      </c>
      <c r="H32" s="75">
        <f t="shared" si="54"/>
        <v>35</v>
      </c>
    </row>
    <row r="33" spans="2:13" x14ac:dyDescent="0.25">
      <c r="B33" s="76" t="str">
        <f>B24</f>
        <v>Other</v>
      </c>
      <c r="C33" s="39">
        <f t="shared" ref="C33:H33" si="55">C24</f>
        <v>11</v>
      </c>
      <c r="D33" s="39"/>
      <c r="E33" s="39"/>
      <c r="F33" s="39">
        <f t="shared" si="55"/>
        <v>10</v>
      </c>
      <c r="G33" s="39">
        <f t="shared" si="55"/>
        <v>16</v>
      </c>
      <c r="H33" s="77">
        <f t="shared" si="55"/>
        <v>12</v>
      </c>
    </row>
    <row r="34" spans="2:13" ht="15.75" thickBot="1" x14ac:dyDescent="0.3">
      <c r="B34" s="64" t="s">
        <v>216</v>
      </c>
      <c r="C34" s="64">
        <f>SUM(C31:C33)</f>
        <v>191</v>
      </c>
      <c r="D34" s="64">
        <f t="shared" ref="D34:H34" si="56">SUM(D31:D33)</f>
        <v>184</v>
      </c>
      <c r="E34" s="64">
        <f t="shared" si="56"/>
        <v>173</v>
      </c>
      <c r="F34" s="64">
        <f t="shared" si="56"/>
        <v>169</v>
      </c>
      <c r="G34" s="64">
        <f t="shared" si="56"/>
        <v>176</v>
      </c>
      <c r="H34" s="64">
        <f t="shared" si="56"/>
        <v>176</v>
      </c>
    </row>
    <row r="35" spans="2:13" x14ac:dyDescent="0.25">
      <c r="B35" t="s">
        <v>215</v>
      </c>
      <c r="C35">
        <f>C29-C34</f>
        <v>100</v>
      </c>
      <c r="D35">
        <f t="shared" ref="D35:H35" si="57">D29-D34</f>
        <v>11</v>
      </c>
      <c r="E35">
        <f t="shared" si="57"/>
        <v>35</v>
      </c>
      <c r="F35">
        <f t="shared" si="57"/>
        <v>12</v>
      </c>
      <c r="G35">
        <f t="shared" si="57"/>
        <v>12</v>
      </c>
      <c r="H35">
        <f t="shared" si="57"/>
        <v>8</v>
      </c>
    </row>
    <row r="37" spans="2:13" x14ac:dyDescent="0.25">
      <c r="C37" s="1">
        <v>2019</v>
      </c>
      <c r="D37" s="1">
        <v>2020</v>
      </c>
      <c r="E37" s="1">
        <v>2021</v>
      </c>
      <c r="F37" s="1">
        <v>2022</v>
      </c>
      <c r="G37" s="1">
        <v>2023</v>
      </c>
      <c r="H37" s="1">
        <v>2024</v>
      </c>
      <c r="I37" s="24"/>
      <c r="J37" s="24"/>
      <c r="K37" s="24"/>
      <c r="L37" s="24"/>
      <c r="M37" s="24"/>
    </row>
    <row r="38" spans="2:13" x14ac:dyDescent="0.25">
      <c r="B38" t="s">
        <v>217</v>
      </c>
      <c r="C38" s="6">
        <v>15.403065076602532</v>
      </c>
      <c r="D38" s="6">
        <v>29.124020711766711</v>
      </c>
      <c r="E38" s="6">
        <v>19.706046171156704</v>
      </c>
      <c r="F38" s="6">
        <v>25.611892756894395</v>
      </c>
      <c r="G38" s="6">
        <v>16.877117213229116</v>
      </c>
      <c r="H38" s="6">
        <v>15.534559232248878</v>
      </c>
    </row>
    <row r="41" spans="2:13" x14ac:dyDescent="0.25">
      <c r="B41" s="1" t="s">
        <v>224</v>
      </c>
      <c r="C41" s="1">
        <v>2019</v>
      </c>
      <c r="D41" s="1">
        <f t="shared" ref="D41" si="58">C41+1</f>
        <v>2020</v>
      </c>
      <c r="E41" s="1">
        <f t="shared" ref="E41" si="59">D41+1</f>
        <v>2021</v>
      </c>
      <c r="F41" s="1">
        <f t="shared" ref="F41" si="60">E41+1</f>
        <v>2022</v>
      </c>
      <c r="G41" s="1">
        <f t="shared" ref="G41" si="61">F41+1</f>
        <v>2023</v>
      </c>
      <c r="H41" s="1">
        <f t="shared" ref="H41" si="62">G41+1</f>
        <v>2024</v>
      </c>
      <c r="I41" s="24">
        <f t="shared" ref="I41" si="63">H41+1</f>
        <v>2025</v>
      </c>
      <c r="J41" s="24">
        <f t="shared" ref="J41" si="64">I41+1</f>
        <v>2026</v>
      </c>
      <c r="K41" s="24">
        <f t="shared" ref="K41" si="65">J41+1</f>
        <v>2027</v>
      </c>
      <c r="L41" s="24">
        <f t="shared" ref="L41" si="66">K41+1</f>
        <v>2028</v>
      </c>
      <c r="M41" s="24">
        <f t="shared" ref="M41" si="67">L41+1</f>
        <v>2029</v>
      </c>
    </row>
    <row r="42" spans="2:13" x14ac:dyDescent="0.25">
      <c r="B42" t="s">
        <v>225</v>
      </c>
      <c r="C42" s="6">
        <v>565</v>
      </c>
      <c r="D42" s="6">
        <v>732</v>
      </c>
      <c r="E42" s="6">
        <v>735</v>
      </c>
      <c r="F42" s="6">
        <v>786</v>
      </c>
      <c r="G42" s="6">
        <v>913</v>
      </c>
      <c r="H42" s="6">
        <v>905</v>
      </c>
      <c r="I42" s="6">
        <f ca="1">H42+('3-Statement_Model'!I11*Assumptions!I57)</f>
        <v>1005.4841737939554</v>
      </c>
      <c r="J42" s="6">
        <f ca="1">I42+('3-Statement_Model'!J11*Assumptions!J57)</f>
        <v>1106.7436680453218</v>
      </c>
      <c r="K42" s="6">
        <f ca="1">J42+('3-Statement_Model'!K11*Assumptions!K57)</f>
        <v>1212.1679134158567</v>
      </c>
      <c r="L42" s="6">
        <f ca="1">K42+('3-Statement_Model'!L11*Assumptions!L57)</f>
        <v>1321.8818524391354</v>
      </c>
      <c r="M42" s="6">
        <f ca="1">L42+('3-Statement_Model'!M11*Assumptions!M57)</f>
        <v>1436.0141759247399</v>
      </c>
    </row>
    <row r="43" spans="2:13" x14ac:dyDescent="0.25">
      <c r="B43" t="s">
        <v>226</v>
      </c>
      <c r="C43" s="6">
        <v>305</v>
      </c>
      <c r="D43" s="6">
        <v>300</v>
      </c>
      <c r="E43" s="6">
        <v>288</v>
      </c>
      <c r="F43" s="6">
        <v>305</v>
      </c>
      <c r="G43" s="6">
        <v>325</v>
      </c>
      <c r="H43" s="6">
        <v>294</v>
      </c>
      <c r="I43" s="6">
        <f ca="1">H43+('3-Statement_Model'!I11*Assumptions!I57)</f>
        <v>394.48417379395545</v>
      </c>
      <c r="J43" s="6">
        <f ca="1">I43+('3-Statement_Model'!J11*Assumptions!J57)</f>
        <v>495.74366804532178</v>
      </c>
      <c r="K43" s="6">
        <f ca="1">J43+('3-Statement_Model'!K11*Assumptions!K57)</f>
        <v>601.16791341585679</v>
      </c>
      <c r="L43" s="6">
        <f ca="1">K43+('3-Statement_Model'!L11*Assumptions!L57)</f>
        <v>710.8818524391354</v>
      </c>
      <c r="M43" s="6">
        <f ca="1">L43+('3-Statement_Model'!M11*Assumptions!M57)</f>
        <v>825.0141759247399</v>
      </c>
    </row>
    <row r="44" spans="2:13" ht="15.75" thickBot="1" x14ac:dyDescent="0.3">
      <c r="B44" s="64" t="s">
        <v>227</v>
      </c>
      <c r="C44" s="21">
        <f>SUM(C42:C43)</f>
        <v>870</v>
      </c>
      <c r="D44" s="21">
        <f t="shared" ref="D44:M44" si="68">SUM(D42:D43)</f>
        <v>1032</v>
      </c>
      <c r="E44" s="21">
        <f t="shared" si="68"/>
        <v>1023</v>
      </c>
      <c r="F44" s="21">
        <f t="shared" si="68"/>
        <v>1091</v>
      </c>
      <c r="G44" s="21">
        <f t="shared" si="68"/>
        <v>1238</v>
      </c>
      <c r="H44" s="21">
        <f t="shared" si="68"/>
        <v>1199</v>
      </c>
      <c r="I44" s="21">
        <f t="shared" ca="1" si="68"/>
        <v>1399.9683475879108</v>
      </c>
      <c r="J44" s="21">
        <f t="shared" ca="1" si="68"/>
        <v>1602.4873360906436</v>
      </c>
      <c r="K44" s="21">
        <f t="shared" ca="1" si="68"/>
        <v>1813.3358268317133</v>
      </c>
      <c r="L44" s="21">
        <f t="shared" ca="1" si="68"/>
        <v>2032.7637048782708</v>
      </c>
      <c r="M44" s="21">
        <f t="shared" ca="1" si="68"/>
        <v>2261.0283518494798</v>
      </c>
    </row>
    <row r="45" spans="2:13" x14ac:dyDescent="0.25">
      <c r="C45" s="6"/>
      <c r="D45" s="6"/>
      <c r="E45" s="6"/>
      <c r="F45" s="6"/>
      <c r="G45" s="6"/>
      <c r="H45" s="6"/>
      <c r="I45" s="6"/>
      <c r="J45" s="6"/>
      <c r="K45" s="6"/>
      <c r="L45" s="6"/>
      <c r="M45" s="6"/>
    </row>
    <row r="46" spans="2:13" x14ac:dyDescent="0.25">
      <c r="B46" t="s">
        <v>228</v>
      </c>
      <c r="C46" s="6">
        <v>-486</v>
      </c>
      <c r="D46" s="6">
        <v>-557</v>
      </c>
      <c r="E46" s="6">
        <v>-514</v>
      </c>
      <c r="F46" s="6">
        <v>-559</v>
      </c>
      <c r="G46" s="6">
        <v>-662</v>
      </c>
      <c r="H46" s="6">
        <v>-606</v>
      </c>
      <c r="I46" s="6">
        <f ca="1">I44*Assumptions!I59</f>
        <v>-735.75844200922279</v>
      </c>
      <c r="J46" s="6">
        <f ca="1">J44*Assumptions!J59</f>
        <v>-842.19303084459477</v>
      </c>
      <c r="K46" s="6">
        <f ca="1">K44*Assumptions!K59</f>
        <v>-953.00521978796223</v>
      </c>
      <c r="L46" s="6">
        <f ca="1">L44*Assumptions!L59</f>
        <v>-1068.3263368425653</v>
      </c>
      <c r="M46" s="6">
        <f ca="1">M44*Assumptions!M59</f>
        <v>-1188.2916498517409</v>
      </c>
    </row>
    <row r="47" spans="2:13" ht="15.75" thickBot="1" x14ac:dyDescent="0.3">
      <c r="B47" s="22" t="s">
        <v>229</v>
      </c>
      <c r="C47" s="23">
        <f>C44+C46</f>
        <v>384</v>
      </c>
      <c r="D47" s="23">
        <f t="shared" ref="D47:M47" si="69">D44+D46</f>
        <v>475</v>
      </c>
      <c r="E47" s="23">
        <f t="shared" si="69"/>
        <v>509</v>
      </c>
      <c r="F47" s="23">
        <f t="shared" si="69"/>
        <v>532</v>
      </c>
      <c r="G47" s="23">
        <f t="shared" si="69"/>
        <v>576</v>
      </c>
      <c r="H47" s="23">
        <f t="shared" si="69"/>
        <v>593</v>
      </c>
      <c r="I47" s="23">
        <f t="shared" ca="1" si="69"/>
        <v>664.20990557868799</v>
      </c>
      <c r="J47" s="23">
        <f t="shared" ca="1" si="69"/>
        <v>760.29430524604879</v>
      </c>
      <c r="K47" s="23">
        <f t="shared" ca="1" si="69"/>
        <v>860.33060704375112</v>
      </c>
      <c r="L47" s="23">
        <f t="shared" ca="1" si="69"/>
        <v>964.4373680357055</v>
      </c>
      <c r="M47" s="23">
        <f t="shared" ca="1" si="69"/>
        <v>1072.7367019977389</v>
      </c>
    </row>
    <row r="48" spans="2:13" ht="15.75" thickTop="1" x14ac:dyDescent="0.25"/>
    <row r="49" spans="2:9" x14ac:dyDescent="0.25">
      <c r="B49" t="s">
        <v>230</v>
      </c>
      <c r="D49" s="83">
        <f>D44-C44</f>
        <v>162</v>
      </c>
      <c r="E49" s="83">
        <f t="shared" ref="E49:I49" si="70">E44-D44</f>
        <v>-9</v>
      </c>
      <c r="F49" s="83">
        <f t="shared" si="70"/>
        <v>68</v>
      </c>
      <c r="G49" s="83">
        <f t="shared" si="70"/>
        <v>147</v>
      </c>
      <c r="H49" s="83">
        <f t="shared" si="70"/>
        <v>-39</v>
      </c>
      <c r="I49" s="83">
        <f t="shared" ca="1" si="70"/>
        <v>200.96834758791078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50B6-70E6-4A73-B156-354443897D8B}">
  <dimension ref="A2:D26"/>
  <sheetViews>
    <sheetView showGridLines="0" workbookViewId="0">
      <selection activeCell="E3" sqref="E3:I9"/>
    </sheetView>
  </sheetViews>
  <sheetFormatPr defaultRowHeight="15" x14ac:dyDescent="0.25"/>
  <cols>
    <col min="1" max="1" width="10.7109375" bestFit="1" customWidth="1"/>
    <col min="2" max="2" width="28.28515625" bestFit="1" customWidth="1"/>
    <col min="3" max="3" width="20" bestFit="1" customWidth="1"/>
    <col min="7" max="7" width="10.7109375" bestFit="1" customWidth="1"/>
    <col min="8" max="8" width="32" bestFit="1" customWidth="1"/>
  </cols>
  <sheetData>
    <row r="2" spans="1:4" ht="15.75" thickBot="1" x14ac:dyDescent="0.3">
      <c r="A2" s="3"/>
      <c r="B2" s="4" t="s">
        <v>218</v>
      </c>
      <c r="C2" s="4" t="s">
        <v>219</v>
      </c>
    </row>
    <row r="3" spans="1:4" x14ac:dyDescent="0.25">
      <c r="A3" s="55">
        <v>43525</v>
      </c>
      <c r="B3">
        <v>220</v>
      </c>
      <c r="C3" s="6">
        <v>13.57</v>
      </c>
    </row>
    <row r="4" spans="1:4" x14ac:dyDescent="0.25">
      <c r="A4" s="55">
        <v>43617</v>
      </c>
      <c r="B4">
        <v>259</v>
      </c>
      <c r="C4" s="6">
        <v>18.86</v>
      </c>
    </row>
    <row r="5" spans="1:4" x14ac:dyDescent="0.25">
      <c r="A5" s="55">
        <v>43709</v>
      </c>
      <c r="B5">
        <v>201</v>
      </c>
      <c r="C5" s="6">
        <v>16.358780487804875</v>
      </c>
    </row>
    <row r="6" spans="1:4" x14ac:dyDescent="0.25">
      <c r="A6" s="55">
        <v>43800</v>
      </c>
      <c r="B6">
        <v>291</v>
      </c>
      <c r="C6" s="6">
        <v>14.91</v>
      </c>
    </row>
    <row r="7" spans="1:4" x14ac:dyDescent="0.25">
      <c r="A7" s="55">
        <v>43891</v>
      </c>
      <c r="B7">
        <v>254</v>
      </c>
      <c r="C7" s="6">
        <v>33.42</v>
      </c>
    </row>
    <row r="8" spans="1:4" x14ac:dyDescent="0.25">
      <c r="A8" s="55">
        <v>43983</v>
      </c>
      <c r="B8">
        <v>206</v>
      </c>
      <c r="C8" s="6">
        <v>28.23</v>
      </c>
    </row>
    <row r="9" spans="1:4" x14ac:dyDescent="0.25">
      <c r="A9" s="55">
        <v>44075</v>
      </c>
      <c r="B9">
        <v>177</v>
      </c>
      <c r="C9" s="6">
        <v>26.12</v>
      </c>
    </row>
    <row r="10" spans="1:4" x14ac:dyDescent="0.25">
      <c r="A10" s="55">
        <v>44166</v>
      </c>
      <c r="B10">
        <v>195</v>
      </c>
      <c r="C10" s="6">
        <v>20.77</v>
      </c>
    </row>
    <row r="11" spans="1:4" x14ac:dyDescent="0.25">
      <c r="A11" s="55">
        <v>44256</v>
      </c>
      <c r="B11">
        <v>215</v>
      </c>
      <c r="C11" s="6">
        <v>23.35</v>
      </c>
    </row>
    <row r="12" spans="1:4" x14ac:dyDescent="0.25">
      <c r="A12" s="55">
        <v>44348</v>
      </c>
      <c r="B12">
        <v>235</v>
      </c>
      <c r="C12" s="6">
        <v>17.899999999999999</v>
      </c>
    </row>
    <row r="13" spans="1:4" x14ac:dyDescent="0.25">
      <c r="A13" s="55">
        <v>44440</v>
      </c>
      <c r="B13">
        <v>185</v>
      </c>
      <c r="C13" s="6">
        <v>16.11</v>
      </c>
      <c r="D13" s="78"/>
    </row>
    <row r="14" spans="1:4" x14ac:dyDescent="0.25">
      <c r="A14" s="55">
        <v>44531</v>
      </c>
      <c r="B14">
        <v>208</v>
      </c>
      <c r="C14" s="6">
        <v>31.12</v>
      </c>
    </row>
    <row r="15" spans="1:4" x14ac:dyDescent="0.25">
      <c r="A15" s="55">
        <v>44621</v>
      </c>
      <c r="B15">
        <v>225</v>
      </c>
      <c r="C15" s="6">
        <v>33.32</v>
      </c>
    </row>
    <row r="16" spans="1:4" x14ac:dyDescent="0.25">
      <c r="A16" s="55">
        <v>44713</v>
      </c>
      <c r="B16">
        <v>161</v>
      </c>
      <c r="C16" s="6">
        <v>25.69</v>
      </c>
    </row>
    <row r="17" spans="1:4" x14ac:dyDescent="0.25">
      <c r="A17" s="55">
        <v>44805</v>
      </c>
      <c r="B17">
        <v>129</v>
      </c>
      <c r="C17" s="6">
        <v>25.56</v>
      </c>
    </row>
    <row r="18" spans="1:4" x14ac:dyDescent="0.25">
      <c r="A18" s="55">
        <v>44896</v>
      </c>
      <c r="B18">
        <v>181</v>
      </c>
      <c r="C18" s="6">
        <v>19.84</v>
      </c>
      <c r="D18" s="78"/>
    </row>
    <row r="19" spans="1:4" x14ac:dyDescent="0.25">
      <c r="A19" s="55">
        <v>44986</v>
      </c>
      <c r="B19">
        <v>197</v>
      </c>
      <c r="C19" s="6">
        <v>20.58</v>
      </c>
    </row>
    <row r="20" spans="1:4" x14ac:dyDescent="0.25">
      <c r="A20" s="55">
        <v>45078</v>
      </c>
      <c r="B20">
        <v>288</v>
      </c>
      <c r="C20" s="6">
        <v>15.65</v>
      </c>
    </row>
    <row r="21" spans="1:4" x14ac:dyDescent="0.25">
      <c r="A21" s="55">
        <v>45170</v>
      </c>
      <c r="B21">
        <v>272</v>
      </c>
      <c r="C21" s="6">
        <v>13.09</v>
      </c>
    </row>
    <row r="22" spans="1:4" x14ac:dyDescent="0.25">
      <c r="A22" s="55">
        <v>45261</v>
      </c>
      <c r="B22">
        <v>188</v>
      </c>
      <c r="C22" s="6">
        <v>12.63</v>
      </c>
    </row>
    <row r="23" spans="1:4" x14ac:dyDescent="0.25">
      <c r="A23" s="55">
        <v>45352</v>
      </c>
      <c r="B23">
        <v>173</v>
      </c>
      <c r="C23" s="6">
        <v>13.11</v>
      </c>
    </row>
    <row r="24" spans="1:4" x14ac:dyDescent="0.25">
      <c r="A24" s="55">
        <v>45444</v>
      </c>
      <c r="B24">
        <v>174</v>
      </c>
      <c r="C24" s="6">
        <v>13.11</v>
      </c>
    </row>
    <row r="25" spans="1:4" x14ac:dyDescent="0.25">
      <c r="A25" s="55">
        <v>45536</v>
      </c>
      <c r="B25">
        <v>202</v>
      </c>
      <c r="C25" s="6">
        <v>15.55</v>
      </c>
    </row>
    <row r="26" spans="1:4" x14ac:dyDescent="0.25">
      <c r="A26" s="55">
        <v>45627</v>
      </c>
      <c r="B26">
        <v>184</v>
      </c>
      <c r="C26" s="6">
        <v>13.34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9056-2DB9-491E-AE2D-7D2D24235416}">
  <dimension ref="A1:R66"/>
  <sheetViews>
    <sheetView showGridLines="0" topLeftCell="A38" workbookViewId="0">
      <selection activeCell="G17" sqref="G17"/>
    </sheetView>
  </sheetViews>
  <sheetFormatPr defaultRowHeight="15" x14ac:dyDescent="0.25"/>
  <cols>
    <col min="1" max="1" width="12" bestFit="1" customWidth="1"/>
    <col min="2" max="2" width="7.5703125" bestFit="1" customWidth="1"/>
    <col min="3" max="3" width="21" bestFit="1" customWidth="1"/>
    <col min="4" max="4" width="11.85546875" bestFit="1" customWidth="1"/>
    <col min="5" max="5" width="8.5703125" bestFit="1" customWidth="1"/>
    <col min="6" max="6" width="25.85546875" bestFit="1" customWidth="1"/>
    <col min="7" max="7" width="37" bestFit="1" customWidth="1"/>
    <col min="8" max="9" width="25.85546875" customWidth="1"/>
    <col min="10" max="10" width="12.7109375" bestFit="1" customWidth="1"/>
    <col min="11" max="11" width="14.5703125" bestFit="1" customWidth="1"/>
    <col min="12" max="12" width="12.7109375" bestFit="1" customWidth="1"/>
    <col min="13" max="13" width="12" bestFit="1" customWidth="1"/>
    <col min="14" max="14" width="13.42578125" bestFit="1" customWidth="1"/>
    <col min="15" max="15" width="12" bestFit="1" customWidth="1"/>
    <col min="16" max="16" width="12.7109375" bestFit="1" customWidth="1"/>
    <col min="17" max="17" width="12.5703125" bestFit="1" customWidth="1"/>
  </cols>
  <sheetData>
    <row r="1" spans="1:15" x14ac:dyDescent="0.25">
      <c r="B1" s="3" t="s">
        <v>43</v>
      </c>
      <c r="C1" s="30" t="s">
        <v>55</v>
      </c>
      <c r="D1" s="30" t="s">
        <v>54</v>
      </c>
      <c r="E1" s="30" t="s">
        <v>80</v>
      </c>
      <c r="F1" s="30" t="s">
        <v>81</v>
      </c>
      <c r="G1" s="3"/>
      <c r="H1" s="3"/>
      <c r="I1" s="3"/>
    </row>
    <row r="2" spans="1:15" x14ac:dyDescent="0.25">
      <c r="A2" s="79" t="s">
        <v>44</v>
      </c>
      <c r="B2" s="26" t="s">
        <v>45</v>
      </c>
      <c r="C2" s="6">
        <v>634</v>
      </c>
      <c r="D2" s="6">
        <v>2096.35</v>
      </c>
      <c r="E2">
        <v>2.76</v>
      </c>
      <c r="F2" s="31">
        <v>21111.599999999999</v>
      </c>
      <c r="G2" s="30" t="s">
        <v>95</v>
      </c>
      <c r="H2" s="42"/>
      <c r="I2" s="31"/>
      <c r="J2" t="s">
        <v>56</v>
      </c>
    </row>
    <row r="3" spans="1:15" ht="15.75" thickBot="1" x14ac:dyDescent="0.3">
      <c r="A3" s="79"/>
      <c r="B3" s="26" t="s">
        <v>46</v>
      </c>
      <c r="C3" s="6">
        <v>623</v>
      </c>
      <c r="D3" s="6">
        <v>2045.06</v>
      </c>
      <c r="E3">
        <v>2.0699999999999998</v>
      </c>
      <c r="F3" s="31">
        <v>21397.9</v>
      </c>
      <c r="G3" s="42">
        <f>(F3/F2)-1</f>
        <v>1.3561264897023584E-2</v>
      </c>
      <c r="H3" s="42"/>
      <c r="I3" s="31"/>
    </row>
    <row r="4" spans="1:15" x14ac:dyDescent="0.25">
      <c r="A4" s="79"/>
      <c r="B4" s="26" t="s">
        <v>47</v>
      </c>
      <c r="C4" s="6">
        <v>632</v>
      </c>
      <c r="D4" s="6">
        <v>2136.58</v>
      </c>
      <c r="E4">
        <v>1.47</v>
      </c>
      <c r="F4" s="31">
        <v>21717.200000000001</v>
      </c>
      <c r="G4" s="42">
        <f t="shared" ref="G4:G25" si="0">(F4/F3)-1</f>
        <v>1.4922025058533794E-2</v>
      </c>
      <c r="H4" s="42"/>
      <c r="I4" s="31"/>
      <c r="J4" s="29" t="s">
        <v>57</v>
      </c>
      <c r="K4" s="29"/>
    </row>
    <row r="5" spans="1:15" x14ac:dyDescent="0.25">
      <c r="A5" s="79"/>
      <c r="B5" s="26" t="s">
        <v>48</v>
      </c>
      <c r="C5" s="6">
        <v>646</v>
      </c>
      <c r="D5" s="6">
        <v>2276.4</v>
      </c>
      <c r="E5">
        <v>1.83</v>
      </c>
      <c r="F5" s="31">
        <v>21933.200000000001</v>
      </c>
      <c r="G5" s="42">
        <f t="shared" si="0"/>
        <v>9.9460335586538662E-3</v>
      </c>
      <c r="H5" s="42"/>
      <c r="I5" s="31"/>
      <c r="J5" t="s">
        <v>58</v>
      </c>
      <c r="K5">
        <v>0.97119154104698724</v>
      </c>
    </row>
    <row r="6" spans="1:15" x14ac:dyDescent="0.25">
      <c r="A6" s="79" t="s">
        <v>49</v>
      </c>
      <c r="B6" s="26" t="s">
        <v>45</v>
      </c>
      <c r="C6" s="6">
        <v>701</v>
      </c>
      <c r="D6" s="6">
        <v>2212.38</v>
      </c>
      <c r="E6">
        <v>1.1000000000000001</v>
      </c>
      <c r="F6" s="31">
        <v>21727.7</v>
      </c>
      <c r="G6" s="42">
        <f t="shared" si="0"/>
        <v>-9.369357868436845E-3</v>
      </c>
      <c r="H6" s="42"/>
      <c r="I6" s="31"/>
      <c r="J6" t="s">
        <v>59</v>
      </c>
      <c r="K6">
        <v>0.94321300940122199</v>
      </c>
    </row>
    <row r="7" spans="1:15" x14ac:dyDescent="0.25">
      <c r="A7" s="79"/>
      <c r="B7" s="26" t="s">
        <v>46</v>
      </c>
      <c r="C7" s="6">
        <v>699</v>
      </c>
      <c r="D7" s="6">
        <v>2163.92</v>
      </c>
      <c r="E7">
        <v>0.66</v>
      </c>
      <c r="F7" s="31">
        <v>19935.400000000001</v>
      </c>
      <c r="G7" s="42">
        <f t="shared" si="0"/>
        <v>-8.2489172807061917E-2</v>
      </c>
      <c r="H7" s="42"/>
      <c r="I7" s="31"/>
      <c r="J7" t="s">
        <v>60</v>
      </c>
      <c r="K7">
        <v>0.93780472458229081</v>
      </c>
    </row>
    <row r="8" spans="1:15" x14ac:dyDescent="0.25">
      <c r="A8" s="79"/>
      <c r="B8" s="26" t="s">
        <v>47</v>
      </c>
      <c r="C8" s="6">
        <v>715</v>
      </c>
      <c r="D8" s="6">
        <v>2467.25</v>
      </c>
      <c r="E8">
        <v>0.68</v>
      </c>
      <c r="F8" s="31">
        <v>21684.6</v>
      </c>
      <c r="G8" s="42">
        <f t="shared" si="0"/>
        <v>8.7743411218234701E-2</v>
      </c>
      <c r="H8" s="42"/>
      <c r="I8" s="31"/>
      <c r="J8" t="s">
        <v>61</v>
      </c>
      <c r="K8">
        <v>45.188157665049161</v>
      </c>
    </row>
    <row r="9" spans="1:15" ht="15.75" thickBot="1" x14ac:dyDescent="0.3">
      <c r="A9" s="79"/>
      <c r="B9" s="26" t="s">
        <v>48</v>
      </c>
      <c r="C9" s="6">
        <v>788</v>
      </c>
      <c r="D9" s="6">
        <v>2609.0100000000002</v>
      </c>
      <c r="E9">
        <v>0.92</v>
      </c>
      <c r="F9" s="31">
        <v>22068.799999999999</v>
      </c>
      <c r="G9" s="42">
        <f t="shared" si="0"/>
        <v>1.7717642935539457E-2</v>
      </c>
      <c r="H9" s="42"/>
      <c r="I9" s="31"/>
      <c r="J9" s="27" t="s">
        <v>62</v>
      </c>
      <c r="K9" s="27">
        <v>24</v>
      </c>
    </row>
    <row r="10" spans="1:15" x14ac:dyDescent="0.25">
      <c r="A10" s="79" t="s">
        <v>50</v>
      </c>
      <c r="B10" s="26" t="s">
        <v>45</v>
      </c>
      <c r="C10" s="6">
        <v>851</v>
      </c>
      <c r="D10" s="6">
        <v>2783.7</v>
      </c>
      <c r="E10">
        <v>1.45</v>
      </c>
      <c r="F10" s="31">
        <v>22656.799999999999</v>
      </c>
      <c r="G10" s="42">
        <f t="shared" si="0"/>
        <v>2.6643949829623814E-2</v>
      </c>
      <c r="H10" s="42"/>
      <c r="I10" s="31"/>
    </row>
    <row r="11" spans="1:15" ht="15.75" thickBot="1" x14ac:dyDescent="0.3">
      <c r="A11" s="79"/>
      <c r="B11" s="26" t="s">
        <v>46</v>
      </c>
      <c r="C11" s="6">
        <v>846</v>
      </c>
      <c r="D11" s="6">
        <v>2982.02</v>
      </c>
      <c r="E11">
        <v>1.62</v>
      </c>
      <c r="F11" s="31">
        <v>23368.9</v>
      </c>
      <c r="G11" s="42">
        <f t="shared" si="0"/>
        <v>3.1429857702764741E-2</v>
      </c>
      <c r="H11" s="42"/>
      <c r="I11" s="31"/>
      <c r="J11" t="s">
        <v>63</v>
      </c>
    </row>
    <row r="12" spans="1:15" x14ac:dyDescent="0.25">
      <c r="A12" s="79"/>
      <c r="B12" s="26" t="s">
        <v>47</v>
      </c>
      <c r="C12" s="6">
        <v>838</v>
      </c>
      <c r="D12" s="6">
        <v>3151.66</v>
      </c>
      <c r="E12">
        <v>1.31</v>
      </c>
      <c r="F12" s="31">
        <v>23922</v>
      </c>
      <c r="G12" s="42">
        <f t="shared" si="0"/>
        <v>2.3668208602030782E-2</v>
      </c>
      <c r="H12" s="42"/>
      <c r="I12" s="31"/>
      <c r="J12" s="28"/>
      <c r="K12" s="28" t="s">
        <v>68</v>
      </c>
      <c r="L12" s="28" t="s">
        <v>69</v>
      </c>
      <c r="M12" s="28" t="s">
        <v>70</v>
      </c>
      <c r="N12" s="28" t="s">
        <v>71</v>
      </c>
      <c r="O12" s="28" t="s">
        <v>72</v>
      </c>
    </row>
    <row r="13" spans="1:15" x14ac:dyDescent="0.25">
      <c r="A13" s="79"/>
      <c r="B13" s="26" t="s">
        <v>48</v>
      </c>
      <c r="C13" s="6">
        <v>885</v>
      </c>
      <c r="D13" s="6">
        <v>3087.98</v>
      </c>
      <c r="E13">
        <v>1.43</v>
      </c>
      <c r="F13" s="31">
        <v>24777</v>
      </c>
      <c r="G13" s="42">
        <f t="shared" si="0"/>
        <v>3.5741158765989489E-2</v>
      </c>
      <c r="H13" s="42"/>
      <c r="I13" s="31"/>
      <c r="J13" t="s">
        <v>64</v>
      </c>
      <c r="K13">
        <v>2</v>
      </c>
      <c r="L13">
        <v>712245.13854361186</v>
      </c>
      <c r="M13">
        <v>356122.56927180593</v>
      </c>
      <c r="N13">
        <v>174.40150453977293</v>
      </c>
      <c r="O13">
        <v>8.3102285406484695E-14</v>
      </c>
    </row>
    <row r="14" spans="1:15" x14ac:dyDescent="0.25">
      <c r="A14" s="79" t="s">
        <v>51</v>
      </c>
      <c r="B14" s="26" t="s">
        <v>45</v>
      </c>
      <c r="C14" s="6">
        <v>892</v>
      </c>
      <c r="D14" s="6">
        <v>2930.76</v>
      </c>
      <c r="E14">
        <v>1.72</v>
      </c>
      <c r="F14" s="31">
        <v>25215.5</v>
      </c>
      <c r="G14" s="42">
        <f t="shared" si="0"/>
        <v>1.7697864955402265E-2</v>
      </c>
      <c r="H14" s="42"/>
      <c r="I14" s="31"/>
      <c r="J14" t="s">
        <v>65</v>
      </c>
      <c r="K14">
        <v>21</v>
      </c>
      <c r="L14">
        <v>42881.361456388164</v>
      </c>
      <c r="M14">
        <v>2041.9695931613412</v>
      </c>
    </row>
    <row r="15" spans="1:15" ht="15.75" thickBot="1" x14ac:dyDescent="0.3">
      <c r="A15" s="79"/>
      <c r="B15" s="26" t="s">
        <v>46</v>
      </c>
      <c r="C15" s="6">
        <v>893</v>
      </c>
      <c r="D15" s="6">
        <v>2770.43</v>
      </c>
      <c r="E15">
        <v>2.94</v>
      </c>
      <c r="F15" s="31">
        <v>25805.8</v>
      </c>
      <c r="G15" s="42">
        <f t="shared" si="0"/>
        <v>2.3410204041165228E-2</v>
      </c>
      <c r="H15" s="42"/>
      <c r="I15" s="31"/>
      <c r="J15" s="27" t="s">
        <v>66</v>
      </c>
      <c r="K15" s="27">
        <v>23</v>
      </c>
      <c r="L15" s="27">
        <v>755126.5</v>
      </c>
      <c r="M15" s="27"/>
      <c r="N15" s="27"/>
      <c r="O15" s="27"/>
    </row>
    <row r="16" spans="1:15" ht="15.75" thickBot="1" x14ac:dyDescent="0.3">
      <c r="A16" s="79"/>
      <c r="B16" s="26" t="s">
        <v>47</v>
      </c>
      <c r="C16" s="6">
        <v>890</v>
      </c>
      <c r="D16" s="6">
        <v>2610.25</v>
      </c>
      <c r="E16">
        <v>3.26</v>
      </c>
      <c r="F16" s="31">
        <v>26272</v>
      </c>
      <c r="G16" s="42">
        <f t="shared" si="0"/>
        <v>1.8065706159080541E-2</v>
      </c>
      <c r="H16" s="42"/>
      <c r="I16" s="31"/>
    </row>
    <row r="17" spans="1:18" x14ac:dyDescent="0.25">
      <c r="A17" s="79"/>
      <c r="B17" s="26" t="s">
        <v>48</v>
      </c>
      <c r="C17" s="6">
        <v>906</v>
      </c>
      <c r="D17" s="6">
        <v>2741.08</v>
      </c>
      <c r="E17">
        <v>3.53</v>
      </c>
      <c r="F17" s="31">
        <v>26734.3</v>
      </c>
      <c r="G17" s="42">
        <f t="shared" si="0"/>
        <v>1.7596680876979187E-2</v>
      </c>
      <c r="H17" s="42"/>
      <c r="I17" s="31"/>
      <c r="J17" s="28"/>
      <c r="K17" s="28" t="s">
        <v>73</v>
      </c>
      <c r="L17" s="28" t="s">
        <v>61</v>
      </c>
      <c r="M17" s="28" t="s">
        <v>74</v>
      </c>
      <c r="N17" s="28" t="s">
        <v>75</v>
      </c>
      <c r="O17" s="28" t="s">
        <v>76</v>
      </c>
      <c r="P17" s="28" t="s">
        <v>77</v>
      </c>
      <c r="Q17" s="28" t="s">
        <v>78</v>
      </c>
      <c r="R17" s="28" t="s">
        <v>79</v>
      </c>
    </row>
    <row r="18" spans="1:18" x14ac:dyDescent="0.25">
      <c r="A18" s="79" t="s">
        <v>52</v>
      </c>
      <c r="B18" s="26" t="s">
        <v>45</v>
      </c>
      <c r="C18" s="6">
        <v>914</v>
      </c>
      <c r="D18" s="6">
        <v>2706.79</v>
      </c>
      <c r="E18">
        <v>4.01</v>
      </c>
      <c r="F18" s="31">
        <v>27164.400000000001</v>
      </c>
      <c r="G18" s="42">
        <f t="shared" si="0"/>
        <v>1.6087946944561837E-2</v>
      </c>
      <c r="H18" s="42"/>
      <c r="I18" s="31"/>
      <c r="J18" t="s">
        <v>67</v>
      </c>
      <c r="K18">
        <v>-2.6679347047372488</v>
      </c>
      <c r="L18">
        <v>56.131895133865022</v>
      </c>
      <c r="M18">
        <v>-4.7529745759958365E-2</v>
      </c>
      <c r="N18">
        <v>0.9625401479674327</v>
      </c>
      <c r="O18">
        <v>-119.40060095592524</v>
      </c>
      <c r="P18">
        <v>114.06473154645074</v>
      </c>
      <c r="Q18">
        <v>-119.40060095592524</v>
      </c>
      <c r="R18">
        <v>114.06473154645074</v>
      </c>
    </row>
    <row r="19" spans="1:18" x14ac:dyDescent="0.25">
      <c r="A19" s="79"/>
      <c r="B19" s="26" t="s">
        <v>46</v>
      </c>
      <c r="C19" s="6">
        <v>925</v>
      </c>
      <c r="D19" s="6">
        <v>2831.66</v>
      </c>
      <c r="E19">
        <v>3.61</v>
      </c>
      <c r="F19" s="31">
        <v>27453.8</v>
      </c>
      <c r="G19" s="42">
        <f t="shared" si="0"/>
        <v>1.065364962966231E-2</v>
      </c>
      <c r="H19" s="42"/>
      <c r="I19" s="31"/>
      <c r="J19" t="s">
        <v>54</v>
      </c>
      <c r="K19">
        <v>0.27372579773475758</v>
      </c>
      <c r="L19">
        <v>2.3330730017038545E-2</v>
      </c>
      <c r="M19">
        <v>11.732414610895344</v>
      </c>
      <c r="N19">
        <v>1.1024278864354305E-10</v>
      </c>
      <c r="O19">
        <v>0.22520688858372057</v>
      </c>
      <c r="P19">
        <v>0.3222447068857946</v>
      </c>
      <c r="Q19">
        <v>0.22520688858372057</v>
      </c>
      <c r="R19">
        <v>0.3222447068857946</v>
      </c>
    </row>
    <row r="20" spans="1:18" ht="15.75" thickBot="1" x14ac:dyDescent="0.3">
      <c r="A20" s="79"/>
      <c r="B20" s="26" t="s">
        <v>47</v>
      </c>
      <c r="C20" s="6">
        <v>940</v>
      </c>
      <c r="D20" s="6">
        <v>2989.51</v>
      </c>
      <c r="E20">
        <v>4.18</v>
      </c>
      <c r="F20" s="31">
        <v>27967.7</v>
      </c>
      <c r="G20" s="42">
        <f t="shared" si="0"/>
        <v>1.8718720177170356E-2</v>
      </c>
      <c r="H20" s="42"/>
      <c r="I20" s="31"/>
      <c r="J20" s="27" t="s">
        <v>80</v>
      </c>
      <c r="K20" s="27">
        <v>44.984929279611272</v>
      </c>
      <c r="L20" s="27">
        <v>8.7071196481609867</v>
      </c>
      <c r="M20" s="27">
        <v>5.166453557246391</v>
      </c>
      <c r="N20" s="27">
        <v>4.0499607113115274E-5</v>
      </c>
      <c r="O20" s="27">
        <v>26.877482711595277</v>
      </c>
      <c r="P20" s="27">
        <v>63.092375847627267</v>
      </c>
      <c r="Q20" s="27">
        <v>26.877482711595277</v>
      </c>
      <c r="R20" s="27">
        <v>63.092375847627267</v>
      </c>
    </row>
    <row r="21" spans="1:18" x14ac:dyDescent="0.25">
      <c r="A21" s="79"/>
      <c r="B21" s="26" t="s">
        <v>48</v>
      </c>
      <c r="C21" s="6">
        <v>1117</v>
      </c>
      <c r="D21" s="6">
        <v>3040.7</v>
      </c>
      <c r="E21">
        <v>4.22</v>
      </c>
      <c r="F21" s="31">
        <v>28297</v>
      </c>
      <c r="G21" s="42">
        <f t="shared" si="0"/>
        <v>1.177429677806896E-2</v>
      </c>
      <c r="H21" s="42"/>
      <c r="I21" s="31"/>
    </row>
    <row r="22" spans="1:18" x14ac:dyDescent="0.25">
      <c r="A22" s="79" t="s">
        <v>53</v>
      </c>
      <c r="B22" s="26" t="s">
        <v>45</v>
      </c>
      <c r="C22" s="6">
        <v>1117</v>
      </c>
      <c r="D22" s="6">
        <v>3364.04</v>
      </c>
      <c r="E22">
        <v>4.1900000000000004</v>
      </c>
      <c r="F22" s="31">
        <v>28624.1</v>
      </c>
      <c r="G22" s="42">
        <f t="shared" si="0"/>
        <v>1.1559529278722058E-2</v>
      </c>
      <c r="H22" s="42"/>
      <c r="I22" s="31"/>
      <c r="J22" t="s">
        <v>56</v>
      </c>
    </row>
    <row r="23" spans="1:18" ht="15.75" thickBot="1" x14ac:dyDescent="0.3">
      <c r="A23" s="79"/>
      <c r="B23" s="26" t="s">
        <v>46</v>
      </c>
      <c r="C23" s="6">
        <v>1159</v>
      </c>
      <c r="D23" s="6">
        <v>3453.44</v>
      </c>
      <c r="E23">
        <v>4.41</v>
      </c>
      <c r="F23" s="31">
        <v>29016.7</v>
      </c>
      <c r="G23" s="42">
        <f t="shared" si="0"/>
        <v>1.3715715079251511E-2</v>
      </c>
      <c r="H23" s="42"/>
      <c r="I23" s="31"/>
    </row>
    <row r="24" spans="1:18" x14ac:dyDescent="0.25">
      <c r="A24" s="79"/>
      <c r="B24" s="26" t="s">
        <v>47</v>
      </c>
      <c r="C24" s="6">
        <v>1180</v>
      </c>
      <c r="D24" s="6">
        <v>3659.44</v>
      </c>
      <c r="E24">
        <v>3.84</v>
      </c>
      <c r="F24" s="31">
        <v>29374.9</v>
      </c>
      <c r="G24" s="42">
        <f t="shared" si="0"/>
        <v>1.234461534219955E-2</v>
      </c>
      <c r="H24" s="42"/>
      <c r="I24" s="31"/>
      <c r="J24" s="29" t="s">
        <v>57</v>
      </c>
      <c r="K24" s="29"/>
    </row>
    <row r="25" spans="1:18" x14ac:dyDescent="0.25">
      <c r="A25" s="79"/>
      <c r="B25" s="26" t="s">
        <v>48</v>
      </c>
      <c r="C25" s="6">
        <v>1227</v>
      </c>
      <c r="D25" s="6">
        <v>3817.72</v>
      </c>
      <c r="E25">
        <v>4.1900000000000004</v>
      </c>
      <c r="F25" s="31">
        <v>29723.9</v>
      </c>
      <c r="G25" s="42">
        <f t="shared" si="0"/>
        <v>1.1880891509417957E-2</v>
      </c>
      <c r="H25" s="42"/>
      <c r="I25" s="31"/>
      <c r="J25" t="s">
        <v>58</v>
      </c>
      <c r="K25">
        <v>0.8865870744130645</v>
      </c>
    </row>
    <row r="26" spans="1:18" x14ac:dyDescent="0.25">
      <c r="C26" s="6"/>
      <c r="J26" t="s">
        <v>59</v>
      </c>
      <c r="K26">
        <v>0.78603664051631672</v>
      </c>
    </row>
    <row r="27" spans="1:18" x14ac:dyDescent="0.25">
      <c r="J27" t="s">
        <v>60</v>
      </c>
      <c r="K27">
        <v>0.7763110332670583</v>
      </c>
    </row>
    <row r="28" spans="1:18" x14ac:dyDescent="0.25">
      <c r="C28" s="30" t="s">
        <v>55</v>
      </c>
      <c r="D28" s="30" t="s">
        <v>54</v>
      </c>
      <c r="E28" s="30" t="s">
        <v>80</v>
      </c>
      <c r="F28" s="30" t="s">
        <v>81</v>
      </c>
      <c r="G28" s="30" t="s">
        <v>82</v>
      </c>
      <c r="H28" s="3"/>
      <c r="I28" s="3"/>
      <c r="J28" t="s">
        <v>61</v>
      </c>
      <c r="K28">
        <v>0.62498246392502554</v>
      </c>
    </row>
    <row r="29" spans="1:18" ht="15.75" thickBot="1" x14ac:dyDescent="0.3">
      <c r="A29" s="79">
        <f>A23+1</f>
        <v>1</v>
      </c>
      <c r="B29" s="26" t="s">
        <v>45</v>
      </c>
      <c r="C29" s="6">
        <v>1237</v>
      </c>
      <c r="D29" s="6">
        <f>$K$60+($K$61*E29)+($K$62*F29)</f>
        <v>3464.848779192906</v>
      </c>
      <c r="E29" s="6">
        <f>$K$38+(F29*$K$39)</f>
        <v>4.4710376960478797</v>
      </c>
      <c r="F29" s="6">
        <v>29962</v>
      </c>
      <c r="G29" s="13" t="s">
        <v>83</v>
      </c>
      <c r="H29" s="13"/>
      <c r="I29" s="13"/>
      <c r="J29" s="27" t="s">
        <v>62</v>
      </c>
      <c r="K29" s="27">
        <v>24</v>
      </c>
    </row>
    <row r="30" spans="1:18" x14ac:dyDescent="0.25">
      <c r="A30" s="79"/>
      <c r="B30" s="26" t="s">
        <v>46</v>
      </c>
      <c r="C30" s="6">
        <v>1306</v>
      </c>
      <c r="D30" s="6">
        <f t="shared" ref="D30:D48" si="1">$K$60+($K$61*E30)+($K$62*F30)</f>
        <v>3514.2957155706413</v>
      </c>
      <c r="E30" s="6">
        <f t="shared" ref="E30:E48" si="2">$K$38+(F30*$K$39)</f>
        <v>4.6109084894539336</v>
      </c>
      <c r="F30" s="6">
        <v>30331.1</v>
      </c>
      <c r="G30" s="13" t="s">
        <v>84</v>
      </c>
      <c r="H30" s="13"/>
      <c r="I30" s="13"/>
    </row>
    <row r="31" spans="1:18" ht="15.75" thickBot="1" x14ac:dyDescent="0.3">
      <c r="A31" s="79"/>
      <c r="B31" s="26" t="s">
        <v>47</v>
      </c>
      <c r="C31" s="6">
        <f ca="1">$K$18+($K$19*D31)+($K$20*E31)</f>
        <v>1190.9657374996568</v>
      </c>
      <c r="D31" s="6">
        <f ca="1">$K$60+($K$61*E31)+($K$62*F31)</f>
        <v>3574.7954682989239</v>
      </c>
      <c r="E31" s="6">
        <f t="shared" ca="1" si="2"/>
        <v>4.7820444391178505</v>
      </c>
      <c r="F31" s="6">
        <f ca="1">F30*(1+$G$31)</f>
        <v>30782.704494996862</v>
      </c>
      <c r="G31">
        <f ca="1">((1+$H$32)^(1/2))-1</f>
        <v>1.4889156509221957E-2</v>
      </c>
      <c r="H31" s="13"/>
      <c r="I31" s="13"/>
      <c r="J31" t="s">
        <v>63</v>
      </c>
    </row>
    <row r="32" spans="1:18" x14ac:dyDescent="0.25">
      <c r="A32" s="79"/>
      <c r="B32" s="32" t="s">
        <v>48</v>
      </c>
      <c r="C32" s="45">
        <f t="shared" ref="C32:C48" ca="1" si="3">$K$18+($K$19*D32)+($K$20*E32)</f>
        <v>1215.5858134567318</v>
      </c>
      <c r="D32" s="33">
        <f t="shared" ca="1" si="1"/>
        <v>3636.1960113143459</v>
      </c>
      <c r="E32" s="33">
        <f t="shared" ca="1" si="2"/>
        <v>4.9557284587206674</v>
      </c>
      <c r="F32" s="33">
        <f ca="1">F31*(1+G32)</f>
        <v>31241.032999999999</v>
      </c>
      <c r="G32" s="39">
        <f ca="1">((1+$H$32)^(1/2))-1</f>
        <v>1.4889156509221957E-2</v>
      </c>
      <c r="H32" s="34">
        <f ca="1">OFFSET(B62,MATCH(S,A63:A65,0),0)</f>
        <v>0.03</v>
      </c>
      <c r="I32" s="36"/>
      <c r="J32" s="28"/>
      <c r="K32" s="28" t="s">
        <v>68</v>
      </c>
      <c r="L32" s="28" t="s">
        <v>69</v>
      </c>
      <c r="M32" s="28" t="s">
        <v>70</v>
      </c>
      <c r="N32" s="28" t="s">
        <v>71</v>
      </c>
      <c r="O32" s="28" t="s">
        <v>72</v>
      </c>
    </row>
    <row r="33" spans="1:18" x14ac:dyDescent="0.25">
      <c r="A33" s="79">
        <f>A29+1</f>
        <v>2</v>
      </c>
      <c r="B33" s="35" t="s">
        <v>45</v>
      </c>
      <c r="C33" s="6">
        <f t="shared" ca="1" si="3"/>
        <v>1228.032976765521</v>
      </c>
      <c r="D33" s="6">
        <f t="shared" ca="1" si="1"/>
        <v>3667.2382626662011</v>
      </c>
      <c r="E33" s="6">
        <f t="shared" ca="1" si="2"/>
        <v>5.0435378285980157</v>
      </c>
      <c r="F33" s="6">
        <f ca="1">F32*(1+G33)</f>
        <v>31472.749984171522</v>
      </c>
      <c r="G33" s="36">
        <f ca="1">((1+$H$36)^(1/4))-1</f>
        <v>7.4170717777328754E-3</v>
      </c>
      <c r="H33" s="36"/>
      <c r="I33" s="36"/>
      <c r="J33" t="s">
        <v>64</v>
      </c>
      <c r="K33">
        <v>1</v>
      </c>
      <c r="L33">
        <v>31.56906556862981</v>
      </c>
      <c r="M33">
        <v>31.56906556862981</v>
      </c>
      <c r="N33">
        <v>80.821343117290667</v>
      </c>
      <c r="O33">
        <v>8.0724019958012182E-9</v>
      </c>
    </row>
    <row r="34" spans="1:18" x14ac:dyDescent="0.25">
      <c r="A34" s="79"/>
      <c r="B34" s="37" t="s">
        <v>46</v>
      </c>
      <c r="C34" s="6">
        <f t="shared" ca="1" si="3"/>
        <v>1240.5724615780009</v>
      </c>
      <c r="D34" s="6">
        <f t="shared" ca="1" si="1"/>
        <v>3698.5107566244769</v>
      </c>
      <c r="E34" s="6">
        <f t="shared" ca="1" si="2"/>
        <v>5.131998486874501</v>
      </c>
      <c r="F34" s="6">
        <f ca="1">F33*(1+G34)</f>
        <v>31706.185629846765</v>
      </c>
      <c r="G34" s="36">
        <f t="shared" ref="G34:G36" ca="1" si="4">((1+$H$36)^(1/4))-1</f>
        <v>7.4170717777328754E-3</v>
      </c>
      <c r="H34" s="36"/>
      <c r="I34" s="36"/>
      <c r="J34" t="s">
        <v>65</v>
      </c>
      <c r="K34">
        <v>22</v>
      </c>
      <c r="L34">
        <v>8.5932677647035103</v>
      </c>
      <c r="M34">
        <v>0.39060308021379592</v>
      </c>
    </row>
    <row r="35" spans="1:18" ht="15.75" thickBot="1" x14ac:dyDescent="0.3">
      <c r="A35" s="79"/>
      <c r="B35" s="37" t="s">
        <v>47</v>
      </c>
      <c r="C35" s="6">
        <f t="shared" ca="1" si="3"/>
        <v>1253.2049526493906</v>
      </c>
      <c r="D35" s="6">
        <f t="shared" ca="1" si="1"/>
        <v>3730.0152009151088</v>
      </c>
      <c r="E35" s="6">
        <f t="shared" ca="1" si="2"/>
        <v>5.2211152642029273</v>
      </c>
      <c r="F35" s="6">
        <f t="shared" ref="F35:F47" ca="1" si="5">F34*(1+G35)</f>
        <v>31941.352684461461</v>
      </c>
      <c r="G35" s="36">
        <f ca="1">((1+$H$36)^(1/4))-1</f>
        <v>7.4170717777328754E-3</v>
      </c>
      <c r="H35" s="36"/>
      <c r="I35" s="36"/>
      <c r="J35" s="27" t="s">
        <v>66</v>
      </c>
      <c r="K35" s="27">
        <v>23</v>
      </c>
      <c r="L35" s="27">
        <v>40.162333333333322</v>
      </c>
      <c r="M35" s="27"/>
      <c r="N35" s="27"/>
      <c r="O35" s="27"/>
    </row>
    <row r="36" spans="1:18" ht="15.75" thickBot="1" x14ac:dyDescent="0.3">
      <c r="A36" s="79"/>
      <c r="B36" s="38" t="s">
        <v>48</v>
      </c>
      <c r="C36" s="33">
        <f t="shared" ca="1" si="3"/>
        <v>1265.9311398137884</v>
      </c>
      <c r="D36" s="33">
        <f t="shared" ca="1" si="1"/>
        <v>3761.7533159303621</v>
      </c>
      <c r="E36" s="33">
        <f t="shared" ca="1" si="2"/>
        <v>5.3108930270654007</v>
      </c>
      <c r="F36" s="33">
        <f t="shared" ca="1" si="5"/>
        <v>32178.263989999992</v>
      </c>
      <c r="G36" s="34">
        <f t="shared" ca="1" si="4"/>
        <v>7.4170717777328754E-3</v>
      </c>
      <c r="H36" s="34">
        <f ca="1">OFFSET(C62,MATCH(S,A63:A65,0),0)</f>
        <v>0.03</v>
      </c>
      <c r="I36" s="36"/>
    </row>
    <row r="37" spans="1:18" x14ac:dyDescent="0.25">
      <c r="A37" s="79">
        <f t="shared" ref="A37" si="6">A33+1</f>
        <v>3</v>
      </c>
      <c r="B37" s="35" t="s">
        <v>45</v>
      </c>
      <c r="C37" s="6">
        <f t="shared" ca="1" si="3"/>
        <v>1278.7517180218413</v>
      </c>
      <c r="D37" s="6">
        <f t="shared" ca="1" si="1"/>
        <v>3793.7268348227735</v>
      </c>
      <c r="E37" s="6">
        <f t="shared" ca="1" si="2"/>
        <v>5.4013366780390673</v>
      </c>
      <c r="F37" s="6">
        <f t="shared" ca="1" si="5"/>
        <v>32416.932483696659</v>
      </c>
      <c r="G37" s="36">
        <f ca="1">((1+$H$40)^(1/4))-1</f>
        <v>7.4170717777328754E-3</v>
      </c>
      <c r="H37" s="36"/>
      <c r="I37" s="36"/>
      <c r="J37" s="28"/>
      <c r="K37" s="28" t="s">
        <v>73</v>
      </c>
      <c r="L37" s="28" t="s">
        <v>61</v>
      </c>
      <c r="M37" s="28" t="s">
        <v>74</v>
      </c>
      <c r="N37" s="28" t="s">
        <v>75</v>
      </c>
      <c r="O37" s="28" t="s">
        <v>76</v>
      </c>
      <c r="P37" s="28" t="s">
        <v>77</v>
      </c>
      <c r="Q37" s="28" t="s">
        <v>78</v>
      </c>
      <c r="R37" s="28" t="s">
        <v>79</v>
      </c>
    </row>
    <row r="38" spans="1:18" x14ac:dyDescent="0.25">
      <c r="A38" s="79"/>
      <c r="B38" s="37" t="s">
        <v>46</v>
      </c>
      <c r="C38" s="6">
        <f t="shared" ca="1" si="3"/>
        <v>1291.6673873786951</v>
      </c>
      <c r="D38" s="6">
        <f t="shared" ca="1" si="1"/>
        <v>3825.9375035997955</v>
      </c>
      <c r="E38" s="6">
        <f t="shared" ca="1" si="2"/>
        <v>5.4924511560638472</v>
      </c>
      <c r="F38" s="6">
        <f t="shared" ca="1" si="5"/>
        <v>32657.371198742156</v>
      </c>
      <c r="G38" s="36">
        <f t="shared" ref="G38:G40" ca="1" si="7">((1+$H$40)^(1/4))-1</f>
        <v>7.4170717777328754E-3</v>
      </c>
      <c r="H38" s="36"/>
      <c r="I38" s="36"/>
      <c r="J38" t="s">
        <v>67</v>
      </c>
      <c r="K38">
        <v>-6.8830904861038462</v>
      </c>
      <c r="L38">
        <v>1.057926084439911</v>
      </c>
      <c r="M38">
        <v>-6.506211149664491</v>
      </c>
      <c r="N38">
        <v>1.5196345484791081E-6</v>
      </c>
      <c r="O38">
        <v>-9.0770949004569381</v>
      </c>
      <c r="P38">
        <v>-4.6890860717507543</v>
      </c>
      <c r="Q38">
        <v>-9.0770949004569381</v>
      </c>
      <c r="R38">
        <v>-4.6890860717507543</v>
      </c>
    </row>
    <row r="39" spans="1:18" ht="15.75" thickBot="1" x14ac:dyDescent="0.3">
      <c r="A39" s="79"/>
      <c r="B39" s="37" t="s">
        <v>47</v>
      </c>
      <c r="C39" s="6">
        <f t="shared" ca="1" si="3"/>
        <v>1304.6788531822267</v>
      </c>
      <c r="D39" s="6">
        <f t="shared" ca="1" si="1"/>
        <v>3858.3870812191471</v>
      </c>
      <c r="E39" s="6">
        <f t="shared" ca="1" si="2"/>
        <v>5.5842414367121282</v>
      </c>
      <c r="F39" s="6">
        <f t="shared" ca="1" si="5"/>
        <v>32899.593264995296</v>
      </c>
      <c r="G39" s="36">
        <f t="shared" ca="1" si="7"/>
        <v>7.4170717777328754E-3</v>
      </c>
      <c r="H39" s="36"/>
      <c r="I39" s="36"/>
      <c r="J39" s="27" t="s">
        <v>81</v>
      </c>
      <c r="K39" s="27">
        <v>3.7895094393404065E-4</v>
      </c>
      <c r="L39" s="27">
        <v>4.2152172368267506E-5</v>
      </c>
      <c r="M39" s="27">
        <v>8.9900691386268381</v>
      </c>
      <c r="N39" s="27">
        <v>8.0724019958012182E-9</v>
      </c>
      <c r="O39" s="27">
        <v>2.9153268890584242E-4</v>
      </c>
      <c r="P39" s="27">
        <v>4.6636919896223889E-4</v>
      </c>
      <c r="Q39" s="27">
        <v>2.9153268890584242E-4</v>
      </c>
      <c r="R39" s="27">
        <v>4.6636919896223889E-4</v>
      </c>
    </row>
    <row r="40" spans="1:18" x14ac:dyDescent="0.25">
      <c r="A40" s="79"/>
      <c r="B40" s="38" t="s">
        <v>48</v>
      </c>
      <c r="C40" s="33">
        <f t="shared" ca="1" si="3"/>
        <v>1317.7868259615564</v>
      </c>
      <c r="D40" s="33">
        <f t="shared" ca="1" si="1"/>
        <v>3891.0773396848581</v>
      </c>
      <c r="E40" s="33">
        <f t="shared" ca="1" si="2"/>
        <v>5.6767125324604741</v>
      </c>
      <c r="F40" s="33">
        <f t="shared" ca="1" si="5"/>
        <v>33143.611909699983</v>
      </c>
      <c r="G40" s="34">
        <f t="shared" ca="1" si="7"/>
        <v>7.4170717777328754E-3</v>
      </c>
      <c r="H40" s="34">
        <f ca="1">OFFSET(D62,MATCH(S,A63:A65,0),0)</f>
        <v>0.03</v>
      </c>
      <c r="I40" s="36"/>
    </row>
    <row r="41" spans="1:18" x14ac:dyDescent="0.25">
      <c r="A41" s="79">
        <f t="shared" ref="A41" si="8">A37+1</f>
        <v>4</v>
      </c>
      <c r="B41" s="35" t="s">
        <v>45</v>
      </c>
      <c r="C41" s="6">
        <f t="shared" ca="1" si="3"/>
        <v>1330.9920215158509</v>
      </c>
      <c r="D41" s="6">
        <f t="shared" ca="1" si="1"/>
        <v>3924.0100641440422</v>
      </c>
      <c r="E41" s="6">
        <f t="shared" ca="1" si="2"/>
        <v>5.7698694929633518</v>
      </c>
      <c r="F41" s="6">
        <f t="shared" ca="1" si="5"/>
        <v>33389.440458207551</v>
      </c>
      <c r="G41" s="36">
        <f ca="1">((1+$H$44)^(1/4))-1</f>
        <v>7.4170717777328754E-3</v>
      </c>
      <c r="H41" s="36"/>
      <c r="I41" s="36"/>
    </row>
    <row r="42" spans="1:18" x14ac:dyDescent="0.25">
      <c r="A42" s="79"/>
      <c r="B42" s="37" t="s">
        <v>46</v>
      </c>
      <c r="C42" s="6">
        <f t="shared" ca="1" si="3"/>
        <v>1344.2951609534107</v>
      </c>
      <c r="D42" s="6">
        <f t="shared" ca="1" si="1"/>
        <v>3957.1870529843764</v>
      </c>
      <c r="E42" s="6">
        <f t="shared" ca="1" si="2"/>
        <v>5.8637174053288756</v>
      </c>
      <c r="F42" s="6">
        <f t="shared" ca="1" si="5"/>
        <v>33637.092334704415</v>
      </c>
      <c r="G42" s="36">
        <f t="shared" ref="G42:G43" ca="1" si="9">((1+$H$44)^(1/4))-1</f>
        <v>7.4170717777328754E-3</v>
      </c>
      <c r="H42" s="36"/>
      <c r="I42" s="36"/>
    </row>
    <row r="43" spans="1:18" x14ac:dyDescent="0.25">
      <c r="A43" s="79"/>
      <c r="B43" s="37" t="s">
        <v>47</v>
      </c>
      <c r="C43" s="6">
        <f t="shared" ca="1" si="3"/>
        <v>1357.6969707310477</v>
      </c>
      <c r="D43" s="6">
        <f t="shared" ca="1" si="1"/>
        <v>3990.6101179323068</v>
      </c>
      <c r="E43" s="6">
        <f t="shared" ca="1" si="2"/>
        <v>5.9582613943966027</v>
      </c>
      <c r="F43" s="6">
        <f t="shared" ca="1" si="5"/>
        <v>33886.581062945144</v>
      </c>
      <c r="G43" s="36">
        <f t="shared" ca="1" si="9"/>
        <v>7.4170717777328754E-3</v>
      </c>
      <c r="H43" s="36"/>
      <c r="I43" s="36"/>
    </row>
    <row r="44" spans="1:18" x14ac:dyDescent="0.25">
      <c r="A44" s="79"/>
      <c r="B44" s="38" t="s">
        <v>48</v>
      </c>
      <c r="C44" s="33">
        <f t="shared" ca="1" si="3"/>
        <v>1371.1981826937572</v>
      </c>
      <c r="D44" s="33">
        <f t="shared" ca="1" si="1"/>
        <v>4024.2810841519886</v>
      </c>
      <c r="E44" s="33">
        <f t="shared" ca="1" si="2"/>
        <v>6.0535066230173999</v>
      </c>
      <c r="F44" s="33">
        <f t="shared" ca="1" si="5"/>
        <v>34137.920266990972</v>
      </c>
      <c r="G44" s="34">
        <f ca="1">((1+$H$44)^(1/4))-1</f>
        <v>7.4170717777328754E-3</v>
      </c>
      <c r="H44" s="34">
        <f ca="1">OFFSET(E62,MATCH(S,A63:A65,0),0)</f>
        <v>0.03</v>
      </c>
      <c r="I44" s="36"/>
      <c r="J44" t="s">
        <v>97</v>
      </c>
    </row>
    <row r="45" spans="1:18" ht="15.75" thickBot="1" x14ac:dyDescent="0.3">
      <c r="A45" s="79">
        <f t="shared" ref="A45" si="10">A41+1</f>
        <v>5</v>
      </c>
      <c r="B45" s="35" t="s">
        <v>45</v>
      </c>
      <c r="C45" s="6">
        <f t="shared" ca="1" si="3"/>
        <v>1384.7995341146802</v>
      </c>
      <c r="D45" s="6">
        <f t="shared" ca="1" si="1"/>
        <v>4058.2017903449469</v>
      </c>
      <c r="E45" s="6">
        <f t="shared" ca="1" si="2"/>
        <v>6.1494582923353622</v>
      </c>
      <c r="F45" s="6">
        <f t="shared" ca="1" si="5"/>
        <v>34391.123671953763</v>
      </c>
      <c r="G45" s="36">
        <f ca="1">((1+$H$48)^(1/4))-1</f>
        <v>7.4170717777328754E-3</v>
      </c>
      <c r="H45" s="36"/>
      <c r="I45" s="36"/>
    </row>
    <row r="46" spans="1:18" x14ac:dyDescent="0.25">
      <c r="A46" s="79"/>
      <c r="B46" s="37" t="s">
        <v>46</v>
      </c>
      <c r="C46" s="6">
        <f t="shared" ca="1" si="3"/>
        <v>1398.5017677353667</v>
      </c>
      <c r="D46" s="6">
        <f t="shared" ca="1" si="1"/>
        <v>4092.3740888504908</v>
      </c>
      <c r="E46" s="6">
        <f t="shared" ca="1" si="2"/>
        <v>6.2461216420718504</v>
      </c>
      <c r="F46" s="6">
        <f t="shared" ca="1" si="5"/>
        <v>34646.205104745532</v>
      </c>
      <c r="G46" s="36">
        <f t="shared" ref="G46:G48" ca="1" si="11">((1+$H$48)^(1/4))-1</f>
        <v>7.4170717777328754E-3</v>
      </c>
      <c r="H46" s="36"/>
      <c r="I46" s="36"/>
      <c r="J46" s="29" t="s">
        <v>57</v>
      </c>
      <c r="K46" s="29"/>
    </row>
    <row r="47" spans="1:18" x14ac:dyDescent="0.25">
      <c r="A47" s="79"/>
      <c r="B47" s="37" t="s">
        <v>47</v>
      </c>
      <c r="C47" s="6">
        <f t="shared" ca="1" si="3"/>
        <v>1412.3056318063332</v>
      </c>
      <c r="D47" s="6">
        <f t="shared" ca="1" si="1"/>
        <v>4126.7998457468611</v>
      </c>
      <c r="E47" s="6">
        <f t="shared" ca="1" si="2"/>
        <v>6.3435019508116106</v>
      </c>
      <c r="F47" s="6">
        <f t="shared" ca="1" si="5"/>
        <v>34903.178494833483</v>
      </c>
      <c r="G47" s="36">
        <f t="shared" ca="1" si="11"/>
        <v>7.4170717777328754E-3</v>
      </c>
      <c r="H47" s="36"/>
      <c r="I47" s="36"/>
      <c r="J47" t="s">
        <v>58</v>
      </c>
      <c r="K47">
        <v>0.91729613613860783</v>
      </c>
    </row>
    <row r="48" spans="1:18" x14ac:dyDescent="0.25">
      <c r="A48" s="79"/>
      <c r="B48" s="38" t="s">
        <v>48</v>
      </c>
      <c r="C48" s="33">
        <f t="shared" ca="1" si="3"/>
        <v>1426.2118801279235</v>
      </c>
      <c r="D48" s="33">
        <f t="shared" ca="1" si="1"/>
        <v>4161.4809409531317</v>
      </c>
      <c r="E48" s="33">
        <f t="shared" ca="1" si="2"/>
        <v>6.4416045362910292</v>
      </c>
      <c r="F48" s="33">
        <f ca="1">F47*(1+G48)</f>
        <v>35162.057875000683</v>
      </c>
      <c r="G48" s="34">
        <f t="shared" ca="1" si="11"/>
        <v>7.4170717777328754E-3</v>
      </c>
      <c r="H48" s="34">
        <f ca="1">OFFSET(F62,MATCH(S,A63:A65,0),0)</f>
        <v>0.03</v>
      </c>
      <c r="I48" s="36"/>
      <c r="J48" t="s">
        <v>59</v>
      </c>
      <c r="K48">
        <v>0.84143220137481933</v>
      </c>
    </row>
    <row r="49" spans="1:18" x14ac:dyDescent="0.25">
      <c r="A49" s="36"/>
      <c r="B49" s="36"/>
      <c r="J49" t="s">
        <v>60</v>
      </c>
      <c r="K49">
        <v>0.82633050626765914</v>
      </c>
    </row>
    <row r="50" spans="1:18" x14ac:dyDescent="0.25">
      <c r="A50" s="36"/>
      <c r="B50" s="36"/>
      <c r="J50" t="s">
        <v>61</v>
      </c>
      <c r="K50">
        <v>205.51972188185076</v>
      </c>
    </row>
    <row r="51" spans="1:18" ht="15.75" thickBot="1" x14ac:dyDescent="0.3">
      <c r="A51" s="36"/>
      <c r="B51" s="36"/>
      <c r="J51" s="27" t="s">
        <v>62</v>
      </c>
      <c r="K51" s="27">
        <v>24</v>
      </c>
    </row>
    <row r="52" spans="1:18" x14ac:dyDescent="0.25">
      <c r="A52" s="36"/>
      <c r="B52" s="36"/>
    </row>
    <row r="53" spans="1:18" ht="15.75" thickBot="1" x14ac:dyDescent="0.3">
      <c r="J53" t="s">
        <v>63</v>
      </c>
    </row>
    <row r="54" spans="1:18" x14ac:dyDescent="0.25">
      <c r="J54" s="28"/>
      <c r="K54" s="28" t="s">
        <v>68</v>
      </c>
      <c r="L54" s="28" t="s">
        <v>69</v>
      </c>
      <c r="M54" s="28" t="s">
        <v>70</v>
      </c>
      <c r="N54" s="28" t="s">
        <v>71</v>
      </c>
      <c r="O54" s="28" t="s">
        <v>72</v>
      </c>
    </row>
    <row r="55" spans="1:18" x14ac:dyDescent="0.25">
      <c r="J55" t="s">
        <v>64</v>
      </c>
      <c r="K55">
        <v>2</v>
      </c>
      <c r="L55">
        <v>4706850.8122655731</v>
      </c>
      <c r="M55">
        <v>2353425.4061327865</v>
      </c>
      <c r="N55">
        <v>55.717732042933193</v>
      </c>
      <c r="O55">
        <v>4.0018192439547129E-9</v>
      </c>
    </row>
    <row r="56" spans="1:18" x14ac:dyDescent="0.25">
      <c r="A56" t="s">
        <v>85</v>
      </c>
      <c r="B56" t="s">
        <v>86</v>
      </c>
      <c r="D56" t="s">
        <v>87</v>
      </c>
      <c r="J56" t="s">
        <v>65</v>
      </c>
      <c r="K56">
        <v>21</v>
      </c>
      <c r="L56">
        <v>887005.47773025895</v>
      </c>
      <c r="M56">
        <v>42238.356082393286</v>
      </c>
    </row>
    <row r="57" spans="1:18" ht="15.75" thickBot="1" x14ac:dyDescent="0.3">
      <c r="A57" t="s">
        <v>88</v>
      </c>
      <c r="B57" s="40">
        <v>0.03</v>
      </c>
      <c r="D57" t="s">
        <v>89</v>
      </c>
      <c r="J57" s="27" t="s">
        <v>66</v>
      </c>
      <c r="K57" s="27">
        <v>23</v>
      </c>
      <c r="L57" s="27">
        <v>5593856.2899958324</v>
      </c>
      <c r="M57" s="27"/>
      <c r="N57" s="27"/>
      <c r="O57" s="27"/>
    </row>
    <row r="58" spans="1:18" ht="15.75" thickBot="1" x14ac:dyDescent="0.3">
      <c r="A58" t="s">
        <v>90</v>
      </c>
      <c r="B58" t="s">
        <v>98</v>
      </c>
      <c r="D58" t="s">
        <v>91</v>
      </c>
    </row>
    <row r="59" spans="1:18" x14ac:dyDescent="0.25">
      <c r="A59" t="s">
        <v>92</v>
      </c>
      <c r="B59" t="s">
        <v>93</v>
      </c>
      <c r="D59" t="s">
        <v>94</v>
      </c>
      <c r="J59" s="28"/>
      <c r="K59" s="28" t="s">
        <v>73</v>
      </c>
      <c r="L59" s="28" t="s">
        <v>61</v>
      </c>
      <c r="M59" s="28" t="s">
        <v>74</v>
      </c>
      <c r="N59" s="28" t="s">
        <v>75</v>
      </c>
      <c r="O59" s="28" t="s">
        <v>76</v>
      </c>
      <c r="P59" s="28" t="s">
        <v>77</v>
      </c>
      <c r="Q59" s="28" t="s">
        <v>78</v>
      </c>
      <c r="R59" s="28" t="s">
        <v>79</v>
      </c>
    </row>
    <row r="60" spans="1:18" x14ac:dyDescent="0.25">
      <c r="J60" t="s">
        <v>67</v>
      </c>
      <c r="K60">
        <v>-2598.024941953965</v>
      </c>
      <c r="L60">
        <v>594.89329915418284</v>
      </c>
      <c r="M60">
        <v>-4.367211642235385</v>
      </c>
      <c r="N60">
        <v>2.7002066717312945E-4</v>
      </c>
      <c r="O60">
        <v>-3835.1732830107294</v>
      </c>
      <c r="P60">
        <v>-1360.8766008972009</v>
      </c>
      <c r="Q60">
        <v>-3835.1732830107294</v>
      </c>
      <c r="R60">
        <v>-1360.8766008972009</v>
      </c>
    </row>
    <row r="61" spans="1:18" x14ac:dyDescent="0.25">
      <c r="B61" s="36"/>
      <c r="C61" s="36"/>
      <c r="D61" s="36"/>
      <c r="E61" s="36"/>
      <c r="F61" s="36"/>
      <c r="G61" s="36"/>
      <c r="J61" t="s">
        <v>80</v>
      </c>
      <c r="K61">
        <v>-297.68277348734563</v>
      </c>
      <c r="L61">
        <v>70.109090189885393</v>
      </c>
      <c r="M61">
        <v>-4.2459939599999572</v>
      </c>
      <c r="N61">
        <v>3.6081060028724633E-4</v>
      </c>
      <c r="O61">
        <v>-443.48260808749285</v>
      </c>
      <c r="P61">
        <v>-151.88293888719841</v>
      </c>
      <c r="Q61">
        <v>-443.48260808749285</v>
      </c>
      <c r="R61">
        <v>-151.88293888719841</v>
      </c>
    </row>
    <row r="62" spans="1:18" ht="15.75" thickBot="1" x14ac:dyDescent="0.3">
      <c r="A62" s="41" t="s">
        <v>95</v>
      </c>
      <c r="B62" s="41">
        <v>2025</v>
      </c>
      <c r="C62" s="41">
        <f>B62+1</f>
        <v>2026</v>
      </c>
      <c r="D62" s="41">
        <f t="shared" ref="D62:F62" si="12">C62+1</f>
        <v>2027</v>
      </c>
      <c r="E62" s="41">
        <f t="shared" si="12"/>
        <v>2028</v>
      </c>
      <c r="F62" s="41">
        <f t="shared" si="12"/>
        <v>2029</v>
      </c>
      <c r="J62" s="27" t="s">
        <v>81</v>
      </c>
      <c r="K62" s="27">
        <v>0.24677340040293957</v>
      </c>
      <c r="L62" s="27">
        <v>2.99664936164361E-2</v>
      </c>
      <c r="M62" s="27">
        <v>8.2349774905793005</v>
      </c>
      <c r="N62" s="27">
        <v>5.1614029864551111E-8</v>
      </c>
      <c r="O62" s="27">
        <v>0.1844546654002554</v>
      </c>
      <c r="P62" s="27">
        <v>0.30909213540562375</v>
      </c>
      <c r="Q62" s="27">
        <v>0.1844546654002554</v>
      </c>
      <c r="R62" s="27">
        <v>0.30909213540562375</v>
      </c>
    </row>
    <row r="63" spans="1:18" x14ac:dyDescent="0.25">
      <c r="A63" t="s">
        <v>88</v>
      </c>
      <c r="B63" s="13">
        <v>0.03</v>
      </c>
      <c r="C63" s="13">
        <v>0.03</v>
      </c>
      <c r="D63" s="13">
        <v>0.03</v>
      </c>
      <c r="E63" s="13">
        <v>0.03</v>
      </c>
      <c r="F63" s="13">
        <v>0.03</v>
      </c>
    </row>
    <row r="64" spans="1:18" x14ac:dyDescent="0.25">
      <c r="A64" t="s">
        <v>90</v>
      </c>
      <c r="B64" s="13">
        <f>AVERAGE($G$3:$G$25)+B63</f>
        <v>4.5348732289764229E-2</v>
      </c>
      <c r="C64" s="13">
        <f t="shared" ref="C64:F64" si="13">AVERAGE($G$3:$G$25)+C63</f>
        <v>4.5348732289764229E-2</v>
      </c>
      <c r="D64" s="13">
        <f t="shared" si="13"/>
        <v>4.5348732289764229E-2</v>
      </c>
      <c r="E64" s="13">
        <f t="shared" si="13"/>
        <v>4.5348732289764229E-2</v>
      </c>
      <c r="F64" s="13">
        <f t="shared" si="13"/>
        <v>4.5348732289764229E-2</v>
      </c>
    </row>
    <row r="65" spans="1:6" x14ac:dyDescent="0.25">
      <c r="A65" t="s">
        <v>92</v>
      </c>
      <c r="B65" s="13">
        <f>B63-0.01</f>
        <v>1.9999999999999997E-2</v>
      </c>
      <c r="C65" s="13">
        <f t="shared" ref="C65:F65" si="14">C63-0.01</f>
        <v>1.9999999999999997E-2</v>
      </c>
      <c r="D65" s="13">
        <f t="shared" si="14"/>
        <v>1.9999999999999997E-2</v>
      </c>
      <c r="E65" s="13">
        <f t="shared" si="14"/>
        <v>1.9999999999999997E-2</v>
      </c>
      <c r="F65" s="13">
        <f t="shared" si="14"/>
        <v>1.9999999999999997E-2</v>
      </c>
    </row>
    <row r="66" spans="1:6" x14ac:dyDescent="0.25">
      <c r="B66" s="36"/>
    </row>
  </sheetData>
  <mergeCells count="11">
    <mergeCell ref="A2:A5"/>
    <mergeCell ref="A6:A9"/>
    <mergeCell ref="A10:A13"/>
    <mergeCell ref="A14:A17"/>
    <mergeCell ref="A18:A21"/>
    <mergeCell ref="A45:A48"/>
    <mergeCell ref="A22:A25"/>
    <mergeCell ref="A29:A32"/>
    <mergeCell ref="A33:A36"/>
    <mergeCell ref="A37:A40"/>
    <mergeCell ref="A41:A4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E A A B Q S w M E F A A C A A g A M n g x W 1 u R t 5 q m A A A A 9 g A A A B I A H A B D b 2 5 m a W c v U G F j a 2 F n Z S 5 4 b W w g o h g A K K A U A A A A A A A A A A A A A A A A A A A A A A A A A A A A h Y 9 N C s I w G E S v U r J v f q p o K V 9 T x K 0 F Q R B x F 2 J s g 2 0 q T W p 6 N x c e y S t Y 0 a o 7 l / P m L W b u 1 x t k f V 0 F F 9 V a 3 Z g U M U x R o I x s D t o U K e r c M Y x R x m E t 5 E k U K h h k Y 5 P e H l J U O n d O C P H e Y z / B T V u Q i F J G d v l q I 0 t V C / S R 9 X 8 5 1 M Y 6 Y a R C H L a v M T z C b D r D b B 5 j C m S E k G v z F a J h 7 7 P 9 g b D s K t e 1 i i s T 7 h d A x g j k / Y E / A F B L A w Q U A A I A C A A y e D 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n g x W 1 J X C o s Q A Q A A 9 A E A A B M A H A B G b 3 J t d W x h c y 9 T Z W N 0 a W 9 u M S 5 t I K I Y A C i g F A A A A A A A A A A A A A A A A A A A A A A A A A A A A H W P T W u D Q B C G 7 4 L / Y d h c F E S q + a T B Q 2 s o 5 N A S m v S U 9 T C N Y 2 K r u 3 Z 3 A y 0 h / 7 1 r v q B Q 5 z L D M y 8 z 7 6 t p Y 0 o p Y H n u 0 d R 1 X E f v U F E O P b b C 9 4 r i 4 Q S 8 B W 4 J x h O f Q Q I V G d c B W 0 u 5 V x u y Z J E X 4 U m r v a e y o j C V w p A w 2 m P p P X / T p D R / R q N L P i P 9 a W T D F 0 p + 2 I + a z x / h N r + g z v G L P w i x x w p e q Z H K 0 v g u H o R N X j A / g P W 8 b i q q 7 W l s 3 S Y s C v s s 8 4 O z n Z v b 5 O L s s J 7 n y S 0 E y 4 7 r G R r M L v I e S 3 c o t j b o 6 q e h N t h J G a 4 U C l 1 I V a e y 2 t e i X W r v e i Q 4 H N i Z R y w A Y 3 d g 6 N s c A 7 j y u I P 3 O / i g g w 8 7 + K i D j / / w o + 8 6 p f g 3 6 P Q X U E s B A i 0 A F A A C A A g A M n g x W 1 u R t 5 q m A A A A 9 g A A A B I A A A A A A A A A A A A A A A A A A A A A A E N v b m Z p Z y 9 Q Y W N r Y W d l L n h t b F B L A Q I t A B Q A A g A I A D J 4 M V s P y u m r p A A A A O k A A A A T A A A A A A A A A A A A A A A A A P I A A A B b Q 2 9 u d G V u d F 9 U e X B l c 1 0 u e G 1 s U E s B A i 0 A F A A C A A g A M n g x W 1 J X C o s Q A Q A A 9 A E A A B M A A A A A A A A A A A A A A A A A 4 w 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Q 0 A A A A A A A B v 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N T g l M j A o U G F n Z S U y M D c 4 K T w v S X R l b V B h d G g + P C 9 J d G V t T G 9 j Y X R p b 2 4 + P F N 0 Y W J s Z U V u d H J p Z X M + P E V u d H J 5 I F R 5 c G U 9 I k l z U H J p d m F 0 Z S I g V m F s d W U 9 I m w w I i A v P j x F b n R y e S B U e X B l P S J R d W V y e U l E I i B W Y W x 1 Z T 0 i c z g w M D c y N z F j L W R l O T A t N G J l N C 0 4 M z g z L T A 4 Y j M 0 Y m Q 0 Z D R k 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Q 0 Y i I C 8 + P E V u d H J 5 I F R 5 c G U 9 I l J l Y 2 9 2 Z X J 5 V G F y Z 2 V 0 Q 2 9 s d W 1 u I i B W Y W x 1 Z T 0 i b D k i I C 8 + P E V u d H J 5 I F R 5 c G U 9 I l J l Y 2 9 2 Z X J 5 V G F y Z 2 V 0 U m 9 3 I i B W Y W x 1 Z T 0 i b D I 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U t M D k t M T d U M T M 6 M D E 6 M j A u O D g 4 O D k 1 M l 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j U 4 I C h Q Y W d l I D c 4 K S 9 B d X R v U m V t b 3 Z l Z E N v b H V t b n M x L n t D b 2 x 1 b W 4 x L D B 9 J n F 1 b 3 Q 7 L C Z x d W 9 0 O 1 N l Y 3 R p b 2 4 x L 1 R h Y m x l M j U 4 I C h Q Y W d l I D c 4 K S 9 B d X R v U m V t b 3 Z l Z E N v b H V t b n M x L n t D b 2 x 1 b W 4 y L D F 9 J n F 1 b 3 Q 7 L C Z x d W 9 0 O 1 N l Y 3 R p b 2 4 x L 1 R h Y m x l M j U 4 I C h Q Y W d l I D c 4 K S 9 B d X R v U m V t b 3 Z l Z E N v b H V t b n M x L n t D b 2 x 1 b W 4 z L D J 9 J n F 1 b 3 Q 7 L C Z x d W 9 0 O 1 N l Y 3 R p b 2 4 x L 1 R h Y m x l M j U 4 I C h Q Y W d l I D c 4 K S 9 B d X R v U m V t b 3 Z l Z E N v b H V t b n M x L n t D b 2 x 1 b W 4 0 L D N 9 J n F 1 b 3 Q 7 L C Z x d W 9 0 O 1 N l Y 3 R p b 2 4 x L 1 R h Y m x l M j U 4 I C h Q Y W d l I D c 4 K S 9 B d X R v U m V t b 3 Z l Z E N v b H V t b n M x L n t D b 2 x 1 b W 4 1 L D R 9 J n F 1 b 3 Q 7 L C Z x d W 9 0 O 1 N l Y 3 R p b 2 4 x L 1 R h Y m x l M j U 4 I C h Q Y W d l I D c 4 K S 9 B d X R v U m V t b 3 Z l Z E N v b H V t b n M x L n t D b 2 x 1 b W 4 2 L D V 9 J n F 1 b 3 Q 7 L C Z x d W 9 0 O 1 N l Y 3 R p b 2 4 x L 1 R h Y m x l M j U 4 I C h Q Y W d l I D c 4 K S 9 B d X R v U m V t b 3 Z l Z E N v b H V t b n M x L n t D b 2 x 1 b W 4 3 L D Z 9 J n F 1 b 3 Q 7 X S w m c X V v d D t D b 2 x 1 b W 5 D b 3 V u d C Z x d W 9 0 O z o 3 L C Z x d W 9 0 O 0 t l e U N v b H V t b k 5 h b W V z J n F 1 b 3 Q 7 O l t d L C Z x d W 9 0 O 0 N v b H V t b k l k Z W 5 0 a X R p Z X M m c X V v d D s 6 W y Z x d W 9 0 O 1 N l Y 3 R p b 2 4 x L 1 R h Y m x l M j U 4 I C h Q Y W d l I D c 4 K S 9 B d X R v U m V t b 3 Z l Z E N v b H V t b n M x L n t D b 2 x 1 b W 4 x L D B 9 J n F 1 b 3 Q 7 L C Z x d W 9 0 O 1 N l Y 3 R p b 2 4 x L 1 R h Y m x l M j U 4 I C h Q Y W d l I D c 4 K S 9 B d X R v U m V t b 3 Z l Z E N v b H V t b n M x L n t D b 2 x 1 b W 4 y L D F 9 J n F 1 b 3 Q 7 L C Z x d W 9 0 O 1 N l Y 3 R p b 2 4 x L 1 R h Y m x l M j U 4 I C h Q Y W d l I D c 4 K S 9 B d X R v U m V t b 3 Z l Z E N v b H V t b n M x L n t D b 2 x 1 b W 4 z L D J 9 J n F 1 b 3 Q 7 L C Z x d W 9 0 O 1 N l Y 3 R p b 2 4 x L 1 R h Y m x l M j U 4 I C h Q Y W d l I D c 4 K S 9 B d X R v U m V t b 3 Z l Z E N v b H V t b n M x L n t D b 2 x 1 b W 4 0 L D N 9 J n F 1 b 3 Q 7 L C Z x d W 9 0 O 1 N l Y 3 R p b 2 4 x L 1 R h Y m x l M j U 4 I C h Q Y W d l I D c 4 K S 9 B d X R v U m V t b 3 Z l Z E N v b H V t b n M x L n t D b 2 x 1 b W 4 1 L D R 9 J n F 1 b 3 Q 7 L C Z x d W 9 0 O 1 N l Y 3 R p b 2 4 x L 1 R h Y m x l M j U 4 I C h Q Y W d l I D c 4 K S 9 B d X R v U m V t b 3 Z l Z E N v b H V t b n M x L n t D b 2 x 1 b W 4 2 L D V 9 J n F 1 b 3 Q 7 L C Z x d W 9 0 O 1 N l Y 3 R p b 2 4 x L 1 R h Y m x l M j U 4 I C h Q Y W d l I D c 4 K S 9 B d X R v U m V t b 3 Z l Z E N v b H V t b n M x L n t D b 2 x 1 b W 4 3 L D Z 9 J n F 1 b 3 Q 7 X S w m c X V v d D t S Z W x h d G l v b n N o a X B J b m Z v J n F 1 b 3 Q 7 O l t d f S I g L z 4 8 L 1 N 0 Y W J s Z U V u d H J p Z X M + P C 9 J d G V t P j x J d G V t P j x J d G V t T G 9 j Y X R p b 2 4 + P E l 0 Z W 1 U e X B l P k Z v c m 1 1 b G E 8 L 0 l 0 Z W 1 U e X B l P j x J d G V t U G F 0 a D 5 T Z W N 0 a W 9 u M S 9 U Y W J s Z T I 1 O C U y M C h Q Y W d l J T I w N z g p L 1 N v d X J j Z T w v S X R l b V B h d G g + P C 9 J d G V t T G 9 j Y X R p b 2 4 + P F N 0 Y W J s Z U V u d H J p Z X M g L z 4 8 L 0 l 0 Z W 0 + P E l 0 Z W 0 + P E l 0 Z W 1 M b 2 N h d G l v b j 4 8 S X R l b V R 5 c G U + R m 9 y b X V s Y T w v S X R l b V R 5 c G U + P E l 0 Z W 1 Q Y X R o P l N l Y 3 R p b 2 4 x L 1 R h Y m x l M j U 4 J T I w K F B h Z 2 U l M j A 3 O C k v V G F i b G U y N T g 8 L 0 l 0 Z W 1 Q Y X R o P j w v S X R l b U x v Y 2 F 0 a W 9 u P j x T d G F i b G V F b n R y a W V z I C 8 + P C 9 J d G V t P j x J d G V t P j x J d G V t T G 9 j Y X R p b 2 4 + P E l 0 Z W 1 U e X B l P k Z v c m 1 1 b G E 8 L 0 l 0 Z W 1 U e X B l P j x J d G V t U G F 0 a D 5 T Z W N 0 a W 9 u M S 9 U Y W J s Z T I 1 O C U y M C h Q Y W d l J T I w N z g p L 0 N o Y W 5 n Z W Q l M j B U e X B l P C 9 J d G V t U G F 0 a D 4 8 L 0 l 0 Z W 1 M b 2 N h d G l v b j 4 8 U 3 R h Y m x l R W 5 0 c m l l c y A v P j w v S X R l b T 4 8 L 0 l 0 Z W 1 z P j w v T G 9 j Y W x Q Y W N r Y W d l T W V 0 Y W R h d G F G a W x l P h Y A A A B Q S w U G A A A A A A A A A A A A A A A A A A A A A A A A J g E A A A E A A A D Q j J 3 f A R X R E Y x 6 A M B P w p f r A Q A A A H K M Z o I D i x x B n D 3 b P K N k t 4 M A A A A A A g A A A A A A E G Y A A A A B A A A g A A A A H k L 9 x D M I + H K n U n M V P O I E Z l 0 C N c l m Y W a v J 6 Y H X d z R c 3 Y A A A A A D o A A A A A C A A A g A A A A L H j I m m P W 6 U 5 P / o P g p h R 8 j P d t G 8 t I 6 Z / n H T U Q V o v q W R B Q A A A A h O B o Y G H p 8 G V + X C r V 4 A A D j u P U m i D K X y L e w g d Q D a V 3 n x + B H O a V x G F H g / X u I A D 5 t o n q l m q + Y p p p D S o f y z f D M 6 8 M q Y 9 l E X R 8 T Y O i Q 5 p / l t k J p k Z A A A A A D f v b G 3 p b O P c r E D M g v u 6 e 4 T K n / o r M M a Q f a W m z a P 0 2 P B t 4 8 D a n 0 D b Q Z / c m g u T 0 L H + u p N 4 R 2 Q S q t A A T N B X s c a w s W Q = = < / D a t a M a s h u p > 
</file>

<file path=customXml/itemProps1.xml><?xml version="1.0" encoding="utf-8"?>
<ds:datastoreItem xmlns:ds="http://schemas.openxmlformats.org/officeDocument/2006/customXml" ds:itemID="{D80AF14D-3DF7-445F-9A48-0048EE88A0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3-Statement_Model</vt:lpstr>
      <vt:lpstr>Assumptions</vt:lpstr>
      <vt:lpstr>Schedules</vt:lpstr>
      <vt:lpstr>Sheet1</vt:lpstr>
      <vt:lpstr>Revenue_Regression</vt:lpstr>
      <vt:lpst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Nkgopoleng Sebake</dc:creator>
  <cp:lastModifiedBy>Nkgopoleng Sebake</cp:lastModifiedBy>
  <dcterms:created xsi:type="dcterms:W3CDTF">2015-06-05T18:17:20Z</dcterms:created>
  <dcterms:modified xsi:type="dcterms:W3CDTF">2025-09-30T17:18:42Z</dcterms:modified>
</cp:coreProperties>
</file>