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1BEB2E70-69C8-4D5A-B334-1F690BD2E52E}" xr6:coauthVersionLast="47" xr6:coauthVersionMax="47" xr10:uidLastSave="{00000000-0000-0000-0000-000000000000}"/>
  <bookViews>
    <workbookView xWindow="-120" yWindow="-120" windowWidth="20730" windowHeight="11040" tabRatio="777" firstSheet="4" activeTab="7" xr2:uid="{00000000-000D-0000-FFFF-FFFF00000000}"/>
  </bookViews>
  <sheets>
    <sheet name="APIC" sheetId="7" state="hidden" r:id="rId1"/>
    <sheet name="Mark_Secs" sheetId="8" state="hidden" r:id="rId2"/>
    <sheet name="Schedules" sheetId="5" r:id="rId3"/>
    <sheet name="Debt_Schedule" sheetId="6" r:id="rId4"/>
    <sheet name="Metrics" sheetId="12" r:id="rId5"/>
    <sheet name="3_Statement_Model" sheetId="1" r:id="rId6"/>
    <sheet name="DCF" sheetId="10" r:id="rId7"/>
    <sheet name="Comps_Analysis" sheetId="11" r:id="rId8"/>
    <sheet name="Assumptions" sheetId="4" r:id="rId9"/>
    <sheet name="Sheet1" sheetId="9" state="hidden" r:id="rId10"/>
    <sheet name="Revenue_Regression" sheetId="2" r:id="rId11"/>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1" l="1" a="1"/>
  <c r="C7" i="11" s="1"/>
  <c r="D7" i="11" a="1"/>
  <c r="D7" i="11" s="1"/>
  <c r="O7" i="11" s="1"/>
  <c r="L7" i="11"/>
  <c r="M7" i="11"/>
  <c r="N7" i="11"/>
  <c r="D9" i="11" a="1"/>
  <c r="D9" i="11" s="1"/>
  <c r="C8" i="12"/>
  <c r="C11" i="12"/>
  <c r="C6" i="12"/>
  <c r="E139" i="5"/>
  <c r="F139" i="5" s="1"/>
  <c r="G139" i="5" s="1"/>
  <c r="H139" i="5" s="1"/>
  <c r="I139" i="5" s="1"/>
  <c r="D139" i="5"/>
  <c r="E138" i="5"/>
  <c r="F138" i="5" s="1"/>
  <c r="G138" i="5" s="1"/>
  <c r="H138" i="5" s="1"/>
  <c r="I138" i="5" s="1"/>
  <c r="D138" i="5"/>
  <c r="D136" i="5" l="1"/>
  <c r="E136" i="5" s="1"/>
  <c r="F136" i="5" s="1"/>
  <c r="G136" i="5" s="1"/>
  <c r="H136" i="5" s="1"/>
  <c r="I136" i="5" s="1"/>
  <c r="C10" i="12"/>
  <c r="C9" i="12"/>
  <c r="C130" i="5"/>
  <c r="C140" i="5"/>
  <c r="J13" i="11"/>
  <c r="I13" i="11"/>
  <c r="C127" i="5"/>
  <c r="H13" i="11" s="1"/>
  <c r="G13" i="11"/>
  <c r="D13" i="11" a="1"/>
  <c r="D13" i="11" s="1"/>
  <c r="L8" i="11"/>
  <c r="M8" i="11"/>
  <c r="N8" i="11"/>
  <c r="L9" i="11"/>
  <c r="M9" i="11"/>
  <c r="N9" i="11"/>
  <c r="L10" i="11"/>
  <c r="M10" i="11"/>
  <c r="N10" i="11"/>
  <c r="L11" i="11"/>
  <c r="M11" i="11"/>
  <c r="N11" i="11"/>
  <c r="D8" i="11" a="1"/>
  <c r="D8" i="11" s="1"/>
  <c r="O8" i="11" s="1"/>
  <c r="O9" i="11"/>
  <c r="D10" i="11" a="1"/>
  <c r="D10" i="11" s="1"/>
  <c r="O10" i="11" s="1"/>
  <c r="D11" i="11" a="1"/>
  <c r="D11" i="11" s="1"/>
  <c r="O11" i="11" s="1"/>
  <c r="C8" i="11" a="1"/>
  <c r="C8" i="11" s="1"/>
  <c r="C9" i="11" a="1"/>
  <c r="C9" i="11" s="1"/>
  <c r="C10" i="11" a="1"/>
  <c r="C10" i="11" s="1"/>
  <c r="C11" i="11" a="1"/>
  <c r="C11" i="11" s="1"/>
  <c r="C13" i="11" a="1"/>
  <c r="C13" i="11" s="1"/>
  <c r="L15" i="11" l="1"/>
  <c r="N15" i="11"/>
  <c r="M15" i="11"/>
  <c r="L14" i="11"/>
  <c r="N14" i="11"/>
  <c r="M14" i="11"/>
  <c r="O15" i="11"/>
  <c r="O14" i="11"/>
  <c r="C116" i="5" a="1"/>
  <c r="C116" i="5" s="1"/>
  <c r="C115" i="5" a="1"/>
  <c r="C115" i="5" s="1"/>
  <c r="C112" i="5"/>
  <c r="C109" i="5"/>
  <c r="C108" i="5"/>
  <c r="C110" i="5" l="1"/>
  <c r="D109" i="5" s="1"/>
  <c r="C118" i="5"/>
  <c r="C101" i="5"/>
  <c r="C100" i="5"/>
  <c r="C99" i="5"/>
  <c r="C98" i="5"/>
  <c r="C95" i="5"/>
  <c r="C94" i="5"/>
  <c r="J21" i="10"/>
  <c r="K19" i="10"/>
  <c r="J18" i="10"/>
  <c r="J20" i="10"/>
  <c r="I19" i="10"/>
  <c r="J19" i="10"/>
  <c r="E19" i="10"/>
  <c r="E18" i="10" s="1"/>
  <c r="C102" i="5" l="1"/>
  <c r="D108" i="5"/>
  <c r="D13" i="10"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H25" i="1"/>
  <c r="I25" i="1" s="1"/>
  <c r="J25" i="1" s="1"/>
  <c r="K25" i="1" s="1"/>
  <c r="L25" i="1" s="1"/>
  <c r="M25" i="1" s="1"/>
  <c r="N64" i="9"/>
  <c r="N57" i="9"/>
  <c r="M57" i="9"/>
  <c r="N56" i="9"/>
  <c r="M56" i="9"/>
  <c r="L59" i="9"/>
  <c r="N53" i="9"/>
  <c r="M53" i="9"/>
  <c r="I9" i="8"/>
  <c r="J7" i="8"/>
  <c r="K8" i="8"/>
  <c r="L8" i="8" s="1"/>
  <c r="I24" i="1" l="1"/>
  <c r="J95" i="1"/>
  <c r="K64" i="1"/>
  <c r="L64" i="1" s="1"/>
  <c r="M59" i="9"/>
  <c r="N59" i="9"/>
  <c r="J9" i="8"/>
  <c r="M8" i="8"/>
  <c r="N8" i="8" s="1"/>
  <c r="K7" i="8"/>
  <c r="K9" i="8" s="1"/>
  <c r="J24" i="1" l="1"/>
  <c r="H99" i="5"/>
  <c r="M64" i="1"/>
  <c r="I99" i="5" s="1"/>
  <c r="K95" i="1"/>
  <c r="G99" i="5"/>
  <c r="L95" i="1"/>
  <c r="L7" i="8"/>
  <c r="L9" i="8" s="1"/>
  <c r="K24" i="1" l="1"/>
  <c r="M95" i="1"/>
  <c r="M7" i="8"/>
  <c r="M9" i="8" s="1"/>
  <c r="L24" i="1" l="1"/>
  <c r="N7" i="8"/>
  <c r="N9" i="8" s="1"/>
  <c r="R26" i="5"/>
  <c r="W25" i="5"/>
  <c r="W27" i="5" s="1"/>
  <c r="V25" i="5"/>
  <c r="V27" i="5" s="1"/>
  <c r="U25" i="5"/>
  <c r="T25" i="5"/>
  <c r="S25" i="5"/>
  <c r="S27" i="5" s="1"/>
  <c r="R25" i="5"/>
  <c r="S17" i="5"/>
  <c r="T17" i="5" s="1"/>
  <c r="U17" i="5" s="1"/>
  <c r="V17" i="5" s="1"/>
  <c r="W17" i="5" s="1"/>
  <c r="C126" i="1"/>
  <c r="D126" i="1"/>
  <c r="E126" i="1"/>
  <c r="F126" i="1"/>
  <c r="G126" i="1"/>
  <c r="M24" i="1" l="1"/>
  <c r="U30" i="5"/>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4" i="5"/>
  <c r="I8" i="5"/>
  <c r="I12" i="5"/>
  <c r="I9" i="5"/>
  <c r="I13" i="5"/>
  <c r="I10" i="5"/>
  <c r="I11" i="5"/>
  <c r="I4"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14" i="5"/>
  <c r="J4" i="5"/>
  <c r="J12" i="5"/>
  <c r="J8" i="5"/>
  <c r="J5" i="5"/>
  <c r="J13" i="5"/>
  <c r="J10" i="5"/>
  <c r="J7" i="5"/>
  <c r="G11" i="6" l="1"/>
  <c r="G13" i="6" s="1"/>
  <c r="G14" i="6" s="1"/>
  <c r="K35" i="6"/>
  <c r="K43" i="6" s="1"/>
  <c r="J44" i="6"/>
  <c r="J23" i="6" s="1"/>
  <c r="N68" i="5"/>
  <c r="N61" i="5"/>
  <c r="J15" i="5"/>
  <c r="L1" i="5"/>
  <c r="K13" i="5"/>
  <c r="K11" i="5"/>
  <c r="K12" i="5"/>
  <c r="K5" i="5"/>
  <c r="K14" i="5"/>
  <c r="K8" i="5"/>
  <c r="K9" i="5"/>
  <c r="K7" i="5"/>
  <c r="K10" i="5"/>
  <c r="K4" i="5"/>
  <c r="L35" i="6" l="1"/>
  <c r="L43" i="6" s="1"/>
  <c r="H11" i="6"/>
  <c r="H13" i="6" s="1"/>
  <c r="H14" i="6" s="1"/>
  <c r="K44" i="6"/>
  <c r="K23" i="6" s="1"/>
  <c r="K15" i="5"/>
  <c r="M1" i="5"/>
  <c r="L12" i="5"/>
  <c r="L9" i="5"/>
  <c r="L8" i="5"/>
  <c r="L10" i="5"/>
  <c r="L13" i="5"/>
  <c r="L11" i="5"/>
  <c r="L5" i="5"/>
  <c r="L4" i="5"/>
  <c r="L14" i="5"/>
  <c r="L7" i="5"/>
  <c r="I11" i="6" l="1"/>
  <c r="I13" i="6" s="1"/>
  <c r="I14" i="6" s="1"/>
  <c r="M35" i="6"/>
  <c r="M43" i="6" s="1"/>
  <c r="M44" i="6" s="1"/>
  <c r="L44" i="6"/>
  <c r="L23" i="6" s="1"/>
  <c r="L27" i="6" s="1"/>
  <c r="L15" i="5"/>
  <c r="N1" i="5"/>
  <c r="M5" i="5"/>
  <c r="M9" i="5"/>
  <c r="M8" i="5"/>
  <c r="M4" i="5"/>
  <c r="M12" i="5"/>
  <c r="M14" i="5"/>
  <c r="M10" i="5"/>
  <c r="M11" i="5"/>
  <c r="M7" i="5"/>
  <c r="M13" i="5"/>
  <c r="L67" i="1" l="1"/>
  <c r="M15" i="5"/>
  <c r="N14" i="5"/>
  <c r="N5" i="5"/>
  <c r="N11" i="5"/>
  <c r="N4" i="5"/>
  <c r="N12" i="5"/>
  <c r="N13" i="5"/>
  <c r="N10" i="5"/>
  <c r="N9" i="5"/>
  <c r="N8" i="5"/>
  <c r="N7"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I82" i="5" l="1"/>
  <c r="D137" i="5"/>
  <c r="J63" i="1"/>
  <c r="J94" i="1" s="1"/>
  <c r="E98" i="5"/>
  <c r="J50" i="1"/>
  <c r="E94" i="5"/>
  <c r="J65" i="1"/>
  <c r="E100" i="5"/>
  <c r="I97" i="1"/>
  <c r="K36" i="5"/>
  <c r="J68" i="1" s="1"/>
  <c r="J37" i="5"/>
  <c r="J38" i="5" s="1"/>
  <c r="J78" i="5"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J82" i="5" l="1"/>
  <c r="I16" i="1" s="1"/>
  <c r="E133" i="5" s="1"/>
  <c r="E137" i="5"/>
  <c r="K50" i="1"/>
  <c r="F94" i="5"/>
  <c r="J97" i="1"/>
  <c r="K65" i="1"/>
  <c r="F100" i="5"/>
  <c r="K63" i="1"/>
  <c r="F98" i="5"/>
  <c r="L36" i="5"/>
  <c r="K68" i="1" s="1"/>
  <c r="K37" i="5"/>
  <c r="K38" i="5" s="1"/>
  <c r="K78" i="5" s="1"/>
  <c r="L102" i="1"/>
  <c r="K93" i="1"/>
  <c r="J92" i="1"/>
  <c r="H104" i="1"/>
  <c r="J71" i="5"/>
  <c r="I56" i="1" s="1"/>
  <c r="K71" i="5"/>
  <c r="J56" i="1" s="1"/>
  <c r="L60" i="5"/>
  <c r="L62" i="5"/>
  <c r="M102" i="1"/>
  <c r="L67" i="5"/>
  <c r="M35" i="5"/>
  <c r="L66" i="1" s="1"/>
  <c r="M32" i="5"/>
  <c r="L55" i="1" s="1"/>
  <c r="H95" i="5" s="1"/>
  <c r="M66" i="5"/>
  <c r="M69" i="5" s="1"/>
  <c r="N65" i="5"/>
  <c r="M59" i="5"/>
  <c r="N58" i="5"/>
  <c r="M18" i="5"/>
  <c r="K82" i="5" l="1"/>
  <c r="J16" i="1" s="1"/>
  <c r="F133" i="5" s="1"/>
  <c r="F137" i="5"/>
  <c r="L63" i="1"/>
  <c r="L94" i="1" s="1"/>
  <c r="G98" i="5"/>
  <c r="K94" i="1"/>
  <c r="L65" i="1"/>
  <c r="G100" i="5"/>
  <c r="L50" i="1"/>
  <c r="G94" i="5"/>
  <c r="K97" i="1"/>
  <c r="M36" i="5"/>
  <c r="L68" i="1" s="1"/>
  <c r="L37" i="5"/>
  <c r="L38" i="5" s="1"/>
  <c r="L78" i="5" s="1"/>
  <c r="L93" i="1"/>
  <c r="J104" i="1"/>
  <c r="I104" i="1"/>
  <c r="K92" i="1"/>
  <c r="L71" i="5"/>
  <c r="K56" i="1" s="1"/>
  <c r="M60" i="5"/>
  <c r="M62" i="5"/>
  <c r="M67" i="5"/>
  <c r="N35" i="5"/>
  <c r="M66" i="1" s="1"/>
  <c r="N32" i="5"/>
  <c r="M55" i="1" s="1"/>
  <c r="I95" i="5" s="1"/>
  <c r="N66" i="5"/>
  <c r="N69" i="5" s="1"/>
  <c r="N59" i="5"/>
  <c r="N18" i="5"/>
  <c r="L82" i="5" l="1"/>
  <c r="K16" i="1" s="1"/>
  <c r="G133" i="5" s="1"/>
  <c r="G137" i="5"/>
  <c r="M50" i="1"/>
  <c r="I94" i="5" s="1"/>
  <c r="H94" i="5"/>
  <c r="M65" i="1"/>
  <c r="I100" i="5" s="1"/>
  <c r="H100" i="5"/>
  <c r="L97" i="1"/>
  <c r="M63" i="1"/>
  <c r="M94" i="1" s="1"/>
  <c r="H98" i="5"/>
  <c r="M37" i="5"/>
  <c r="M38" i="5" s="1"/>
  <c r="M78" i="5" s="1"/>
  <c r="N36" i="5"/>
  <c r="M68" i="1" s="1"/>
  <c r="M93" i="1"/>
  <c r="K104" i="1"/>
  <c r="L92" i="1"/>
  <c r="M71" i="5"/>
  <c r="L56" i="1" s="1"/>
  <c r="N60" i="5"/>
  <c r="N62" i="5"/>
  <c r="N67" i="5"/>
  <c r="M82" i="5" l="1"/>
  <c r="L16" i="1" s="1"/>
  <c r="H133" i="5" s="1"/>
  <c r="H137" i="5"/>
  <c r="M92" i="1"/>
  <c r="I98" i="5"/>
  <c r="M97" i="1"/>
  <c r="N37" i="5"/>
  <c r="N38" i="5" s="1"/>
  <c r="N78" i="5" s="1"/>
  <c r="L104" i="1"/>
  <c r="N71" i="5"/>
  <c r="M56" i="1" s="1"/>
  <c r="N82" i="5" l="1"/>
  <c r="M16" i="1" s="1"/>
  <c r="I133" i="5" s="1"/>
  <c r="I137" i="5"/>
  <c r="M104" i="1"/>
  <c r="H16" i="1"/>
  <c r="D133" i="5" s="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E135" i="5" s="1"/>
  <c r="K26" i="5"/>
  <c r="H90" i="1"/>
  <c r="D135" i="5" s="1"/>
  <c r="I61" i="9"/>
  <c r="I27" i="5"/>
  <c r="H54" i="1" s="1"/>
  <c r="M21" i="5"/>
  <c r="L25" i="5"/>
  <c r="C123" i="5" l="1"/>
  <c r="F24" i="10"/>
  <c r="D123" i="5"/>
  <c r="E24" i="10"/>
  <c r="H103" i="1"/>
  <c r="J27" i="5"/>
  <c r="I54" i="1" s="1"/>
  <c r="K28" i="5"/>
  <c r="J90" i="1" s="1"/>
  <c r="F135" i="5" s="1"/>
  <c r="H25" i="6"/>
  <c r="I5" i="4"/>
  <c r="L26" i="5"/>
  <c r="L28" i="5" s="1"/>
  <c r="K90" i="1" s="1"/>
  <c r="G135" i="5" s="1"/>
  <c r="M25" i="5"/>
  <c r="N21" i="5"/>
  <c r="N25" i="5" s="1"/>
  <c r="K27" i="5"/>
  <c r="J54" i="1" s="1"/>
  <c r="G24" i="10" l="1"/>
  <c r="E123" i="5"/>
  <c r="H24" i="10"/>
  <c r="F123" i="5"/>
  <c r="H105" i="1"/>
  <c r="E25" i="10"/>
  <c r="J5" i="4"/>
  <c r="J103" i="1"/>
  <c r="I103" i="1"/>
  <c r="K5" i="4"/>
  <c r="L27" i="5"/>
  <c r="K54" i="1" s="1"/>
  <c r="M26" i="5"/>
  <c r="M28" i="5" s="1"/>
  <c r="L90" i="1" s="1"/>
  <c r="H135" i="5" s="1"/>
  <c r="N26" i="5"/>
  <c r="N27" i="5" s="1"/>
  <c r="M54" i="1" s="1"/>
  <c r="H26" i="6"/>
  <c r="I25" i="6"/>
  <c r="H36" i="6"/>
  <c r="H37" i="6" s="1"/>
  <c r="H15" i="1" s="1"/>
  <c r="D132" i="5" s="1"/>
  <c r="H17" i="1" l="1"/>
  <c r="H18" i="1" s="1"/>
  <c r="I24" i="10"/>
  <c r="G123" i="5"/>
  <c r="I105" i="1"/>
  <c r="F25" i="10"/>
  <c r="J105" i="1"/>
  <c r="G25" i="10"/>
  <c r="L5" i="4"/>
  <c r="K103" i="1"/>
  <c r="M27" i="5"/>
  <c r="L54" i="1" s="1"/>
  <c r="I26" i="6"/>
  <c r="J25" i="6"/>
  <c r="I36" i="6"/>
  <c r="I37" i="6" s="1"/>
  <c r="I15" i="1" s="1"/>
  <c r="H28" i="6"/>
  <c r="H29" i="6" s="1"/>
  <c r="N28" i="5"/>
  <c r="M90" i="1" s="1"/>
  <c r="I135" i="5" s="1"/>
  <c r="I31" i="6" l="1"/>
  <c r="I17" i="1"/>
  <c r="I18" i="1" s="1"/>
  <c r="E132" i="5"/>
  <c r="H19" i="1"/>
  <c r="D134" i="5"/>
  <c r="J24" i="10"/>
  <c r="O20" i="10" s="1"/>
  <c r="H123" i="5"/>
  <c r="K105" i="1"/>
  <c r="H25" i="10"/>
  <c r="H109" i="1"/>
  <c r="E19" i="6"/>
  <c r="H69" i="1"/>
  <c r="N5" i="4"/>
  <c r="M103" i="1"/>
  <c r="L103" i="1"/>
  <c r="M5" i="4"/>
  <c r="I28" i="6"/>
  <c r="I29" i="6" s="1"/>
  <c r="J36" i="6"/>
  <c r="J37" i="6" s="1"/>
  <c r="J15" i="1" s="1"/>
  <c r="J26" i="6"/>
  <c r="K25" i="6"/>
  <c r="I69" i="1" l="1"/>
  <c r="I19" i="1"/>
  <c r="I89" i="1" s="1"/>
  <c r="E134" i="5"/>
  <c r="J17" i="1"/>
  <c r="J18" i="1" s="1"/>
  <c r="F132" i="5"/>
  <c r="H20" i="1"/>
  <c r="C124" i="5"/>
  <c r="H30" i="1"/>
  <c r="H33" i="1" s="1"/>
  <c r="H38" i="1" s="1"/>
  <c r="H78" i="1"/>
  <c r="H89" i="1"/>
  <c r="J25" i="10"/>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K26" i="6"/>
  <c r="K36" i="6"/>
  <c r="K37" i="6" s="1"/>
  <c r="K15" i="1" s="1"/>
  <c r="L25" i="6"/>
  <c r="J28" i="6"/>
  <c r="J29" i="6" s="1"/>
  <c r="I20" i="1" l="1"/>
  <c r="I30" i="1"/>
  <c r="E130" i="5" s="1"/>
  <c r="E140" i="5" s="1"/>
  <c r="I78" i="1"/>
  <c r="J69" i="1"/>
  <c r="J19" i="1"/>
  <c r="J89" i="1" s="1"/>
  <c r="F134" i="5"/>
  <c r="K17" i="1"/>
  <c r="K18" i="1" s="1"/>
  <c r="G132" i="5"/>
  <c r="D130" i="5"/>
  <c r="D140" i="5" s="1"/>
  <c r="N92" i="4"/>
  <c r="F50" i="6"/>
  <c r="J92" i="4"/>
  <c r="I92" i="4"/>
  <c r="I47" i="5" s="1"/>
  <c r="H50" i="6"/>
  <c r="M92" i="4"/>
  <c r="L92" i="4"/>
  <c r="G50" i="6"/>
  <c r="C50" i="6"/>
  <c r="D50" i="6"/>
  <c r="E50" i="6"/>
  <c r="K92" i="4"/>
  <c r="J109" i="1"/>
  <c r="L26" i="6"/>
  <c r="L36" i="6"/>
  <c r="L37" i="6" s="1"/>
  <c r="L15" i="1" s="1"/>
  <c r="M25" i="6"/>
  <c r="K28" i="6"/>
  <c r="K29" i="6" s="1"/>
  <c r="I33" i="1" l="1"/>
  <c r="I38" i="1" s="1"/>
  <c r="J78" i="1"/>
  <c r="J30" i="1"/>
  <c r="J33" i="1" s="1"/>
  <c r="J38" i="1" s="1"/>
  <c r="J20" i="1"/>
  <c r="K69" i="1"/>
  <c r="D6" i="12"/>
  <c r="D11" i="12"/>
  <c r="E6" i="12"/>
  <c r="E11" i="12"/>
  <c r="K19" i="1"/>
  <c r="K89" i="1" s="1"/>
  <c r="G134" i="5"/>
  <c r="L17" i="1"/>
  <c r="L18" i="1" s="1"/>
  <c r="H132" i="5"/>
  <c r="J47" i="5"/>
  <c r="K47" i="5" s="1"/>
  <c r="L47" i="5" s="1"/>
  <c r="I48" i="5"/>
  <c r="I49" i="5" s="1"/>
  <c r="I44" i="5"/>
  <c r="J44" i="5" s="1"/>
  <c r="K44" i="5" s="1"/>
  <c r="L44" i="5" s="1"/>
  <c r="M44" i="5" s="1"/>
  <c r="N44" i="5" s="1"/>
  <c r="K109" i="1"/>
  <c r="L28" i="6"/>
  <c r="L29" i="6" s="1"/>
  <c r="M26" i="6"/>
  <c r="M36" i="6"/>
  <c r="M37" i="6" s="1"/>
  <c r="M15" i="1" s="1"/>
  <c r="F130" i="5" l="1"/>
  <c r="F140" i="5" s="1"/>
  <c r="F11" i="12" s="1"/>
  <c r="K78" i="1"/>
  <c r="L69" i="1"/>
  <c r="K30" i="1"/>
  <c r="K33" i="1" s="1"/>
  <c r="K38" i="1" s="1"/>
  <c r="K20" i="1"/>
  <c r="L19" i="1"/>
  <c r="L20" i="1" s="1"/>
  <c r="H134" i="5"/>
  <c r="M17" i="1"/>
  <c r="M18" i="1" s="1"/>
  <c r="I132" i="5"/>
  <c r="I50" i="5"/>
  <c r="I45" i="8" s="1"/>
  <c r="I42" i="8" s="1"/>
  <c r="H110" i="1" s="1"/>
  <c r="H111" i="1" s="1"/>
  <c r="J48" i="5"/>
  <c r="K48" i="5" s="1"/>
  <c r="I53" i="5"/>
  <c r="I52" i="5" s="1"/>
  <c r="H70" i="1" s="1"/>
  <c r="L109" i="1"/>
  <c r="M28" i="6"/>
  <c r="M29" i="6" s="1"/>
  <c r="M47" i="5"/>
  <c r="F6" i="12" l="1"/>
  <c r="L78" i="1"/>
  <c r="G130" i="5"/>
  <c r="G140" i="5" s="1"/>
  <c r="L30" i="1"/>
  <c r="H130" i="5" s="1"/>
  <c r="H140" i="5" s="1"/>
  <c r="L89" i="1"/>
  <c r="M19" i="1"/>
  <c r="M30" i="1" s="1"/>
  <c r="I134" i="5"/>
  <c r="M69" i="1"/>
  <c r="D14" i="10"/>
  <c r="I34" i="10" s="1"/>
  <c r="H96" i="1"/>
  <c r="H98" i="1" s="1"/>
  <c r="D7" i="12"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L33" i="1" l="1"/>
  <c r="L38" i="1" s="1"/>
  <c r="M20" i="1"/>
  <c r="H6" i="12"/>
  <c r="H11" i="12"/>
  <c r="G6" i="12"/>
  <c r="G11" i="12"/>
  <c r="M78" i="1"/>
  <c r="M89" i="1"/>
  <c r="H115" i="1"/>
  <c r="H119" i="1" s="1"/>
  <c r="M33" i="1"/>
  <c r="M38" i="1" s="1"/>
  <c r="I130" i="5"/>
  <c r="I140" i="5" s="1"/>
  <c r="D35" i="10"/>
  <c r="E27" i="10"/>
  <c r="E29" i="10" s="1"/>
  <c r="I96" i="1"/>
  <c r="I98" i="1" s="1"/>
  <c r="E7" i="12" s="1"/>
  <c r="E101" i="5"/>
  <c r="E102" i="5" s="1"/>
  <c r="E104" i="5" s="1"/>
  <c r="F26" i="10" s="1"/>
  <c r="F27" i="10" s="1"/>
  <c r="F29" i="10" s="1"/>
  <c r="I71" i="1"/>
  <c r="J70" i="1"/>
  <c r="J110" i="1"/>
  <c r="J111" i="1" s="1"/>
  <c r="M48" i="5"/>
  <c r="L49" i="5"/>
  <c r="L50" i="5" s="1"/>
  <c r="L45" i="8" s="1"/>
  <c r="L42" i="8" s="1"/>
  <c r="L53" i="5"/>
  <c r="L52" i="5" s="1"/>
  <c r="I6" i="12" l="1"/>
  <c r="I11" i="12"/>
  <c r="I115" i="1"/>
  <c r="E30" i="10"/>
  <c r="F30" i="10"/>
  <c r="J96" i="1"/>
  <c r="J98" i="1" s="1"/>
  <c r="F7" i="12" s="1"/>
  <c r="F101" i="5"/>
  <c r="F102" i="5" s="1"/>
  <c r="F104" i="5" s="1"/>
  <c r="G26" i="10" s="1"/>
  <c r="G27" i="10" s="1"/>
  <c r="K70" i="1"/>
  <c r="J71" i="1"/>
  <c r="I118" i="1"/>
  <c r="H124" i="1"/>
  <c r="H123" i="1"/>
  <c r="H48" i="1" s="1"/>
  <c r="H125" i="1"/>
  <c r="K110" i="1"/>
  <c r="K111" i="1" s="1"/>
  <c r="N48" i="5"/>
  <c r="M53" i="5"/>
  <c r="M52" i="5" s="1"/>
  <c r="M49" i="5"/>
  <c r="M50" i="5" s="1"/>
  <c r="M45" i="8" s="1"/>
  <c r="M42" i="8" s="1"/>
  <c r="I119" i="1" l="1"/>
  <c r="I124" i="1" s="1"/>
  <c r="J115" i="1"/>
  <c r="G30" i="10"/>
  <c r="G29" i="10"/>
  <c r="K96" i="1"/>
  <c r="K98" i="1" s="1"/>
  <c r="G7" i="12" s="1"/>
  <c r="G101" i="5"/>
  <c r="G102" i="5" s="1"/>
  <c r="G104" i="5" s="1"/>
  <c r="H26" i="10" s="1"/>
  <c r="H27" i="10" s="1"/>
  <c r="K71" i="1"/>
  <c r="L70" i="1"/>
  <c r="H126" i="1"/>
  <c r="H51" i="1"/>
  <c r="L110" i="1"/>
  <c r="L111" i="1" s="1"/>
  <c r="N53" i="5"/>
  <c r="N52" i="5" s="1"/>
  <c r="N49" i="5"/>
  <c r="N50" i="5" s="1"/>
  <c r="N45" i="8" s="1"/>
  <c r="N42" i="8" s="1"/>
  <c r="J118" i="1" l="1"/>
  <c r="J119" i="1" s="1"/>
  <c r="K118" i="1" s="1"/>
  <c r="I123" i="1"/>
  <c r="I48" i="1" s="1"/>
  <c r="I125" i="1"/>
  <c r="I51" i="1" s="1"/>
  <c r="K115" i="1"/>
  <c r="H30" i="10"/>
  <c r="H29" i="10"/>
  <c r="L96" i="1"/>
  <c r="L98" i="1" s="1"/>
  <c r="H7" i="12" s="1"/>
  <c r="H101" i="5"/>
  <c r="H102" i="5" s="1"/>
  <c r="H104" i="5" s="1"/>
  <c r="I26" i="10" s="1"/>
  <c r="I27" i="10" s="1"/>
  <c r="I30" i="10" s="1"/>
  <c r="L71" i="1"/>
  <c r="M70" i="1"/>
  <c r="H59" i="1"/>
  <c r="M110" i="1"/>
  <c r="M111" i="1" s="1"/>
  <c r="I90" i="5" l="1"/>
  <c r="H76" i="1" s="1"/>
  <c r="D9" i="12"/>
  <c r="J124" i="1"/>
  <c r="J123" i="1"/>
  <c r="J48" i="1" s="1"/>
  <c r="J125" i="1"/>
  <c r="K119" i="1"/>
  <c r="K125" i="1" s="1"/>
  <c r="I126" i="1"/>
  <c r="I59" i="1"/>
  <c r="E9" i="12" s="1"/>
  <c r="L115" i="1"/>
  <c r="I29" i="10"/>
  <c r="M96" i="1"/>
  <c r="M98" i="1" s="1"/>
  <c r="I7" i="12" s="1"/>
  <c r="I101" i="5"/>
  <c r="I102" i="5" s="1"/>
  <c r="I104" i="5" s="1"/>
  <c r="J26" i="10" s="1"/>
  <c r="J27" i="10" s="1"/>
  <c r="O19" i="10" s="1"/>
  <c r="M71" i="1"/>
  <c r="L118" i="1" l="1"/>
  <c r="L119" i="1" s="1"/>
  <c r="M118" i="1" s="1"/>
  <c r="J90" i="5"/>
  <c r="I76" i="1" s="1"/>
  <c r="I79" i="1" s="1"/>
  <c r="K124" i="1"/>
  <c r="K51" i="1" s="1"/>
  <c r="K123" i="1"/>
  <c r="J126" i="1"/>
  <c r="J51" i="1"/>
  <c r="J59" i="1" s="1"/>
  <c r="M115" i="1"/>
  <c r="J29" i="10"/>
  <c r="J30" i="10"/>
  <c r="I81" i="1" l="1"/>
  <c r="E10" i="12"/>
  <c r="K126" i="1"/>
  <c r="K48" i="1"/>
  <c r="K59" i="1" s="1"/>
  <c r="G9" i="12" s="1"/>
  <c r="K90" i="5"/>
  <c r="J76" i="1" s="1"/>
  <c r="J79" i="1" s="1"/>
  <c r="I82" i="1"/>
  <c r="F9" i="12"/>
  <c r="M119" i="1"/>
  <c r="M125" i="1" s="1"/>
  <c r="L124" i="1"/>
  <c r="L125" i="1"/>
  <c r="L123" i="1"/>
  <c r="L48" i="1" s="1"/>
  <c r="L90" i="5" l="1"/>
  <c r="K76" i="1" s="1"/>
  <c r="K79" i="1" s="1"/>
  <c r="G10" i="12" s="1"/>
  <c r="J82" i="1"/>
  <c r="F10" i="12"/>
  <c r="F8" i="12"/>
  <c r="J81" i="1"/>
  <c r="M123" i="1"/>
  <c r="M48" i="1" s="1"/>
  <c r="D15" i="10" s="1"/>
  <c r="D34" i="10" s="1"/>
  <c r="M124" i="1"/>
  <c r="M51" i="1" s="1"/>
  <c r="L126" i="1"/>
  <c r="L51" i="1"/>
  <c r="L59" i="1" s="1"/>
  <c r="K81" i="1" l="1"/>
  <c r="G8" i="12"/>
  <c r="K82" i="1"/>
  <c r="M90" i="5"/>
  <c r="L76" i="1" s="1"/>
  <c r="L79" i="1" s="1"/>
  <c r="H9" i="12"/>
  <c r="M59" i="1"/>
  <c r="N90" i="5" s="1"/>
  <c r="M76" i="1" s="1"/>
  <c r="M79" i="1" s="1"/>
  <c r="I35" i="10"/>
  <c r="I36" i="10" s="1"/>
  <c r="D28" i="10" s="1"/>
  <c r="D30" i="10" s="1"/>
  <c r="M126" i="1"/>
  <c r="H79" i="1"/>
  <c r="D10" i="12" s="1"/>
  <c r="H8" i="12" l="1"/>
  <c r="H10" i="12"/>
  <c r="M81" i="1"/>
  <c r="I10" i="12"/>
  <c r="L82" i="1"/>
  <c r="L81" i="1"/>
  <c r="I9" i="12"/>
  <c r="H81" i="1"/>
  <c r="E8" i="12"/>
  <c r="D8" i="12"/>
  <c r="I8" i="12"/>
  <c r="M82" i="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8" authorId="0" shapeId="0" xr:uid="{9FAC895D-F592-4EFD-9971-C9DB3006FD51}">
      <text>
        <r>
          <rPr>
            <b/>
            <sz val="9"/>
            <color indexed="81"/>
            <rFont val="Tahoma"/>
            <family val="2"/>
          </rPr>
          <t>Nkgopoleng Sebake:</t>
        </r>
        <r>
          <rPr>
            <sz val="9"/>
            <color indexed="81"/>
            <rFont val="Tahoma"/>
            <family val="2"/>
          </rPr>
          <t xml:space="preserve">
average equity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<sst xmlns="http://schemas.openxmlformats.org/spreadsheetml/2006/main" count="854" uniqueCount="418">
  <si>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</si>
  <si>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</si>
  <si>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</si>
  <si>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</si>
  <si>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</si>
  <si>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</si>
  <si>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</si>
  <si>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</si>
  <si>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</si>
  <si>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</si>
  <si>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</si>
  <si>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</si>
  <si>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</si>
  <si>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</si>
  <si>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</si>
  <si>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</si>
  <si>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</si>
  <si>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</si>
  <si>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</si>
  <si>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</si>
  <si>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</si>
  <si>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</si>
  <si>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</si>
  <si>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</si>
  <si>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</si>
  <si>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</si>
  <si>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</si>
  <si>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</si>
  <si>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</si>
  <si>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</si>
  <si>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</si>
  <si>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</si>
  <si>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</si>
  <si>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</si>
  <si>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</si>
  <si>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</si>
  <si>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</si>
  <si>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</si>
  <si>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</si>
  <si>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</si>
  <si>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</si>
  <si>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</si>
  <si>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</si>
  <si>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</si>
  <si>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</si>
  <si>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</si>
  <si>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</si>
  <si>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</si>
  <si>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</si>
  <si>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</si>
  <si>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</si>
  <si>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</si>
  <si>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</si>
  <si>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</si>
  <si>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</si>
  <si>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</si>
  <si>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</si>
  <si>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</si>
  <si>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</si>
  <si>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</si>
  <si>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</si>
  <si>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</si>
  <si>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</si>
  <si>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</si>
  <si>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</si>
  <si>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</si>
  <si>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</si>
  <si>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</si>
  <si>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</si>
  <si>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</si>
  <si>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</si>
  <si>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</si>
  <si>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</si>
  <si>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</si>
  <si>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</si>
  <si>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</si>
  <si>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</si>
  <si>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</si>
  <si>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</si>
  <si>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</si>
  <si>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</si>
  <si>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</si>
  <si>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</si>
  <si>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</si>
  <si>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</si>
  <si>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</si>
  <si>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</si>
  <si>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</si>
  <si>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</si>
  <si>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</si>
  <si>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</si>
  <si>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</si>
  <si>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</si>
  <si>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</si>
  <si>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</si>
  <si>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</si>
  <si>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</si>
  <si>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</si>
  <si>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</si>
  <si>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</si>
  <si>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</si>
  <si>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</si>
  <si>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</si>
  <si>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</si>
  <si>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</si>
  <si>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</si>
  <si>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</si>
  <si>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</si>
  <si>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</si>
  <si>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</si>
  <si>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</si>
  <si>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</si>
  <si>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</si>
  <si>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</si>
  <si>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</si>
  <si>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</si>
  <si>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</si>
  <si>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</si>
  <si>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</si>
  <si>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</si>
  <si>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</si>
  <si>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</si>
  <si>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</si>
  <si>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</si>
  <si>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</si>
  <si>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</si>
  <si>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</si>
  <si>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</si>
  <si>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</si>
  <si>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</si>
  <si>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</si>
  <si>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</si>
  <si>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</si>
  <si>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</si>
  <si>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</si>
  <si>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</si>
  <si>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</si>
  <si>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</si>
  <si>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</si>
  <si>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</si>
  <si>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</si>
  <si>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</si>
  <si>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</si>
  <si>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</si>
  <si>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</si>
  <si>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</si>
  <si>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</si>
  <si>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</si>
  <si>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</si>
  <si>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</si>
  <si>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</si>
  <si>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</si>
  <si>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</si>
  <si>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</si>
  <si>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</si>
  <si>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</si>
  <si>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</si>
  <si>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</si>
  <si>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</si>
  <si>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</si>
  <si>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</si>
  <si>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</si>
  <si>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</si>
  <si>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</si>
  <si>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</si>
  <si>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</si>
  <si>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</si>
  <si>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</si>
  <si>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</si>
  <si>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</si>
  <si>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</si>
  <si>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</si>
  <si>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</si>
  <si>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</si>
  <si>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</si>
  <si>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</si>
  <si>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</si>
  <si>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</si>
  <si>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</si>
  <si>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</si>
  <si>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</si>
  <si>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</si>
  <si>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</si>
  <si>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</si>
  <si>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</si>
  <si>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</si>
  <si>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</si>
  <si>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</si>
  <si>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</si>
  <si>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</si>
  <si>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</si>
  <si>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</si>
  <si>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</si>
  <si>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</si>
  <si>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</si>
  <si>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</si>
  <si>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</si>
  <si>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</si>
  <si>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</si>
  <si>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</si>
  <si>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</si>
  <si>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</si>
  <si>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</si>
  <si>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</si>
  <si>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</si>
  <si>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</si>
  <si>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</si>
  <si>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</si>
  <si>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</si>
  <si>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</si>
  <si>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</si>
  <si>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</si>
  <si>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</si>
  <si>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</si>
  <si>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</si>
  <si>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</si>
  <si>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</si>
  <si>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</si>
  <si>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</si>
  <si>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</si>
  <si>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</si>
  <si>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</si>
  <si>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</si>
  <si>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</si>
  <si>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</si>
  <si>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</si>
  <si>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</si>
  <si>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</si>
  <si>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</si>
  <si>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</si>
  <si>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</si>
  <si>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</si>
  <si>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</si>
  <si>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</si>
  <si>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</si>
  <si>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</si>
  <si>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</si>
  <si>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</si>
  <si>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</si>
  <si>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</si>
  <si>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</si>
  <si>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</si>
  <si>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</si>
  <si>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</si>
  <si>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</si>
  <si>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</si>
  <si>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</si>
  <si>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</si>
  <si>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</si>
  <si>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</si>
  <si>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</si>
  <si>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</si>
  <si>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</si>
  <si>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</si>
  <si>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</si>
  <si>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</si>
  <si>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</si>
  <si>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</si>
  <si>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</si>
  <si>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</si>
  <si>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</si>
  <si>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</si>
  <si>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</si>
  <si>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</si>
  <si>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</si>
  <si>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</si>
  <si>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</si>
  <si>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</si>
  <si>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</si>
  <si>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</si>
  <si>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</si>
  <si>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</si>
  <si>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</si>
  <si>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</si>
  <si>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</si>
  <si>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</si>
  <si>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</si>
  <si>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</si>
  <si>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</si>
  <si>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</si>
  <si>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</si>
  <si>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</si>
  <si>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</si>
  <si>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</si>
  <si>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</si>
  <si>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</si>
  <si>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</si>
  <si>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</si>
  <si>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</si>
  <si>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</si>
  <si>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</si>
  <si>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</si>
  <si>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</si>
  <si>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</si>
  <si>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</si>
  <si>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</si>
  <si>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</si>
  <si>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</si>
  <si>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</si>
  <si>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</si>
  <si>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</si>
  <si>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</si>
  <si>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</si>
  <si>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</si>
  <si>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</si>
  <si>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</si>
  <si>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</si>
  <si>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</si>
  <si>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</si>
  <si>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</si>
  <si>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</si>
  <si>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</si>
  <si>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</si>
  <si>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</si>
  <si>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</si>
  <si>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</si>
  <si>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</si>
  <si>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</si>
  <si>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</si>
  <si>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</si>
  <si>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</si>
  <si>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</si>
  <si>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</si>
  <si>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</si>
  <si>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</si>
  <si>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</si>
  <si>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</si>
  <si>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</si>
  <si>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</si>
  <si>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</si>
  <si>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</si>
  <si>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</si>
  <si>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</si>
  <si>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</si>
  <si>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</si>
  <si>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</si>
  <si>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</si>
  <si>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</si>
  <si>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</si>
  <si>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</si>
  <si>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</si>
  <si>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</si>
  <si>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</si>
  <si>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</si>
  <si>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</si>
  <si>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</si>
  <si>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</si>
  <si>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</si>
  <si>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</si>
  <si>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</si>
  <si>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</si>
  <si>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</si>
  <si>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</si>
  <si>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</si>
  <si>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</si>
  <si>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</si>
  <si>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</si>
  <si>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</si>
  <si>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</si>
  <si>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</si>
  <si>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</si>
  <si>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</si>
  <si>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</si>
  <si>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</si>
  <si>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</si>
  <si>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</si>
  <si>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</si>
  <si>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</si>
  <si>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</si>
  <si>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</si>
  <si>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</si>
  <si>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</si>
  <si>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</si>
  <si>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</si>
  <si>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</si>
  <si>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</si>
  <si>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</si>
  <si>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</si>
  <si>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</si>
  <si>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</si>
  <si>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</si>
  <si>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</si>
  <si>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</si>
  <si>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</si>
  <si>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</si>
  <si>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</si>
  <si>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</si>
  <si>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</si>
  <si>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</si>
  <si>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</si>
  <si>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</si>
  <si>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</si>
  <si>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</si>
  <si>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</si>
  <si>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</si>
  <si>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</si>
  <si>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</si>
  <si>
    <t>Financial (Thousands)</t>
  </si>
  <si>
    <t>2024A</t>
  </si>
  <si>
    <t>2025E</t>
  </si>
  <si>
    <t>2026E</t>
  </si>
  <si>
    <t>2027E</t>
  </si>
  <si>
    <t>2028E</t>
  </si>
  <si>
    <t>2029E</t>
  </si>
  <si>
    <t>2030E</t>
  </si>
  <si>
    <t>Net Income</t>
  </si>
  <si>
    <t>Adjusted EBITDA</t>
  </si>
  <si>
    <t>Free Cash Flow</t>
  </si>
  <si>
    <t>ROE</t>
  </si>
  <si>
    <t>ROA</t>
  </si>
  <si>
    <t>Debt/Equity</t>
  </si>
  <si>
    <t>Debt/EBITDA</t>
  </si>
  <si>
    <t>Adjustments</t>
  </si>
  <si>
    <t>Other (income) expense, net</t>
  </si>
  <si>
    <t>Payroll tax expense related to SBC</t>
  </si>
  <si>
    <t>Gain from lease termination</t>
  </si>
  <si>
    <t>Restructuring charges</t>
  </si>
  <si>
    <t>Non-cash add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</si>
</sst>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7"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
      <b/>
      <sz val="11"/>
      <color rgb="FFFFFFFF"/>
      <name val="Arial Narrow"/>
      <family val="2"/>
    </font>
  </fonts>
  <fills count="20">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
      <patternFill patternType="solid">
        <fgColor rgb="FF2F75B5"/>
        <bgColor indexed="64"/>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9">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56" fillId="17" borderId="0" xfId="0" applyFont="1" applyFill="1" applyAlignment="1">
      <alignment vertical="center"/>
    </xf>
    <xf numFmtId="0" fontId="19" fillId="11" borderId="0" xfId="0" applyFont="1" applyFill="1" applyAlignment="1">
      <alignment horizontal="right" vertical="center"/>
    </xf>
    <xf numFmtId="0" fontId="19" fillId="19" borderId="0" xfId="0" applyFont="1" applyFill="1" applyAlignment="1">
      <alignment horizontal="right" vertical="center"/>
    </xf>
    <xf numFmtId="0" fontId="27" fillId="0" borderId="0" xfId="0" applyFont="1" applyAlignment="1">
      <alignment vertical="center"/>
    </xf>
    <xf numFmtId="4" fontId="27" fillId="0" borderId="0" xfId="0" applyNumberFormat="1" applyFont="1" applyAlignment="1">
      <alignment horizontal="right" vertical="center"/>
    </xf>
    <xf numFmtId="166" fontId="0" fillId="0" borderId="3" xfId="0" applyNumberFormat="1" applyBorder="1"/>
    <xf numFmtId="10" fontId="27" fillId="0" borderId="0" xfId="0" applyNumberFormat="1" applyFont="1" applyAlignment="1">
      <alignment horizontal="right" vertical="center"/>
    </xf>
    <xf numFmtId="176" fontId="27" fillId="0" borderId="0" xfId="0" applyNumberFormat="1" applyFont="1" applyAlignment="1">
      <alignment horizontal="righ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8.0999999999999996E-3</v>
    <v>1.9950000000000002E-3</v>
    <v>US</v>
    <v>USD</v>
    <v>Bond</v>
    <v>45912.878472222219</v>
    <v>0</v>
    <v>49536</v>
    <v>US Treasury 10Y</v>
    <v>4.0599999999999996</v>
    <v>4.0681000000000003</v>
    <v>US10Y</v>
    <v>US Treasury 10Y</v>
    <v>4.2365000000000007E-2</v>
    <v>4.086E-2</v>
    <v>3.6569999999999998E-2</v>
    <v>4.011E-2</v>
  </rv>
  <rv s="2">
    <v>1</v>
  </rv>
  <rv s="0">
    <v>https://www.bing.com/financeapi/forcetrigger?t=b6m84c&amp;q=XNAS%3aLYFT&amp;form=skydnc</v>
    <v>Learn more on Bing</v>
  </rv>
  <rv s="3">
    <v>en-ZA</v>
    <v>b6m84c</v>
    <v>268435456</v>
    <v>1</v>
    <v>Powered by Refinitiv</v>
    <v>5</v>
    <v>LYFT, INC. (XNAS:LYFT)</v>
    <v>6</v>
    <v>7</v>
    <v>Finance</v>
    <v>8</v>
    <v>19.350000000000001</v>
    <v>9.66</v>
    <v>2.3586</v>
    <v>0.3</v>
    <v>0</v>
    <v>1.6375999999999998E-2</v>
    <v>0</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18.829999999999998</v>
    <v>Software &amp; IT Services</v>
    <v>Stock</v>
    <v>45912.999653205472</v>
    <v>3</v>
    <v>18.3</v>
    <v>7567941000</v>
    <v>LYFT, INC.</v>
    <v>LYFT, INC.</v>
    <v>18.375</v>
    <v>85.852199999999996</v>
    <v>18.32</v>
    <v>18.62</v>
    <v>18.62</v>
    <v>406441500</v>
    <v>LYFT</v>
    <v>LYFT, INC. (XNAS:LYFT)</v>
    <v>29849275</v>
    <v>21608659</v>
    <v>2007</v>
  </rv>
  <rv s="2">
    <v>4</v>
  </rv>
  <rv s="0">
    <v>https://www.bing.com/financeapi/forcetrigger?t=a1qc1h&amp;q=XNYS%3aCRM&amp;form=skydnc</v>
    <v>Learn more on Bing</v>
  </rv>
  <rv s="3">
    <v>en-ZA</v>
    <v>a1qc1h</v>
    <v>268435456</v>
    <v>1</v>
    <v>Powered by Refinitiv</v>
    <v>5</v>
    <v>SALESFORCE, INC. (XNYS:CRM)</v>
    <v>6</v>
    <v>7</v>
    <v>Finance</v>
    <v>8</v>
    <v>369</v>
    <v>226.48</v>
    <v>1.2113</v>
    <v>-3.52</v>
    <v>9.8860000000000007E-4</v>
    <v>-1.4293E-2</v>
    <v>0.24</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247.58879999999999</v>
    <v>Software &amp; IT Services</v>
    <v>Stock</v>
    <v>45912.999707303126</v>
    <v>6</v>
    <v>241.25</v>
    <v>231107500000</v>
    <v>SALESFORCE, INC.</v>
    <v>SALESFORCE, INC.</v>
    <v>246.095</v>
    <v>35.225499999999997</v>
    <v>246.28</v>
    <v>242.76</v>
    <v>243</v>
    <v>952000000</v>
    <v>CRM</v>
    <v>SALESFORCE, INC. (XNYS:CRM)</v>
    <v>8386354</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1.4809000000000001</v>
    <v>1.21</v>
    <v>-2.3990000000000001E-3</v>
    <v>1.278E-2</v>
    <v>-0.23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96.27</v>
    <v>Software &amp; IT Services</v>
    <v>Stock</v>
    <v>45912.999991307814</v>
    <v>9</v>
    <v>93.71</v>
    <v>199970800000</v>
    <v>UBER TECHNOLOGIES, INC.</v>
    <v>UBER TECHNOLOGIES, INC.</v>
    <v>94.49</v>
    <v>16.2547</v>
    <v>94.68</v>
    <v>95.89</v>
    <v>95.66</v>
    <v>2085419000</v>
    <v>UBER</v>
    <v>UBER TECHNOLOGIES, INC. (XNYS:UBER)</v>
    <v>13659231</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0.92849999999999999</v>
    <v>-9.32</v>
    <v>5.3819999999999996E-4</v>
    <v>-9.9329999999999991E-3</v>
    <v>0.5</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941.85</v>
    <v>Software &amp; IT Services</v>
    <v>Stock</v>
    <v>45912.994574142969</v>
    <v>12</v>
    <v>926.93</v>
    <v>193223700000</v>
    <v>SERVICENOW, INC.</v>
    <v>SERVICENOW, INC.</v>
    <v>941.73</v>
    <v>117.0107</v>
    <v>938.28</v>
    <v>928.96</v>
    <v>929.46</v>
    <v>208000000</v>
    <v>NOW</v>
    <v>SERVICENOW, INC. (XNYS:NOW)</v>
    <v>711217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1.2544</v>
    <v>-14.49</v>
    <v>1.1919999999999999E-3</v>
    <v>-2.1937000000000002E-2</v>
    <v>0.77</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660.4</v>
    <v>Financial Technology (Fintech) &amp; Infrastructure</v>
    <v>Stock</v>
    <v>45912.999684305469</v>
    <v>15</v>
    <v>645.30999999999995</v>
    <v>180116400000</v>
    <v>INTUIT INC.</v>
    <v>INTUIT INC.</v>
    <v>658.45500000000004</v>
    <v>48.314100000000003</v>
    <v>660.52</v>
    <v>646.03</v>
    <v>646.79999999999995</v>
    <v>278805000</v>
    <v>INTU</v>
    <v>INTUIT INC. (XNAS:INTU)</v>
    <v>2202314</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557.8999</v>
    <v>330.04</v>
    <v>1.4964</v>
    <v>-1.19</v>
    <v>-2.4620000000000002E-3</v>
    <v>-3.3950000000000004E-3</v>
    <v>-0.86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366.5</v>
    <v>21</v>
    <v>Software &amp; IT Services</v>
    <v>Stock</v>
    <v>45912.999994039063</v>
    <v>22</v>
    <v>341.61</v>
    <v>148198500000</v>
    <v>ADOBE INC.</v>
    <v>ADOBE INC.</v>
    <v>361.1</v>
    <v>21.846299999999999</v>
    <v>350.55</v>
    <v>349.36</v>
    <v>348.5</v>
    <v>424200000</v>
    <v>ADBE</v>
    <v>ADOBE INC. (XNAS:ADBE)</v>
    <v>14146624</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 s="0">
      <v>2</v>
      <v>Name</v>
      <v>LearnMoreOnLink</v>
    </spb>
    <spb s="8">
      <v>0</v>
      <v>0</v>
    </spb>
    <spb s="9">
      <v>10</v>
      <v>1</v>
      <v>1</v>
      <v>1</v>
      <v>1</v>
    </spb>
    <spb s="10">
      <v>2</v>
      <v>7</v>
      <v>7</v>
      <v>2</v>
      <v>1</v>
      <v>2</v>
      <v>11</v>
      <v>2</v>
      <v>2</v>
      <v>8</v>
      <v>8</v>
      <v>4</v>
      <v>9</v>
      <v>2</v>
      <v>2</v>
      <v>2</v>
      <v>8</v>
      <v>5</v>
      <v>10</v>
      <v>6</v>
      <v>8</v>
      <v>2</v>
      <v>2</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45"/>
  <sheetViews>
    <sheetView showGridLines="0" topLeftCell="A99" workbookViewId="0">
      <selection activeCell="B119" sqref="B119"/>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4.011E-2</v>
      </c>
      <c r="D115" t="e" vm="1">
        <v>#VALUE!</v>
      </c>
    </row>
    <row r="116" spans="2:8" x14ac:dyDescent="0.25">
      <c r="B116" t="s">
        <v>376</v>
      </c>
      <c r="C116" s="258" cm="1">
        <f t="array" aca="1" ref="C116" ca="1">_FV(D116,"Beta")</f>
        <v>2.3586</v>
      </c>
      <c r="D116" t="e" vm="2">
        <v>#VALUE!</v>
      </c>
    </row>
    <row r="117" spans="2:8" x14ac:dyDescent="0.25">
      <c r="B117" t="s">
        <v>377</v>
      </c>
      <c r="C117" s="63">
        <v>8.8099999999999998E-2</v>
      </c>
    </row>
    <row r="118" spans="2:8" ht="15.75" thickBot="1" x14ac:dyDescent="0.3">
      <c r="B118" s="255" t="s">
        <v>378</v>
      </c>
      <c r="C118" s="256">
        <f ca="1">C115+(C116*C117)</f>
        <v>0.24790266</v>
      </c>
    </row>
    <row r="120" spans="2:8" ht="15.75" thickBot="1" x14ac:dyDescent="0.3">
      <c r="B120" s="96" t="s">
        <v>371</v>
      </c>
      <c r="C120" s="259">
        <f ca="1">(D109*C118)+(D108*C113)</f>
        <v>0.13169016798642508</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15.361553499065563</v>
      </c>
    </row>
    <row r="127" spans="2:8" x14ac:dyDescent="0.25">
      <c r="C127" s="34">
        <f>'3_Statement_Model'!G14+'3_Statement_Model'!G90</f>
        <v>256187</v>
      </c>
    </row>
    <row r="129" spans="2:9" x14ac:dyDescent="0.25">
      <c r="B129" s="107" t="s">
        <v>406</v>
      </c>
      <c r="C129" s="107">
        <v>2024</v>
      </c>
      <c r="D129" s="109">
        <v>2025</v>
      </c>
      <c r="E129" s="109">
        <v>2026</v>
      </c>
      <c r="F129" s="109">
        <v>2027</v>
      </c>
      <c r="G129" s="109">
        <v>2028</v>
      </c>
      <c r="H129" s="109">
        <v>2029</v>
      </c>
      <c r="I129" s="109">
        <v>2030</v>
      </c>
    </row>
    <row r="130" spans="2:9" x14ac:dyDescent="0.25">
      <c r="B130" t="s">
        <v>14</v>
      </c>
      <c r="C130" s="34">
        <f>'3_Statement_Model'!G30</f>
        <v>22784</v>
      </c>
      <c r="D130" s="34">
        <f ca="1">'3_Statement_Model'!H30</f>
        <v>51715.465332438987</v>
      </c>
      <c r="E130" s="34">
        <f ca="1">'3_Statement_Model'!I30</f>
        <v>175600.66601498588</v>
      </c>
      <c r="F130" s="34">
        <f ca="1">'3_Statement_Model'!J30</f>
        <v>303527.63101752754</v>
      </c>
      <c r="G130" s="34">
        <f ca="1">'3_Statement_Model'!K30</f>
        <v>405081.8909238163</v>
      </c>
      <c r="H130" s="34">
        <f ca="1">'3_Statement_Model'!L30</f>
        <v>503972.58992626052</v>
      </c>
      <c r="I130" s="34">
        <f ca="1">'3_Statement_Model'!M30</f>
        <v>595956.78054809687</v>
      </c>
    </row>
    <row r="131" spans="2:9" x14ac:dyDescent="0.25">
      <c r="B131" s="78" t="s">
        <v>412</v>
      </c>
      <c r="C131" s="34"/>
      <c r="D131" s="34"/>
      <c r="E131" s="34"/>
      <c r="F131" s="34"/>
      <c r="G131" s="34"/>
      <c r="H131" s="34"/>
      <c r="I131" s="34"/>
    </row>
    <row r="132" spans="2:9" x14ac:dyDescent="0.25">
      <c r="B132" s="14" t="s">
        <v>10</v>
      </c>
      <c r="C132" s="34">
        <v>34700</v>
      </c>
      <c r="D132" s="34">
        <f ca="1">-'3_Statement_Model'!H15</f>
        <v>53004.237912664932</v>
      </c>
      <c r="E132" s="34">
        <f ca="1">-'3_Statement_Model'!I15</f>
        <v>57850.762574134598</v>
      </c>
      <c r="F132" s="34">
        <f ca="1">-'3_Statement_Model'!J15</f>
        <v>62920.617273878677</v>
      </c>
      <c r="G132" s="34">
        <f ca="1">-'3_Statement_Model'!K15</f>
        <v>68224.15145533008</v>
      </c>
      <c r="H132" s="34">
        <f ca="1">-'3_Statement_Model'!L15</f>
        <v>73772.195538264685</v>
      </c>
      <c r="I132" s="34">
        <f ca="1">-'3_Statement_Model'!M15</f>
        <v>79576.083303439984</v>
      </c>
    </row>
    <row r="133" spans="2:9" x14ac:dyDescent="0.25">
      <c r="B133" s="14" t="s">
        <v>413</v>
      </c>
      <c r="C133" s="34">
        <v>-173200</v>
      </c>
      <c r="D133" s="34">
        <f ca="1">-'3_Statement_Model'!H16</f>
        <v>-197479.71075244411</v>
      </c>
      <c r="E133" s="34">
        <f ca="1">-'3_Statement_Model'!I16</f>
        <v>-207471.54877039479</v>
      </c>
      <c r="F133" s="34">
        <f ca="1">-'3_Statement_Model'!J16</f>
        <v>-220859.49732800765</v>
      </c>
      <c r="G133" s="34">
        <f ca="1">-'3_Statement_Model'!K16</f>
        <v>-215147.65743944154</v>
      </c>
      <c r="H133" s="34">
        <f ca="1">-'3_Statement_Model'!L16</f>
        <v>-231023.82046298624</v>
      </c>
      <c r="I133" s="34">
        <f ca="1">-'3_Statement_Model'!M16</f>
        <v>-241079.71320092655</v>
      </c>
    </row>
    <row r="134" spans="2:9" x14ac:dyDescent="0.25">
      <c r="B134" s="14" t="s">
        <v>13</v>
      </c>
      <c r="C134" s="34">
        <v>2600</v>
      </c>
      <c r="D134" s="34">
        <f ca="1">'3_Statement_Model'!H18</f>
        <v>6693.5382789514315</v>
      </c>
      <c r="E134" s="34">
        <f ca="1">'3_Statement_Model'!I18</f>
        <v>25407.844215836096</v>
      </c>
      <c r="F134" s="34">
        <f ca="1">'3_Statement_Model'!J18</f>
        <v>48676.740843035856</v>
      </c>
      <c r="G134" s="34">
        <f ca="1">'3_Statement_Model'!K18</f>
        <v>71490.686967630128</v>
      </c>
      <c r="H134" s="34">
        <f ca="1">'3_Statement_Model'!L18</f>
        <v>97293.364672606258</v>
      </c>
      <c r="I134" s="34">
        <f ca="1">'3_Statement_Model'!M18</f>
        <v>125207.2880129534</v>
      </c>
    </row>
    <row r="135" spans="2:9" x14ac:dyDescent="0.25">
      <c r="B135" s="14" t="s">
        <v>417</v>
      </c>
      <c r="C135" s="34">
        <v>479800</v>
      </c>
      <c r="D135" s="34">
        <f ca="1">'3_Statement_Model'!H90</f>
        <v>295949.39284590835</v>
      </c>
      <c r="E135" s="34">
        <f ca="1">'3_Statement_Model'!I90</f>
        <v>265437.83526651526</v>
      </c>
      <c r="F135" s="34">
        <f ca="1">'3_Statement_Model'!J90</f>
        <v>235260.14974626779</v>
      </c>
      <c r="G135" s="34">
        <f ca="1">'3_Statement_Model'!K90</f>
        <v>209947.77237446461</v>
      </c>
      <c r="H135" s="34">
        <f ca="1">'3_Statement_Model'!L90</f>
        <v>189490.68565866083</v>
      </c>
      <c r="I135" s="34">
        <f ca="1">'3_Statement_Model'!M90</f>
        <v>166606.33956784158</v>
      </c>
    </row>
    <row r="136" spans="2:9" x14ac:dyDescent="0.25">
      <c r="B136" s="14" t="s">
        <v>414</v>
      </c>
      <c r="C136" s="34">
        <v>14800</v>
      </c>
      <c r="D136" s="34">
        <f>AVERAGE(C136)</f>
        <v>14800</v>
      </c>
      <c r="E136" s="34">
        <f t="shared" ref="E136:I136" si="87">AVERAGE(D136)</f>
        <v>14800</v>
      </c>
      <c r="F136" s="34">
        <f t="shared" si="87"/>
        <v>14800</v>
      </c>
      <c r="G136" s="34">
        <f t="shared" si="87"/>
        <v>14800</v>
      </c>
      <c r="H136" s="34">
        <f t="shared" si="87"/>
        <v>14800</v>
      </c>
      <c r="I136" s="34">
        <f t="shared" si="87"/>
        <v>14800</v>
      </c>
    </row>
    <row r="137" spans="2:9" x14ac:dyDescent="0.25">
      <c r="B137" s="14" t="s">
        <v>251</v>
      </c>
      <c r="C137" s="34">
        <v>3500</v>
      </c>
      <c r="D137" s="34">
        <f t="shared" ref="D137:I137" ca="1" si="88">I78</f>
        <v>4221.068424699617</v>
      </c>
      <c r="E137" s="34">
        <f t="shared" ca="1" si="88"/>
        <v>4417.7961548112125</v>
      </c>
      <c r="F137" s="34">
        <f t="shared" ca="1" si="88"/>
        <v>4623.6926061802969</v>
      </c>
      <c r="G137" s="34">
        <f t="shared" ca="1" si="88"/>
        <v>4839.1850975658981</v>
      </c>
      <c r="H137" s="34">
        <f t="shared" ca="1" si="88"/>
        <v>5064.7208634073968</v>
      </c>
      <c r="I137" s="34">
        <f t="shared" ca="1" si="88"/>
        <v>5300.7679820176281</v>
      </c>
    </row>
    <row r="138" spans="2:9" x14ac:dyDescent="0.25">
      <c r="B138" s="14" t="s">
        <v>415</v>
      </c>
      <c r="C138" s="34">
        <v>-29600</v>
      </c>
      <c r="D138" s="34">
        <f>AVERAGE(C138)</f>
        <v>-29600</v>
      </c>
      <c r="E138" s="34">
        <f t="shared" ref="E138:I138" si="89">AVERAGE(D138)</f>
        <v>-29600</v>
      </c>
      <c r="F138" s="34">
        <f t="shared" si="89"/>
        <v>-29600</v>
      </c>
      <c r="G138" s="34">
        <f t="shared" si="89"/>
        <v>-29600</v>
      </c>
      <c r="H138" s="34">
        <f t="shared" si="89"/>
        <v>-29600</v>
      </c>
      <c r="I138" s="34">
        <f t="shared" si="89"/>
        <v>-29600</v>
      </c>
    </row>
    <row r="139" spans="2:9" x14ac:dyDescent="0.25">
      <c r="B139" s="14" t="s">
        <v>416</v>
      </c>
      <c r="C139" s="34">
        <v>26900</v>
      </c>
      <c r="D139" s="34">
        <f>AVERAGE(C139)</f>
        <v>26900</v>
      </c>
      <c r="E139" s="34">
        <f t="shared" ref="E139:I139" si="90">AVERAGE(D139)</f>
        <v>26900</v>
      </c>
      <c r="F139" s="34">
        <f t="shared" si="90"/>
        <v>26900</v>
      </c>
      <c r="G139" s="34">
        <f t="shared" si="90"/>
        <v>26900</v>
      </c>
      <c r="H139" s="34">
        <f t="shared" si="90"/>
        <v>26900</v>
      </c>
      <c r="I139" s="34">
        <f t="shared" si="90"/>
        <v>26900</v>
      </c>
    </row>
    <row r="140" spans="2:9" ht="15.75" thickBot="1" x14ac:dyDescent="0.3">
      <c r="B140" s="96" t="s">
        <v>406</v>
      </c>
      <c r="C140" s="294">
        <f t="shared" ref="C140:I140" si="91">SUM(C132:C139,C130)</f>
        <v>382284</v>
      </c>
      <c r="D140" s="294">
        <f t="shared" ca="1" si="91"/>
        <v>226203.99204221924</v>
      </c>
      <c r="E140" s="294">
        <f t="shared" ca="1" si="91"/>
        <v>333343.35545588826</v>
      </c>
      <c r="F140" s="294">
        <f t="shared" ca="1" si="91"/>
        <v>446249.3341588825</v>
      </c>
      <c r="G140" s="294">
        <f t="shared" ca="1" si="91"/>
        <v>556536.0293793655</v>
      </c>
      <c r="H140" s="294">
        <f t="shared" ca="1" si="91"/>
        <v>650669.7361962134</v>
      </c>
      <c r="I140" s="294">
        <f t="shared" ca="1" si="91"/>
        <v>743667.5462134229</v>
      </c>
    </row>
    <row r="141" spans="2:9" ht="15.75" thickTop="1" x14ac:dyDescent="0.25"/>
    <row r="142" spans="2:9" x14ac:dyDescent="0.25">
      <c r="C142" s="34"/>
    </row>
    <row r="143" spans="2:9" x14ac:dyDescent="0.25">
      <c r="C143" s="34"/>
      <c r="D143" s="34"/>
      <c r="E143" s="34"/>
      <c r="F143" s="34"/>
      <c r="G143" s="34"/>
      <c r="H143" s="34"/>
      <c r="I143" s="34"/>
    </row>
    <row r="144" spans="2:9" x14ac:dyDescent="0.25">
      <c r="B144" s="14"/>
      <c r="C144" s="34"/>
      <c r="D144" s="34"/>
      <c r="E144" s="34"/>
      <c r="F144" s="34"/>
      <c r="G144" s="34"/>
      <c r="H144" s="34"/>
      <c r="I144" s="34"/>
    </row>
    <row r="145" spans="2:9" x14ac:dyDescent="0.25">
      <c r="B145" s="14"/>
      <c r="C145" s="34"/>
      <c r="D145" s="34"/>
      <c r="E145" s="34"/>
      <c r="F145" s="34"/>
      <c r="G145" s="34"/>
      <c r="H145" s="34"/>
      <c r="I145" s="34"/>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23"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97" t="s">
        <v>233</v>
      </c>
      <c r="C1" s="297"/>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B4462-BF58-485E-9433-FEEA22F38AD2}">
  <dimension ref="B3:I11"/>
  <sheetViews>
    <sheetView showGridLines="0" workbookViewId="0">
      <selection activeCell="C7" sqref="C4:I7"/>
    </sheetView>
  </sheetViews>
  <sheetFormatPr defaultRowHeight="15" x14ac:dyDescent="0.25"/>
  <cols>
    <col min="2" max="2" width="20.85546875" bestFit="1" customWidth="1"/>
    <col min="3" max="9" width="11.42578125" bestFit="1" customWidth="1"/>
  </cols>
  <sheetData>
    <row r="3" spans="2:9" ht="16.5" x14ac:dyDescent="0.25">
      <c r="B3" s="289" t="s">
        <v>397</v>
      </c>
      <c r="C3" s="290" t="s">
        <v>398</v>
      </c>
      <c r="D3" s="291" t="s">
        <v>399</v>
      </c>
      <c r="E3" s="291" t="s">
        <v>400</v>
      </c>
      <c r="F3" s="291" t="s">
        <v>401</v>
      </c>
      <c r="G3" s="291" t="s">
        <v>402</v>
      </c>
      <c r="H3" s="291" t="s">
        <v>403</v>
      </c>
      <c r="I3" s="291" t="s">
        <v>404</v>
      </c>
    </row>
    <row r="4" spans="2:9" x14ac:dyDescent="0.25">
      <c r="B4" s="292" t="s">
        <v>1</v>
      </c>
      <c r="C4" s="293">
        <v>5786016</v>
      </c>
      <c r="D4" s="293">
        <v>5988679.4000000004</v>
      </c>
      <c r="E4" s="293">
        <v>6148195.2999999998</v>
      </c>
      <c r="F4" s="293">
        <v>6468328</v>
      </c>
      <c r="G4" s="293">
        <v>6798064.7000000002</v>
      </c>
      <c r="H4" s="293">
        <v>7137693.5</v>
      </c>
      <c r="I4" s="293">
        <v>7487511.2000000002</v>
      </c>
    </row>
    <row r="5" spans="2:9" x14ac:dyDescent="0.25">
      <c r="B5" s="292" t="s">
        <v>405</v>
      </c>
      <c r="C5" s="293">
        <v>22784</v>
      </c>
      <c r="D5" s="293">
        <v>35400</v>
      </c>
      <c r="E5" s="293">
        <v>52244.7</v>
      </c>
      <c r="F5" s="293">
        <v>122885.5</v>
      </c>
      <c r="G5" s="293">
        <v>191149.2</v>
      </c>
      <c r="H5" s="293">
        <v>246148.6</v>
      </c>
      <c r="I5" s="293">
        <v>251153.4</v>
      </c>
    </row>
    <row r="6" spans="2:9" x14ac:dyDescent="0.25">
      <c r="B6" s="292" t="s">
        <v>379</v>
      </c>
      <c r="C6" s="293">
        <f>Schedules!C140</f>
        <v>382284</v>
      </c>
      <c r="D6" s="293">
        <f ca="1">Schedules!D140</f>
        <v>226203.99204221924</v>
      </c>
      <c r="E6" s="293">
        <f ca="1">Schedules!E140</f>
        <v>333343.35545588826</v>
      </c>
      <c r="F6" s="293">
        <f ca="1">Schedules!F140</f>
        <v>446249.3341588825</v>
      </c>
      <c r="G6" s="293">
        <f ca="1">Schedules!G140</f>
        <v>556536.0293793655</v>
      </c>
      <c r="H6" s="293">
        <f ca="1">Schedules!H140</f>
        <v>650669.7361962134</v>
      </c>
      <c r="I6" s="293">
        <f ca="1">Schedules!I140</f>
        <v>743667.5462134229</v>
      </c>
    </row>
    <row r="7" spans="2:9" x14ac:dyDescent="0.25">
      <c r="B7" s="292" t="s">
        <v>407</v>
      </c>
      <c r="C7" s="293">
        <v>766300</v>
      </c>
      <c r="D7" s="293">
        <f ca="1">'3_Statement_Model'!H98+'3_Statement_Model'!H103</f>
        <v>670336.96348480403</v>
      </c>
      <c r="E7" s="293">
        <f ca="1">'3_Statement_Model'!I98+'3_Statement_Model'!I103</f>
        <v>873007.02844768227</v>
      </c>
      <c r="F7" s="293">
        <f ca="1">'3_Statement_Model'!J98+'3_Statement_Model'!J103</f>
        <v>1056051.8870218091</v>
      </c>
      <c r="G7" s="293">
        <f ca="1">'3_Statement_Model'!K98+'3_Statement_Model'!K103</f>
        <v>1226736.6206859085</v>
      </c>
      <c r="H7" s="293">
        <f ca="1">'3_Statement_Model'!L98+'3_Statement_Model'!L103</f>
        <v>1431023.4798613002</v>
      </c>
      <c r="I7" s="293">
        <f ca="1">'3_Statement_Model'!M98+'3_Statement_Model'!M103</f>
        <v>1635752.6649300181</v>
      </c>
    </row>
    <row r="8" spans="2:9" x14ac:dyDescent="0.25">
      <c r="B8" s="292" t="s">
        <v>408</v>
      </c>
      <c r="C8" s="295">
        <f>'3_Statement_Model'!G19/(AVERAGE('3_Statement_Model'!F79:G79))</f>
        <v>3.4823703472741253E-2</v>
      </c>
      <c r="D8" s="295">
        <f ca="1">'3_Statement_Model'!H19/(AVERAGE('3_Statement_Model'!G79:H79))</f>
        <v>4.9659320452678145E-2</v>
      </c>
      <c r="E8" s="295">
        <f ca="1">'3_Statement_Model'!I19/(AVERAGE('3_Statement_Model'!H79:I79))</f>
        <v>0.12174720799299629</v>
      </c>
      <c r="F8" s="295">
        <f ca="1">'3_Statement_Model'!J19/(AVERAGE('3_Statement_Model'!I79:J79))</f>
        <v>0.17447958337299119</v>
      </c>
      <c r="G8" s="295">
        <f ca="1">'3_Statement_Model'!K19/(AVERAGE('3_Statement_Model'!J79:K79))</f>
        <v>0.19159274613984645</v>
      </c>
      <c r="H8" s="295">
        <f ca="1">'3_Statement_Model'!L19/(AVERAGE('3_Statement_Model'!K79:L79))</f>
        <v>0.23652940949641246</v>
      </c>
      <c r="I8" s="295">
        <f ca="1">'3_Statement_Model'!M19/(AVERAGE('3_Statement_Model'!L79:M79))</f>
        <v>0.24449654553582342</v>
      </c>
    </row>
    <row r="9" spans="2:9" x14ac:dyDescent="0.25">
      <c r="B9" s="292" t="s">
        <v>409</v>
      </c>
      <c r="C9" s="295">
        <f>'3_Statement_Model'!G19/(AVERAGE('3_Statement_Model'!F59:G59))</f>
        <v>4.5570114453310634E-3</v>
      </c>
      <c r="D9" s="295">
        <f ca="1">'3_Statement_Model'!H19/(AVERAGE('3_Statement_Model'!G59:H59))</f>
        <v>8.9758538842099177E-3</v>
      </c>
      <c r="E9" s="295">
        <f ca="1">'3_Statement_Model'!I19/(AVERAGE('3_Statement_Model'!H59:I59))</f>
        <v>2.7105859299513618E-2</v>
      </c>
      <c r="F9" s="295">
        <f ca="1">'3_Statement_Model'!J19/(AVERAGE('3_Statement_Model'!I59:J59))</f>
        <v>4.1308909120833577E-2</v>
      </c>
      <c r="G9" s="295">
        <f ca="1">'3_Statement_Model'!K19/(AVERAGE('3_Statement_Model'!J59:K59))</f>
        <v>4.8286753672313103E-2</v>
      </c>
      <c r="H9" s="295">
        <f ca="1">'3_Statement_Model'!L19/(AVERAGE('3_Statement_Model'!K59:L59))</f>
        <v>5.4856014097623064E-2</v>
      </c>
      <c r="I9" s="295">
        <f ca="1">'3_Statement_Model'!M19/(AVERAGE('3_Statement_Model'!L59:M59))</f>
        <v>5.8360571857528833E-2</v>
      </c>
    </row>
    <row r="10" spans="2:9" x14ac:dyDescent="0.25">
      <c r="B10" s="292" t="s">
        <v>410</v>
      </c>
      <c r="C10" s="296">
        <f>'3_Statement_Model'!G69/'3_Statement_Model'!G79</f>
        <v>0.73788291248161708</v>
      </c>
      <c r="D10" s="296">
        <f ca="1">'3_Statement_Model'!H69/'3_Statement_Model'!H79</f>
        <v>0.4733011666030672</v>
      </c>
      <c r="E10" s="296">
        <f ca="1">'3_Statement_Model'!I69/'3_Statement_Model'!I79</f>
        <v>0.40816429521799547</v>
      </c>
      <c r="F10" s="296">
        <f ca="1">'3_Statement_Model'!J69/'3_Statement_Model'!J79</f>
        <v>0.34490195426859466</v>
      </c>
      <c r="G10" s="296">
        <f ca="1">'3_Statement_Model'!K69/'3_Statement_Model'!K79</f>
        <v>0.29262885197902067</v>
      </c>
      <c r="H10" s="296">
        <f ca="1">'3_Statement_Model'!L69/'3_Statement_Model'!L79</f>
        <v>0.14069041516813222</v>
      </c>
      <c r="I10" s="296">
        <f ca="1">'3_Statement_Model'!M69/'3_Statement_Model'!M79</f>
        <v>0.10939567457181072</v>
      </c>
    </row>
    <row r="11" spans="2:9" x14ac:dyDescent="0.25">
      <c r="B11" s="292" t="s">
        <v>411</v>
      </c>
      <c r="C11" s="296">
        <f>Debt_Schedule!G29/Schedules!C140</f>
        <v>1.480490943905578</v>
      </c>
      <c r="D11" s="296">
        <f ca="1">Debt_Schedule!H29/Schedules!D140</f>
        <v>2.7531205052711161</v>
      </c>
      <c r="E11" s="296">
        <f ca="1">Debt_Schedule!I29/Schedules!E140</f>
        <v>1.9210278892149424</v>
      </c>
      <c r="F11" s="296">
        <f ca="1">Debt_Schedule!J29/Schedules!F140</f>
        <v>1.4764926011266823</v>
      </c>
      <c r="G11" s="296">
        <f ca="1">Debt_Schedule!K29/Schedules!G140</f>
        <v>1.2189298914664848</v>
      </c>
      <c r="H11" s="296">
        <f ca="1">Debt_Schedule!L29/Schedules!H140</f>
        <v>0.42016076518327017</v>
      </c>
      <c r="I11" s="296">
        <f ca="1">Debt_Schedule!M29/Schedules!I140</f>
        <v>0.43127598780689058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80" activePane="bottomLeft" state="frozen"/>
      <selection pane="bottomLeft" activeCell="E93" sqref="E93"/>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opLeftCell="A10" workbookViewId="0">
      <selection activeCell="K25" sqref="K25"/>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0.13169016798642508</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18.62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15935029.936710333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13777649.194206409</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-6485564.8880200703</v>
      </c>
      <c r="K28" s="240">
        <f ca="1">O21</f>
        <v>13777649.194206409</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13777649.194206409</v>
      </c>
    </row>
    <row r="30" spans="2:15" ht="15.6" customHeight="1" x14ac:dyDescent="0.3">
      <c r="B30" s="200" t="s">
        <v>348</v>
      </c>
      <c r="D30" s="227">
        <f ca="1">D28+D27</f>
        <v>-6485564.8880200703</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13777649.194206409</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11156585.968395717</v>
      </c>
      <c r="G33" s="217" t="s">
        <v>353</v>
      </c>
      <c r="H33" s="217"/>
      <c r="I33" s="227">
        <f ca="1">D13*D12</f>
        <v>7567940.7300000004</v>
      </c>
      <c r="L33" s="217" t="s">
        <v>354</v>
      </c>
      <c r="M33" s="217"/>
      <c r="N33" s="242">
        <f ca="1">D38/I38-1</f>
        <v>0.6172116361666653</v>
      </c>
    </row>
    <row r="34" spans="2:14" ht="15.6" customHeight="1" x14ac:dyDescent="0.3">
      <c r="B34" s="200" t="s">
        <v>355</v>
      </c>
      <c r="D34" s="238">
        <f ca="1">+D15</f>
        <v>1403101.7975730509</v>
      </c>
      <c r="G34" s="200" t="s">
        <v>356</v>
      </c>
      <c r="I34" s="238">
        <f ca="1">D14</f>
        <v>320725.95559312042</v>
      </c>
      <c r="L34" s="200" t="s">
        <v>357</v>
      </c>
      <c r="N34" s="243">
        <f ca="1">XIRR(D30:K30,D19:K19)</f>
        <v>0.27969321608543396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12238961.810375648</v>
      </c>
      <c r="G36" s="200" t="s">
        <v>352</v>
      </c>
      <c r="I36" s="239">
        <f ca="1">I33+I34-I35</f>
        <v>6485564.8880200703</v>
      </c>
      <c r="L36" s="223" t="s">
        <v>361</v>
      </c>
      <c r="M36" s="224"/>
      <c r="N36" s="224"/>
    </row>
    <row r="37" spans="2:14" ht="15.6" customHeight="1" x14ac:dyDescent="0.3">
      <c r="D37" s="200"/>
      <c r="I37" s="244"/>
      <c r="L37" s="200" t="s">
        <v>350</v>
      </c>
      <c r="N37" s="245">
        <f ca="1">I38</f>
        <v>18.62</v>
      </c>
    </row>
    <row r="38" spans="2:14" ht="15.6" customHeight="1" x14ac:dyDescent="0.3">
      <c r="B38" s="200" t="s">
        <v>362</v>
      </c>
      <c r="D38" s="245">
        <f ca="1">D36/D13</f>
        <v>30.112480665423309</v>
      </c>
      <c r="G38" s="200" t="s">
        <v>362</v>
      </c>
      <c r="I38" s="245">
        <f ca="1">D12</f>
        <v>18.62</v>
      </c>
      <c r="L38" s="200" t="s">
        <v>363</v>
      </c>
      <c r="N38" s="245">
        <f ca="1">D38-I38</f>
        <v>11.492480665423308</v>
      </c>
    </row>
    <row r="39" spans="2:14" ht="15.6" customHeight="1" x14ac:dyDescent="0.3">
      <c r="D39" s="200"/>
      <c r="L39" s="200" t="s">
        <v>349</v>
      </c>
      <c r="N39" s="245">
        <f ca="1">SUM(N37:N38)</f>
        <v>30.112480665423309</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abSelected="1" topLeftCell="L1" workbookViewId="0">
      <selection activeCell="T11" sqref="T11"/>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242.76</v>
      </c>
      <c r="D7" s="285" cm="1">
        <f t="array" aca="1" ref="D7" ca="1">_FV(B7,"Market cap",TRUE)/1000000</f>
        <v>231107.5</v>
      </c>
      <c r="E7" s="265">
        <v>230320</v>
      </c>
      <c r="F7" s="265"/>
      <c r="G7" s="265">
        <v>34857</v>
      </c>
      <c r="H7" s="265">
        <v>9958</v>
      </c>
      <c r="I7" s="265">
        <v>5999</v>
      </c>
      <c r="J7" s="265">
        <v>4136</v>
      </c>
      <c r="K7" s="263"/>
      <c r="L7" s="266">
        <f>E7/G7</f>
        <v>6.6075680638035399</v>
      </c>
      <c r="M7" s="266">
        <f>E7/H7</f>
        <v>23.129142398071902</v>
      </c>
      <c r="N7" s="266">
        <f>E7/I7</f>
        <v>38.39306551091849</v>
      </c>
      <c r="O7" s="266">
        <f ca="1">D7/J7</f>
        <v>55.877055125725342</v>
      </c>
    </row>
    <row r="8" spans="1:17" x14ac:dyDescent="0.3">
      <c r="B8" s="263" t="e" vm="4">
        <v>#VALUE!</v>
      </c>
      <c r="C8" s="284" cm="1">
        <f t="array" aca="1" ref="C8" ca="1">_FV(B8,"Price")</f>
        <v>95.89</v>
      </c>
      <c r="D8" s="285" cm="1">
        <f t="array" aca="1" ref="D8" ca="1">_FV(B8,"Market cap",TRUE)/1000000</f>
        <v>199970.8</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20.289245129870128</v>
      </c>
    </row>
    <row r="9" spans="1:17" x14ac:dyDescent="0.3">
      <c r="B9" s="263" t="e" vm="5">
        <v>#VALUE!</v>
      </c>
      <c r="C9" s="284" cm="1">
        <f t="array" aca="1" ref="C9" ca="1">_FV(B9,"Price")</f>
        <v>928.96</v>
      </c>
      <c r="D9" s="285" cm="1">
        <f t="array" aca="1" ref="D9" ca="1">_FV(B9,"Market cap",TRUE)/1000000</f>
        <v>193223.7</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135.59557894736844</v>
      </c>
    </row>
    <row r="10" spans="1:17" x14ac:dyDescent="0.3">
      <c r="B10" s="263" t="e" vm="6">
        <v>#VALUE!</v>
      </c>
      <c r="C10" s="284" cm="1">
        <f t="array" aca="1" ref="C10" ca="1">_FV(B10,"Price")</f>
        <v>646.03</v>
      </c>
      <c r="D10" s="285" cm="1">
        <f t="array" aca="1" ref="D10" ca="1">_FV(B10,"Market cap",TRUE)/1000000</f>
        <v>180116.4</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60.788525143435706</v>
      </c>
    </row>
    <row r="11" spans="1:17" x14ac:dyDescent="0.3">
      <c r="B11" s="263" t="e" vm="7">
        <v>#VALUE!</v>
      </c>
      <c r="C11" s="284" cm="1">
        <f t="array" aca="1" ref="C11" ca="1">_FV(B11,"Price")</f>
        <v>349.36</v>
      </c>
      <c r="D11" s="285" cm="1">
        <f t="array" aca="1" ref="D11" ca="1">_FV(B11,"Market cap",TRUE)/1000000</f>
        <v>148198.5</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26.654406474820142</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18.62</v>
      </c>
      <c r="D13" s="285" cm="1">
        <f t="array" aca="1" ref="D13" ca="1">_FV(B13,"Market cap",TRUE)/1000000</f>
        <v>7567.9409999999998</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AVERAGE(M7:M11)</f>
        <v>40.462926089277182</v>
      </c>
      <c r="N14" s="282">
        <f>AVERAGE(N7:N11)</f>
        <v>52.115141367960817</v>
      </c>
      <c r="O14" s="282">
        <f ca="1">AVERAGE(O7:O11)</f>
        <v>59.840962164243948</v>
      </c>
    </row>
    <row r="15" spans="1:17" x14ac:dyDescent="0.3">
      <c r="B15" s="275" t="s">
        <v>395</v>
      </c>
      <c r="C15" s="275"/>
      <c r="D15" s="275"/>
      <c r="E15" s="275"/>
      <c r="F15" s="275"/>
      <c r="G15" s="275"/>
      <c r="H15" s="275"/>
      <c r="I15" s="275"/>
      <c r="J15" s="275"/>
      <c r="K15" s="275"/>
      <c r="L15" s="282">
        <f>MEDIAN(L7:L11)</f>
        <v>6.9541966984422228</v>
      </c>
      <c r="M15" s="282">
        <f>MEDIAN(M7:M11)</f>
        <v>37.589600742804087</v>
      </c>
      <c r="N15" s="282">
        <f>MEDIAN(N7:N11)</f>
        <v>43.549913941480206</v>
      </c>
      <c r="O15" s="282">
        <f ca="1">MEDIAN(O7:O11)</f>
        <v>55.877055125725342</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8"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8"/>
      <c r="B3" s="56" t="s">
        <v>93</v>
      </c>
      <c r="C3">
        <v>0.86726499999999995</v>
      </c>
      <c r="D3">
        <v>481.1</v>
      </c>
      <c r="E3" s="57">
        <v>21397.9</v>
      </c>
      <c r="F3">
        <f>(E3/E2)-1</f>
        <v>1.3561264897023584E-2</v>
      </c>
    </row>
    <row r="4" spans="1:27" x14ac:dyDescent="0.25">
      <c r="A4" s="298"/>
      <c r="B4" s="56" t="s">
        <v>94</v>
      </c>
      <c r="C4">
        <v>0.95559799999999995</v>
      </c>
      <c r="D4">
        <v>493.9</v>
      </c>
      <c r="E4" s="57">
        <v>21717.200000000001</v>
      </c>
      <c r="F4">
        <f t="shared" ref="F4:F25" si="0">(E4/E3)-1</f>
        <v>1.4922025058533794E-2</v>
      </c>
      <c r="L4" s="62" t="s">
        <v>105</v>
      </c>
      <c r="M4" s="62"/>
      <c r="V4" s="62" t="s">
        <v>105</v>
      </c>
      <c r="W4" s="62"/>
    </row>
    <row r="5" spans="1:27" x14ac:dyDescent="0.25">
      <c r="A5" s="298"/>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8" t="s">
        <v>96</v>
      </c>
      <c r="B6" s="56" t="s">
        <v>92</v>
      </c>
      <c r="C6">
        <v>0.95571200000000001</v>
      </c>
      <c r="D6">
        <v>457.1</v>
      </c>
      <c r="E6" s="57">
        <v>21727.7</v>
      </c>
      <c r="F6">
        <f t="shared" si="0"/>
        <v>-9.369357868436845E-3</v>
      </c>
      <c r="L6" t="s">
        <v>107</v>
      </c>
      <c r="M6">
        <v>0.87413963187231591</v>
      </c>
      <c r="V6" t="s">
        <v>107</v>
      </c>
      <c r="W6">
        <v>0.83429407050779791</v>
      </c>
    </row>
    <row r="7" spans="1:27" x14ac:dyDescent="0.25">
      <c r="A7" s="298"/>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8"/>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8"/>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8" t="s">
        <v>97</v>
      </c>
      <c r="B10" s="56" t="s">
        <v>92</v>
      </c>
      <c r="C10">
        <v>0.60895999999999995</v>
      </c>
      <c r="D10">
        <v>375.9</v>
      </c>
      <c r="E10" s="57">
        <v>22656.799999999999</v>
      </c>
      <c r="F10">
        <f t="shared" si="0"/>
        <v>2.6643949829623814E-2</v>
      </c>
    </row>
    <row r="11" spans="1:27" ht="15.75" thickBot="1" x14ac:dyDescent="0.3">
      <c r="A11" s="298"/>
      <c r="B11" s="56" t="s">
        <v>93</v>
      </c>
      <c r="C11">
        <v>0.76502499999999996</v>
      </c>
      <c r="D11">
        <v>450.3</v>
      </c>
      <c r="E11" s="57">
        <v>23368.9</v>
      </c>
      <c r="F11">
        <f t="shared" si="0"/>
        <v>3.1429857702764741E-2</v>
      </c>
      <c r="L11" t="s">
        <v>111</v>
      </c>
      <c r="V11" t="s">
        <v>111</v>
      </c>
    </row>
    <row r="12" spans="1:27" x14ac:dyDescent="0.25">
      <c r="A12" s="298"/>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8"/>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8"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8"/>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8"/>
      <c r="B16" s="56" t="s">
        <v>94</v>
      </c>
      <c r="C16">
        <v>1.05382</v>
      </c>
      <c r="D16">
        <v>582.1</v>
      </c>
      <c r="E16" s="57">
        <v>26272</v>
      </c>
      <c r="F16">
        <f t="shared" si="0"/>
        <v>1.8065706159080541E-2</v>
      </c>
    </row>
    <row r="17" spans="1:30" x14ac:dyDescent="0.25">
      <c r="A17" s="298"/>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8"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8"/>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8"/>
      <c r="B20" s="56" t="s">
        <v>94</v>
      </c>
      <c r="C20">
        <v>1.1575500000000001</v>
      </c>
      <c r="D20">
        <v>617.1</v>
      </c>
      <c r="E20" s="57">
        <v>27967.7</v>
      </c>
      <c r="F20">
        <f t="shared" si="0"/>
        <v>1.8718720177170356E-2</v>
      </c>
    </row>
    <row r="21" spans="1:30" x14ac:dyDescent="0.25">
      <c r="A21" s="298"/>
      <c r="B21" s="56" t="s">
        <v>95</v>
      </c>
      <c r="C21">
        <v>1.224585</v>
      </c>
      <c r="D21">
        <v>632</v>
      </c>
      <c r="E21" s="57">
        <v>28297</v>
      </c>
      <c r="F21">
        <f t="shared" si="0"/>
        <v>1.177429677806896E-2</v>
      </c>
      <c r="G21" s="63">
        <f>SUM(F19:F21)</f>
        <v>4.1146666584901626E-2</v>
      </c>
    </row>
    <row r="22" spans="1:30" x14ac:dyDescent="0.25">
      <c r="A22" s="298" t="s">
        <v>100</v>
      </c>
      <c r="B22" s="56" t="s">
        <v>92</v>
      </c>
      <c r="C22">
        <v>1.227201</v>
      </c>
      <c r="D22">
        <v>637.6</v>
      </c>
      <c r="E22" s="57">
        <v>28624.1</v>
      </c>
      <c r="F22">
        <f t="shared" si="0"/>
        <v>1.1559529278722058E-2</v>
      </c>
    </row>
    <row r="23" spans="1:30" x14ac:dyDescent="0.25">
      <c r="A23" s="298"/>
      <c r="B23" s="56" t="s">
        <v>93</v>
      </c>
      <c r="C23">
        <v>1.435846</v>
      </c>
      <c r="D23">
        <v>659.4</v>
      </c>
      <c r="E23" s="57">
        <v>29016.7</v>
      </c>
      <c r="F23">
        <f t="shared" si="0"/>
        <v>1.3715715079251511E-2</v>
      </c>
      <c r="L23" t="s">
        <v>128</v>
      </c>
      <c r="V23" t="s">
        <v>128</v>
      </c>
    </row>
    <row r="24" spans="1:30" ht="15.75" thickBot="1" x14ac:dyDescent="0.3">
      <c r="A24" s="298"/>
      <c r="B24" s="56" t="s">
        <v>94</v>
      </c>
      <c r="C24">
        <v>1.5226919999999999</v>
      </c>
      <c r="D24">
        <v>654.4</v>
      </c>
      <c r="E24" s="57">
        <v>29374.9</v>
      </c>
      <c r="F24">
        <f t="shared" si="0"/>
        <v>1.234461534219955E-2</v>
      </c>
    </row>
    <row r="25" spans="1:30" x14ac:dyDescent="0.25">
      <c r="A25" s="298"/>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8">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8"/>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8"/>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8"/>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8">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8"/>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8"/>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8"/>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8">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8"/>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8"/>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8"/>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8">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8"/>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8"/>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8"/>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8">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8"/>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8"/>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8"/>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8">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8"/>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8"/>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8"/>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APIC</vt:lpstr>
      <vt:lpstr>Mark_Secs</vt:lpstr>
      <vt:lpstr>Schedules</vt:lpstr>
      <vt:lpstr>Debt_Schedule</vt:lpstr>
      <vt:lpstr>Metrics</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2025-09-14T20:57:25Z</dcterms:modified>
</cp:coreProperties>
</file>