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tsi\Desktop\Projects\IB Projects\Equity_Research\Nasdaq\"/>
    </mc:Choice>
  </mc:AlternateContent>
  <xr:revisionPtr revIDLastSave="0" documentId="13_ncr:1_{5ADFFD2E-A021-41E3-989A-3B6E006EC1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3-Statement_Model" sheetId="1" r:id="rId1"/>
    <sheet name="Assumptions" sheetId="3" r:id="rId2"/>
    <sheet name="Schedules" sheetId="4" r:id="rId3"/>
    <sheet name="Revenue_Regression" sheetId="2" r:id="rId4"/>
  </sheets>
  <definedNames>
    <definedName name="S">'3-Statement_Model'!$C$1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C18" i="4"/>
  <c r="F18" i="4"/>
  <c r="D18" i="4"/>
  <c r="E18" i="4"/>
  <c r="G18" i="4"/>
  <c r="H18" i="4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D8" i="4"/>
  <c r="E8" i="4" s="1"/>
  <c r="F8" i="4" s="1"/>
  <c r="G8" i="4" s="1"/>
  <c r="H8" i="4" s="1"/>
  <c r="I8" i="4" s="1"/>
  <c r="J8" i="4" s="1"/>
  <c r="K8" i="4" s="1"/>
  <c r="L8" i="4" s="1"/>
  <c r="M8" i="4" s="1"/>
  <c r="H33" i="1"/>
  <c r="J32" i="3"/>
  <c r="K32" i="3"/>
  <c r="L32" i="3"/>
  <c r="M32" i="3"/>
  <c r="I32" i="3"/>
  <c r="J33" i="3"/>
  <c r="K33" i="3"/>
  <c r="L33" i="3"/>
  <c r="M33" i="3"/>
  <c r="J34" i="3"/>
  <c r="K34" i="3"/>
  <c r="L34" i="3"/>
  <c r="M34" i="3"/>
  <c r="J35" i="3"/>
  <c r="K35" i="3"/>
  <c r="L35" i="3"/>
  <c r="M35" i="3"/>
  <c r="I35" i="3"/>
  <c r="I34" i="3"/>
  <c r="I33" i="3"/>
  <c r="D32" i="3"/>
  <c r="E32" i="3"/>
  <c r="F32" i="3"/>
  <c r="G32" i="3"/>
  <c r="H32" i="3"/>
  <c r="C32" i="3"/>
  <c r="J27" i="3"/>
  <c r="K27" i="3"/>
  <c r="L27" i="3"/>
  <c r="M27" i="3"/>
  <c r="I27" i="3"/>
  <c r="J28" i="3"/>
  <c r="K28" i="3"/>
  <c r="L28" i="3"/>
  <c r="M28" i="3"/>
  <c r="J29" i="3"/>
  <c r="K29" i="3"/>
  <c r="L29" i="3"/>
  <c r="M29" i="3"/>
  <c r="J30" i="3"/>
  <c r="K30" i="3"/>
  <c r="L30" i="3"/>
  <c r="M30" i="3"/>
  <c r="I30" i="3"/>
  <c r="I29" i="3"/>
  <c r="I28" i="3"/>
  <c r="D27" i="3"/>
  <c r="E27" i="3"/>
  <c r="F27" i="3"/>
  <c r="G27" i="3"/>
  <c r="H27" i="3"/>
  <c r="C27" i="3"/>
  <c r="J24" i="3"/>
  <c r="J22" i="3"/>
  <c r="K22" i="3"/>
  <c r="L22" i="3"/>
  <c r="M22" i="3"/>
  <c r="I22" i="3"/>
  <c r="J23" i="3"/>
  <c r="K23" i="3"/>
  <c r="L23" i="3"/>
  <c r="M23" i="3"/>
  <c r="K24" i="3"/>
  <c r="L24" i="3"/>
  <c r="M24" i="3"/>
  <c r="J25" i="3"/>
  <c r="K25" i="3"/>
  <c r="L25" i="3"/>
  <c r="M25" i="3"/>
  <c r="I25" i="3"/>
  <c r="I24" i="3"/>
  <c r="I23" i="3"/>
  <c r="D22" i="3"/>
  <c r="E22" i="3"/>
  <c r="F22" i="3"/>
  <c r="G22" i="3"/>
  <c r="H22" i="3"/>
  <c r="D12" i="3"/>
  <c r="E12" i="3"/>
  <c r="F12" i="3"/>
  <c r="J13" i="3" s="1"/>
  <c r="J12" i="3" s="1"/>
  <c r="G12" i="3"/>
  <c r="H12" i="3"/>
  <c r="C12" i="3"/>
  <c r="C22" i="3"/>
  <c r="L15" i="3"/>
  <c r="E7" i="3"/>
  <c r="F7" i="3"/>
  <c r="G7" i="3"/>
  <c r="H7" i="3"/>
  <c r="D7" i="3"/>
  <c r="D4" i="3"/>
  <c r="E4" i="3" s="1"/>
  <c r="F4" i="3" s="1"/>
  <c r="G4" i="3" s="1"/>
  <c r="H4" i="3" s="1"/>
  <c r="I4" i="3" s="1"/>
  <c r="J4" i="3" s="1"/>
  <c r="K4" i="3" s="1"/>
  <c r="L4" i="3" s="1"/>
  <c r="M4" i="3" s="1"/>
  <c r="D1" i="3"/>
  <c r="E1" i="3" s="1"/>
  <c r="F1" i="3" s="1"/>
  <c r="G1" i="3" s="1"/>
  <c r="H1" i="3" s="1"/>
  <c r="I1" i="3" s="1"/>
  <c r="J1" i="3" s="1"/>
  <c r="K1" i="3" s="1"/>
  <c r="L1" i="3" s="1"/>
  <c r="M1" i="3" s="1"/>
  <c r="D5" i="4"/>
  <c r="E5" i="4"/>
  <c r="F5" i="4"/>
  <c r="G5" i="4"/>
  <c r="H5" i="4"/>
  <c r="C5" i="4"/>
  <c r="D3" i="4"/>
  <c r="E3" i="4" s="1"/>
  <c r="F3" i="4" s="1"/>
  <c r="G3" i="4" s="1"/>
  <c r="H3" i="4" s="1"/>
  <c r="I3" i="4" s="1"/>
  <c r="J3" i="4" s="1"/>
  <c r="K3" i="4" s="1"/>
  <c r="L3" i="4" s="1"/>
  <c r="M3" i="4" s="1"/>
  <c r="D1" i="4"/>
  <c r="E1" i="4" s="1"/>
  <c r="F1" i="4" s="1"/>
  <c r="G1" i="4" s="1"/>
  <c r="H1" i="4" s="1"/>
  <c r="I1" i="4" s="1"/>
  <c r="J1" i="4" s="1"/>
  <c r="K1" i="4" s="1"/>
  <c r="L1" i="4" s="1"/>
  <c r="M1" i="4" s="1"/>
  <c r="J10" i="4"/>
  <c r="J12" i="4"/>
  <c r="J14" i="4"/>
  <c r="J16" i="4"/>
  <c r="L12" i="4"/>
  <c r="L16" i="4"/>
  <c r="M10" i="4"/>
  <c r="M16" i="4"/>
  <c r="J13" i="4"/>
  <c r="K11" i="4"/>
  <c r="K15" i="4"/>
  <c r="L11" i="4"/>
  <c r="L15" i="4"/>
  <c r="M13" i="4"/>
  <c r="M17" i="4"/>
  <c r="K10" i="4"/>
  <c r="K12" i="4"/>
  <c r="K14" i="4"/>
  <c r="K16" i="4"/>
  <c r="L10" i="4"/>
  <c r="L14" i="4"/>
  <c r="M12" i="4"/>
  <c r="M14" i="4"/>
  <c r="J11" i="4"/>
  <c r="J15" i="4"/>
  <c r="J17" i="4"/>
  <c r="K13" i="4"/>
  <c r="K17" i="4"/>
  <c r="L13" i="4"/>
  <c r="L17" i="4"/>
  <c r="M11" i="4"/>
  <c r="M15" i="4"/>
  <c r="I16" i="4"/>
  <c r="I17" i="4"/>
  <c r="I15" i="4"/>
  <c r="I14" i="4"/>
  <c r="I13" i="4"/>
  <c r="I12" i="4"/>
  <c r="I11" i="4"/>
  <c r="I10" i="4"/>
  <c r="L18" i="4" l="1"/>
  <c r="K18" i="4"/>
  <c r="M18" i="4"/>
  <c r="J18" i="4"/>
  <c r="I18" i="4"/>
  <c r="I9" i="3"/>
  <c r="I5" i="4"/>
  <c r="M9" i="3"/>
  <c r="J8" i="3"/>
  <c r="J7" i="3" s="1"/>
  <c r="M10" i="3"/>
  <c r="K10" i="3"/>
  <c r="L10" i="3"/>
  <c r="J5" i="4"/>
  <c r="M14" i="3"/>
  <c r="M13" i="3"/>
  <c r="M12" i="3" s="1"/>
  <c r="K15" i="3"/>
  <c r="K13" i="3"/>
  <c r="K12" i="3" s="1"/>
  <c r="L9" i="3"/>
  <c r="J15" i="3"/>
  <c r="J9" i="3"/>
  <c r="I13" i="3"/>
  <c r="I12" i="3" s="1"/>
  <c r="L14" i="3"/>
  <c r="M8" i="3"/>
  <c r="M7" i="3" s="1"/>
  <c r="I14" i="3"/>
  <c r="K14" i="3"/>
  <c r="L13" i="3"/>
  <c r="L12" i="3" s="1"/>
  <c r="L8" i="3"/>
  <c r="L7" i="3" s="1"/>
  <c r="I10" i="3"/>
  <c r="I15" i="3"/>
  <c r="J14" i="3"/>
  <c r="J10" i="3"/>
  <c r="K9" i="3"/>
  <c r="I8" i="3"/>
  <c r="I7" i="3" s="1"/>
  <c r="I4" i="4" s="1"/>
  <c r="I14" i="1" s="1"/>
  <c r="K8" i="3"/>
  <c r="K7" i="3" s="1"/>
  <c r="M15" i="3"/>
  <c r="K5" i="4" l="1"/>
  <c r="L5" i="4" s="1"/>
  <c r="M5" i="4" s="1"/>
  <c r="J4" i="4"/>
  <c r="K4" i="4" s="1"/>
  <c r="J14" i="1" l="1"/>
  <c r="L4" i="4"/>
  <c r="K14" i="1"/>
  <c r="M4" i="4" l="1"/>
  <c r="M14" i="1" s="1"/>
  <c r="L14" i="1"/>
  <c r="C11" i="1" l="1"/>
  <c r="B65" i="2"/>
  <c r="C64" i="2"/>
  <c r="D64" i="2"/>
  <c r="E64" i="2"/>
  <c r="F64" i="2"/>
  <c r="B64" i="2"/>
  <c r="D30" i="2"/>
  <c r="D29" i="2"/>
  <c r="E30" i="2"/>
  <c r="E29" i="2"/>
  <c r="H48" i="2"/>
  <c r="G45" i="2" s="1"/>
  <c r="H44" i="2"/>
  <c r="G41" i="2" s="1"/>
  <c r="H40" i="2"/>
  <c r="G37" i="2" s="1"/>
  <c r="H36" i="2"/>
  <c r="G33" i="2" s="1"/>
  <c r="H32" i="2"/>
  <c r="G32" i="2" s="1"/>
  <c r="G48" i="2" l="1"/>
  <c r="G47" i="2"/>
  <c r="G46" i="2"/>
  <c r="G44" i="2"/>
  <c r="G43" i="2"/>
  <c r="G42" i="2"/>
  <c r="G39" i="2"/>
  <c r="G40" i="2"/>
  <c r="G38" i="2"/>
  <c r="G35" i="2"/>
  <c r="G36" i="2"/>
  <c r="G3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F65" i="2"/>
  <c r="E65" i="2"/>
  <c r="D65" i="2"/>
  <c r="C65" i="2"/>
  <c r="C62" i="2"/>
  <c r="D62" i="2" s="1"/>
  <c r="E62" i="2" s="1"/>
  <c r="F62" i="2" s="1"/>
  <c r="A29" i="2"/>
  <c r="A33" i="2" s="1"/>
  <c r="A37" i="2" s="1"/>
  <c r="A41" i="2" s="1"/>
  <c r="A45" i="2" s="1"/>
  <c r="G31" i="2" l="1"/>
  <c r="F31" i="2" l="1"/>
  <c r="F32" i="2" l="1"/>
  <c r="E31" i="2"/>
  <c r="D31" i="2" l="1"/>
  <c r="C31" i="2" s="1"/>
  <c r="F33" i="2"/>
  <c r="E32" i="2"/>
  <c r="D32" i="2" s="1"/>
  <c r="C32" i="2" s="1"/>
  <c r="F11" i="1"/>
  <c r="I11" i="1" l="1"/>
  <c r="F34" i="2"/>
  <c r="E33" i="2"/>
  <c r="D33" i="2" s="1"/>
  <c r="C33" i="2" s="1"/>
  <c r="H52" i="1"/>
  <c r="G52" i="1"/>
  <c r="F52" i="1"/>
  <c r="F56" i="1" s="1"/>
  <c r="E52" i="1"/>
  <c r="E56" i="1" s="1"/>
  <c r="D52" i="1"/>
  <c r="C52" i="1"/>
  <c r="C56" i="1" s="1"/>
  <c r="H48" i="1"/>
  <c r="G48" i="1"/>
  <c r="G56" i="1" s="1"/>
  <c r="F48" i="1"/>
  <c r="E48" i="1"/>
  <c r="D48" i="1"/>
  <c r="D56" i="1" s="1"/>
  <c r="C48" i="1"/>
  <c r="H24" i="1"/>
  <c r="G24" i="1"/>
  <c r="F24" i="1"/>
  <c r="E24" i="1"/>
  <c r="D24" i="1"/>
  <c r="C24" i="1"/>
  <c r="H11" i="1"/>
  <c r="G11" i="1"/>
  <c r="F26" i="1"/>
  <c r="F33" i="1" s="1"/>
  <c r="F36" i="1" s="1"/>
  <c r="E11" i="1"/>
  <c r="D11" i="1"/>
  <c r="D5" i="1"/>
  <c r="E5" i="1" s="1"/>
  <c r="F5" i="1" s="1"/>
  <c r="G5" i="1" s="1"/>
  <c r="H5" i="1" s="1"/>
  <c r="I5" i="1" s="1"/>
  <c r="J5" i="1" s="1"/>
  <c r="K5" i="1" s="1"/>
  <c r="L5" i="1" s="1"/>
  <c r="M5" i="1" s="1"/>
  <c r="I21" i="1" l="1"/>
  <c r="I18" i="1"/>
  <c r="I19" i="1"/>
  <c r="I15" i="1"/>
  <c r="I5" i="3"/>
  <c r="F35" i="2"/>
  <c r="E34" i="2"/>
  <c r="D34" i="2" s="1"/>
  <c r="C34" i="2" s="1"/>
  <c r="G26" i="1"/>
  <c r="G33" i="1" s="1"/>
  <c r="G36" i="1" s="1"/>
  <c r="C26" i="1"/>
  <c r="C33" i="1" s="1"/>
  <c r="C36" i="1" s="1"/>
  <c r="C44" i="1" s="1"/>
  <c r="C57" i="1" s="1"/>
  <c r="C60" i="1" s="1"/>
  <c r="E26" i="1"/>
  <c r="E33" i="1" s="1"/>
  <c r="E36" i="1" s="1"/>
  <c r="E44" i="1" s="1"/>
  <c r="E57" i="1" s="1"/>
  <c r="E60" i="1" s="1"/>
  <c r="D26" i="1"/>
  <c r="D33" i="1" s="1"/>
  <c r="D36" i="1" s="1"/>
  <c r="D44" i="1" s="1"/>
  <c r="D57" i="1" s="1"/>
  <c r="D60" i="1" s="1"/>
  <c r="H26" i="1"/>
  <c r="H39" i="1" s="1"/>
  <c r="H56" i="1"/>
  <c r="G39" i="1"/>
  <c r="G44" i="1"/>
  <c r="G57" i="1" s="1"/>
  <c r="G60" i="1" s="1"/>
  <c r="F44" i="1"/>
  <c r="F39" i="1"/>
  <c r="D39" i="1"/>
  <c r="E39" i="1"/>
  <c r="F57" i="1"/>
  <c r="F60" i="1" s="1"/>
  <c r="H57" i="1" l="1"/>
  <c r="H60" i="1" s="1"/>
  <c r="H44" i="1"/>
  <c r="C39" i="1"/>
  <c r="F36" i="2"/>
  <c r="E35" i="2"/>
  <c r="D35" i="2" s="1"/>
  <c r="C35" i="2" s="1"/>
  <c r="F37" i="2" l="1"/>
  <c r="E36" i="2"/>
  <c r="D36" i="2" s="1"/>
  <c r="C36" i="2" s="1"/>
  <c r="J11" i="1" s="1"/>
  <c r="J21" i="1" l="1"/>
  <c r="J18" i="1"/>
  <c r="J19" i="1"/>
  <c r="J15" i="1"/>
  <c r="J5" i="3"/>
  <c r="F38" i="2"/>
  <c r="E37" i="2"/>
  <c r="D37" i="2" s="1"/>
  <c r="C37" i="2" s="1"/>
  <c r="F39" i="2" l="1"/>
  <c r="E38" i="2"/>
  <c r="D38" i="2" s="1"/>
  <c r="C38" i="2" s="1"/>
  <c r="F40" i="2" l="1"/>
  <c r="E39" i="2"/>
  <c r="D39" i="2" s="1"/>
  <c r="C39" i="2" s="1"/>
  <c r="F41" i="2" l="1"/>
  <c r="E40" i="2"/>
  <c r="D40" i="2" s="1"/>
  <c r="C40" i="2" s="1"/>
  <c r="K11" i="1" s="1"/>
  <c r="K21" i="1" l="1"/>
  <c r="K18" i="1"/>
  <c r="K19" i="1"/>
  <c r="K15" i="1"/>
  <c r="K5" i="3"/>
  <c r="F42" i="2"/>
  <c r="E41" i="2"/>
  <c r="D41" i="2" s="1"/>
  <c r="C41" i="2" s="1"/>
  <c r="F43" i="2" l="1"/>
  <c r="E42" i="2"/>
  <c r="D42" i="2" s="1"/>
  <c r="C42" i="2" s="1"/>
  <c r="F44" i="2" l="1"/>
  <c r="E43" i="2"/>
  <c r="D43" i="2" s="1"/>
  <c r="C43" i="2" s="1"/>
  <c r="F45" i="2" l="1"/>
  <c r="E44" i="2"/>
  <c r="D44" i="2" s="1"/>
  <c r="C44" i="2" s="1"/>
  <c r="L11" i="1" s="1"/>
  <c r="L21" i="1" l="1"/>
  <c r="L18" i="1"/>
  <c r="L19" i="1"/>
  <c r="L15" i="1"/>
  <c r="L5" i="3"/>
  <c r="F46" i="2"/>
  <c r="E45" i="2"/>
  <c r="D45" i="2" s="1"/>
  <c r="C45" i="2" s="1"/>
  <c r="F47" i="2" l="1"/>
  <c r="E46" i="2"/>
  <c r="D46" i="2" s="1"/>
  <c r="C46" i="2" s="1"/>
  <c r="F48" i="2" l="1"/>
  <c r="E48" i="2" s="1"/>
  <c r="D48" i="2" s="1"/>
  <c r="C48" i="2" s="1"/>
  <c r="E47" i="2"/>
  <c r="D47" i="2" s="1"/>
  <c r="C47" i="2" s="1"/>
  <c r="M11" i="1" l="1"/>
  <c r="M21" i="1" l="1"/>
  <c r="M18" i="1"/>
  <c r="M19" i="1"/>
  <c r="M15" i="1"/>
  <c r="M5" i="3"/>
  <c r="I20" i="3" l="1"/>
  <c r="M20" i="3"/>
  <c r="J20" i="3"/>
  <c r="L19" i="3"/>
  <c r="J18" i="3"/>
  <c r="J17" i="3" s="1"/>
  <c r="L20" i="3"/>
  <c r="M19" i="3"/>
  <c r="K18" i="3"/>
  <c r="K17" i="3" s="1"/>
  <c r="M18" i="3"/>
  <c r="M17" i="3" s="1"/>
  <c r="K20" i="3"/>
  <c r="K19" i="3"/>
  <c r="J19" i="3"/>
  <c r="L18" i="3"/>
  <c r="L17" i="3" s="1"/>
  <c r="I18" i="3"/>
  <c r="I17" i="3" s="1"/>
  <c r="I16" i="1" s="1"/>
  <c r="I19" i="3"/>
  <c r="I24" i="1" l="1"/>
  <c r="I26" i="1" s="1"/>
  <c r="I33" i="1" s="1"/>
  <c r="J16" i="1"/>
  <c r="I35" i="1" l="1"/>
  <c r="I36" i="1" s="1"/>
  <c r="I39" i="1" s="1"/>
  <c r="K16" i="1"/>
  <c r="J24" i="1"/>
  <c r="J26" i="1" s="1"/>
  <c r="J33" i="1" s="1"/>
  <c r="J35" i="1" l="1"/>
  <c r="J36" i="1" s="1"/>
  <c r="J39" i="1" s="1"/>
  <c r="L16" i="1"/>
  <c r="K24" i="1"/>
  <c r="K26" i="1" s="1"/>
  <c r="K33" i="1" s="1"/>
  <c r="K35" i="1" l="1"/>
  <c r="K36" i="1" s="1"/>
  <c r="K39" i="1" s="1"/>
  <c r="M16" i="1"/>
  <c r="M24" i="1" s="1"/>
  <c r="M26" i="1" s="1"/>
  <c r="M33" i="1" s="1"/>
  <c r="L24" i="1"/>
  <c r="L26" i="1" s="1"/>
  <c r="L33" i="1" s="1"/>
  <c r="M35" i="1" l="1"/>
  <c r="M36" i="1" s="1"/>
  <c r="M39" i="1" s="1"/>
  <c r="L35" i="1"/>
  <c r="L36" i="1" s="1"/>
  <c r="L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Nkgopoleng Sebake</author>
  </authors>
  <commentList>
    <comment ref="B22" authorId="0" shapeId="0" xr:uid="{638AEA9F-D0FE-46CB-A4BB-7E67DBEDA405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historically tied to acquisitions</t>
        </r>
      </text>
    </comment>
    <comment ref="B23" authorId="0" shapeId="0" xr:uid="{D9BA6CE8-0941-4256-A2E7-2A77F336B04A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historically tied to acquisitions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Nkgopoleng Sebake</author>
  </authors>
  <commentList>
    <comment ref="B12" authorId="0" shapeId="0" xr:uid="{D09EF99C-13EF-4002-8FB7-67E0623B75CB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as % of revenue
</t>
        </r>
      </text>
    </comment>
    <comment ref="B17" authorId="0" shapeId="0" xr:uid="{04914A2D-D603-41E6-8693-2517131D3E1B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grows with revenue
</t>
        </r>
      </text>
    </comment>
    <comment ref="B22" authorId="0" shapeId="0" xr:uid="{5C3CA5A9-6984-44F2-9624-8368867591B3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as % of revenue</t>
        </r>
      </text>
    </comment>
    <comment ref="B27" authorId="0" shapeId="0" xr:uid="{B31BF010-2F04-4A04-B5CC-AC51CD62FA59}">
      <text>
        <r>
          <rPr>
            <b/>
            <sz val="9"/>
            <color indexed="81"/>
            <rFont val="Tahoma"/>
            <family val="2"/>
          </rPr>
          <t>Nkgopoleng Sebake:</t>
        </r>
        <r>
          <rPr>
            <sz val="9"/>
            <color indexed="81"/>
            <rFont val="Tahoma"/>
            <family val="2"/>
          </rPr>
          <t xml:space="preserve">
as % of revenue</t>
        </r>
      </text>
    </comment>
    <comment ref="B32" authorId="0" shapeId="0" xr:uid="{9C7DC8B7-DC94-46AC-97F5-9618D3E640FE}">
      <text>
        <r>
          <rPr>
            <b/>
            <sz val="9"/>
            <color indexed="81"/>
            <rFont val="Tahoma"/>
            <family val="2"/>
          </rPr>
          <t xml:space="preserve">Nkgopoleng Sebake:
</t>
        </r>
        <r>
          <rPr>
            <sz val="9"/>
            <color indexed="81"/>
            <rFont val="Tahoma"/>
            <family val="2"/>
          </rPr>
          <t>as % of revenue.
Regulatory expenses includes settlements</t>
        </r>
      </text>
    </comment>
  </commentList>
</comments>
</file>

<file path=xl/sharedStrings.xml><?xml version="1.0" encoding="utf-8"?>
<sst xmlns="http://schemas.openxmlformats.org/spreadsheetml/2006/main" count="266" uniqueCount="122">
  <si>
    <t>Total revenues</t>
  </si>
  <si>
    <t>Transaction-based expenses:</t>
  </si>
  <si>
    <t>Transaction rebates</t>
  </si>
  <si>
    <t>Brokerage, clearance and exchange fees</t>
  </si>
  <si>
    <t>Operating expenses:</t>
  </si>
  <si>
    <t>Compensation and benefits</t>
  </si>
  <si>
    <t>Professional and contract services</t>
  </si>
  <si>
    <t>Computer operations and data communications</t>
  </si>
  <si>
    <t>Occupancy</t>
  </si>
  <si>
    <t>General, administrative and other</t>
  </si>
  <si>
    <t>Marketing and advertising</t>
  </si>
  <si>
    <t>Depreciation and amortization</t>
  </si>
  <si>
    <t>Regulatory</t>
  </si>
  <si>
    <t>Merger and strategic initiatives</t>
  </si>
  <si>
    <t>Restructuring charges</t>
  </si>
  <si>
    <t>Total operating expenses</t>
  </si>
  <si>
    <t>Operating income</t>
  </si>
  <si>
    <t>Interest income</t>
  </si>
  <si>
    <t>Interest expense</t>
  </si>
  <si>
    <t>Net gain on divestiture of businesses</t>
  </si>
  <si>
    <t>Other income (loss)</t>
  </si>
  <si>
    <t>Net income (loss) from unconsolidated investees</t>
  </si>
  <si>
    <t>Income before income taxes</t>
  </si>
  <si>
    <t>Income tax provision</t>
  </si>
  <si>
    <t>Net income</t>
  </si>
  <si>
    <t>Net loss attributable to noncontrolling interests</t>
  </si>
  <si>
    <t>Net income attributable to Nasdaq</t>
  </si>
  <si>
    <t>Per share information:</t>
  </si>
  <si>
    <t>EPS</t>
  </si>
  <si>
    <t>Other comprehensive income(loss):</t>
  </si>
  <si>
    <t>Foreign currency translation gains(losses)</t>
  </si>
  <si>
    <t>Income tax benefit (expense)</t>
  </si>
  <si>
    <t>Foreign currency translation, net</t>
  </si>
  <si>
    <t>Employee benefit plan adjustment losses</t>
  </si>
  <si>
    <t>Employee benefit plan income tax benefit</t>
  </si>
  <si>
    <t>Employee benefit plan, net</t>
  </si>
  <si>
    <t>Unrealized gain(loss) on derivatives instruments, net</t>
  </si>
  <si>
    <t>Total other comprehensive income(loss), net of tax</t>
  </si>
  <si>
    <t>Comprehensive income</t>
  </si>
  <si>
    <t>Comprehensive loss attributable to noncontrolling interests</t>
  </si>
  <si>
    <t>Comprehensive income attributable to Nasdaq</t>
  </si>
  <si>
    <t>X</t>
  </si>
  <si>
    <t>Income Statement</t>
  </si>
  <si>
    <t>Billions</t>
  </si>
  <si>
    <t>2019</t>
  </si>
  <si>
    <t>Q1</t>
  </si>
  <si>
    <t>Q2</t>
  </si>
  <si>
    <t>Q3</t>
  </si>
  <si>
    <t>Q4</t>
  </si>
  <si>
    <t>2020</t>
  </si>
  <si>
    <t>2021</t>
  </si>
  <si>
    <t>2022</t>
  </si>
  <si>
    <t>2023</t>
  </si>
  <si>
    <t>2024</t>
  </si>
  <si>
    <t>MSCI_World</t>
  </si>
  <si>
    <t>Nasdaq_Net_Revenue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</si>
  <si>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</si>
  <si>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</si>
  <si>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</si>
  <si>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</si>
  <si>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</si>
  <si>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</si>
  <si>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</si>
  <si>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</si>
  <si>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</si>
  <si>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</si>
  <si>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</si>
  <si>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</si>
  <si>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</si>
  <si>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</si>
  <si>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</si>
  <si>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</si>
  <si>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</si>
  <si>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</si>
  <si>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</si>
  <si>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</si>
  <si>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</si>
  <si>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</si>
  <si>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</si>
  <si>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</si>
  <si>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10_T-bill</t>
  </si>
  <si>
    <t xml:space="preserve">        Gross domestic product</t>
  </si>
  <si>
    <t>Expected annual GDP growth as per IMF</t>
  </si>
  <si>
    <t>Actual = 0,80%</t>
  </si>
  <si>
    <t>Actual = 1%</t>
  </si>
  <si>
    <t>Scenario</t>
  </si>
  <si>
    <t>GDP Growth (Annual)</t>
  </si>
  <si>
    <t>Description</t>
  </si>
  <si>
    <t>Base</t>
  </si>
  <si>
    <t>Most likely macro environment</t>
  </si>
  <si>
    <t>Best</t>
  </si>
  <si>
    <t>Faster economic recovery, stronger consumer spending</t>
  </si>
  <si>
    <t>Worst</t>
  </si>
  <si>
    <t>-1–2% below Base</t>
  </si>
  <si>
    <t>Slowdown or recession, weaker consumer spending</t>
  </si>
  <si>
    <t>GDP Growth</t>
  </si>
  <si>
    <t>Scenerio</t>
  </si>
  <si>
    <t>SUMMARY OUTPUT (MSCI World)</t>
  </si>
  <si>
    <t>Average growth+Base</t>
  </si>
  <si>
    <t>Net Revenue</t>
  </si>
  <si>
    <t>Headcount</t>
  </si>
  <si>
    <t>Average Cost per head</t>
  </si>
  <si>
    <t>Headcount(Compensation and benefits)</t>
  </si>
  <si>
    <t>millions</t>
  </si>
  <si>
    <t>Headcount growth</t>
  </si>
  <si>
    <t>Average</t>
  </si>
  <si>
    <t>Min</t>
  </si>
  <si>
    <t>Max</t>
  </si>
  <si>
    <t>Max/1,5</t>
  </si>
  <si>
    <t>projected revenue growth</t>
  </si>
  <si>
    <t>Income Tax Provision</t>
  </si>
  <si>
    <t>x</t>
  </si>
  <si>
    <t>Federal income tax provision at Statutory rate</t>
  </si>
  <si>
    <t>State income tax prvision, net of federal effect</t>
  </si>
  <si>
    <t>Excess tax benefits(SBC)</t>
  </si>
  <si>
    <t>Non-U.S. subsidiary earnings</t>
  </si>
  <si>
    <t>Tax credits and deductions</t>
  </si>
  <si>
    <t>Change in unrecognized tax benefits</t>
  </si>
  <si>
    <t>Other, net</t>
  </si>
  <si>
    <t>Actual income tax provision</t>
  </si>
  <si>
    <t>Deduction for foreign derived intangible income</t>
  </si>
  <si>
    <t>Intra-group transfer of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</si>
</sst>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&quot;A&quot;"/>
    <numFmt numFmtId="165" formatCode="#,##0.0;\(#,##0.0\);&quot;-&quot;"/>
    <numFmt numFmtId="166" formatCode="#,##0.00;\(#,##0.00\);&quot;-&quot;"/>
    <numFmt numFmtId="167" formatCode="0000&quot;E&quot;"/>
    <numFmt numFmtId="168" formatCode="0.0%"/>
    <numFmt numFmtId="173" formatCode="0.0%;\(0.0%\)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darkGray">
        <bgColor indexed="1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1" fillId="2" borderId="0" xfId="0" applyNumberFormat="1" applyFont="1" applyFill="1"/>
    <xf numFmtId="165" fontId="3" fillId="0" borderId="0" xfId="0" applyNumberFormat="1" applyFont="1"/>
    <xf numFmtId="0" fontId="2" fillId="0" borderId="0" xfId="0" applyFont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0" fontId="2" fillId="0" borderId="2" xfId="0" applyFont="1" applyBorder="1"/>
    <xf numFmtId="165" fontId="2" fillId="0" borderId="2" xfId="0" applyNumberFormat="1" applyFont="1" applyBorder="1"/>
    <xf numFmtId="0" fontId="2" fillId="0" borderId="3" xfId="0" applyFont="1" applyBorder="1"/>
    <xf numFmtId="165" fontId="2" fillId="0" borderId="3" xfId="0" applyNumberFormat="1" applyFont="1" applyBorder="1"/>
    <xf numFmtId="0" fontId="0" fillId="0" borderId="3" xfId="0" applyBorder="1"/>
    <xf numFmtId="165" fontId="0" fillId="0" borderId="3" xfId="0" applyNumberFormat="1" applyBorder="1"/>
    <xf numFmtId="10" fontId="0" fillId="0" borderId="0" xfId="0" applyNumberFormat="1"/>
    <xf numFmtId="0" fontId="2" fillId="0" borderId="4" xfId="0" applyFont="1" applyBorder="1"/>
    <xf numFmtId="165" fontId="2" fillId="0" borderId="4" xfId="0" applyNumberFormat="1" applyFont="1" applyBorder="1"/>
    <xf numFmtId="0" fontId="4" fillId="0" borderId="0" xfId="0" applyFont="1"/>
    <xf numFmtId="166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0" fillId="0" borderId="1" xfId="0" applyBorder="1" applyAlignment="1">
      <alignment horizontal="left" indent="2"/>
    </xf>
    <xf numFmtId="165" fontId="0" fillId="0" borderId="1" xfId="0" applyNumberFormat="1" applyBorder="1"/>
    <xf numFmtId="0" fontId="0" fillId="0" borderId="4" xfId="0" applyBorder="1"/>
    <xf numFmtId="165" fontId="0" fillId="0" borderId="4" xfId="0" applyNumberFormat="1" applyBorder="1"/>
    <xf numFmtId="167" fontId="1" fillId="3" borderId="0" xfId="0" applyNumberFormat="1" applyFont="1" applyFill="1"/>
    <xf numFmtId="0" fontId="1" fillId="4" borderId="0" xfId="0" applyFont="1" applyFill="1"/>
    <xf numFmtId="0" fontId="6" fillId="5" borderId="5" xfId="0" applyFont="1" applyFill="1" applyBorder="1" applyAlignment="1">
      <alignment horizontal="center" vertical="center"/>
    </xf>
    <xf numFmtId="0" fontId="0" fillId="0" borderId="6" xfId="0" applyBorder="1"/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Continuous"/>
    </xf>
    <xf numFmtId="0" fontId="2" fillId="6" borderId="0" xfId="0" applyFont="1" applyFill="1"/>
    <xf numFmtId="165" fontId="8" fillId="0" borderId="0" xfId="0" applyNumberFormat="1" applyFont="1"/>
    <xf numFmtId="0" fontId="6" fillId="5" borderId="8" xfId="0" applyFont="1" applyFill="1" applyBorder="1" applyAlignment="1">
      <alignment horizontal="center" vertical="center"/>
    </xf>
    <xf numFmtId="165" fontId="0" fillId="0" borderId="10" xfId="0" applyNumberFormat="1" applyBorder="1"/>
    <xf numFmtId="168" fontId="0" fillId="0" borderId="10" xfId="0" applyNumberFormat="1" applyBorder="1"/>
    <xf numFmtId="0" fontId="6" fillId="5" borderId="11" xfId="0" applyFont="1" applyFill="1" applyBorder="1" applyAlignment="1">
      <alignment horizontal="center" vertical="center"/>
    </xf>
    <xf numFmtId="168" fontId="0" fillId="0" borderId="0" xfId="0" applyNumberFormat="1"/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0" borderId="10" xfId="0" applyBorder="1"/>
    <xf numFmtId="9" fontId="0" fillId="0" borderId="0" xfId="0" applyNumberFormat="1"/>
    <xf numFmtId="167" fontId="2" fillId="7" borderId="0" xfId="0" applyNumberFormat="1" applyFont="1" applyFill="1"/>
    <xf numFmtId="168" fontId="8" fillId="0" borderId="0" xfId="0" applyNumberFormat="1" applyFont="1"/>
    <xf numFmtId="0" fontId="2" fillId="8" borderId="0" xfId="0" applyFont="1" applyFill="1"/>
    <xf numFmtId="0" fontId="0" fillId="8" borderId="0" xfId="0" applyFill="1"/>
    <xf numFmtId="165" fontId="0" fillId="0" borderId="9" xfId="0" applyNumberFormat="1" applyBorder="1"/>
    <xf numFmtId="0" fontId="9" fillId="2" borderId="0" xfId="0" applyFont="1" applyFill="1"/>
    <xf numFmtId="10" fontId="10" fillId="0" borderId="14" xfId="0" applyNumberFormat="1" applyFont="1" applyBorder="1"/>
    <xf numFmtId="10" fontId="10" fillId="0" borderId="2" xfId="0" applyNumberFormat="1" applyFont="1" applyBorder="1"/>
    <xf numFmtId="10" fontId="10" fillId="0" borderId="15" xfId="0" applyNumberFormat="1" applyFont="1" applyBorder="1"/>
    <xf numFmtId="164" fontId="1" fillId="0" borderId="0" xfId="0" applyNumberFormat="1" applyFont="1"/>
    <xf numFmtId="164" fontId="13" fillId="0" borderId="0" xfId="0" applyNumberFormat="1" applyFont="1"/>
    <xf numFmtId="9" fontId="13" fillId="0" borderId="0" xfId="0" applyNumberFormat="1" applyFont="1"/>
    <xf numFmtId="0" fontId="6" fillId="5" borderId="5" xfId="0" applyFont="1" applyFill="1" applyBorder="1" applyAlignment="1">
      <alignment horizontal="center" vertical="center"/>
    </xf>
    <xf numFmtId="165" fontId="0" fillId="6" borderId="0" xfId="0" applyNumberFormat="1" applyFill="1"/>
    <xf numFmtId="0" fontId="0" fillId="6" borderId="0" xfId="0" applyFill="1"/>
    <xf numFmtId="14" fontId="0" fillId="0" borderId="0" xfId="0" applyNumberFormat="1"/>
    <xf numFmtId="173" fontId="3" fillId="0" borderId="0" xfId="0" applyNumberFormat="1" applyFont="1"/>
    <xf numFmtId="173" fontId="0" fillId="0" borderId="0" xfId="0" applyNumberFormat="1"/>
    <xf numFmtId="173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showGridLines="0" tabSelected="1" topLeftCell="A31" workbookViewId="0">
      <selection activeCell="L43" sqref="L43"/>
    </sheetView>
  </sheetViews>
  <sheetFormatPr defaultRowHeight="15" x14ac:dyDescent="0.25"/>
  <cols>
    <col min="1" max="1" width="2.140625" bestFit="1" customWidth="1"/>
    <col min="2" max="2" width="55.42578125" bestFit="1" customWidth="1"/>
    <col min="3" max="8" width="8.42578125" bestFit="1" customWidth="1"/>
  </cols>
  <sheetData>
    <row r="1" spans="1:13" x14ac:dyDescent="0.25">
      <c r="B1" s="43" t="s">
        <v>96</v>
      </c>
      <c r="C1" s="44" t="s">
        <v>88</v>
      </c>
    </row>
    <row r="4" spans="1:13" x14ac:dyDescent="0.25">
      <c r="B4" s="25" t="s">
        <v>42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5">
      <c r="A5" t="s">
        <v>41</v>
      </c>
      <c r="B5" s="46" t="s">
        <v>103</v>
      </c>
      <c r="C5" s="1">
        <v>2019</v>
      </c>
      <c r="D5" s="1">
        <f t="shared" ref="D5:M5" si="0">C5+1</f>
        <v>2020</v>
      </c>
      <c r="E5" s="1">
        <f t="shared" si="0"/>
        <v>2021</v>
      </c>
      <c r="F5" s="1">
        <f t="shared" si="0"/>
        <v>2022</v>
      </c>
      <c r="G5" s="1">
        <f t="shared" si="0"/>
        <v>2023</v>
      </c>
      <c r="H5" s="1">
        <f t="shared" si="0"/>
        <v>2024</v>
      </c>
      <c r="I5" s="24">
        <f t="shared" si="0"/>
        <v>2025</v>
      </c>
      <c r="J5" s="24">
        <f t="shared" si="0"/>
        <v>2026</v>
      </c>
      <c r="K5" s="24">
        <f t="shared" si="0"/>
        <v>2027</v>
      </c>
      <c r="L5" s="24">
        <f t="shared" si="0"/>
        <v>2028</v>
      </c>
      <c r="M5" s="24">
        <f t="shared" si="0"/>
        <v>2029</v>
      </c>
    </row>
    <row r="6" spans="1:13" x14ac:dyDescent="0.25">
      <c r="B6" t="s">
        <v>0</v>
      </c>
      <c r="C6" s="2">
        <v>4258</v>
      </c>
      <c r="D6" s="2">
        <v>5625</v>
      </c>
      <c r="E6" s="2">
        <v>5886</v>
      </c>
      <c r="F6" s="2">
        <v>6226</v>
      </c>
      <c r="G6" s="2">
        <v>6064</v>
      </c>
      <c r="H6" s="2">
        <v>7400</v>
      </c>
    </row>
    <row r="7" spans="1:13" x14ac:dyDescent="0.25">
      <c r="C7" s="2"/>
      <c r="D7" s="2"/>
      <c r="E7" s="2"/>
      <c r="F7" s="2"/>
      <c r="G7" s="2"/>
      <c r="H7" s="2"/>
    </row>
    <row r="8" spans="1:13" x14ac:dyDescent="0.25">
      <c r="B8" s="3" t="s">
        <v>1</v>
      </c>
      <c r="C8" s="2"/>
      <c r="D8" s="2"/>
      <c r="E8" s="2"/>
      <c r="F8" s="2"/>
      <c r="G8" s="2"/>
    </row>
    <row r="9" spans="1:13" x14ac:dyDescent="0.25">
      <c r="B9" t="s">
        <v>2</v>
      </c>
      <c r="C9" s="2">
        <v>-1324</v>
      </c>
      <c r="D9" s="2">
        <v>-2028</v>
      </c>
      <c r="E9" s="2">
        <v>-2168</v>
      </c>
      <c r="F9" s="2">
        <v>-2092</v>
      </c>
      <c r="G9" s="2">
        <v>-1838</v>
      </c>
      <c r="H9" s="2">
        <v>-2026</v>
      </c>
    </row>
    <row r="10" spans="1:13" x14ac:dyDescent="0.25">
      <c r="B10" t="s">
        <v>3</v>
      </c>
      <c r="C10" s="2">
        <v>-399</v>
      </c>
      <c r="D10" s="2">
        <v>-694</v>
      </c>
      <c r="E10" s="2">
        <v>-298</v>
      </c>
      <c r="F10" s="2">
        <v>-552</v>
      </c>
      <c r="G10" s="2">
        <v>-331</v>
      </c>
      <c r="H10" s="2">
        <v>-725</v>
      </c>
    </row>
    <row r="11" spans="1:13" ht="15.75" thickBot="1" x14ac:dyDescent="0.3">
      <c r="B11" s="3" t="s">
        <v>99</v>
      </c>
      <c r="C11" s="5">
        <f t="shared" ref="C11:H11" si="1">SUM(C6,C9,C10)</f>
        <v>2535</v>
      </c>
      <c r="D11" s="5">
        <f t="shared" si="1"/>
        <v>2903</v>
      </c>
      <c r="E11" s="5">
        <f t="shared" si="1"/>
        <v>3420</v>
      </c>
      <c r="F11" s="5">
        <f>SUM(F6,F9,F10)</f>
        <v>3582</v>
      </c>
      <c r="G11" s="5">
        <f t="shared" si="1"/>
        <v>3895</v>
      </c>
      <c r="H11" s="5">
        <f t="shared" si="1"/>
        <v>4649</v>
      </c>
      <c r="I11" s="5">
        <f ca="1">SUM(Revenue_Regression!C29:C32)</f>
        <v>4949.5515509563884</v>
      </c>
      <c r="J11" s="5">
        <f ca="1">SUM(Revenue_Regression!C33:C36)</f>
        <v>4987.7415308067011</v>
      </c>
      <c r="K11" s="5">
        <f ca="1">SUM(Revenue_Regression!C37:C40)</f>
        <v>5192.8847845443197</v>
      </c>
      <c r="L11" s="5">
        <f ca="1">SUM(Revenue_Regression!C41:C44)</f>
        <v>5404.1823358940665</v>
      </c>
      <c r="M11" s="5">
        <f ca="1">SUM(Revenue_Regression!C45:C48)</f>
        <v>5621.8188137843026</v>
      </c>
    </row>
    <row r="12" spans="1:13" x14ac:dyDescent="0.25">
      <c r="C12" s="6"/>
      <c r="D12" s="6"/>
      <c r="E12" s="6"/>
      <c r="F12" s="6"/>
      <c r="G12" s="6"/>
    </row>
    <row r="13" spans="1:13" x14ac:dyDescent="0.25">
      <c r="B13" s="3" t="s">
        <v>4</v>
      </c>
      <c r="C13" s="6"/>
      <c r="D13" s="6"/>
      <c r="E13" s="6"/>
      <c r="F13" s="6"/>
      <c r="G13" s="6"/>
    </row>
    <row r="14" spans="1:13" x14ac:dyDescent="0.25">
      <c r="B14" t="s">
        <v>5</v>
      </c>
      <c r="C14" s="2">
        <v>707</v>
      </c>
      <c r="D14" s="2">
        <v>786</v>
      </c>
      <c r="E14" s="2">
        <v>938</v>
      </c>
      <c r="F14" s="2">
        <v>1003</v>
      </c>
      <c r="G14" s="2">
        <v>1082</v>
      </c>
      <c r="H14" s="2">
        <v>1324</v>
      </c>
      <c r="I14" s="6">
        <f ca="1">Schedules!I4*Schedules!I5</f>
        <v>1626.0767581510352</v>
      </c>
      <c r="J14" s="6">
        <f ca="1">Schedules!J4*Schedules!J5</f>
        <v>1872.7114214732424</v>
      </c>
      <c r="K14" s="6">
        <f ca="1">Schedules!K4*Schedules!K5</f>
        <v>2151.164610126265</v>
      </c>
      <c r="L14" s="6">
        <f ca="1">Schedules!L4*Schedules!L5</f>
        <v>2468.966921565876</v>
      </c>
      <c r="M14" s="6">
        <f ca="1">Schedules!M4*Schedules!M5</f>
        <v>2839.6093635903208</v>
      </c>
    </row>
    <row r="15" spans="1:13" x14ac:dyDescent="0.25">
      <c r="B15" t="s">
        <v>6</v>
      </c>
      <c r="C15" s="2">
        <v>127</v>
      </c>
      <c r="D15" s="2">
        <v>137</v>
      </c>
      <c r="E15" s="2">
        <v>144</v>
      </c>
      <c r="F15" s="2">
        <v>140</v>
      </c>
      <c r="G15" s="2">
        <v>128</v>
      </c>
      <c r="H15" s="2">
        <v>152</v>
      </c>
      <c r="I15" s="6">
        <f ca="1">I11*Assumptions!I12</f>
        <v>201.31360521616259</v>
      </c>
      <c r="J15" s="6">
        <f ca="1">J11*Assumptions!J12</f>
        <v>202.86691008583577</v>
      </c>
      <c r="K15" s="6">
        <f ca="1">K11*Assumptions!K12</f>
        <v>211.21072216063155</v>
      </c>
      <c r="L15" s="6">
        <f ca="1">L11*Assumptions!L12</f>
        <v>219.80484859767117</v>
      </c>
      <c r="M15" s="6">
        <f ca="1">M11*Assumptions!M12</f>
        <v>228.65679882782186</v>
      </c>
    </row>
    <row r="16" spans="1:13" x14ac:dyDescent="0.25">
      <c r="B16" t="s">
        <v>7</v>
      </c>
      <c r="C16" s="2">
        <v>133</v>
      </c>
      <c r="D16" s="2">
        <v>151</v>
      </c>
      <c r="E16" s="2">
        <v>186</v>
      </c>
      <c r="F16" s="2">
        <v>207</v>
      </c>
      <c r="G16" s="2">
        <v>233</v>
      </c>
      <c r="H16" s="2">
        <v>281</v>
      </c>
      <c r="I16" s="6">
        <f ca="1">H16*(1+Assumptions!I17)</f>
        <v>291.92840812828308</v>
      </c>
      <c r="J16" s="6">
        <f ca="1">I16*(1+Assumptions!J17)</f>
        <v>303.28183442104415</v>
      </c>
      <c r="K16" s="6">
        <f ca="1">J16*(1+Assumptions!K17)</f>
        <v>315.07680831587527</v>
      </c>
      <c r="L16" s="6">
        <f ca="1">K16*(1+Assumptions!L17)</f>
        <v>327.33050209890979</v>
      </c>
      <c r="M16" s="6">
        <f ca="1">L16*(1+Assumptions!M17)</f>
        <v>340.06075590593008</v>
      </c>
    </row>
    <row r="17" spans="2:13" x14ac:dyDescent="0.25">
      <c r="B17" t="s">
        <v>8</v>
      </c>
      <c r="C17" s="2">
        <v>97</v>
      </c>
      <c r="D17" s="2">
        <v>107</v>
      </c>
      <c r="E17" s="2">
        <v>109</v>
      </c>
      <c r="F17" s="2">
        <v>104</v>
      </c>
      <c r="G17" s="2">
        <v>129</v>
      </c>
      <c r="H17" s="2">
        <v>112</v>
      </c>
      <c r="I17" s="54"/>
      <c r="J17" s="54"/>
      <c r="K17" s="54"/>
      <c r="L17" s="54"/>
      <c r="M17" s="54"/>
    </row>
    <row r="18" spans="2:13" x14ac:dyDescent="0.25">
      <c r="B18" t="s">
        <v>9</v>
      </c>
      <c r="C18" s="2">
        <v>125</v>
      </c>
      <c r="D18" s="2">
        <v>142</v>
      </c>
      <c r="E18" s="2">
        <v>85</v>
      </c>
      <c r="F18" s="2">
        <v>125</v>
      </c>
      <c r="G18" s="2">
        <v>113</v>
      </c>
      <c r="H18" s="2">
        <v>109</v>
      </c>
      <c r="I18" s="6">
        <f ca="1">I11*Assumptions!I22</f>
        <v>173.59111979543533</v>
      </c>
      <c r="J18" s="6">
        <f ca="1">J11*Assumptions!J22</f>
        <v>174.93052222390381</v>
      </c>
      <c r="K18" s="6">
        <f ca="1">K11*Assumptions!K22</f>
        <v>182.12532497889507</v>
      </c>
      <c r="L18" s="6">
        <f ca="1">L11*Assumptions!L22</f>
        <v>189.53597181653606</v>
      </c>
      <c r="M18" s="6">
        <f ca="1">M11*Assumptions!M22</f>
        <v>197.16893805930619</v>
      </c>
    </row>
    <row r="19" spans="2:13" x14ac:dyDescent="0.25">
      <c r="B19" t="s">
        <v>10</v>
      </c>
      <c r="C19" s="2">
        <v>39</v>
      </c>
      <c r="D19" s="2">
        <v>39</v>
      </c>
      <c r="E19" s="2">
        <v>57</v>
      </c>
      <c r="F19" s="2">
        <v>51</v>
      </c>
      <c r="G19" s="2">
        <v>47</v>
      </c>
      <c r="H19" s="2">
        <v>54</v>
      </c>
      <c r="I19" s="6">
        <f ca="1">Assumptions!I27*'3-Statement_Model'!I11</f>
        <v>68.803443583501235</v>
      </c>
      <c r="J19" s="6">
        <f ca="1">Assumptions!J27*'3-Statement_Model'!J11</f>
        <v>69.334320390629003</v>
      </c>
      <c r="K19" s="6">
        <f ca="1">Assumptions!K27*'3-Statement_Model'!K11</f>
        <v>72.186005465480847</v>
      </c>
      <c r="L19" s="6">
        <f ca="1">Assumptions!L27*'3-Statement_Model'!L11</f>
        <v>75.12324109257824</v>
      </c>
      <c r="M19" s="6">
        <f ca="1">Assumptions!M27*'3-Statement_Model'!M11</f>
        <v>78.148593788488512</v>
      </c>
    </row>
    <row r="20" spans="2:13" x14ac:dyDescent="0.25">
      <c r="B20" t="s">
        <v>11</v>
      </c>
      <c r="C20" s="2">
        <v>190</v>
      </c>
      <c r="D20" s="2">
        <v>202</v>
      </c>
      <c r="E20" s="2">
        <v>278</v>
      </c>
      <c r="F20" s="2">
        <v>258</v>
      </c>
      <c r="G20" s="2">
        <v>323</v>
      </c>
      <c r="H20" s="2">
        <v>613</v>
      </c>
      <c r="I20" s="54"/>
      <c r="J20" s="54"/>
      <c r="K20" s="54"/>
      <c r="L20" s="54"/>
      <c r="M20" s="54"/>
    </row>
    <row r="21" spans="2:13" x14ac:dyDescent="0.25">
      <c r="B21" t="s">
        <v>12</v>
      </c>
      <c r="C21" s="2">
        <v>31</v>
      </c>
      <c r="D21" s="2">
        <v>24</v>
      </c>
      <c r="E21" s="2">
        <v>64</v>
      </c>
      <c r="F21" s="2">
        <v>33</v>
      </c>
      <c r="G21" s="2">
        <v>34</v>
      </c>
      <c r="H21" s="2">
        <v>55</v>
      </c>
      <c r="I21" s="6">
        <f ca="1">I11*Assumptions!I32</f>
        <v>56.904934985127383</v>
      </c>
      <c r="J21" s="6">
        <f ca="1">J11*Assumptions!J32</f>
        <v>57.3440047267175</v>
      </c>
      <c r="K21" s="6">
        <f ca="1">K11*Assumptions!K32</f>
        <v>59.702534261442928</v>
      </c>
      <c r="L21" s="6">
        <f ca="1">L11*Assumptions!L32</f>
        <v>62.131819682210107</v>
      </c>
      <c r="M21" s="6">
        <f ca="1">M11*Assumptions!M32</f>
        <v>64.633983665600269</v>
      </c>
    </row>
    <row r="22" spans="2:13" x14ac:dyDescent="0.25">
      <c r="B22" t="s">
        <v>13</v>
      </c>
      <c r="C22" s="2">
        <v>30</v>
      </c>
      <c r="D22" s="2">
        <v>33</v>
      </c>
      <c r="E22" s="2">
        <v>87</v>
      </c>
      <c r="F22" s="2">
        <v>82</v>
      </c>
      <c r="G22" s="2">
        <v>148</v>
      </c>
      <c r="H22" s="2">
        <v>35</v>
      </c>
      <c r="I22" s="54"/>
      <c r="J22" s="54"/>
      <c r="K22" s="54"/>
      <c r="L22" s="54"/>
      <c r="M22" s="54"/>
    </row>
    <row r="23" spans="2:13" x14ac:dyDescent="0.25">
      <c r="B23" t="s">
        <v>14</v>
      </c>
      <c r="C23" s="2">
        <v>39</v>
      </c>
      <c r="D23" s="2">
        <v>48</v>
      </c>
      <c r="E23" s="2">
        <v>31</v>
      </c>
      <c r="F23" s="2">
        <v>15</v>
      </c>
      <c r="G23" s="2">
        <v>80</v>
      </c>
      <c r="H23" s="2">
        <v>116</v>
      </c>
      <c r="I23" s="54"/>
      <c r="J23" s="54"/>
      <c r="K23" s="54"/>
      <c r="L23" s="54"/>
      <c r="M23" s="54"/>
    </row>
    <row r="24" spans="2:13" x14ac:dyDescent="0.25">
      <c r="B24" s="7" t="s">
        <v>15</v>
      </c>
      <c r="C24" s="8">
        <f>SUM(C14:C23)</f>
        <v>1518</v>
      </c>
      <c r="D24" s="8">
        <f t="shared" ref="D24:M24" si="2">SUM(D14:D23)</f>
        <v>1669</v>
      </c>
      <c r="E24" s="8">
        <f t="shared" si="2"/>
        <v>1979</v>
      </c>
      <c r="F24" s="8">
        <f t="shared" si="2"/>
        <v>2018</v>
      </c>
      <c r="G24" s="8">
        <f t="shared" si="2"/>
        <v>2317</v>
      </c>
      <c r="H24" s="8">
        <f t="shared" si="2"/>
        <v>2851</v>
      </c>
      <c r="I24" s="8">
        <f t="shared" ca="1" si="2"/>
        <v>2418.6182698595449</v>
      </c>
      <c r="J24" s="8">
        <f t="shared" ca="1" si="2"/>
        <v>2680.4690133213721</v>
      </c>
      <c r="K24" s="8">
        <f t="shared" ca="1" si="2"/>
        <v>2991.4660053085904</v>
      </c>
      <c r="L24" s="8">
        <f t="shared" ca="1" si="2"/>
        <v>3342.893304853781</v>
      </c>
      <c r="M24" s="8">
        <f t="shared" ca="1" si="2"/>
        <v>3748.2784338374677</v>
      </c>
    </row>
    <row r="25" spans="2:13" x14ac:dyDescent="0.25">
      <c r="B25" s="9"/>
      <c r="C25" s="8"/>
      <c r="D25" s="8"/>
      <c r="E25" s="8"/>
      <c r="F25" s="8"/>
      <c r="G25" s="8"/>
    </row>
    <row r="26" spans="2:13" ht="15.75" thickBot="1" x14ac:dyDescent="0.3">
      <c r="B26" s="4" t="s">
        <v>16</v>
      </c>
      <c r="C26" s="5">
        <f t="shared" ref="C26:M26" si="3">C11-C24</f>
        <v>1017</v>
      </c>
      <c r="D26" s="5">
        <f t="shared" si="3"/>
        <v>1234</v>
      </c>
      <c r="E26" s="5">
        <f t="shared" si="3"/>
        <v>1441</v>
      </c>
      <c r="F26" s="5">
        <f t="shared" si="3"/>
        <v>1564</v>
      </c>
      <c r="G26" s="5">
        <f t="shared" si="3"/>
        <v>1578</v>
      </c>
      <c r="H26" s="5">
        <f t="shared" si="3"/>
        <v>1798</v>
      </c>
      <c r="I26" s="5">
        <f t="shared" ca="1" si="3"/>
        <v>2530.9332810968435</v>
      </c>
      <c r="J26" s="5">
        <f t="shared" ca="1" si="3"/>
        <v>2307.272517485329</v>
      </c>
      <c r="K26" s="5">
        <f t="shared" ca="1" si="3"/>
        <v>2201.4187792357293</v>
      </c>
      <c r="L26" s="5">
        <f t="shared" ca="1" si="3"/>
        <v>2061.2890310402854</v>
      </c>
      <c r="M26" s="5">
        <f t="shared" ca="1" si="3"/>
        <v>1873.5403799468349</v>
      </c>
    </row>
    <row r="28" spans="2:13" x14ac:dyDescent="0.25">
      <c r="B28" t="s">
        <v>17</v>
      </c>
      <c r="C28" s="2">
        <v>10</v>
      </c>
      <c r="D28" s="2">
        <v>4</v>
      </c>
      <c r="E28" s="2">
        <v>1</v>
      </c>
      <c r="F28" s="2">
        <v>7</v>
      </c>
      <c r="G28" s="2">
        <v>115</v>
      </c>
      <c r="H28" s="2">
        <v>28</v>
      </c>
      <c r="I28" s="55"/>
      <c r="J28" s="55"/>
      <c r="K28" s="55"/>
      <c r="L28" s="55"/>
      <c r="M28" s="55"/>
    </row>
    <row r="29" spans="2:13" x14ac:dyDescent="0.25">
      <c r="B29" t="s">
        <v>18</v>
      </c>
      <c r="C29" s="2">
        <v>-124</v>
      </c>
      <c r="D29" s="2">
        <v>-101</v>
      </c>
      <c r="E29" s="2">
        <v>-125</v>
      </c>
      <c r="F29" s="2">
        <v>-129</v>
      </c>
      <c r="G29" s="2">
        <v>-284</v>
      </c>
      <c r="H29" s="2">
        <v>-414</v>
      </c>
      <c r="I29" s="55"/>
      <c r="J29" s="55"/>
      <c r="K29" s="55"/>
      <c r="L29" s="55"/>
      <c r="M29" s="55"/>
    </row>
    <row r="30" spans="2:13" x14ac:dyDescent="0.25">
      <c r="B30" t="s">
        <v>19</v>
      </c>
      <c r="C30" s="2">
        <v>27</v>
      </c>
      <c r="D30" s="2">
        <v>0</v>
      </c>
      <c r="E30" s="2">
        <v>84</v>
      </c>
      <c r="F30" s="2">
        <v>0</v>
      </c>
      <c r="G30" s="2">
        <v>0</v>
      </c>
      <c r="H30" s="2">
        <v>0</v>
      </c>
    </row>
    <row r="31" spans="2:13" x14ac:dyDescent="0.25">
      <c r="B31" t="s">
        <v>20</v>
      </c>
      <c r="C31" s="2">
        <v>5</v>
      </c>
      <c r="D31" s="2">
        <v>5</v>
      </c>
      <c r="E31" s="2">
        <v>81</v>
      </c>
      <c r="F31" s="2">
        <v>2</v>
      </c>
      <c r="G31" s="2">
        <v>-1</v>
      </c>
      <c r="H31" s="2">
        <v>21</v>
      </c>
      <c r="I31" s="55"/>
      <c r="J31" s="55"/>
      <c r="K31" s="55"/>
      <c r="L31" s="55"/>
      <c r="M31" s="55"/>
    </row>
    <row r="32" spans="2:13" x14ac:dyDescent="0.25">
      <c r="B32" t="s">
        <v>21</v>
      </c>
      <c r="C32" s="2">
        <v>84</v>
      </c>
      <c r="D32" s="2">
        <v>70</v>
      </c>
      <c r="E32" s="2">
        <v>52</v>
      </c>
      <c r="F32" s="2">
        <v>31</v>
      </c>
      <c r="G32" s="2">
        <v>-7</v>
      </c>
      <c r="H32" s="2">
        <v>16</v>
      </c>
      <c r="I32" s="55"/>
      <c r="J32" s="55"/>
      <c r="K32" s="55"/>
      <c r="L32" s="55"/>
      <c r="M32" s="55"/>
    </row>
    <row r="33" spans="2:13" x14ac:dyDescent="0.25">
      <c r="B33" s="9" t="s">
        <v>22</v>
      </c>
      <c r="C33" s="10">
        <f>SUM(C26,C28:C32)</f>
        <v>1019</v>
      </c>
      <c r="D33" s="10">
        <f t="shared" ref="D33:H33" si="4">SUM(D26,D28:D32)</f>
        <v>1212</v>
      </c>
      <c r="E33" s="10">
        <f t="shared" si="4"/>
        <v>1534</v>
      </c>
      <c r="F33" s="10">
        <f t="shared" si="4"/>
        <v>1475</v>
      </c>
      <c r="G33" s="10">
        <f t="shared" si="4"/>
        <v>1401</v>
      </c>
      <c r="H33" s="10">
        <f>SUM(H26,H28:H32)</f>
        <v>1449</v>
      </c>
      <c r="I33" s="10">
        <f t="shared" ref="I33:M33" ca="1" si="5">SUM(I26,I28:I32)</f>
        <v>2530.9332810968435</v>
      </c>
      <c r="J33" s="10">
        <f t="shared" ca="1" si="5"/>
        <v>2307.272517485329</v>
      </c>
      <c r="K33" s="10">
        <f t="shared" ca="1" si="5"/>
        <v>2201.4187792357293</v>
      </c>
      <c r="L33" s="10">
        <f t="shared" ca="1" si="5"/>
        <v>2061.2890310402854</v>
      </c>
      <c r="M33" s="10">
        <f t="shared" ca="1" si="5"/>
        <v>1873.5403799468349</v>
      </c>
    </row>
    <row r="34" spans="2:13" x14ac:dyDescent="0.25">
      <c r="C34" s="6"/>
      <c r="D34" s="6"/>
      <c r="E34" s="6"/>
      <c r="F34" s="6"/>
      <c r="G34" s="6"/>
    </row>
    <row r="35" spans="2:13" x14ac:dyDescent="0.25">
      <c r="B35" t="s">
        <v>23</v>
      </c>
      <c r="C35" s="2">
        <v>245</v>
      </c>
      <c r="D35" s="2">
        <v>279</v>
      </c>
      <c r="E35" s="2">
        <v>347</v>
      </c>
      <c r="F35" s="2">
        <v>352</v>
      </c>
      <c r="G35" s="2">
        <v>344</v>
      </c>
      <c r="H35" s="2">
        <v>334</v>
      </c>
      <c r="I35">
        <f ca="1">I33*Schedules!I18</f>
        <v>613.62673845714994</v>
      </c>
      <c r="J35">
        <f ca="1">J33*Schedules!J18</f>
        <v>561.82818814169502</v>
      </c>
      <c r="K35">
        <f ca="1">K33*Schedules!K18</f>
        <v>538.36924144872364</v>
      </c>
      <c r="L35">
        <f ca="1">L33*Schedules!L18</f>
        <v>506.26903212438242</v>
      </c>
      <c r="M35">
        <f ca="1">M33*Schedules!M18</f>
        <v>462.12818083160948</v>
      </c>
    </row>
    <row r="36" spans="2:13" x14ac:dyDescent="0.25">
      <c r="B36" s="11" t="s">
        <v>24</v>
      </c>
      <c r="C36" s="12">
        <f>C33-C35</f>
        <v>774</v>
      </c>
      <c r="D36" s="12">
        <f t="shared" ref="D36:H36" si="6">D33-D35</f>
        <v>933</v>
      </c>
      <c r="E36" s="12">
        <f t="shared" si="6"/>
        <v>1187</v>
      </c>
      <c r="F36" s="12">
        <f t="shared" si="6"/>
        <v>1123</v>
      </c>
      <c r="G36" s="12">
        <f t="shared" si="6"/>
        <v>1057</v>
      </c>
      <c r="H36" s="12">
        <f>H33-H35</f>
        <v>1115</v>
      </c>
      <c r="I36" s="12">
        <f t="shared" ref="I36:M36" ca="1" si="7">I33-I35</f>
        <v>1917.3065426396936</v>
      </c>
      <c r="J36" s="12">
        <f t="shared" ca="1" si="7"/>
        <v>1745.4443293436339</v>
      </c>
      <c r="K36" s="12">
        <f t="shared" ca="1" si="7"/>
        <v>1663.0495377870056</v>
      </c>
      <c r="L36" s="12">
        <f t="shared" ca="1" si="7"/>
        <v>1555.019998915903</v>
      </c>
      <c r="M36" s="12">
        <f t="shared" ca="1" si="7"/>
        <v>1411.4121991152256</v>
      </c>
    </row>
    <row r="37" spans="2:13" x14ac:dyDescent="0.25">
      <c r="C37" s="6"/>
      <c r="D37" s="6"/>
      <c r="E37" s="6"/>
      <c r="F37" s="6"/>
      <c r="G37" s="6"/>
      <c r="H37" s="13"/>
    </row>
    <row r="38" spans="2:13" x14ac:dyDescent="0.25">
      <c r="B38" t="s">
        <v>25</v>
      </c>
      <c r="C38" s="2">
        <v>0</v>
      </c>
      <c r="D38" s="2">
        <v>0</v>
      </c>
      <c r="E38" s="2">
        <v>0</v>
      </c>
      <c r="F38" s="2">
        <v>2</v>
      </c>
      <c r="G38" s="2">
        <v>2</v>
      </c>
      <c r="H38" s="2">
        <v>2</v>
      </c>
    </row>
    <row r="39" spans="2:13" ht="15.75" thickBot="1" x14ac:dyDescent="0.3">
      <c r="B39" s="14" t="s">
        <v>26</v>
      </c>
      <c r="C39" s="15">
        <f>C36+C38</f>
        <v>774</v>
      </c>
      <c r="D39" s="15">
        <f t="shared" ref="D39:M39" si="8">D36+D38</f>
        <v>933</v>
      </c>
      <c r="E39" s="15">
        <f t="shared" si="8"/>
        <v>1187</v>
      </c>
      <c r="F39" s="15">
        <f t="shared" si="8"/>
        <v>1125</v>
      </c>
      <c r="G39" s="15">
        <f t="shared" si="8"/>
        <v>1059</v>
      </c>
      <c r="H39" s="15">
        <f t="shared" si="8"/>
        <v>1117</v>
      </c>
      <c r="I39" s="15">
        <f t="shared" ca="1" si="8"/>
        <v>1917.3065426396936</v>
      </c>
      <c r="J39" s="15">
        <f t="shared" ca="1" si="8"/>
        <v>1745.4443293436339</v>
      </c>
      <c r="K39" s="15">
        <f t="shared" ca="1" si="8"/>
        <v>1663.0495377870056</v>
      </c>
      <c r="L39" s="15">
        <f t="shared" ca="1" si="8"/>
        <v>1555.019998915903</v>
      </c>
      <c r="M39" s="15">
        <f t="shared" ca="1" si="8"/>
        <v>1411.4121991152256</v>
      </c>
    </row>
    <row r="40" spans="2:13" ht="15.75" thickTop="1" x14ac:dyDescent="0.25">
      <c r="C40" s="6"/>
      <c r="D40" s="6"/>
      <c r="E40" s="6"/>
      <c r="F40" s="6"/>
      <c r="G40" s="6"/>
    </row>
    <row r="41" spans="2:13" x14ac:dyDescent="0.25">
      <c r="B41" s="16" t="s">
        <v>27</v>
      </c>
      <c r="C41" s="6"/>
      <c r="D41" s="6"/>
      <c r="E41" s="6"/>
      <c r="F41" s="6"/>
      <c r="G41" s="6"/>
      <c r="H41" s="6"/>
    </row>
    <row r="42" spans="2:13" x14ac:dyDescent="0.25">
      <c r="B42" t="s">
        <v>28</v>
      </c>
      <c r="C42" s="17">
        <v>4.6900000000000004</v>
      </c>
      <c r="D42" s="17">
        <v>5.67</v>
      </c>
      <c r="E42" s="17">
        <v>7.15</v>
      </c>
      <c r="F42" s="17">
        <v>2.2799999999999998</v>
      </c>
      <c r="G42" s="17">
        <v>2.1</v>
      </c>
      <c r="H42" s="17">
        <v>1.94</v>
      </c>
    </row>
    <row r="44" spans="2:13" x14ac:dyDescent="0.25">
      <c r="B44" s="18" t="s">
        <v>24</v>
      </c>
      <c r="C44" s="19">
        <f t="shared" ref="C44:H44" si="9">C36</f>
        <v>774</v>
      </c>
      <c r="D44" s="19">
        <f t="shared" si="9"/>
        <v>933</v>
      </c>
      <c r="E44" s="19">
        <f t="shared" si="9"/>
        <v>1187</v>
      </c>
      <c r="F44" s="19">
        <f t="shared" si="9"/>
        <v>1123</v>
      </c>
      <c r="G44" s="19">
        <f t="shared" si="9"/>
        <v>1057</v>
      </c>
      <c r="H44" s="19">
        <f t="shared" si="9"/>
        <v>1115</v>
      </c>
    </row>
    <row r="45" spans="2:13" x14ac:dyDescent="0.25">
      <c r="B45" s="3" t="s">
        <v>29</v>
      </c>
    </row>
    <row r="46" spans="2:13" x14ac:dyDescent="0.25">
      <c r="B46" t="s">
        <v>30</v>
      </c>
      <c r="C46" s="2">
        <v>-122</v>
      </c>
      <c r="D46" s="2">
        <v>269</v>
      </c>
      <c r="E46" s="2">
        <v>-176</v>
      </c>
      <c r="F46" s="2">
        <v>-375</v>
      </c>
      <c r="G46" s="2">
        <v>39</v>
      </c>
      <c r="H46" s="2">
        <v>-135</v>
      </c>
    </row>
    <row r="47" spans="2:13" x14ac:dyDescent="0.25">
      <c r="B47" t="s">
        <v>31</v>
      </c>
      <c r="C47" s="2">
        <v>-31</v>
      </c>
      <c r="D47" s="2">
        <v>49</v>
      </c>
      <c r="E47" s="2">
        <v>-42</v>
      </c>
      <c r="F47" s="2">
        <v>-32</v>
      </c>
      <c r="G47" s="2">
        <v>18</v>
      </c>
      <c r="H47" s="2">
        <v>-45</v>
      </c>
    </row>
    <row r="48" spans="2:13" ht="15.75" thickBot="1" x14ac:dyDescent="0.3">
      <c r="B48" s="20" t="s">
        <v>32</v>
      </c>
      <c r="C48" s="21">
        <f>SUM(C46:C47)</f>
        <v>-153</v>
      </c>
      <c r="D48" s="21">
        <f t="shared" ref="D48:H48" si="10">SUM(D46:D47)</f>
        <v>318</v>
      </c>
      <c r="E48" s="21">
        <f t="shared" si="10"/>
        <v>-218</v>
      </c>
      <c r="F48" s="21">
        <f>SUM(F46:F47)</f>
        <v>-407</v>
      </c>
      <c r="G48" s="21">
        <f t="shared" si="10"/>
        <v>57</v>
      </c>
      <c r="H48" s="21">
        <f t="shared" si="10"/>
        <v>-180</v>
      </c>
    </row>
    <row r="50" spans="2:8" x14ac:dyDescent="0.25">
      <c r="B50" t="s">
        <v>33</v>
      </c>
      <c r="C50" s="2">
        <v>-4</v>
      </c>
      <c r="D50" s="2">
        <v>0</v>
      </c>
      <c r="E50" s="2">
        <v>-1</v>
      </c>
      <c r="F50" s="2">
        <v>5</v>
      </c>
      <c r="G50" s="2">
        <v>11</v>
      </c>
      <c r="H50" s="2">
        <v>17</v>
      </c>
    </row>
    <row r="51" spans="2:8" x14ac:dyDescent="0.25">
      <c r="B51" t="s">
        <v>34</v>
      </c>
      <c r="C51" s="2">
        <v>1</v>
      </c>
      <c r="D51" s="2">
        <v>0</v>
      </c>
      <c r="E51" s="2">
        <v>0</v>
      </c>
      <c r="F51" s="2">
        <v>-2</v>
      </c>
      <c r="G51" s="2">
        <v>-3</v>
      </c>
      <c r="H51" s="2">
        <v>-4</v>
      </c>
    </row>
    <row r="52" spans="2:8" ht="15.75" thickBot="1" x14ac:dyDescent="0.3">
      <c r="B52" s="20" t="s">
        <v>35</v>
      </c>
      <c r="C52" s="21">
        <f>SUM(C50:C51)</f>
        <v>-3</v>
      </c>
      <c r="D52" s="21">
        <f t="shared" ref="D52:H52" si="11">SUM(D50:D51)</f>
        <v>0</v>
      </c>
      <c r="E52" s="21">
        <f t="shared" si="11"/>
        <v>-1</v>
      </c>
      <c r="F52" s="21">
        <f t="shared" si="11"/>
        <v>3</v>
      </c>
      <c r="G52" s="21">
        <f t="shared" si="11"/>
        <v>8</v>
      </c>
      <c r="H52" s="21">
        <f t="shared" si="11"/>
        <v>13</v>
      </c>
    </row>
    <row r="54" spans="2:8" x14ac:dyDescent="0.25">
      <c r="B54" t="s">
        <v>36</v>
      </c>
      <c r="C54" s="2">
        <v>0</v>
      </c>
      <c r="D54" s="2">
        <v>0</v>
      </c>
      <c r="E54" s="2">
        <v>0</v>
      </c>
      <c r="F54" s="2">
        <v>0</v>
      </c>
      <c r="G54" s="2">
        <v>2</v>
      </c>
      <c r="H54" s="2">
        <v>-8</v>
      </c>
    </row>
    <row r="56" spans="2:8" x14ac:dyDescent="0.25">
      <c r="B56" t="s">
        <v>37</v>
      </c>
      <c r="C56" s="2">
        <f>SUM(C52,C48,C54)</f>
        <v>-156</v>
      </c>
      <c r="D56" s="2">
        <f t="shared" ref="D56:H56" si="12">SUM(D52,D48,D54)</f>
        <v>318</v>
      </c>
      <c r="E56" s="2">
        <f t="shared" si="12"/>
        <v>-219</v>
      </c>
      <c r="F56" s="2">
        <f t="shared" si="12"/>
        <v>-404</v>
      </c>
      <c r="G56" s="2">
        <f t="shared" si="12"/>
        <v>67</v>
      </c>
      <c r="H56" s="2">
        <f t="shared" si="12"/>
        <v>-175</v>
      </c>
    </row>
    <row r="57" spans="2:8" ht="15.75" thickBot="1" x14ac:dyDescent="0.3">
      <c r="B57" s="22" t="s">
        <v>38</v>
      </c>
      <c r="C57" s="23">
        <f>SUM(C56,C44)</f>
        <v>618</v>
      </c>
      <c r="D57" s="23">
        <f t="shared" ref="D57:H57" si="13">SUM(D56,D44)</f>
        <v>1251</v>
      </c>
      <c r="E57" s="23">
        <f t="shared" si="13"/>
        <v>968</v>
      </c>
      <c r="F57" s="23">
        <f t="shared" si="13"/>
        <v>719</v>
      </c>
      <c r="G57" s="23">
        <f t="shared" si="13"/>
        <v>1124</v>
      </c>
      <c r="H57" s="23">
        <f t="shared" si="13"/>
        <v>940</v>
      </c>
    </row>
    <row r="58" spans="2:8" ht="15.75" thickTop="1" x14ac:dyDescent="0.25">
      <c r="C58" s="6"/>
      <c r="D58" s="6"/>
      <c r="E58" s="6"/>
      <c r="F58" s="6"/>
      <c r="G58" s="6"/>
      <c r="H58" s="6"/>
    </row>
    <row r="59" spans="2:8" x14ac:dyDescent="0.25">
      <c r="B59" t="s">
        <v>39</v>
      </c>
      <c r="C59" s="2">
        <v>0</v>
      </c>
      <c r="D59" s="2">
        <v>0</v>
      </c>
      <c r="E59" s="2">
        <v>0</v>
      </c>
      <c r="F59" s="2">
        <v>2</v>
      </c>
      <c r="G59" s="2">
        <v>2</v>
      </c>
      <c r="H59" s="2">
        <v>2</v>
      </c>
    </row>
    <row r="60" spans="2:8" ht="15.75" thickBot="1" x14ac:dyDescent="0.3">
      <c r="B60" s="22" t="s">
        <v>40</v>
      </c>
      <c r="C60" s="23">
        <f>SUM(C59,C57)</f>
        <v>618</v>
      </c>
      <c r="D60" s="23">
        <f t="shared" ref="D60:H60" si="14">SUM(D59,D57)</f>
        <v>1251</v>
      </c>
      <c r="E60" s="23">
        <f t="shared" si="14"/>
        <v>968</v>
      </c>
      <c r="F60" s="23">
        <f t="shared" si="14"/>
        <v>721</v>
      </c>
      <c r="G60" s="23">
        <f t="shared" si="14"/>
        <v>1126</v>
      </c>
      <c r="H60" s="23">
        <f t="shared" si="14"/>
        <v>942</v>
      </c>
    </row>
    <row r="61" spans="2:8" ht="15.75" thickTop="1" x14ac:dyDescent="0.25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AE3281-223A-43EB-8967-4D3F3525E1C1}">
          <x14:formula1>
            <xm:f>Revenue_Regression!$A$63:$A$65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DA8A-5D47-40F3-9C63-0CF5C121FEED}">
  <dimension ref="B1:M35"/>
  <sheetViews>
    <sheetView showGridLines="0" workbookViewId="0">
      <pane ySplit="1" topLeftCell="A17" activePane="bottomLeft" state="frozen"/>
      <selection pane="bottomLeft" activeCell="I33" sqref="I33"/>
    </sheetView>
  </sheetViews>
  <sheetFormatPr defaultRowHeight="15" x14ac:dyDescent="0.25"/>
  <cols>
    <col min="2" max="2" width="44" bestFit="1" customWidth="1"/>
    <col min="4" max="8" width="12" bestFit="1" customWidth="1"/>
  </cols>
  <sheetData>
    <row r="1" spans="2:13" x14ac:dyDescent="0.25">
      <c r="C1" s="1">
        <v>2019</v>
      </c>
      <c r="D1" s="1">
        <f t="shared" ref="D1:M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24">
        <f t="shared" si="0"/>
        <v>2025</v>
      </c>
      <c r="J1" s="24">
        <f t="shared" si="0"/>
        <v>2026</v>
      </c>
      <c r="K1" s="24">
        <f t="shared" si="0"/>
        <v>2027</v>
      </c>
      <c r="L1" s="24">
        <f t="shared" si="0"/>
        <v>2028</v>
      </c>
      <c r="M1" s="24">
        <f t="shared" si="0"/>
        <v>2029</v>
      </c>
    </row>
    <row r="4" spans="2:13" x14ac:dyDescent="0.25">
      <c r="B4" s="1" t="s">
        <v>42</v>
      </c>
      <c r="C4" s="1">
        <v>2019</v>
      </c>
      <c r="D4" s="1">
        <f t="shared" ref="D4:M4" si="1">C4+1</f>
        <v>2020</v>
      </c>
      <c r="E4" s="1">
        <f t="shared" si="1"/>
        <v>2021</v>
      </c>
      <c r="F4" s="1">
        <f t="shared" si="1"/>
        <v>2022</v>
      </c>
      <c r="G4" s="1">
        <f t="shared" si="1"/>
        <v>2023</v>
      </c>
      <c r="H4" s="1">
        <f t="shared" si="1"/>
        <v>2024</v>
      </c>
      <c r="I4" s="24">
        <f t="shared" si="1"/>
        <v>2025</v>
      </c>
      <c r="J4" s="24">
        <f t="shared" si="1"/>
        <v>2026</v>
      </c>
      <c r="K4" s="24">
        <f t="shared" si="1"/>
        <v>2027</v>
      </c>
      <c r="L4" s="24">
        <f t="shared" si="1"/>
        <v>2028</v>
      </c>
      <c r="M4" s="24">
        <f t="shared" si="1"/>
        <v>2029</v>
      </c>
    </row>
    <row r="5" spans="2:13" x14ac:dyDescent="0.25">
      <c r="B5" s="51" t="s">
        <v>109</v>
      </c>
      <c r="C5" s="50"/>
      <c r="D5" s="50"/>
      <c r="E5" s="50"/>
      <c r="F5" s="50"/>
      <c r="G5" s="50"/>
      <c r="H5" s="50"/>
      <c r="I5" s="52">
        <f ca="1">('3-Statement_Model'!I11/'3-Statement_Model'!H11)-1</f>
        <v>6.4648645075583655E-2</v>
      </c>
      <c r="J5" s="52">
        <f ca="1">('3-Statement_Model'!J11/'3-Statement_Model'!I11)-1</f>
        <v>7.7158464675317617E-3</v>
      </c>
      <c r="K5" s="52">
        <f ca="1">('3-Statement_Model'!K11/'3-Statement_Model'!J11)-1</f>
        <v>4.1129487659004482E-2</v>
      </c>
      <c r="L5" s="52">
        <f ca="1">('3-Statement_Model'!L11/'3-Statement_Model'!K11)-1</f>
        <v>4.0689820806083743E-2</v>
      </c>
      <c r="M5" s="52">
        <f ca="1">('3-Statement_Model'!M11/'3-Statement_Model'!L11)-1</f>
        <v>4.0271860637402179E-2</v>
      </c>
    </row>
    <row r="7" spans="2:13" x14ac:dyDescent="0.25">
      <c r="B7" s="3" t="s">
        <v>104</v>
      </c>
      <c r="D7" s="13">
        <f>(Schedules!D4/Schedules!C4)-1</f>
        <v>0.1075441412520064</v>
      </c>
      <c r="E7" s="13">
        <f>(Schedules!E4/Schedules!D4)-1</f>
        <v>0.20372670807453419</v>
      </c>
      <c r="F7" s="13">
        <f>(Schedules!F4/Schedules!E4)-1</f>
        <v>9.6835225318197438E-2</v>
      </c>
      <c r="G7" s="13">
        <f>(Schedules!G4/Schedules!F4)-1</f>
        <v>0.33683550258742345</v>
      </c>
      <c r="H7" s="13">
        <f>(Schedules!H4/Schedules!G4)-1</f>
        <v>7.4721407624633418E-2</v>
      </c>
      <c r="I7" s="47">
        <f ca="1">OFFSET(I7,MATCH(S,$B$8:$B$10,0),0)</f>
        <v>0.16393259697135898</v>
      </c>
      <c r="J7" s="48">
        <f ca="1">OFFSET(J7,MATCH(S,$B$8:$B$10,0),0)</f>
        <v>0.16393259697135898</v>
      </c>
      <c r="K7" s="48">
        <f ca="1">OFFSET(K7,MATCH(S,$B$8:$B$10,0),0)</f>
        <v>0.16393259697135898</v>
      </c>
      <c r="L7" s="48">
        <f ca="1">OFFSET(L7,MATCH(S,$B$8:$B$10,0),0)</f>
        <v>0.16393259697135898</v>
      </c>
      <c r="M7" s="49">
        <f ca="1">OFFSET(M7,MATCH(S,$B$8:$B$10,0),0)</f>
        <v>0.16393259697135898</v>
      </c>
    </row>
    <row r="8" spans="2:13" x14ac:dyDescent="0.25">
      <c r="B8" t="s">
        <v>88</v>
      </c>
      <c r="H8" t="s">
        <v>105</v>
      </c>
      <c r="I8" s="13">
        <f>AVERAGE($D$7:$H$7)</f>
        <v>0.16393259697135898</v>
      </c>
      <c r="J8" s="13">
        <f t="shared" ref="J8:M8" si="2">AVERAGE($D$7:$H$7)</f>
        <v>0.16393259697135898</v>
      </c>
      <c r="K8" s="13">
        <f t="shared" si="2"/>
        <v>0.16393259697135898</v>
      </c>
      <c r="L8" s="13">
        <f t="shared" si="2"/>
        <v>0.16393259697135898</v>
      </c>
      <c r="M8" s="13">
        <f t="shared" si="2"/>
        <v>0.16393259697135898</v>
      </c>
    </row>
    <row r="9" spans="2:13" x14ac:dyDescent="0.25">
      <c r="B9" t="s">
        <v>90</v>
      </c>
      <c r="H9" t="s">
        <v>106</v>
      </c>
      <c r="I9" s="13">
        <f>MIN($D$7:$H$7)</f>
        <v>7.4721407624633418E-2</v>
      </c>
      <c r="J9" s="13">
        <f t="shared" ref="J9:M9" si="3">MIN($D$7:$H$7)</f>
        <v>7.4721407624633418E-2</v>
      </c>
      <c r="K9" s="13">
        <f t="shared" si="3"/>
        <v>7.4721407624633418E-2</v>
      </c>
      <c r="L9" s="13">
        <f t="shared" si="3"/>
        <v>7.4721407624633418E-2</v>
      </c>
      <c r="M9" s="13">
        <f t="shared" si="3"/>
        <v>7.4721407624633418E-2</v>
      </c>
    </row>
    <row r="10" spans="2:13" x14ac:dyDescent="0.25">
      <c r="B10" t="s">
        <v>92</v>
      </c>
      <c r="H10" t="s">
        <v>108</v>
      </c>
      <c r="I10" s="13">
        <f>MAX($D$7:$H$7)/1.5</f>
        <v>0.22455700172494897</v>
      </c>
      <c r="J10" s="13">
        <f t="shared" ref="J10:M10" si="4">MAX($D$7:$H$7)/1.5</f>
        <v>0.22455700172494897</v>
      </c>
      <c r="K10" s="13">
        <f t="shared" si="4"/>
        <v>0.22455700172494897</v>
      </c>
      <c r="L10" s="13">
        <f t="shared" si="4"/>
        <v>0.22455700172494897</v>
      </c>
      <c r="M10" s="13">
        <f t="shared" si="4"/>
        <v>0.22455700172494897</v>
      </c>
    </row>
    <row r="12" spans="2:13" x14ac:dyDescent="0.25">
      <c r="B12" s="3" t="s">
        <v>6</v>
      </c>
      <c r="C12" s="13">
        <f>'3-Statement_Model'!C15/'3-Statement_Model'!C11</f>
        <v>5.0098619329388562E-2</v>
      </c>
      <c r="D12" s="13">
        <f>'3-Statement_Model'!D15/'3-Statement_Model'!D11</f>
        <v>4.7192559421288326E-2</v>
      </c>
      <c r="E12" s="13">
        <f>'3-Statement_Model'!E15/'3-Statement_Model'!E11</f>
        <v>4.2105263157894736E-2</v>
      </c>
      <c r="F12" s="13">
        <f>'3-Statement_Model'!F15/'3-Statement_Model'!F11</f>
        <v>3.908431044109436E-2</v>
      </c>
      <c r="G12" s="13">
        <f>'3-Statement_Model'!G15/'3-Statement_Model'!G11</f>
        <v>3.2862644415917845E-2</v>
      </c>
      <c r="H12" s="13">
        <f>'3-Statement_Model'!H15/'3-Statement_Model'!H11</f>
        <v>3.2695203269520329E-2</v>
      </c>
      <c r="I12" s="47">
        <f ca="1">OFFSET(I12,MATCH(S,$B$13:$B$15,0),0)</f>
        <v>4.0673100005850692E-2</v>
      </c>
      <c r="J12" s="48">
        <f ca="1">OFFSET(J12,MATCH(S,$B$13:$B$15,0),0)</f>
        <v>4.0673100005850692E-2</v>
      </c>
      <c r="K12" s="48">
        <f ca="1">OFFSET(K12,MATCH(S,$B$13:$B$15,0),0)</f>
        <v>4.0673100005850692E-2</v>
      </c>
      <c r="L12" s="48">
        <f ca="1">OFFSET(L12,MATCH(S,$B$13:$B$15,0),0)</f>
        <v>4.0673100005850692E-2</v>
      </c>
      <c r="M12" s="49">
        <f ca="1">OFFSET(M12,MATCH(S,$B$13:$B$15,0),0)</f>
        <v>4.0673100005850692E-2</v>
      </c>
    </row>
    <row r="13" spans="2:13" x14ac:dyDescent="0.25">
      <c r="B13" t="s">
        <v>88</v>
      </c>
      <c r="H13" t="s">
        <v>105</v>
      </c>
      <c r="I13" s="13">
        <f>AVERAGE($C$12:$H$12)</f>
        <v>4.0673100005850692E-2</v>
      </c>
      <c r="J13" s="13">
        <f t="shared" ref="J13:M13" si="5">AVERAGE($C$12:$H$12)</f>
        <v>4.0673100005850692E-2</v>
      </c>
      <c r="K13" s="13">
        <f t="shared" si="5"/>
        <v>4.0673100005850692E-2</v>
      </c>
      <c r="L13" s="13">
        <f t="shared" si="5"/>
        <v>4.0673100005850692E-2</v>
      </c>
      <c r="M13" s="13">
        <f t="shared" si="5"/>
        <v>4.0673100005850692E-2</v>
      </c>
    </row>
    <row r="14" spans="2:13" x14ac:dyDescent="0.25">
      <c r="B14" t="s">
        <v>90</v>
      </c>
      <c r="H14" t="s">
        <v>106</v>
      </c>
      <c r="I14" s="13">
        <f>MIN($C$12:$H$12)</f>
        <v>3.2695203269520329E-2</v>
      </c>
      <c r="J14" s="13">
        <f t="shared" ref="J14:M14" si="6">MIN($C$12:$H$12)</f>
        <v>3.2695203269520329E-2</v>
      </c>
      <c r="K14" s="13">
        <f t="shared" si="6"/>
        <v>3.2695203269520329E-2</v>
      </c>
      <c r="L14" s="13">
        <f t="shared" si="6"/>
        <v>3.2695203269520329E-2</v>
      </c>
      <c r="M14" s="13">
        <f t="shared" si="6"/>
        <v>3.2695203269520329E-2</v>
      </c>
    </row>
    <row r="15" spans="2:13" x14ac:dyDescent="0.25">
      <c r="B15" t="s">
        <v>92</v>
      </c>
      <c r="H15" t="s">
        <v>107</v>
      </c>
      <c r="I15" s="13">
        <f>MAX($C$12:$H$12)</f>
        <v>5.0098619329388562E-2</v>
      </c>
      <c r="J15" s="13">
        <f t="shared" ref="J15:M15" si="7">MAX($C$12:$H$12)</f>
        <v>5.0098619329388562E-2</v>
      </c>
      <c r="K15" s="13">
        <f t="shared" si="7"/>
        <v>5.0098619329388562E-2</v>
      </c>
      <c r="L15" s="13">
        <f t="shared" si="7"/>
        <v>5.0098619329388562E-2</v>
      </c>
      <c r="M15" s="13">
        <f t="shared" si="7"/>
        <v>5.0098619329388562E-2</v>
      </c>
    </row>
    <row r="17" spans="2:13" x14ac:dyDescent="0.25">
      <c r="B17" s="3" t="s">
        <v>7</v>
      </c>
      <c r="I17" s="47">
        <f ca="1">OFFSET(I17,MATCH(S,$B$18:$B$20,0),0)</f>
        <v>3.8891132129121167E-2</v>
      </c>
      <c r="J17" s="48">
        <f ca="1">OFFSET(J17,MATCH(S,$B$18:$B$20,0),0)</f>
        <v>3.8891132129121167E-2</v>
      </c>
      <c r="K17" s="48">
        <f ca="1">OFFSET(K17,MATCH(S,$B$18:$B$20,0),0)</f>
        <v>3.8891132129121167E-2</v>
      </c>
      <c r="L17" s="48">
        <f ca="1">OFFSET(L17,MATCH(S,$B$18:$B$20,0),0)</f>
        <v>3.8891132129121167E-2</v>
      </c>
      <c r="M17" s="49">
        <f ca="1">OFFSET(M17,MATCH(S,$B$18:$B$20,0),0)</f>
        <v>3.8891132129121167E-2</v>
      </c>
    </row>
    <row r="18" spans="2:13" x14ac:dyDescent="0.25">
      <c r="B18" t="s">
        <v>88</v>
      </c>
      <c r="H18" t="s">
        <v>105</v>
      </c>
      <c r="I18" s="13">
        <f ca="1">AVERAGE($I$5:$M$5)</f>
        <v>3.8891132129121167E-2</v>
      </c>
      <c r="J18" s="13">
        <f t="shared" ref="J18:M18" ca="1" si="8">AVERAGE($I$5:$M$5)</f>
        <v>3.8891132129121167E-2</v>
      </c>
      <c r="K18" s="13">
        <f t="shared" ca="1" si="8"/>
        <v>3.8891132129121167E-2</v>
      </c>
      <c r="L18" s="13">
        <f t="shared" ca="1" si="8"/>
        <v>3.8891132129121167E-2</v>
      </c>
      <c r="M18" s="13">
        <f t="shared" ca="1" si="8"/>
        <v>3.8891132129121167E-2</v>
      </c>
    </row>
    <row r="19" spans="2:13" x14ac:dyDescent="0.25">
      <c r="B19" t="s">
        <v>90</v>
      </c>
      <c r="H19" t="s">
        <v>106</v>
      </c>
      <c r="I19" s="13">
        <f ca="1">MIN($I$5:$M$5)*2</f>
        <v>1.5431692935063523E-2</v>
      </c>
      <c r="J19" s="13">
        <f t="shared" ref="J19:M19" ca="1" si="9">MIN($I$5:$M$5)*2</f>
        <v>1.5431692935063523E-2</v>
      </c>
      <c r="K19" s="13">
        <f t="shared" ca="1" si="9"/>
        <v>1.5431692935063523E-2</v>
      </c>
      <c r="L19" s="13">
        <f t="shared" ca="1" si="9"/>
        <v>1.5431692935063523E-2</v>
      </c>
      <c r="M19" s="13">
        <f t="shared" ca="1" si="9"/>
        <v>1.5431692935063523E-2</v>
      </c>
    </row>
    <row r="20" spans="2:13" x14ac:dyDescent="0.25">
      <c r="B20" t="s">
        <v>92</v>
      </c>
      <c r="H20" t="s">
        <v>107</v>
      </c>
      <c r="I20" s="13">
        <f ca="1">MAX($I$5:$M$5)</f>
        <v>6.4648645075583655E-2</v>
      </c>
      <c r="J20" s="13">
        <f t="shared" ref="J20:M20" ca="1" si="10">MAX($I$5:$M$5)</f>
        <v>6.4648645075583655E-2</v>
      </c>
      <c r="K20" s="13">
        <f t="shared" ca="1" si="10"/>
        <v>6.4648645075583655E-2</v>
      </c>
      <c r="L20" s="13">
        <f t="shared" ca="1" si="10"/>
        <v>6.4648645075583655E-2</v>
      </c>
      <c r="M20" s="13">
        <f t="shared" ca="1" si="10"/>
        <v>6.4648645075583655E-2</v>
      </c>
    </row>
    <row r="22" spans="2:13" x14ac:dyDescent="0.25">
      <c r="B22" s="3" t="s">
        <v>9</v>
      </c>
      <c r="C22" s="13">
        <f>'3-Statement_Model'!C18/'3-Statement_Model'!C11</f>
        <v>4.9309664694280081E-2</v>
      </c>
      <c r="D22" s="13">
        <f>'3-Statement_Model'!D18/'3-Statement_Model'!D11</f>
        <v>4.891491560454702E-2</v>
      </c>
      <c r="E22" s="13">
        <f>'3-Statement_Model'!E18/'3-Statement_Model'!E11</f>
        <v>2.4853801169590642E-2</v>
      </c>
      <c r="F22" s="13">
        <f>'3-Statement_Model'!F18/'3-Statement_Model'!F11</f>
        <v>3.4896705750977107E-2</v>
      </c>
      <c r="G22" s="13">
        <f>'3-Statement_Model'!G18/'3-Statement_Model'!G11</f>
        <v>2.9011553273427471E-2</v>
      </c>
      <c r="H22" s="13">
        <f>'3-Statement_Model'!H18/'3-Statement_Model'!H11</f>
        <v>2.3445902344590236E-2</v>
      </c>
      <c r="I22" s="47">
        <f ca="1">OFFSET(I22,MATCH(S,$B$23:$B$25,0),0)</f>
        <v>3.5072090472902093E-2</v>
      </c>
      <c r="J22" s="48">
        <f ca="1">OFFSET(J22,MATCH(S,$B$23:$B$25,0),0)</f>
        <v>3.5072090472902093E-2</v>
      </c>
      <c r="K22" s="48">
        <f ca="1">OFFSET(K22,MATCH(S,$B$23:$B$25,0),0)</f>
        <v>3.5072090472902093E-2</v>
      </c>
      <c r="L22" s="48">
        <f ca="1">OFFSET(L22,MATCH(S,$B$23:$B$25,0),0)</f>
        <v>3.5072090472902093E-2</v>
      </c>
      <c r="M22" s="49">
        <f ca="1">OFFSET(M22,MATCH(S,$B$23:$B$25,0),0)</f>
        <v>3.5072090472902093E-2</v>
      </c>
    </row>
    <row r="23" spans="2:13" x14ac:dyDescent="0.25">
      <c r="B23" t="s">
        <v>88</v>
      </c>
      <c r="H23" t="s">
        <v>105</v>
      </c>
      <c r="I23" s="13">
        <f>AVERAGE($C$22:$H$22)</f>
        <v>3.5072090472902093E-2</v>
      </c>
      <c r="J23" s="13">
        <f t="shared" ref="J23:M23" si="11">AVERAGE($C$22:$H$22)</f>
        <v>3.5072090472902093E-2</v>
      </c>
      <c r="K23" s="13">
        <f t="shared" si="11"/>
        <v>3.5072090472902093E-2</v>
      </c>
      <c r="L23" s="13">
        <f t="shared" si="11"/>
        <v>3.5072090472902093E-2</v>
      </c>
      <c r="M23" s="13">
        <f t="shared" si="11"/>
        <v>3.5072090472902093E-2</v>
      </c>
    </row>
    <row r="24" spans="2:13" x14ac:dyDescent="0.25">
      <c r="B24" t="s">
        <v>90</v>
      </c>
      <c r="H24" t="s">
        <v>106</v>
      </c>
      <c r="I24" s="13">
        <f>MIN($C$22:$H$22)</f>
        <v>2.3445902344590236E-2</v>
      </c>
      <c r="J24" s="13">
        <f t="shared" ref="J24:M24" si="12">MIN($C$22:$H$22)</f>
        <v>2.3445902344590236E-2</v>
      </c>
      <c r="K24" s="13">
        <f t="shared" si="12"/>
        <v>2.3445902344590236E-2</v>
      </c>
      <c r="L24" s="13">
        <f t="shared" si="12"/>
        <v>2.3445902344590236E-2</v>
      </c>
      <c r="M24" s="13">
        <f t="shared" si="12"/>
        <v>2.3445902344590236E-2</v>
      </c>
    </row>
    <row r="25" spans="2:13" x14ac:dyDescent="0.25">
      <c r="B25" t="s">
        <v>92</v>
      </c>
      <c r="H25" t="s">
        <v>107</v>
      </c>
      <c r="I25" s="13">
        <f>MAX($C$22:$H$22)</f>
        <v>4.9309664694280081E-2</v>
      </c>
      <c r="J25" s="13">
        <f t="shared" ref="J25:M25" si="13">MAX($C$22:$H$22)</f>
        <v>4.9309664694280081E-2</v>
      </c>
      <c r="K25" s="13">
        <f t="shared" si="13"/>
        <v>4.9309664694280081E-2</v>
      </c>
      <c r="L25" s="13">
        <f t="shared" si="13"/>
        <v>4.9309664694280081E-2</v>
      </c>
      <c r="M25" s="13">
        <f t="shared" si="13"/>
        <v>4.9309664694280081E-2</v>
      </c>
    </row>
    <row r="27" spans="2:13" x14ac:dyDescent="0.25">
      <c r="B27" s="3" t="s">
        <v>10</v>
      </c>
      <c r="C27" s="13">
        <f>'3-Statement_Model'!C19/'3-Statement_Model'!C11</f>
        <v>1.5384615384615385E-2</v>
      </c>
      <c r="D27" s="13">
        <f>'3-Statement_Model'!D19/'3-Statement_Model'!D11</f>
        <v>1.3434378229417844E-2</v>
      </c>
      <c r="E27" s="13">
        <f>'3-Statement_Model'!E19/'3-Statement_Model'!E11</f>
        <v>1.6666666666666666E-2</v>
      </c>
      <c r="F27" s="13">
        <f>'3-Statement_Model'!F19/'3-Statement_Model'!F11</f>
        <v>1.423785594639866E-2</v>
      </c>
      <c r="G27" s="13">
        <f>'3-Statement_Model'!G19/'3-Statement_Model'!G11</f>
        <v>1.2066752246469832E-2</v>
      </c>
      <c r="H27" s="13">
        <f>'3-Statement_Model'!H19/'3-Statement_Model'!H11</f>
        <v>1.1615401161540116E-2</v>
      </c>
      <c r="I27" s="47">
        <f ca="1">OFFSET(I27,MATCH(S,$B$28:$B$30,0),0)</f>
        <v>1.3900944939184749E-2</v>
      </c>
      <c r="J27" s="48">
        <f ca="1">OFFSET(J27,MATCH(S,$B$28:$B$30,0),0)</f>
        <v>1.3900944939184749E-2</v>
      </c>
      <c r="K27" s="48">
        <f ca="1">OFFSET(K27,MATCH(S,$B$28:$B$30,0),0)</f>
        <v>1.3900944939184749E-2</v>
      </c>
      <c r="L27" s="48">
        <f ca="1">OFFSET(L27,MATCH(S,$B$28:$B$30,0),0)</f>
        <v>1.3900944939184749E-2</v>
      </c>
      <c r="M27" s="49">
        <f ca="1">OFFSET(M27,MATCH(S,$B$28:$B$30,0),0)</f>
        <v>1.3900944939184749E-2</v>
      </c>
    </row>
    <row r="28" spans="2:13" x14ac:dyDescent="0.25">
      <c r="B28" t="s">
        <v>88</v>
      </c>
      <c r="H28" t="s">
        <v>105</v>
      </c>
      <c r="I28" s="13">
        <f>AVERAGE($C$27:$H$27)</f>
        <v>1.3900944939184749E-2</v>
      </c>
      <c r="J28" s="13">
        <f t="shared" ref="J28:M28" si="14">AVERAGE($C$27:$H$27)</f>
        <v>1.3900944939184749E-2</v>
      </c>
      <c r="K28" s="13">
        <f t="shared" si="14"/>
        <v>1.3900944939184749E-2</v>
      </c>
      <c r="L28" s="13">
        <f t="shared" si="14"/>
        <v>1.3900944939184749E-2</v>
      </c>
      <c r="M28" s="13">
        <f t="shared" si="14"/>
        <v>1.3900944939184749E-2</v>
      </c>
    </row>
    <row r="29" spans="2:13" x14ac:dyDescent="0.25">
      <c r="B29" t="s">
        <v>90</v>
      </c>
      <c r="H29" t="s">
        <v>106</v>
      </c>
      <c r="I29" s="13">
        <f>MIN($C$27:$H$27)</f>
        <v>1.1615401161540116E-2</v>
      </c>
      <c r="J29" s="13">
        <f t="shared" ref="J29:M29" si="15">MIN($C$27:$H$27)</f>
        <v>1.1615401161540116E-2</v>
      </c>
      <c r="K29" s="13">
        <f t="shared" si="15"/>
        <v>1.1615401161540116E-2</v>
      </c>
      <c r="L29" s="13">
        <f t="shared" si="15"/>
        <v>1.1615401161540116E-2</v>
      </c>
      <c r="M29" s="13">
        <f t="shared" si="15"/>
        <v>1.1615401161540116E-2</v>
      </c>
    </row>
    <row r="30" spans="2:13" x14ac:dyDescent="0.25">
      <c r="B30" t="s">
        <v>92</v>
      </c>
      <c r="H30" t="s">
        <v>107</v>
      </c>
      <c r="I30" s="13">
        <f>MAX($C$27:$H$27)</f>
        <v>1.6666666666666666E-2</v>
      </c>
      <c r="J30" s="13">
        <f t="shared" ref="J30:M30" si="16">MAX($C$27:$H$27)</f>
        <v>1.6666666666666666E-2</v>
      </c>
      <c r="K30" s="13">
        <f t="shared" si="16"/>
        <v>1.6666666666666666E-2</v>
      </c>
      <c r="L30" s="13">
        <f t="shared" si="16"/>
        <v>1.6666666666666666E-2</v>
      </c>
      <c r="M30" s="13">
        <f t="shared" si="16"/>
        <v>1.6666666666666666E-2</v>
      </c>
    </row>
    <row r="32" spans="2:13" x14ac:dyDescent="0.25">
      <c r="B32" s="3" t="s">
        <v>12</v>
      </c>
      <c r="C32" s="13">
        <f>'3-Statement_Model'!C21/'3-Statement_Model'!C11</f>
        <v>1.2228796844181459E-2</v>
      </c>
      <c r="D32" s="13">
        <f>'3-Statement_Model'!D21/'3-Statement_Model'!D11</f>
        <v>8.2673096796417496E-3</v>
      </c>
      <c r="E32" s="13">
        <f>'3-Statement_Model'!E21/'3-Statement_Model'!E11</f>
        <v>1.8713450292397661E-2</v>
      </c>
      <c r="F32" s="13">
        <f>'3-Statement_Model'!F21/'3-Statement_Model'!F11</f>
        <v>9.212730318257957E-3</v>
      </c>
      <c r="G32" s="13">
        <f>'3-Statement_Model'!G21/'3-Statement_Model'!G11</f>
        <v>8.7291399229781769E-3</v>
      </c>
      <c r="H32" s="13">
        <f>'3-Statement_Model'!H21/'3-Statement_Model'!H11</f>
        <v>1.1830501183050119E-2</v>
      </c>
      <c r="I32" s="47">
        <f ca="1">OFFSET(I32,MATCH(S,$B$33:$B$35,0),0)</f>
        <v>1.149698804008452E-2</v>
      </c>
      <c r="J32" s="48">
        <f ca="1">OFFSET(J32,MATCH(S,$B$33:$B$35,0),0)</f>
        <v>1.149698804008452E-2</v>
      </c>
      <c r="K32" s="48">
        <f ca="1">OFFSET(K32,MATCH(S,$B$33:$B$35,0),0)</f>
        <v>1.149698804008452E-2</v>
      </c>
      <c r="L32" s="48">
        <f ca="1">OFFSET(L32,MATCH(S,$B$33:$B$35,0),0)</f>
        <v>1.149698804008452E-2</v>
      </c>
      <c r="M32" s="49">
        <f ca="1">OFFSET(M32,MATCH(S,$B$33:$B$35,0),0)</f>
        <v>1.149698804008452E-2</v>
      </c>
    </row>
    <row r="33" spans="2:13" x14ac:dyDescent="0.25">
      <c r="B33" t="s">
        <v>88</v>
      </c>
      <c r="H33" t="s">
        <v>105</v>
      </c>
      <c r="I33" s="13">
        <f>AVERAGE($C$32:$H$32)</f>
        <v>1.149698804008452E-2</v>
      </c>
      <c r="J33" s="13">
        <f t="shared" ref="J33:M33" si="17">AVERAGE($C$32:$H$32)</f>
        <v>1.149698804008452E-2</v>
      </c>
      <c r="K33" s="13">
        <f t="shared" si="17"/>
        <v>1.149698804008452E-2</v>
      </c>
      <c r="L33" s="13">
        <f t="shared" si="17"/>
        <v>1.149698804008452E-2</v>
      </c>
      <c r="M33" s="13">
        <f t="shared" si="17"/>
        <v>1.149698804008452E-2</v>
      </c>
    </row>
    <row r="34" spans="2:13" x14ac:dyDescent="0.25">
      <c r="B34" t="s">
        <v>90</v>
      </c>
      <c r="H34" t="s">
        <v>106</v>
      </c>
      <c r="I34" s="13">
        <f>MIN($C$32:$H$32)</f>
        <v>8.2673096796417496E-3</v>
      </c>
      <c r="J34" s="13">
        <f t="shared" ref="J34:M34" si="18">MIN($C$32:$H$32)</f>
        <v>8.2673096796417496E-3</v>
      </c>
      <c r="K34" s="13">
        <f t="shared" si="18"/>
        <v>8.2673096796417496E-3</v>
      </c>
      <c r="L34" s="13">
        <f t="shared" si="18"/>
        <v>8.2673096796417496E-3</v>
      </c>
      <c r="M34" s="13">
        <f t="shared" si="18"/>
        <v>8.2673096796417496E-3</v>
      </c>
    </row>
    <row r="35" spans="2:13" x14ac:dyDescent="0.25">
      <c r="B35" t="s">
        <v>92</v>
      </c>
      <c r="H35" t="s">
        <v>107</v>
      </c>
      <c r="I35" s="13">
        <f>MAX($C$32:$H$32)</f>
        <v>1.8713450292397661E-2</v>
      </c>
      <c r="J35" s="13">
        <f t="shared" ref="J35:M35" si="19">MAX($C$32:$H$32)</f>
        <v>1.8713450292397661E-2</v>
      </c>
      <c r="K35" s="13">
        <f t="shared" si="19"/>
        <v>1.8713450292397661E-2</v>
      </c>
      <c r="L35" s="13">
        <f t="shared" si="19"/>
        <v>1.8713450292397661E-2</v>
      </c>
      <c r="M35" s="13">
        <f t="shared" si="19"/>
        <v>1.8713450292397661E-2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7E7C-ACD7-4AB8-BBE2-2A5742FE995F}">
  <dimension ref="A1:M19"/>
  <sheetViews>
    <sheetView showGridLines="0" topLeftCell="B1" workbookViewId="0">
      <pane ySplit="1" topLeftCell="A3" activePane="bottomLeft" state="frozen"/>
      <selection pane="bottomLeft" activeCell="I11" sqref="I11"/>
    </sheetView>
  </sheetViews>
  <sheetFormatPr defaultRowHeight="15" x14ac:dyDescent="0.25"/>
  <cols>
    <col min="2" max="2" width="43.28515625" bestFit="1" customWidth="1"/>
    <col min="3" max="13" width="10.7109375" bestFit="1" customWidth="1"/>
  </cols>
  <sheetData>
    <row r="1" spans="1:13" x14ac:dyDescent="0.25">
      <c r="C1" s="1">
        <v>2019</v>
      </c>
      <c r="D1" s="1">
        <f t="shared" ref="D1:M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24">
        <f t="shared" si="0"/>
        <v>2025</v>
      </c>
      <c r="J1" s="24">
        <f t="shared" si="0"/>
        <v>2026</v>
      </c>
      <c r="K1" s="24">
        <f t="shared" si="0"/>
        <v>2027</v>
      </c>
      <c r="L1" s="24">
        <f t="shared" si="0"/>
        <v>2028</v>
      </c>
      <c r="M1" s="24">
        <f t="shared" si="0"/>
        <v>2029</v>
      </c>
    </row>
    <row r="3" spans="1:13" x14ac:dyDescent="0.25">
      <c r="A3" t="s">
        <v>111</v>
      </c>
      <c r="B3" s="1" t="s">
        <v>102</v>
      </c>
      <c r="C3" s="1">
        <v>2019</v>
      </c>
      <c r="D3" s="1">
        <f t="shared" ref="D3" si="1">C3+1</f>
        <v>2020</v>
      </c>
      <c r="E3" s="1">
        <f t="shared" ref="E3" si="2">D3+1</f>
        <v>2021</v>
      </c>
      <c r="F3" s="1">
        <f t="shared" ref="F3" si="3">E3+1</f>
        <v>2022</v>
      </c>
      <c r="G3" s="1">
        <f t="shared" ref="G3" si="4">F3+1</f>
        <v>2023</v>
      </c>
      <c r="H3" s="1">
        <f t="shared" ref="H3" si="5">G3+1</f>
        <v>2024</v>
      </c>
      <c r="I3" s="24">
        <f t="shared" ref="I3" si="6">H3+1</f>
        <v>2025</v>
      </c>
      <c r="J3" s="24">
        <f t="shared" ref="J3" si="7">I3+1</f>
        <v>2026</v>
      </c>
      <c r="K3" s="24">
        <f t="shared" ref="K3" si="8">J3+1</f>
        <v>2027</v>
      </c>
      <c r="L3" s="24">
        <f t="shared" ref="L3" si="9">K3+1</f>
        <v>2028</v>
      </c>
      <c r="M3" s="24">
        <f t="shared" ref="M3" si="10">L3+1</f>
        <v>2029</v>
      </c>
    </row>
    <row r="4" spans="1:13" x14ac:dyDescent="0.25">
      <c r="B4" t="s">
        <v>100</v>
      </c>
      <c r="C4" s="6">
        <v>4361</v>
      </c>
      <c r="D4" s="6">
        <v>4830</v>
      </c>
      <c r="E4" s="6">
        <v>5814</v>
      </c>
      <c r="F4" s="6">
        <v>6377</v>
      </c>
      <c r="G4" s="6">
        <v>8525</v>
      </c>
      <c r="H4" s="6">
        <v>9162</v>
      </c>
      <c r="I4" s="6">
        <f ca="1">H4*(1+Assumptions!I7)</f>
        <v>10663.950453451591</v>
      </c>
      <c r="J4" s="6">
        <f ca="1">I4*(1+Assumptions!J7)</f>
        <v>12412.119545259811</v>
      </c>
      <c r="K4" s="6">
        <f ca="1">J4*(1+Assumptions!K7)</f>
        <v>14446.870536233215</v>
      </c>
      <c r="L4" s="6">
        <f ca="1">K4*(1+Assumptions!L7)</f>
        <v>16815.183541346934</v>
      </c>
      <c r="M4" s="6">
        <f ca="1">L4*(1+Assumptions!M7)</f>
        <v>19571.740247829992</v>
      </c>
    </row>
    <row r="5" spans="1:13" x14ac:dyDescent="0.25">
      <c r="B5" t="s">
        <v>101</v>
      </c>
      <c r="C5" s="6">
        <f>'3-Statement_Model'!C14/Schedules!C4</f>
        <v>0.16211878009630817</v>
      </c>
      <c r="D5" s="6">
        <f>'3-Statement_Model'!D14/Schedules!D4</f>
        <v>0.16273291925465838</v>
      </c>
      <c r="E5" s="6">
        <f>'3-Statement_Model'!E14/Schedules!E4</f>
        <v>0.16133470932232541</v>
      </c>
      <c r="F5" s="6">
        <f>'3-Statement_Model'!F14/Schedules!F4</f>
        <v>0.1572839893366787</v>
      </c>
      <c r="G5" s="6">
        <f>'3-Statement_Model'!G14/Schedules!G4</f>
        <v>0.1269208211143695</v>
      </c>
      <c r="H5" s="6">
        <f>'3-Statement_Model'!H14/Schedules!H4</f>
        <v>0.14450993232918577</v>
      </c>
      <c r="I5" s="6">
        <f>AVERAGE(C5:H5)</f>
        <v>0.15248352524225434</v>
      </c>
      <c r="J5" s="6">
        <f t="shared" ref="J5:M5" si="11">AVERAGE(D5:I5)</f>
        <v>0.15087764943324533</v>
      </c>
      <c r="K5" s="6">
        <f t="shared" si="11"/>
        <v>0.14890177112967651</v>
      </c>
      <c r="L5" s="6">
        <f t="shared" si="11"/>
        <v>0.14682961476423503</v>
      </c>
      <c r="M5" s="6">
        <f t="shared" si="11"/>
        <v>0.14508721900216109</v>
      </c>
    </row>
    <row r="6" spans="1:13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C7" s="56">
        <f>DATE(2019,12,31)</f>
        <v>43830</v>
      </c>
      <c r="D7" s="56">
        <f>EOMONTH(C7,12)</f>
        <v>44196</v>
      </c>
      <c r="E7" s="56">
        <f t="shared" ref="E7:M7" si="12">EOMONTH(D7,12)</f>
        <v>44561</v>
      </c>
      <c r="F7" s="56">
        <f t="shared" si="12"/>
        <v>44926</v>
      </c>
      <c r="G7" s="56">
        <f t="shared" si="12"/>
        <v>45291</v>
      </c>
      <c r="H7" s="56">
        <f t="shared" si="12"/>
        <v>45657</v>
      </c>
      <c r="I7" s="56">
        <f t="shared" si="12"/>
        <v>46022</v>
      </c>
      <c r="J7" s="56">
        <f t="shared" si="12"/>
        <v>46387</v>
      </c>
      <c r="K7" s="56">
        <f t="shared" si="12"/>
        <v>46752</v>
      </c>
      <c r="L7" s="56">
        <f t="shared" si="12"/>
        <v>47118</v>
      </c>
      <c r="M7" s="56">
        <f t="shared" si="12"/>
        <v>47483</v>
      </c>
    </row>
    <row r="8" spans="1:13" x14ac:dyDescent="0.25">
      <c r="A8" t="s">
        <v>111</v>
      </c>
      <c r="B8" s="1" t="s">
        <v>110</v>
      </c>
      <c r="C8" s="1">
        <v>2019</v>
      </c>
      <c r="D8" s="1">
        <f t="shared" ref="D8" si="13">C8+1</f>
        <v>2020</v>
      </c>
      <c r="E8" s="1">
        <f t="shared" ref="E8" si="14">D8+1</f>
        <v>2021</v>
      </c>
      <c r="F8" s="1">
        <f t="shared" ref="F8" si="15">E8+1</f>
        <v>2022</v>
      </c>
      <c r="G8" s="1">
        <f t="shared" ref="G8" si="16">F8+1</f>
        <v>2023</v>
      </c>
      <c r="H8" s="1">
        <f t="shared" ref="H8" si="17">G8+1</f>
        <v>2024</v>
      </c>
      <c r="I8" s="24">
        <f t="shared" ref="I8" si="18">H8+1</f>
        <v>2025</v>
      </c>
      <c r="J8" s="24">
        <f t="shared" ref="J8" si="19">I8+1</f>
        <v>2026</v>
      </c>
      <c r="K8" s="24">
        <f t="shared" ref="K8" si="20">J8+1</f>
        <v>2027</v>
      </c>
      <c r="L8" s="24">
        <f t="shared" ref="L8" si="21">K8+1</f>
        <v>2028</v>
      </c>
      <c r="M8" s="24">
        <f t="shared" ref="M8" si="22">L8+1</f>
        <v>2029</v>
      </c>
    </row>
    <row r="9" spans="1:13" x14ac:dyDescent="0.25">
      <c r="B9" t="s">
        <v>112</v>
      </c>
      <c r="C9" s="57">
        <v>0.21</v>
      </c>
      <c r="D9" s="57">
        <v>0.21</v>
      </c>
      <c r="E9" s="57">
        <v>0.21</v>
      </c>
      <c r="F9" s="57">
        <v>0.21</v>
      </c>
      <c r="G9" s="57">
        <v>0.21</v>
      </c>
      <c r="H9" s="57">
        <v>0.21</v>
      </c>
      <c r="I9" s="57">
        <v>0.21</v>
      </c>
      <c r="J9" s="57">
        <v>0.21</v>
      </c>
      <c r="K9" s="57">
        <v>0.21</v>
      </c>
      <c r="L9" s="57">
        <v>0.21</v>
      </c>
      <c r="M9" s="57">
        <v>0.21</v>
      </c>
    </row>
    <row r="10" spans="1:13" x14ac:dyDescent="0.25">
      <c r="B10" t="s">
        <v>113</v>
      </c>
      <c r="C10" s="58">
        <v>4.1000000000000002E-2</v>
      </c>
      <c r="D10" s="58">
        <v>4.2000000000000003E-2</v>
      </c>
      <c r="E10" s="58">
        <v>3.9E-2</v>
      </c>
      <c r="F10" s="58">
        <v>3.7999999999999999E-2</v>
      </c>
      <c r="G10" s="58">
        <v>3.2000000000000001E-2</v>
      </c>
      <c r="H10" s="58">
        <v>2.9000000000000001E-2</v>
      </c>
      <c r="I10" s="58">
        <f>_xlfn.FORECAST.ETS(I7,$C$10:$H$10,$C$7:$H$7,0)</f>
        <v>2.6197519832927833E-2</v>
      </c>
      <c r="J10" s="58">
        <f t="shared" ref="J10:M10" si="23">_xlfn.FORECAST.ETS(J7,$C$10:$H$10,$C$7:$H$7,0)</f>
        <v>2.3350051084162052E-2</v>
      </c>
      <c r="K10" s="58">
        <f t="shared" si="23"/>
        <v>2.0502582335396268E-2</v>
      </c>
      <c r="L10" s="58">
        <f t="shared" si="23"/>
        <v>1.7655113586630487E-2</v>
      </c>
      <c r="M10" s="58">
        <f t="shared" si="23"/>
        <v>1.4807644837864701E-2</v>
      </c>
    </row>
    <row r="11" spans="1:13" x14ac:dyDescent="0.25">
      <c r="B11" t="s">
        <v>114</v>
      </c>
      <c r="C11" s="58">
        <v>-5.0000000000000001E-3</v>
      </c>
      <c r="D11" s="58">
        <v>-6.0000000000000001E-3</v>
      </c>
      <c r="E11" s="58">
        <v>-1.2999999999999999E-2</v>
      </c>
      <c r="F11" s="58">
        <v>-8.9999999999999993E-3</v>
      </c>
      <c r="G11" s="58">
        <v>-7.0000000000000001E-3</v>
      </c>
      <c r="H11" s="58">
        <v>-3.0000000000000001E-3</v>
      </c>
      <c r="I11" s="58">
        <f>_xlfn.FORECAST.ETS(I7,$C$11:$H$11,$C$7:$H$7,0)</f>
        <v>-2.7248556183203411E-3</v>
      </c>
      <c r="J11" s="58">
        <f t="shared" ref="J11:M11" si="24">_xlfn.FORECAST.ETS(J7,$C$11:$H$11,$C$7:$H$7,0)</f>
        <v>-2.0958920592090862E-3</v>
      </c>
      <c r="K11" s="58">
        <f t="shared" si="24"/>
        <v>-1.4669285000978359E-3</v>
      </c>
      <c r="L11" s="58">
        <f t="shared" si="24"/>
        <v>-8.3796494098658137E-4</v>
      </c>
      <c r="M11" s="58">
        <f t="shared" si="24"/>
        <v>-2.0900138187533149E-4</v>
      </c>
    </row>
    <row r="12" spans="1:13" x14ac:dyDescent="0.25">
      <c r="B12" t="s">
        <v>115</v>
      </c>
      <c r="C12" s="58">
        <v>0.01</v>
      </c>
      <c r="D12" s="58">
        <v>5.0000000000000001E-3</v>
      </c>
      <c r="E12" s="58">
        <v>3.0000000000000001E-3</v>
      </c>
      <c r="F12" s="58">
        <v>1.2E-2</v>
      </c>
      <c r="G12" s="58">
        <v>2.5000000000000001E-2</v>
      </c>
      <c r="H12" s="58">
        <v>1.6E-2</v>
      </c>
      <c r="I12" s="58">
        <f>_xlfn.FORECAST.ETS(I7,$C$12:$H$12,$C$7:$H$7,0)</f>
        <v>2.4547008826832903E-2</v>
      </c>
      <c r="J12" s="58">
        <f t="shared" ref="J12:M12" si="25">_xlfn.FORECAST.ETS(J7,$C$12:$H$12,$C$7:$H$7,0)</f>
        <v>2.7913999064907474E-2</v>
      </c>
      <c r="K12" s="58">
        <f t="shared" si="25"/>
        <v>3.1280989302982044E-2</v>
      </c>
      <c r="L12" s="58">
        <f t="shared" si="25"/>
        <v>3.4647979541056612E-2</v>
      </c>
      <c r="M12" s="58">
        <f t="shared" si="25"/>
        <v>3.8014969779131186E-2</v>
      </c>
    </row>
    <row r="13" spans="1:13" x14ac:dyDescent="0.25">
      <c r="B13" t="s">
        <v>116</v>
      </c>
      <c r="C13" s="58">
        <v>-2E-3</v>
      </c>
      <c r="D13" s="58">
        <v>-2E-3</v>
      </c>
      <c r="E13" s="58">
        <v>-3.0000000000000001E-3</v>
      </c>
      <c r="F13" s="58">
        <v>-3.0000000000000001E-3</v>
      </c>
      <c r="G13" s="58">
        <v>-2E-3</v>
      </c>
      <c r="H13" s="58">
        <v>-1.7000000000000001E-2</v>
      </c>
      <c r="I13" s="58">
        <f>_xlfn.FORECAST.ETS(I7,$C$13:$H$13,$C$7:$H$7,0)</f>
        <v>-1.3898848152363865E-2</v>
      </c>
      <c r="J13" s="58">
        <f t="shared" ref="J13:M13" si="26">_xlfn.FORECAST.ETS(J7,$C$13:$H$13,$C$7:$H$7,0)</f>
        <v>-1.6301974966358573E-2</v>
      </c>
      <c r="K13" s="58">
        <f t="shared" si="26"/>
        <v>-1.870510178035328E-2</v>
      </c>
      <c r="L13" s="58">
        <f t="shared" si="26"/>
        <v>-2.1108228594347987E-2</v>
      </c>
      <c r="M13" s="58">
        <f t="shared" si="26"/>
        <v>-2.3511355408342698E-2</v>
      </c>
    </row>
    <row r="14" spans="1:13" x14ac:dyDescent="0.25">
      <c r="B14" t="s">
        <v>117</v>
      </c>
      <c r="C14" s="58">
        <v>-1E-3</v>
      </c>
      <c r="D14" s="58">
        <v>-6.0000000000000001E-3</v>
      </c>
      <c r="E14" s="58">
        <v>6.0000000000000001E-3</v>
      </c>
      <c r="F14" s="58">
        <v>1.0999999999999999E-2</v>
      </c>
      <c r="G14" s="58">
        <v>0.01</v>
      </c>
      <c r="H14" s="58">
        <v>4.0000000000000001E-3</v>
      </c>
      <c r="I14" s="58">
        <f>_xlfn.FORECAST.ETS(I7,$C$14:$H$14,$C$7:$H$7,0)</f>
        <v>1.2716240128212604E-2</v>
      </c>
      <c r="J14" s="58">
        <f t="shared" ref="J14:M14" si="27">_xlfn.FORECAST.ETS(J7,$C$14:$H$14,$C$7:$H$7,0)</f>
        <v>1.5001749393571599E-2</v>
      </c>
      <c r="K14" s="58">
        <f t="shared" si="27"/>
        <v>1.7287258658930601E-2</v>
      </c>
      <c r="L14" s="58">
        <f t="shared" si="27"/>
        <v>1.9572767924289601E-2</v>
      </c>
      <c r="M14" s="58">
        <f t="shared" si="27"/>
        <v>2.1858277189648598E-2</v>
      </c>
    </row>
    <row r="15" spans="1:13" x14ac:dyDescent="0.25">
      <c r="B15" t="s">
        <v>120</v>
      </c>
      <c r="C15" s="58">
        <v>0</v>
      </c>
      <c r="D15" s="58">
        <v>0</v>
      </c>
      <c r="E15" s="58">
        <v>0</v>
      </c>
      <c r="F15" s="58">
        <v>-0.01</v>
      </c>
      <c r="G15" s="58">
        <v>-1.6E-2</v>
      </c>
      <c r="H15" s="58">
        <v>-2.8000000000000001E-2</v>
      </c>
      <c r="I15" s="58">
        <f>_xlfn.FORECAST.ETS(I7,$C$15:$H$15,$C$7:$H$7,0)</f>
        <v>-3.3622878807970054E-2</v>
      </c>
      <c r="J15" s="58">
        <f t="shared" ref="J15:M15" si="28">_xlfn.FORECAST.ETS(J7,$C$15:$H$15,$C$7:$H$7,0)</f>
        <v>-3.982706076472823E-2</v>
      </c>
      <c r="K15" s="58">
        <f t="shared" si="28"/>
        <v>-4.6031242721486398E-2</v>
      </c>
      <c r="L15" s="58">
        <f t="shared" si="28"/>
        <v>-5.2235424678244574E-2</v>
      </c>
      <c r="M15" s="58">
        <f t="shared" si="28"/>
        <v>-5.8439606635002743E-2</v>
      </c>
    </row>
    <row r="16" spans="1:13" x14ac:dyDescent="0.25">
      <c r="B16" t="s">
        <v>121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1.7000000000000001E-2</v>
      </c>
      <c r="I16" s="58">
        <f>_xlfn.FORECAST.ETS(I7,$C$16:$H$16,$C$7:$H$7,0)</f>
        <v>1.3334881107024285E-2</v>
      </c>
      <c r="J16" s="58">
        <f t="shared" ref="J16:M16" si="29">_xlfn.FORECAST.ETS(J7,$C$16:$H$16,$C$7:$H$7,0)</f>
        <v>1.6097354937801591E-2</v>
      </c>
      <c r="K16" s="58">
        <f t="shared" si="29"/>
        <v>1.8859828768578897E-2</v>
      </c>
      <c r="L16" s="58">
        <f t="shared" si="29"/>
        <v>2.16223025993562E-2</v>
      </c>
      <c r="M16" s="58">
        <f t="shared" si="29"/>
        <v>2.4384776430133506E-2</v>
      </c>
    </row>
    <row r="17" spans="2:13" x14ac:dyDescent="0.25">
      <c r="B17" t="s">
        <v>118</v>
      </c>
      <c r="C17" s="58">
        <v>-1.2999999999999999E-2</v>
      </c>
      <c r="D17" s="58">
        <v>-1.2999999999999999E-2</v>
      </c>
      <c r="E17" s="58">
        <v>-1.6E-2</v>
      </c>
      <c r="F17" s="58">
        <v>-0.01</v>
      </c>
      <c r="G17" s="58">
        <v>-6.0000000000000001E-3</v>
      </c>
      <c r="H17" s="58">
        <v>3.0000000000000001E-3</v>
      </c>
      <c r="I17" s="58">
        <f>_xlfn.FORECAST.ETS(I7,$C$17:$H$17,$C$7:$H$7,0)</f>
        <v>5.9017088618493986E-3</v>
      </c>
      <c r="J17" s="58">
        <f t="shared" ref="J17:M17" si="30">_xlfn.FORECAST.ETS(J7,$C$17:$H$17,$C$7:$H$7,0)</f>
        <v>9.364950279180332E-3</v>
      </c>
      <c r="K17" s="58">
        <f t="shared" si="30"/>
        <v>1.2828191696511259E-2</v>
      </c>
      <c r="L17" s="58">
        <f t="shared" si="30"/>
        <v>1.629143311384219E-2</v>
      </c>
      <c r="M17" s="58">
        <f t="shared" si="30"/>
        <v>1.9754674531173123E-2</v>
      </c>
    </row>
    <row r="18" spans="2:13" ht="15.75" thickBot="1" x14ac:dyDescent="0.3">
      <c r="B18" s="22" t="s">
        <v>119</v>
      </c>
      <c r="C18" s="59">
        <f>SUM(C9:C17)</f>
        <v>0.24</v>
      </c>
      <c r="D18" s="59">
        <f t="shared" ref="D18:M18" si="31">SUM(D9:D17)</f>
        <v>0.22999999999999998</v>
      </c>
      <c r="E18" s="59">
        <f t="shared" si="31"/>
        <v>0.22599999999999998</v>
      </c>
      <c r="F18" s="59">
        <f t="shared" si="31"/>
        <v>0.23899999999999999</v>
      </c>
      <c r="G18" s="59">
        <f t="shared" si="31"/>
        <v>0.246</v>
      </c>
      <c r="H18" s="59">
        <f t="shared" si="31"/>
        <v>0.23099999999999998</v>
      </c>
      <c r="I18" s="59">
        <f t="shared" si="31"/>
        <v>0.2424507761781928</v>
      </c>
      <c r="J18" s="59">
        <f t="shared" si="31"/>
        <v>0.24350317696932716</v>
      </c>
      <c r="K18" s="59">
        <f t="shared" si="31"/>
        <v>0.24455557776046152</v>
      </c>
      <c r="L18" s="59">
        <f t="shared" si="31"/>
        <v>0.24560797855159594</v>
      </c>
      <c r="M18" s="59">
        <f t="shared" si="31"/>
        <v>0.24666037934273036</v>
      </c>
    </row>
    <row r="19" spans="2:13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9056-2DB9-491E-AE2D-7D2D24235416}">
  <dimension ref="A1:R66"/>
  <sheetViews>
    <sheetView showGridLines="0" topLeftCell="A45" workbookViewId="0">
      <selection activeCell="A63" sqref="A63:A65"/>
    </sheetView>
  </sheetViews>
  <sheetFormatPr defaultRowHeight="15" x14ac:dyDescent="0.25"/>
  <cols>
    <col min="1" max="1" width="12" bestFit="1" customWidth="1"/>
    <col min="2" max="2" width="7.5703125" bestFit="1" customWidth="1"/>
    <col min="3" max="3" width="21" bestFit="1" customWidth="1"/>
    <col min="4" max="4" width="11.85546875" bestFit="1" customWidth="1"/>
    <col min="5" max="5" width="8.5703125" bestFit="1" customWidth="1"/>
    <col min="6" max="6" width="25.85546875" bestFit="1" customWidth="1"/>
    <col min="7" max="7" width="37" bestFit="1" customWidth="1"/>
    <col min="8" max="9" width="25.85546875" customWidth="1"/>
    <col min="10" max="10" width="12.7109375" bestFit="1" customWidth="1"/>
    <col min="11" max="11" width="14.5703125" bestFit="1" customWidth="1"/>
    <col min="12" max="12" width="12.7109375" bestFit="1" customWidth="1"/>
    <col min="13" max="13" width="12" bestFit="1" customWidth="1"/>
    <col min="14" max="14" width="13.42578125" bestFit="1" customWidth="1"/>
    <col min="15" max="15" width="12" bestFit="1" customWidth="1"/>
    <col min="16" max="16" width="12.7109375" bestFit="1" customWidth="1"/>
    <col min="17" max="17" width="12.5703125" bestFit="1" customWidth="1"/>
  </cols>
  <sheetData>
    <row r="1" spans="1:15" x14ac:dyDescent="0.25">
      <c r="B1" s="3" t="s">
        <v>43</v>
      </c>
      <c r="C1" s="30" t="s">
        <v>55</v>
      </c>
      <c r="D1" s="30" t="s">
        <v>54</v>
      </c>
      <c r="E1" s="30" t="s">
        <v>80</v>
      </c>
      <c r="F1" s="30" t="s">
        <v>81</v>
      </c>
      <c r="G1" s="3"/>
      <c r="H1" s="3"/>
      <c r="I1" s="3"/>
    </row>
    <row r="2" spans="1:15" x14ac:dyDescent="0.25">
      <c r="A2" s="53" t="s">
        <v>44</v>
      </c>
      <c r="B2" s="26" t="s">
        <v>45</v>
      </c>
      <c r="C2" s="6">
        <v>634</v>
      </c>
      <c r="D2" s="6">
        <v>2096.35</v>
      </c>
      <c r="E2">
        <v>2.76</v>
      </c>
      <c r="F2" s="31">
        <v>21111.599999999999</v>
      </c>
      <c r="G2" s="30" t="s">
        <v>95</v>
      </c>
      <c r="H2" s="42"/>
      <c r="I2" s="31"/>
      <c r="J2" t="s">
        <v>56</v>
      </c>
    </row>
    <row r="3" spans="1:15" ht="15.75" thickBot="1" x14ac:dyDescent="0.3">
      <c r="A3" s="53"/>
      <c r="B3" s="26" t="s">
        <v>46</v>
      </c>
      <c r="C3" s="6">
        <v>623</v>
      </c>
      <c r="D3" s="6">
        <v>2045.06</v>
      </c>
      <c r="E3">
        <v>2.0699999999999998</v>
      </c>
      <c r="F3" s="31">
        <v>21397.9</v>
      </c>
      <c r="G3" s="42">
        <f>(F3/F2)-1</f>
        <v>1.3561264897023584E-2</v>
      </c>
      <c r="H3" s="42"/>
      <c r="I3" s="31"/>
    </row>
    <row r="4" spans="1:15" x14ac:dyDescent="0.25">
      <c r="A4" s="53"/>
      <c r="B4" s="26" t="s">
        <v>47</v>
      </c>
      <c r="C4" s="6">
        <v>632</v>
      </c>
      <c r="D4" s="6">
        <v>2136.58</v>
      </c>
      <c r="E4">
        <v>1.47</v>
      </c>
      <c r="F4" s="31">
        <v>21717.200000000001</v>
      </c>
      <c r="G4" s="42">
        <f t="shared" ref="G4:G25" si="0">(F4/F3)-1</f>
        <v>1.4922025058533794E-2</v>
      </c>
      <c r="H4" s="42"/>
      <c r="I4" s="31"/>
      <c r="J4" s="29" t="s">
        <v>57</v>
      </c>
      <c r="K4" s="29"/>
    </row>
    <row r="5" spans="1:15" x14ac:dyDescent="0.25">
      <c r="A5" s="53"/>
      <c r="B5" s="26" t="s">
        <v>48</v>
      </c>
      <c r="C5" s="6">
        <v>646</v>
      </c>
      <c r="D5" s="6">
        <v>2276.4</v>
      </c>
      <c r="E5">
        <v>1.83</v>
      </c>
      <c r="F5" s="31">
        <v>21933.200000000001</v>
      </c>
      <c r="G5" s="42">
        <f t="shared" si="0"/>
        <v>9.9460335586538662E-3</v>
      </c>
      <c r="H5" s="42"/>
      <c r="I5" s="31"/>
      <c r="J5" t="s">
        <v>58</v>
      </c>
      <c r="K5">
        <v>0.97119154104698724</v>
      </c>
    </row>
    <row r="6" spans="1:15" x14ac:dyDescent="0.25">
      <c r="A6" s="53" t="s">
        <v>49</v>
      </c>
      <c r="B6" s="26" t="s">
        <v>45</v>
      </c>
      <c r="C6" s="6">
        <v>701</v>
      </c>
      <c r="D6" s="6">
        <v>2212.38</v>
      </c>
      <c r="E6">
        <v>1.1000000000000001</v>
      </c>
      <c r="F6" s="31">
        <v>21727.7</v>
      </c>
      <c r="G6" s="42">
        <f t="shared" si="0"/>
        <v>-9.369357868436845E-3</v>
      </c>
      <c r="H6" s="42"/>
      <c r="I6" s="31"/>
      <c r="J6" t="s">
        <v>59</v>
      </c>
      <c r="K6">
        <v>0.94321300940122199</v>
      </c>
    </row>
    <row r="7" spans="1:15" x14ac:dyDescent="0.25">
      <c r="A7" s="53"/>
      <c r="B7" s="26" t="s">
        <v>46</v>
      </c>
      <c r="C7" s="6">
        <v>699</v>
      </c>
      <c r="D7" s="6">
        <v>2163.92</v>
      </c>
      <c r="E7">
        <v>0.66</v>
      </c>
      <c r="F7" s="31">
        <v>19935.400000000001</v>
      </c>
      <c r="G7" s="42">
        <f t="shared" si="0"/>
        <v>-8.2489172807061917E-2</v>
      </c>
      <c r="H7" s="42"/>
      <c r="I7" s="31"/>
      <c r="J7" t="s">
        <v>60</v>
      </c>
      <c r="K7">
        <v>0.93780472458229081</v>
      </c>
    </row>
    <row r="8" spans="1:15" x14ac:dyDescent="0.25">
      <c r="A8" s="53"/>
      <c r="B8" s="26" t="s">
        <v>47</v>
      </c>
      <c r="C8" s="6">
        <v>715</v>
      </c>
      <c r="D8" s="6">
        <v>2467.25</v>
      </c>
      <c r="E8">
        <v>0.68</v>
      </c>
      <c r="F8" s="31">
        <v>21684.6</v>
      </c>
      <c r="G8" s="42">
        <f t="shared" si="0"/>
        <v>8.7743411218234701E-2</v>
      </c>
      <c r="H8" s="42"/>
      <c r="I8" s="31"/>
      <c r="J8" t="s">
        <v>61</v>
      </c>
      <c r="K8">
        <v>45.188157665049161</v>
      </c>
    </row>
    <row r="9" spans="1:15" ht="15.75" thickBot="1" x14ac:dyDescent="0.3">
      <c r="A9" s="53"/>
      <c r="B9" s="26" t="s">
        <v>48</v>
      </c>
      <c r="C9" s="6">
        <v>788</v>
      </c>
      <c r="D9" s="6">
        <v>2609.0100000000002</v>
      </c>
      <c r="E9">
        <v>0.92</v>
      </c>
      <c r="F9" s="31">
        <v>22068.799999999999</v>
      </c>
      <c r="G9" s="42">
        <f t="shared" si="0"/>
        <v>1.7717642935539457E-2</v>
      </c>
      <c r="H9" s="42"/>
      <c r="I9" s="31"/>
      <c r="J9" s="27" t="s">
        <v>62</v>
      </c>
      <c r="K9" s="27">
        <v>24</v>
      </c>
    </row>
    <row r="10" spans="1:15" x14ac:dyDescent="0.25">
      <c r="A10" s="53" t="s">
        <v>50</v>
      </c>
      <c r="B10" s="26" t="s">
        <v>45</v>
      </c>
      <c r="C10" s="6">
        <v>851</v>
      </c>
      <c r="D10" s="6">
        <v>2783.7</v>
      </c>
      <c r="E10">
        <v>1.45</v>
      </c>
      <c r="F10" s="31">
        <v>22656.799999999999</v>
      </c>
      <c r="G10" s="42">
        <f t="shared" si="0"/>
        <v>2.6643949829623814E-2</v>
      </c>
      <c r="H10" s="42"/>
      <c r="I10" s="31"/>
    </row>
    <row r="11" spans="1:15" ht="15.75" thickBot="1" x14ac:dyDescent="0.3">
      <c r="A11" s="53"/>
      <c r="B11" s="26" t="s">
        <v>46</v>
      </c>
      <c r="C11" s="6">
        <v>846</v>
      </c>
      <c r="D11" s="6">
        <v>2982.02</v>
      </c>
      <c r="E11">
        <v>1.62</v>
      </c>
      <c r="F11" s="31">
        <v>23368.9</v>
      </c>
      <c r="G11" s="42">
        <f t="shared" si="0"/>
        <v>3.1429857702764741E-2</v>
      </c>
      <c r="H11" s="42"/>
      <c r="I11" s="31"/>
      <c r="J11" t="s">
        <v>63</v>
      </c>
    </row>
    <row r="12" spans="1:15" x14ac:dyDescent="0.25">
      <c r="A12" s="53"/>
      <c r="B12" s="26" t="s">
        <v>47</v>
      </c>
      <c r="C12" s="6">
        <v>838</v>
      </c>
      <c r="D12" s="6">
        <v>3151.66</v>
      </c>
      <c r="E12">
        <v>1.31</v>
      </c>
      <c r="F12" s="31">
        <v>23922</v>
      </c>
      <c r="G12" s="42">
        <f t="shared" si="0"/>
        <v>2.3668208602030782E-2</v>
      </c>
      <c r="H12" s="42"/>
      <c r="I12" s="31"/>
      <c r="J12" s="28"/>
      <c r="K12" s="28" t="s">
        <v>68</v>
      </c>
      <c r="L12" s="28" t="s">
        <v>69</v>
      </c>
      <c r="M12" s="28" t="s">
        <v>70</v>
      </c>
      <c r="N12" s="28" t="s">
        <v>71</v>
      </c>
      <c r="O12" s="28" t="s">
        <v>72</v>
      </c>
    </row>
    <row r="13" spans="1:15" x14ac:dyDescent="0.25">
      <c r="A13" s="53"/>
      <c r="B13" s="26" t="s">
        <v>48</v>
      </c>
      <c r="C13" s="6">
        <v>885</v>
      </c>
      <c r="D13" s="6">
        <v>3087.98</v>
      </c>
      <c r="E13">
        <v>1.43</v>
      </c>
      <c r="F13" s="31">
        <v>24777</v>
      </c>
      <c r="G13" s="42">
        <f t="shared" si="0"/>
        <v>3.5741158765989489E-2</v>
      </c>
      <c r="H13" s="42"/>
      <c r="I13" s="31"/>
      <c r="J13" t="s">
        <v>64</v>
      </c>
      <c r="K13">
        <v>2</v>
      </c>
      <c r="L13">
        <v>712245.13854361186</v>
      </c>
      <c r="M13">
        <v>356122.56927180593</v>
      </c>
      <c r="N13">
        <v>174.40150453977293</v>
      </c>
      <c r="O13">
        <v>8.3102285406484695E-14</v>
      </c>
    </row>
    <row r="14" spans="1:15" x14ac:dyDescent="0.25">
      <c r="A14" s="53" t="s">
        <v>51</v>
      </c>
      <c r="B14" s="26" t="s">
        <v>45</v>
      </c>
      <c r="C14" s="6">
        <v>892</v>
      </c>
      <c r="D14" s="6">
        <v>2930.76</v>
      </c>
      <c r="E14">
        <v>1.72</v>
      </c>
      <c r="F14" s="31">
        <v>25215.5</v>
      </c>
      <c r="G14" s="42">
        <f t="shared" si="0"/>
        <v>1.7697864955402265E-2</v>
      </c>
      <c r="H14" s="42"/>
      <c r="I14" s="31"/>
      <c r="J14" t="s">
        <v>65</v>
      </c>
      <c r="K14">
        <v>21</v>
      </c>
      <c r="L14">
        <v>42881.361456388164</v>
      </c>
      <c r="M14">
        <v>2041.9695931613412</v>
      </c>
    </row>
    <row r="15" spans="1:15" ht="15.75" thickBot="1" x14ac:dyDescent="0.3">
      <c r="A15" s="53"/>
      <c r="B15" s="26" t="s">
        <v>46</v>
      </c>
      <c r="C15" s="6">
        <v>893</v>
      </c>
      <c r="D15" s="6">
        <v>2770.43</v>
      </c>
      <c r="E15">
        <v>2.94</v>
      </c>
      <c r="F15" s="31">
        <v>25805.8</v>
      </c>
      <c r="G15" s="42">
        <f t="shared" si="0"/>
        <v>2.3410204041165228E-2</v>
      </c>
      <c r="H15" s="42"/>
      <c r="I15" s="31"/>
      <c r="J15" s="27" t="s">
        <v>66</v>
      </c>
      <c r="K15" s="27">
        <v>23</v>
      </c>
      <c r="L15" s="27">
        <v>755126.5</v>
      </c>
      <c r="M15" s="27"/>
      <c r="N15" s="27"/>
      <c r="O15" s="27"/>
    </row>
    <row r="16" spans="1:15" ht="15.75" thickBot="1" x14ac:dyDescent="0.3">
      <c r="A16" s="53"/>
      <c r="B16" s="26" t="s">
        <v>47</v>
      </c>
      <c r="C16" s="6">
        <v>890</v>
      </c>
      <c r="D16" s="6">
        <v>2610.25</v>
      </c>
      <c r="E16">
        <v>3.26</v>
      </c>
      <c r="F16" s="31">
        <v>26272</v>
      </c>
      <c r="G16" s="42">
        <f t="shared" si="0"/>
        <v>1.8065706159080541E-2</v>
      </c>
      <c r="H16" s="42"/>
      <c r="I16" s="31"/>
    </row>
    <row r="17" spans="1:18" x14ac:dyDescent="0.25">
      <c r="A17" s="53"/>
      <c r="B17" s="26" t="s">
        <v>48</v>
      </c>
      <c r="C17" s="6">
        <v>906</v>
      </c>
      <c r="D17" s="6">
        <v>2741.08</v>
      </c>
      <c r="E17">
        <v>3.53</v>
      </c>
      <c r="F17" s="31">
        <v>26734.3</v>
      </c>
      <c r="G17" s="42">
        <f t="shared" si="0"/>
        <v>1.7596680876979187E-2</v>
      </c>
      <c r="H17" s="42"/>
      <c r="I17" s="31"/>
      <c r="J17" s="28"/>
      <c r="K17" s="28" t="s">
        <v>73</v>
      </c>
      <c r="L17" s="28" t="s">
        <v>61</v>
      </c>
      <c r="M17" s="28" t="s">
        <v>74</v>
      </c>
      <c r="N17" s="28" t="s">
        <v>75</v>
      </c>
      <c r="O17" s="28" t="s">
        <v>76</v>
      </c>
      <c r="P17" s="28" t="s">
        <v>77</v>
      </c>
      <c r="Q17" s="28" t="s">
        <v>78</v>
      </c>
      <c r="R17" s="28" t="s">
        <v>79</v>
      </c>
    </row>
    <row r="18" spans="1:18" x14ac:dyDescent="0.25">
      <c r="A18" s="53" t="s">
        <v>52</v>
      </c>
      <c r="B18" s="26" t="s">
        <v>45</v>
      </c>
      <c r="C18" s="6">
        <v>914</v>
      </c>
      <c r="D18" s="6">
        <v>2706.79</v>
      </c>
      <c r="E18">
        <v>4.01</v>
      </c>
      <c r="F18" s="31">
        <v>27164.400000000001</v>
      </c>
      <c r="G18" s="42">
        <f t="shared" si="0"/>
        <v>1.6087946944561837E-2</v>
      </c>
      <c r="H18" s="42"/>
      <c r="I18" s="31"/>
      <c r="J18" t="s">
        <v>67</v>
      </c>
      <c r="K18">
        <v>-2.6679347047372488</v>
      </c>
      <c r="L18">
        <v>56.131895133865022</v>
      </c>
      <c r="M18">
        <v>-4.7529745759958365E-2</v>
      </c>
      <c r="N18">
        <v>0.9625401479674327</v>
      </c>
      <c r="O18">
        <v>-119.40060095592524</v>
      </c>
      <c r="P18">
        <v>114.06473154645074</v>
      </c>
      <c r="Q18">
        <v>-119.40060095592524</v>
      </c>
      <c r="R18">
        <v>114.06473154645074</v>
      </c>
    </row>
    <row r="19" spans="1:18" x14ac:dyDescent="0.25">
      <c r="A19" s="53"/>
      <c r="B19" s="26" t="s">
        <v>46</v>
      </c>
      <c r="C19" s="6">
        <v>925</v>
      </c>
      <c r="D19" s="6">
        <v>2831.66</v>
      </c>
      <c r="E19">
        <v>3.61</v>
      </c>
      <c r="F19" s="31">
        <v>27453.8</v>
      </c>
      <c r="G19" s="42">
        <f t="shared" si="0"/>
        <v>1.065364962966231E-2</v>
      </c>
      <c r="H19" s="42"/>
      <c r="I19" s="31"/>
      <c r="J19" t="s">
        <v>54</v>
      </c>
      <c r="K19">
        <v>0.27372579773475758</v>
      </c>
      <c r="L19">
        <v>2.3330730017038545E-2</v>
      </c>
      <c r="M19">
        <v>11.732414610895344</v>
      </c>
      <c r="N19">
        <v>1.1024278864354305E-10</v>
      </c>
      <c r="O19">
        <v>0.22520688858372057</v>
      </c>
      <c r="P19">
        <v>0.3222447068857946</v>
      </c>
      <c r="Q19">
        <v>0.22520688858372057</v>
      </c>
      <c r="R19">
        <v>0.3222447068857946</v>
      </c>
    </row>
    <row r="20" spans="1:18" ht="15.75" thickBot="1" x14ac:dyDescent="0.3">
      <c r="A20" s="53"/>
      <c r="B20" s="26" t="s">
        <v>47</v>
      </c>
      <c r="C20" s="6">
        <v>940</v>
      </c>
      <c r="D20" s="6">
        <v>2989.51</v>
      </c>
      <c r="E20">
        <v>4.18</v>
      </c>
      <c r="F20" s="31">
        <v>27967.7</v>
      </c>
      <c r="G20" s="42">
        <f t="shared" si="0"/>
        <v>1.8718720177170356E-2</v>
      </c>
      <c r="H20" s="42"/>
      <c r="I20" s="31"/>
      <c r="J20" s="27" t="s">
        <v>80</v>
      </c>
      <c r="K20" s="27">
        <v>44.984929279611272</v>
      </c>
      <c r="L20" s="27">
        <v>8.7071196481609867</v>
      </c>
      <c r="M20" s="27">
        <v>5.166453557246391</v>
      </c>
      <c r="N20" s="27">
        <v>4.0499607113115274E-5</v>
      </c>
      <c r="O20" s="27">
        <v>26.877482711595277</v>
      </c>
      <c r="P20" s="27">
        <v>63.092375847627267</v>
      </c>
      <c r="Q20" s="27">
        <v>26.877482711595277</v>
      </c>
      <c r="R20" s="27">
        <v>63.092375847627267</v>
      </c>
    </row>
    <row r="21" spans="1:18" x14ac:dyDescent="0.25">
      <c r="A21" s="53"/>
      <c r="B21" s="26" t="s">
        <v>48</v>
      </c>
      <c r="C21" s="6">
        <v>1117</v>
      </c>
      <c r="D21" s="6">
        <v>3040.7</v>
      </c>
      <c r="E21">
        <v>4.22</v>
      </c>
      <c r="F21" s="31">
        <v>28297</v>
      </c>
      <c r="G21" s="42">
        <f t="shared" si="0"/>
        <v>1.177429677806896E-2</v>
      </c>
      <c r="H21" s="42"/>
      <c r="I21" s="31"/>
    </row>
    <row r="22" spans="1:18" x14ac:dyDescent="0.25">
      <c r="A22" s="53" t="s">
        <v>53</v>
      </c>
      <c r="B22" s="26" t="s">
        <v>45</v>
      </c>
      <c r="C22" s="6">
        <v>1117</v>
      </c>
      <c r="D22" s="6">
        <v>3364.04</v>
      </c>
      <c r="E22">
        <v>4.1900000000000004</v>
      </c>
      <c r="F22" s="31">
        <v>28624.1</v>
      </c>
      <c r="G22" s="42">
        <f t="shared" si="0"/>
        <v>1.1559529278722058E-2</v>
      </c>
      <c r="H22" s="42"/>
      <c r="I22" s="31"/>
      <c r="J22" t="s">
        <v>56</v>
      </c>
    </row>
    <row r="23" spans="1:18" ht="15.75" thickBot="1" x14ac:dyDescent="0.3">
      <c r="A23" s="53"/>
      <c r="B23" s="26" t="s">
        <v>46</v>
      </c>
      <c r="C23" s="6">
        <v>1159</v>
      </c>
      <c r="D23" s="6">
        <v>3453.44</v>
      </c>
      <c r="E23">
        <v>4.41</v>
      </c>
      <c r="F23" s="31">
        <v>29016.7</v>
      </c>
      <c r="G23" s="42">
        <f t="shared" si="0"/>
        <v>1.3715715079251511E-2</v>
      </c>
      <c r="H23" s="42"/>
      <c r="I23" s="31"/>
    </row>
    <row r="24" spans="1:18" x14ac:dyDescent="0.25">
      <c r="A24" s="53"/>
      <c r="B24" s="26" t="s">
        <v>47</v>
      </c>
      <c r="C24" s="6">
        <v>1180</v>
      </c>
      <c r="D24" s="6">
        <v>3659.44</v>
      </c>
      <c r="E24">
        <v>3.84</v>
      </c>
      <c r="F24" s="31">
        <v>29374.9</v>
      </c>
      <c r="G24" s="42">
        <f t="shared" si="0"/>
        <v>1.234461534219955E-2</v>
      </c>
      <c r="H24" s="42"/>
      <c r="I24" s="31"/>
      <c r="J24" s="29" t="s">
        <v>57</v>
      </c>
      <c r="K24" s="29"/>
    </row>
    <row r="25" spans="1:18" x14ac:dyDescent="0.25">
      <c r="A25" s="53"/>
      <c r="B25" s="26" t="s">
        <v>48</v>
      </c>
      <c r="C25" s="6">
        <v>1227</v>
      </c>
      <c r="D25" s="6">
        <v>3817.72</v>
      </c>
      <c r="E25">
        <v>4.1900000000000004</v>
      </c>
      <c r="F25" s="31">
        <v>29723.9</v>
      </c>
      <c r="G25" s="42">
        <f t="shared" si="0"/>
        <v>1.1880891509417957E-2</v>
      </c>
      <c r="H25" s="42"/>
      <c r="I25" s="31"/>
      <c r="J25" t="s">
        <v>58</v>
      </c>
      <c r="K25">
        <v>0.8865870744130645</v>
      </c>
    </row>
    <row r="26" spans="1:18" x14ac:dyDescent="0.25">
      <c r="C26" s="6"/>
      <c r="J26" t="s">
        <v>59</v>
      </c>
      <c r="K26">
        <v>0.78603664051631672</v>
      </c>
    </row>
    <row r="27" spans="1:18" x14ac:dyDescent="0.25">
      <c r="J27" t="s">
        <v>60</v>
      </c>
      <c r="K27">
        <v>0.7763110332670583</v>
      </c>
    </row>
    <row r="28" spans="1:18" x14ac:dyDescent="0.25">
      <c r="C28" s="30" t="s">
        <v>55</v>
      </c>
      <c r="D28" s="30" t="s">
        <v>54</v>
      </c>
      <c r="E28" s="30" t="s">
        <v>80</v>
      </c>
      <c r="F28" s="30" t="s">
        <v>81</v>
      </c>
      <c r="G28" s="30" t="s">
        <v>82</v>
      </c>
      <c r="H28" s="3"/>
      <c r="I28" s="3"/>
      <c r="J28" t="s">
        <v>61</v>
      </c>
      <c r="K28">
        <v>0.62498246392502554</v>
      </c>
    </row>
    <row r="29" spans="1:18" ht="15.75" thickBot="1" x14ac:dyDescent="0.3">
      <c r="A29" s="53">
        <f>A23+1</f>
        <v>1</v>
      </c>
      <c r="B29" s="26" t="s">
        <v>45</v>
      </c>
      <c r="C29" s="6">
        <v>1237</v>
      </c>
      <c r="D29" s="6">
        <f>$K$60+($K$61*E29)+($K$62*F29)</f>
        <v>3464.848779192906</v>
      </c>
      <c r="E29" s="6">
        <f>$K$38+(F29*$K$39)</f>
        <v>4.4710376960478797</v>
      </c>
      <c r="F29" s="6">
        <v>29962</v>
      </c>
      <c r="G29" s="13" t="s">
        <v>83</v>
      </c>
      <c r="H29" s="13"/>
      <c r="I29" s="13"/>
      <c r="J29" s="27" t="s">
        <v>62</v>
      </c>
      <c r="K29" s="27">
        <v>24</v>
      </c>
    </row>
    <row r="30" spans="1:18" x14ac:dyDescent="0.25">
      <c r="A30" s="53"/>
      <c r="B30" s="26" t="s">
        <v>46</v>
      </c>
      <c r="C30" s="6">
        <v>1306</v>
      </c>
      <c r="D30" s="6">
        <f t="shared" ref="D30:D48" si="1">$K$60+($K$61*E30)+($K$62*F30)</f>
        <v>3514.2957155706413</v>
      </c>
      <c r="E30" s="6">
        <f t="shared" ref="E30:E48" si="2">$K$38+(F30*$K$39)</f>
        <v>4.6109084894539336</v>
      </c>
      <c r="F30" s="6">
        <v>30331.1</v>
      </c>
      <c r="G30" s="13" t="s">
        <v>84</v>
      </c>
      <c r="H30" s="13"/>
      <c r="I30" s="13"/>
    </row>
    <row r="31" spans="1:18" ht="15.75" thickBot="1" x14ac:dyDescent="0.3">
      <c r="A31" s="53"/>
      <c r="B31" s="26" t="s">
        <v>47</v>
      </c>
      <c r="C31" s="6">
        <f ca="1">$K$18+($K$19*D31)+($K$20*E31)</f>
        <v>1190.9657374996568</v>
      </c>
      <c r="D31" s="6">
        <f ca="1">$K$60+($K$61*E31)+($K$62*F31)</f>
        <v>3574.7954682989239</v>
      </c>
      <c r="E31" s="6">
        <f t="shared" ca="1" si="2"/>
        <v>4.7820444391178505</v>
      </c>
      <c r="F31" s="6">
        <f ca="1">F30*(1+$G$31)</f>
        <v>30782.704494996862</v>
      </c>
      <c r="G31">
        <f ca="1">((1+$H$32)^(1/2))-1</f>
        <v>1.4889156509221957E-2</v>
      </c>
      <c r="H31" s="13"/>
      <c r="I31" s="13"/>
      <c r="J31" t="s">
        <v>63</v>
      </c>
    </row>
    <row r="32" spans="1:18" x14ac:dyDescent="0.25">
      <c r="A32" s="53"/>
      <c r="B32" s="32" t="s">
        <v>48</v>
      </c>
      <c r="C32" s="45">
        <f t="shared" ref="C32:C48" ca="1" si="3">$K$18+($K$19*D32)+($K$20*E32)</f>
        <v>1215.5858134567318</v>
      </c>
      <c r="D32" s="33">
        <f t="shared" ca="1" si="1"/>
        <v>3636.1960113143459</v>
      </c>
      <c r="E32" s="33">
        <f t="shared" ca="1" si="2"/>
        <v>4.9557284587206674</v>
      </c>
      <c r="F32" s="33">
        <f ca="1">F31*(1+G32)</f>
        <v>31241.032999999999</v>
      </c>
      <c r="G32" s="39">
        <f ca="1">((1+$H$32)^(1/2))-1</f>
        <v>1.4889156509221957E-2</v>
      </c>
      <c r="H32" s="34">
        <f ca="1">OFFSET(B62,MATCH(S,A63:A65,0),0)</f>
        <v>0.03</v>
      </c>
      <c r="I32" s="36"/>
      <c r="J32" s="28"/>
      <c r="K32" s="28" t="s">
        <v>68</v>
      </c>
      <c r="L32" s="28" t="s">
        <v>69</v>
      </c>
      <c r="M32" s="28" t="s">
        <v>70</v>
      </c>
      <c r="N32" s="28" t="s">
        <v>71</v>
      </c>
      <c r="O32" s="28" t="s">
        <v>72</v>
      </c>
    </row>
    <row r="33" spans="1:18" x14ac:dyDescent="0.25">
      <c r="A33" s="53">
        <f>A29+1</f>
        <v>2</v>
      </c>
      <c r="B33" s="35" t="s">
        <v>45</v>
      </c>
      <c r="C33" s="6">
        <f t="shared" ca="1" si="3"/>
        <v>1228.032976765521</v>
      </c>
      <c r="D33" s="6">
        <f t="shared" ca="1" si="1"/>
        <v>3667.2382626662011</v>
      </c>
      <c r="E33" s="6">
        <f t="shared" ca="1" si="2"/>
        <v>5.0435378285980157</v>
      </c>
      <c r="F33" s="6">
        <f ca="1">F32*(1+G33)</f>
        <v>31472.749984171522</v>
      </c>
      <c r="G33" s="36">
        <f ca="1">((1+$H$36)^(1/4))-1</f>
        <v>7.4170717777328754E-3</v>
      </c>
      <c r="H33" s="36"/>
      <c r="I33" s="36"/>
      <c r="J33" t="s">
        <v>64</v>
      </c>
      <c r="K33">
        <v>1</v>
      </c>
      <c r="L33">
        <v>31.56906556862981</v>
      </c>
      <c r="M33">
        <v>31.56906556862981</v>
      </c>
      <c r="N33">
        <v>80.821343117290667</v>
      </c>
      <c r="O33">
        <v>8.0724019958012182E-9</v>
      </c>
    </row>
    <row r="34" spans="1:18" x14ac:dyDescent="0.25">
      <c r="A34" s="53"/>
      <c r="B34" s="37" t="s">
        <v>46</v>
      </c>
      <c r="C34" s="6">
        <f t="shared" ca="1" si="3"/>
        <v>1240.5724615780009</v>
      </c>
      <c r="D34" s="6">
        <f t="shared" ca="1" si="1"/>
        <v>3698.5107566244769</v>
      </c>
      <c r="E34" s="6">
        <f t="shared" ca="1" si="2"/>
        <v>5.131998486874501</v>
      </c>
      <c r="F34" s="6">
        <f ca="1">F33*(1+G34)</f>
        <v>31706.185629846765</v>
      </c>
      <c r="G34" s="36">
        <f t="shared" ref="G34:G36" ca="1" si="4">((1+$H$36)^(1/4))-1</f>
        <v>7.4170717777328754E-3</v>
      </c>
      <c r="H34" s="36"/>
      <c r="I34" s="36"/>
      <c r="J34" t="s">
        <v>65</v>
      </c>
      <c r="K34">
        <v>22</v>
      </c>
      <c r="L34">
        <v>8.5932677647035103</v>
      </c>
      <c r="M34">
        <v>0.39060308021379592</v>
      </c>
    </row>
    <row r="35" spans="1:18" ht="15.75" thickBot="1" x14ac:dyDescent="0.3">
      <c r="A35" s="53"/>
      <c r="B35" s="37" t="s">
        <v>47</v>
      </c>
      <c r="C35" s="6">
        <f t="shared" ca="1" si="3"/>
        <v>1253.2049526493906</v>
      </c>
      <c r="D35" s="6">
        <f t="shared" ca="1" si="1"/>
        <v>3730.0152009151088</v>
      </c>
      <c r="E35" s="6">
        <f t="shared" ca="1" si="2"/>
        <v>5.2211152642029273</v>
      </c>
      <c r="F35" s="6">
        <f t="shared" ref="F35:F47" ca="1" si="5">F34*(1+G35)</f>
        <v>31941.352684461461</v>
      </c>
      <c r="G35" s="36">
        <f ca="1">((1+$H$36)^(1/4))-1</f>
        <v>7.4170717777328754E-3</v>
      </c>
      <c r="H35" s="36"/>
      <c r="I35" s="36"/>
      <c r="J35" s="27" t="s">
        <v>66</v>
      </c>
      <c r="K35" s="27">
        <v>23</v>
      </c>
      <c r="L35" s="27">
        <v>40.162333333333322</v>
      </c>
      <c r="M35" s="27"/>
      <c r="N35" s="27"/>
      <c r="O35" s="27"/>
    </row>
    <row r="36" spans="1:18" ht="15.75" thickBot="1" x14ac:dyDescent="0.3">
      <c r="A36" s="53"/>
      <c r="B36" s="38" t="s">
        <v>48</v>
      </c>
      <c r="C36" s="33">
        <f t="shared" ca="1" si="3"/>
        <v>1265.9311398137884</v>
      </c>
      <c r="D36" s="33">
        <f t="shared" ca="1" si="1"/>
        <v>3761.7533159303621</v>
      </c>
      <c r="E36" s="33">
        <f t="shared" ca="1" si="2"/>
        <v>5.3108930270654007</v>
      </c>
      <c r="F36" s="33">
        <f t="shared" ca="1" si="5"/>
        <v>32178.263989999992</v>
      </c>
      <c r="G36" s="34">
        <f t="shared" ca="1" si="4"/>
        <v>7.4170717777328754E-3</v>
      </c>
      <c r="H36" s="34">
        <f ca="1">OFFSET(C62,MATCH(S,A63:A65,0),0)</f>
        <v>0.03</v>
      </c>
      <c r="I36" s="36"/>
    </row>
    <row r="37" spans="1:18" x14ac:dyDescent="0.25">
      <c r="A37" s="53">
        <f t="shared" ref="A37" si="6">A33+1</f>
        <v>3</v>
      </c>
      <c r="B37" s="35" t="s">
        <v>45</v>
      </c>
      <c r="C37" s="6">
        <f t="shared" ca="1" si="3"/>
        <v>1278.7517180218413</v>
      </c>
      <c r="D37" s="6">
        <f t="shared" ca="1" si="1"/>
        <v>3793.7268348227735</v>
      </c>
      <c r="E37" s="6">
        <f t="shared" ca="1" si="2"/>
        <v>5.4013366780390673</v>
      </c>
      <c r="F37" s="6">
        <f t="shared" ca="1" si="5"/>
        <v>32416.932483696659</v>
      </c>
      <c r="G37" s="36">
        <f ca="1">((1+$H$40)^(1/4))-1</f>
        <v>7.4170717777328754E-3</v>
      </c>
      <c r="H37" s="36"/>
      <c r="I37" s="36"/>
      <c r="J37" s="28"/>
      <c r="K37" s="28" t="s">
        <v>73</v>
      </c>
      <c r="L37" s="28" t="s">
        <v>61</v>
      </c>
      <c r="M37" s="28" t="s">
        <v>74</v>
      </c>
      <c r="N37" s="28" t="s">
        <v>75</v>
      </c>
      <c r="O37" s="28" t="s">
        <v>76</v>
      </c>
      <c r="P37" s="28" t="s">
        <v>77</v>
      </c>
      <c r="Q37" s="28" t="s">
        <v>78</v>
      </c>
      <c r="R37" s="28" t="s">
        <v>79</v>
      </c>
    </row>
    <row r="38" spans="1:18" x14ac:dyDescent="0.25">
      <c r="A38" s="53"/>
      <c r="B38" s="37" t="s">
        <v>46</v>
      </c>
      <c r="C38" s="6">
        <f t="shared" ca="1" si="3"/>
        <v>1291.6673873786951</v>
      </c>
      <c r="D38" s="6">
        <f t="shared" ca="1" si="1"/>
        <v>3825.9375035997955</v>
      </c>
      <c r="E38" s="6">
        <f t="shared" ca="1" si="2"/>
        <v>5.4924511560638472</v>
      </c>
      <c r="F38" s="6">
        <f t="shared" ca="1" si="5"/>
        <v>32657.371198742156</v>
      </c>
      <c r="G38" s="36">
        <f t="shared" ref="G38:G40" ca="1" si="7">((1+$H$40)^(1/4))-1</f>
        <v>7.4170717777328754E-3</v>
      </c>
      <c r="H38" s="36"/>
      <c r="I38" s="36"/>
      <c r="J38" t="s">
        <v>67</v>
      </c>
      <c r="K38">
        <v>-6.8830904861038462</v>
      </c>
      <c r="L38">
        <v>1.057926084439911</v>
      </c>
      <c r="M38">
        <v>-6.506211149664491</v>
      </c>
      <c r="N38">
        <v>1.5196345484791081E-6</v>
      </c>
      <c r="O38">
        <v>-9.0770949004569381</v>
      </c>
      <c r="P38">
        <v>-4.6890860717507543</v>
      </c>
      <c r="Q38">
        <v>-9.0770949004569381</v>
      </c>
      <c r="R38">
        <v>-4.6890860717507543</v>
      </c>
    </row>
    <row r="39" spans="1:18" ht="15.75" thickBot="1" x14ac:dyDescent="0.3">
      <c r="A39" s="53"/>
      <c r="B39" s="37" t="s">
        <v>47</v>
      </c>
      <c r="C39" s="6">
        <f t="shared" ca="1" si="3"/>
        <v>1304.6788531822267</v>
      </c>
      <c r="D39" s="6">
        <f t="shared" ca="1" si="1"/>
        <v>3858.3870812191471</v>
      </c>
      <c r="E39" s="6">
        <f t="shared" ca="1" si="2"/>
        <v>5.5842414367121282</v>
      </c>
      <c r="F39" s="6">
        <f t="shared" ca="1" si="5"/>
        <v>32899.593264995296</v>
      </c>
      <c r="G39" s="36">
        <f t="shared" ca="1" si="7"/>
        <v>7.4170717777328754E-3</v>
      </c>
      <c r="H39" s="36"/>
      <c r="I39" s="36"/>
      <c r="J39" s="27" t="s">
        <v>81</v>
      </c>
      <c r="K39" s="27">
        <v>3.7895094393404065E-4</v>
      </c>
      <c r="L39" s="27">
        <v>4.2152172368267506E-5</v>
      </c>
      <c r="M39" s="27">
        <v>8.9900691386268381</v>
      </c>
      <c r="N39" s="27">
        <v>8.0724019958012182E-9</v>
      </c>
      <c r="O39" s="27">
        <v>2.9153268890584242E-4</v>
      </c>
      <c r="P39" s="27">
        <v>4.6636919896223889E-4</v>
      </c>
      <c r="Q39" s="27">
        <v>2.9153268890584242E-4</v>
      </c>
      <c r="R39" s="27">
        <v>4.6636919896223889E-4</v>
      </c>
    </row>
    <row r="40" spans="1:18" x14ac:dyDescent="0.25">
      <c r="A40" s="53"/>
      <c r="B40" s="38" t="s">
        <v>48</v>
      </c>
      <c r="C40" s="33">
        <f t="shared" ca="1" si="3"/>
        <v>1317.7868259615564</v>
      </c>
      <c r="D40" s="33">
        <f t="shared" ca="1" si="1"/>
        <v>3891.0773396848581</v>
      </c>
      <c r="E40" s="33">
        <f t="shared" ca="1" si="2"/>
        <v>5.6767125324604741</v>
      </c>
      <c r="F40" s="33">
        <f t="shared" ca="1" si="5"/>
        <v>33143.611909699983</v>
      </c>
      <c r="G40" s="34">
        <f t="shared" ca="1" si="7"/>
        <v>7.4170717777328754E-3</v>
      </c>
      <c r="H40" s="34">
        <f ca="1">OFFSET(D62,MATCH(S,A63:A65,0),0)</f>
        <v>0.03</v>
      </c>
      <c r="I40" s="36"/>
    </row>
    <row r="41" spans="1:18" x14ac:dyDescent="0.25">
      <c r="A41" s="53">
        <f t="shared" ref="A41" si="8">A37+1</f>
        <v>4</v>
      </c>
      <c r="B41" s="35" t="s">
        <v>45</v>
      </c>
      <c r="C41" s="6">
        <f t="shared" ca="1" si="3"/>
        <v>1330.9920215158509</v>
      </c>
      <c r="D41" s="6">
        <f t="shared" ca="1" si="1"/>
        <v>3924.0100641440422</v>
      </c>
      <c r="E41" s="6">
        <f t="shared" ca="1" si="2"/>
        <v>5.7698694929633518</v>
      </c>
      <c r="F41" s="6">
        <f t="shared" ca="1" si="5"/>
        <v>33389.440458207551</v>
      </c>
      <c r="G41" s="36">
        <f ca="1">((1+$H$44)^(1/4))-1</f>
        <v>7.4170717777328754E-3</v>
      </c>
      <c r="H41" s="36"/>
      <c r="I41" s="36"/>
    </row>
    <row r="42" spans="1:18" x14ac:dyDescent="0.25">
      <c r="A42" s="53"/>
      <c r="B42" s="37" t="s">
        <v>46</v>
      </c>
      <c r="C42" s="6">
        <f t="shared" ca="1" si="3"/>
        <v>1344.2951609534107</v>
      </c>
      <c r="D42" s="6">
        <f t="shared" ca="1" si="1"/>
        <v>3957.1870529843764</v>
      </c>
      <c r="E42" s="6">
        <f t="shared" ca="1" si="2"/>
        <v>5.8637174053288756</v>
      </c>
      <c r="F42" s="6">
        <f t="shared" ca="1" si="5"/>
        <v>33637.092334704415</v>
      </c>
      <c r="G42" s="36">
        <f t="shared" ref="G42:G43" ca="1" si="9">((1+$H$44)^(1/4))-1</f>
        <v>7.4170717777328754E-3</v>
      </c>
      <c r="H42" s="36"/>
      <c r="I42" s="36"/>
    </row>
    <row r="43" spans="1:18" x14ac:dyDescent="0.25">
      <c r="A43" s="53"/>
      <c r="B43" s="37" t="s">
        <v>47</v>
      </c>
      <c r="C43" s="6">
        <f t="shared" ca="1" si="3"/>
        <v>1357.6969707310477</v>
      </c>
      <c r="D43" s="6">
        <f t="shared" ca="1" si="1"/>
        <v>3990.6101179323068</v>
      </c>
      <c r="E43" s="6">
        <f t="shared" ca="1" si="2"/>
        <v>5.9582613943966027</v>
      </c>
      <c r="F43" s="6">
        <f t="shared" ca="1" si="5"/>
        <v>33886.581062945144</v>
      </c>
      <c r="G43" s="36">
        <f t="shared" ca="1" si="9"/>
        <v>7.4170717777328754E-3</v>
      </c>
      <c r="H43" s="36"/>
      <c r="I43" s="36"/>
    </row>
    <row r="44" spans="1:18" x14ac:dyDescent="0.25">
      <c r="A44" s="53"/>
      <c r="B44" s="38" t="s">
        <v>48</v>
      </c>
      <c r="C44" s="33">
        <f t="shared" ca="1" si="3"/>
        <v>1371.1981826937572</v>
      </c>
      <c r="D44" s="33">
        <f t="shared" ca="1" si="1"/>
        <v>4024.2810841519886</v>
      </c>
      <c r="E44" s="33">
        <f t="shared" ca="1" si="2"/>
        <v>6.0535066230173999</v>
      </c>
      <c r="F44" s="33">
        <f t="shared" ca="1" si="5"/>
        <v>34137.920266990972</v>
      </c>
      <c r="G44" s="34">
        <f ca="1">((1+$H$44)^(1/4))-1</f>
        <v>7.4170717777328754E-3</v>
      </c>
      <c r="H44" s="34">
        <f ca="1">OFFSET(E62,MATCH(S,A63:A65,0),0)</f>
        <v>0.03</v>
      </c>
      <c r="I44" s="36"/>
      <c r="J44" t="s">
        <v>97</v>
      </c>
    </row>
    <row r="45" spans="1:18" ht="15.75" thickBot="1" x14ac:dyDescent="0.3">
      <c r="A45" s="53">
        <f t="shared" ref="A45" si="10">A41+1</f>
        <v>5</v>
      </c>
      <c r="B45" s="35" t="s">
        <v>45</v>
      </c>
      <c r="C45" s="6">
        <f t="shared" ca="1" si="3"/>
        <v>1384.7995341146802</v>
      </c>
      <c r="D45" s="6">
        <f t="shared" ca="1" si="1"/>
        <v>4058.2017903449469</v>
      </c>
      <c r="E45" s="6">
        <f t="shared" ca="1" si="2"/>
        <v>6.1494582923353622</v>
      </c>
      <c r="F45" s="6">
        <f t="shared" ca="1" si="5"/>
        <v>34391.123671953763</v>
      </c>
      <c r="G45" s="36">
        <f ca="1">((1+$H$48)^(1/4))-1</f>
        <v>7.4170717777328754E-3</v>
      </c>
      <c r="H45" s="36"/>
      <c r="I45" s="36"/>
    </row>
    <row r="46" spans="1:18" x14ac:dyDescent="0.25">
      <c r="A46" s="53"/>
      <c r="B46" s="37" t="s">
        <v>46</v>
      </c>
      <c r="C46" s="6">
        <f t="shared" ca="1" si="3"/>
        <v>1398.5017677353667</v>
      </c>
      <c r="D46" s="6">
        <f t="shared" ca="1" si="1"/>
        <v>4092.3740888504908</v>
      </c>
      <c r="E46" s="6">
        <f t="shared" ca="1" si="2"/>
        <v>6.2461216420718504</v>
      </c>
      <c r="F46" s="6">
        <f t="shared" ca="1" si="5"/>
        <v>34646.205104745532</v>
      </c>
      <c r="G46" s="36">
        <f t="shared" ref="G46:G48" ca="1" si="11">((1+$H$48)^(1/4))-1</f>
        <v>7.4170717777328754E-3</v>
      </c>
      <c r="H46" s="36"/>
      <c r="I46" s="36"/>
      <c r="J46" s="29" t="s">
        <v>57</v>
      </c>
      <c r="K46" s="29"/>
    </row>
    <row r="47" spans="1:18" x14ac:dyDescent="0.25">
      <c r="A47" s="53"/>
      <c r="B47" s="37" t="s">
        <v>47</v>
      </c>
      <c r="C47" s="6">
        <f t="shared" ca="1" si="3"/>
        <v>1412.3056318063332</v>
      </c>
      <c r="D47" s="6">
        <f t="shared" ca="1" si="1"/>
        <v>4126.7998457468611</v>
      </c>
      <c r="E47" s="6">
        <f t="shared" ca="1" si="2"/>
        <v>6.3435019508116106</v>
      </c>
      <c r="F47" s="6">
        <f t="shared" ca="1" si="5"/>
        <v>34903.178494833483</v>
      </c>
      <c r="G47" s="36">
        <f t="shared" ca="1" si="11"/>
        <v>7.4170717777328754E-3</v>
      </c>
      <c r="H47" s="36"/>
      <c r="I47" s="36"/>
      <c r="J47" t="s">
        <v>58</v>
      </c>
      <c r="K47">
        <v>0.91729613613860783</v>
      </c>
    </row>
    <row r="48" spans="1:18" x14ac:dyDescent="0.25">
      <c r="A48" s="53"/>
      <c r="B48" s="38" t="s">
        <v>48</v>
      </c>
      <c r="C48" s="33">
        <f t="shared" ca="1" si="3"/>
        <v>1426.2118801279235</v>
      </c>
      <c r="D48" s="33">
        <f t="shared" ca="1" si="1"/>
        <v>4161.4809409531317</v>
      </c>
      <c r="E48" s="33">
        <f t="shared" ca="1" si="2"/>
        <v>6.4416045362910292</v>
      </c>
      <c r="F48" s="33">
        <f ca="1">F47*(1+G48)</f>
        <v>35162.057875000683</v>
      </c>
      <c r="G48" s="34">
        <f t="shared" ca="1" si="11"/>
        <v>7.4170717777328754E-3</v>
      </c>
      <c r="H48" s="34">
        <f ca="1">OFFSET(F62,MATCH(S,A63:A65,0),0)</f>
        <v>0.03</v>
      </c>
      <c r="I48" s="36"/>
      <c r="J48" t="s">
        <v>59</v>
      </c>
      <c r="K48">
        <v>0.84143220137481933</v>
      </c>
    </row>
    <row r="49" spans="1:18" x14ac:dyDescent="0.25">
      <c r="A49" s="36"/>
      <c r="B49" s="36"/>
      <c r="J49" t="s">
        <v>60</v>
      </c>
      <c r="K49">
        <v>0.82633050626765914</v>
      </c>
    </row>
    <row r="50" spans="1:18" x14ac:dyDescent="0.25">
      <c r="A50" s="36"/>
      <c r="B50" s="36"/>
      <c r="J50" t="s">
        <v>61</v>
      </c>
      <c r="K50">
        <v>205.51972188185076</v>
      </c>
    </row>
    <row r="51" spans="1:18" ht="15.75" thickBot="1" x14ac:dyDescent="0.3">
      <c r="A51" s="36"/>
      <c r="B51" s="36"/>
      <c r="J51" s="27" t="s">
        <v>62</v>
      </c>
      <c r="K51" s="27">
        <v>24</v>
      </c>
    </row>
    <row r="52" spans="1:18" x14ac:dyDescent="0.25">
      <c r="A52" s="36"/>
      <c r="B52" s="36"/>
    </row>
    <row r="53" spans="1:18" ht="15.75" thickBot="1" x14ac:dyDescent="0.3">
      <c r="J53" t="s">
        <v>63</v>
      </c>
    </row>
    <row r="54" spans="1:18" x14ac:dyDescent="0.25">
      <c r="J54" s="28"/>
      <c r="K54" s="28" t="s">
        <v>68</v>
      </c>
      <c r="L54" s="28" t="s">
        <v>69</v>
      </c>
      <c r="M54" s="28" t="s">
        <v>70</v>
      </c>
      <c r="N54" s="28" t="s">
        <v>71</v>
      </c>
      <c r="O54" s="28" t="s">
        <v>72</v>
      </c>
    </row>
    <row r="55" spans="1:18" x14ac:dyDescent="0.25">
      <c r="J55" t="s">
        <v>64</v>
      </c>
      <c r="K55">
        <v>2</v>
      </c>
      <c r="L55">
        <v>4706850.8122655731</v>
      </c>
      <c r="M55">
        <v>2353425.4061327865</v>
      </c>
      <c r="N55">
        <v>55.717732042933193</v>
      </c>
      <c r="O55">
        <v>4.0018192439547129E-9</v>
      </c>
    </row>
    <row r="56" spans="1:18" x14ac:dyDescent="0.25">
      <c r="A56" t="s">
        <v>85</v>
      </c>
      <c r="B56" t="s">
        <v>86</v>
      </c>
      <c r="D56" t="s">
        <v>87</v>
      </c>
      <c r="J56" t="s">
        <v>65</v>
      </c>
      <c r="K56">
        <v>21</v>
      </c>
      <c r="L56">
        <v>887005.47773025895</v>
      </c>
      <c r="M56">
        <v>42238.356082393286</v>
      </c>
    </row>
    <row r="57" spans="1:18" ht="15.75" thickBot="1" x14ac:dyDescent="0.3">
      <c r="A57" t="s">
        <v>88</v>
      </c>
      <c r="B57" s="40">
        <v>0.03</v>
      </c>
      <c r="D57" t="s">
        <v>89</v>
      </c>
      <c r="J57" s="27" t="s">
        <v>66</v>
      </c>
      <c r="K57" s="27">
        <v>23</v>
      </c>
      <c r="L57" s="27">
        <v>5593856.2899958324</v>
      </c>
      <c r="M57" s="27"/>
      <c r="N57" s="27"/>
      <c r="O57" s="27"/>
    </row>
    <row r="58" spans="1:18" ht="15.75" thickBot="1" x14ac:dyDescent="0.3">
      <c r="A58" t="s">
        <v>90</v>
      </c>
      <c r="B58" t="s">
        <v>98</v>
      </c>
      <c r="D58" t="s">
        <v>91</v>
      </c>
    </row>
    <row r="59" spans="1:18" x14ac:dyDescent="0.25">
      <c r="A59" t="s">
        <v>92</v>
      </c>
      <c r="B59" t="s">
        <v>93</v>
      </c>
      <c r="D59" t="s">
        <v>94</v>
      </c>
      <c r="J59" s="28"/>
      <c r="K59" s="28" t="s">
        <v>73</v>
      </c>
      <c r="L59" s="28" t="s">
        <v>61</v>
      </c>
      <c r="M59" s="28" t="s">
        <v>74</v>
      </c>
      <c r="N59" s="28" t="s">
        <v>75</v>
      </c>
      <c r="O59" s="28" t="s">
        <v>76</v>
      </c>
      <c r="P59" s="28" t="s">
        <v>77</v>
      </c>
      <c r="Q59" s="28" t="s">
        <v>78</v>
      </c>
      <c r="R59" s="28" t="s">
        <v>79</v>
      </c>
    </row>
    <row r="60" spans="1:18" x14ac:dyDescent="0.25">
      <c r="J60" t="s">
        <v>67</v>
      </c>
      <c r="K60">
        <v>-2598.024941953965</v>
      </c>
      <c r="L60">
        <v>594.89329915418284</v>
      </c>
      <c r="M60">
        <v>-4.367211642235385</v>
      </c>
      <c r="N60">
        <v>2.7002066717312945E-4</v>
      </c>
      <c r="O60">
        <v>-3835.1732830107294</v>
      </c>
      <c r="P60">
        <v>-1360.8766008972009</v>
      </c>
      <c r="Q60">
        <v>-3835.1732830107294</v>
      </c>
      <c r="R60">
        <v>-1360.8766008972009</v>
      </c>
    </row>
    <row r="61" spans="1:18" x14ac:dyDescent="0.25">
      <c r="B61" s="36"/>
      <c r="C61" s="36"/>
      <c r="D61" s="36"/>
      <c r="E61" s="36"/>
      <c r="F61" s="36"/>
      <c r="G61" s="36"/>
      <c r="J61" t="s">
        <v>80</v>
      </c>
      <c r="K61">
        <v>-297.68277348734563</v>
      </c>
      <c r="L61">
        <v>70.109090189885393</v>
      </c>
      <c r="M61">
        <v>-4.2459939599999572</v>
      </c>
      <c r="N61">
        <v>3.6081060028724633E-4</v>
      </c>
      <c r="O61">
        <v>-443.48260808749285</v>
      </c>
      <c r="P61">
        <v>-151.88293888719841</v>
      </c>
      <c r="Q61">
        <v>-443.48260808749285</v>
      </c>
      <c r="R61">
        <v>-151.88293888719841</v>
      </c>
    </row>
    <row r="62" spans="1:18" ht="15.75" thickBot="1" x14ac:dyDescent="0.3">
      <c r="A62" s="41" t="s">
        <v>95</v>
      </c>
      <c r="B62" s="41">
        <v>2025</v>
      </c>
      <c r="C62" s="41">
        <f>B62+1</f>
        <v>2026</v>
      </c>
      <c r="D62" s="41">
        <f t="shared" ref="D62:F62" si="12">C62+1</f>
        <v>2027</v>
      </c>
      <c r="E62" s="41">
        <f t="shared" si="12"/>
        <v>2028</v>
      </c>
      <c r="F62" s="41">
        <f t="shared" si="12"/>
        <v>2029</v>
      </c>
      <c r="J62" s="27" t="s">
        <v>81</v>
      </c>
      <c r="K62" s="27">
        <v>0.24677340040293957</v>
      </c>
      <c r="L62" s="27">
        <v>2.99664936164361E-2</v>
      </c>
      <c r="M62" s="27">
        <v>8.2349774905793005</v>
      </c>
      <c r="N62" s="27">
        <v>5.1614029864551111E-8</v>
      </c>
      <c r="O62" s="27">
        <v>0.1844546654002554</v>
      </c>
      <c r="P62" s="27">
        <v>0.30909213540562375</v>
      </c>
      <c r="Q62" s="27">
        <v>0.1844546654002554</v>
      </c>
      <c r="R62" s="27">
        <v>0.30909213540562375</v>
      </c>
    </row>
    <row r="63" spans="1:18" x14ac:dyDescent="0.25">
      <c r="A63" t="s">
        <v>88</v>
      </c>
      <c r="B63" s="13">
        <v>0.03</v>
      </c>
      <c r="C63" s="13">
        <v>0.03</v>
      </c>
      <c r="D63" s="13">
        <v>0.03</v>
      </c>
      <c r="E63" s="13">
        <v>0.03</v>
      </c>
      <c r="F63" s="13">
        <v>0.03</v>
      </c>
    </row>
    <row r="64" spans="1:18" x14ac:dyDescent="0.25">
      <c r="A64" t="s">
        <v>90</v>
      </c>
      <c r="B64" s="13">
        <f>AVERAGE($G$3:$G$25)+B63</f>
        <v>4.5348732289764229E-2</v>
      </c>
      <c r="C64" s="13">
        <f t="shared" ref="C64:F64" si="13">AVERAGE($G$3:$G$25)+C63</f>
        <v>4.5348732289764229E-2</v>
      </c>
      <c r="D64" s="13">
        <f t="shared" si="13"/>
        <v>4.5348732289764229E-2</v>
      </c>
      <c r="E64" s="13">
        <f t="shared" si="13"/>
        <v>4.5348732289764229E-2</v>
      </c>
      <c r="F64" s="13">
        <f t="shared" si="13"/>
        <v>4.5348732289764229E-2</v>
      </c>
    </row>
    <row r="65" spans="1:6" x14ac:dyDescent="0.25">
      <c r="A65" t="s">
        <v>92</v>
      </c>
      <c r="B65" s="13">
        <f>B63-0.01</f>
        <v>1.9999999999999997E-2</v>
      </c>
      <c r="C65" s="13">
        <f t="shared" ref="C65:F65" si="14">C63-0.01</f>
        <v>1.9999999999999997E-2</v>
      </c>
      <c r="D65" s="13">
        <f t="shared" si="14"/>
        <v>1.9999999999999997E-2</v>
      </c>
      <c r="E65" s="13">
        <f t="shared" si="14"/>
        <v>1.9999999999999997E-2</v>
      </c>
      <c r="F65" s="13">
        <f t="shared" si="14"/>
        <v>1.9999999999999997E-2</v>
      </c>
    </row>
    <row r="66" spans="1:6" x14ac:dyDescent="0.25">
      <c r="B66" s="36"/>
    </row>
  </sheetData>
  <mergeCells count="11">
    <mergeCell ref="A2:A5"/>
    <mergeCell ref="A6:A9"/>
    <mergeCell ref="A10:A13"/>
    <mergeCell ref="A14:A17"/>
    <mergeCell ref="A18:A21"/>
    <mergeCell ref="A45:A48"/>
    <mergeCell ref="A22:A25"/>
    <mergeCell ref="A29:A32"/>
    <mergeCell ref="A33:A36"/>
    <mergeCell ref="A37:A40"/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3-Statement_Model</vt:lpstr>
      <vt:lpstr>Assumptions</vt:lpstr>
      <vt:lpstr>Schedules</vt:lpstr>
      <vt:lpstr>Revenue_Regression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Nkgopoleng Sebake</dc:creator>
  <cp:lastModifiedBy>Nkgopoleng Sebake</cp:lastModifiedBy>
  <dcterms:created xsi:type="dcterms:W3CDTF">2015-06-05T18:17:20Z</dcterms:created>
  <dcterms:modified xsi:type="dcterms:W3CDTF">2025-09-17T10:42:48Z</dcterms:modified>
</cp:coreProperties>
</file>