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A5B437F2-9D88-4284-939D-3C0E7D42A563}" xr6:coauthVersionLast="47" xr6:coauthVersionMax="47" xr10:uidLastSave="{00000000-0000-0000-0000-000000000000}"/>
  <bookViews>
    <workbookView xWindow="-120" yWindow="-120" windowWidth="20730" windowHeight="11040" tabRatio="777" firstSheet="1" activeTab="5" xr2:uid="{00000000-000D-0000-FFFF-FFFF00000000}"/>
  </bookViews>
  <sheets>
    <sheet name="APIC" sheetId="7" r:id="rId1"/>
    <sheet name="Mark_Secs" sheetId="8" r:id="rId2"/>
    <sheet name="Schedules" sheetId="5" r:id="rId3"/>
    <sheet name="Debt_Schedule" sheetId="6" r:id="rId4"/>
    <sheet name="3_Statement_Model" sheetId="1" r:id="rId5"/>
    <sheet name="DCF" sheetId="10" r:id="rId6"/>
    <sheet name="Assumptions" sheetId="4" r:id="rId7"/>
    <sheet name="Sheet1" sheetId="9" r:id="rId8"/>
    <sheet name="Revenue_Regression" sheetId="2" r:id="rId9"/>
  </sheets>
  <externalReferences>
    <externalReference r:id="rId10"/>
  </externalReferences>
  <definedNames>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 i="10" l="1"/>
  <c r="C102" i="5" l="1"/>
  <c r="C101" i="5"/>
  <c r="C100" i="5"/>
  <c r="C99" i="5"/>
  <c r="C98" i="5"/>
  <c r="C95" i="5"/>
  <c r="C94" i="5"/>
  <c r="J21" i="10"/>
  <c r="K19" i="10"/>
  <c r="J18" i="10"/>
  <c r="J20" i="10"/>
  <c r="I19" i="10"/>
  <c r="J19" i="10"/>
  <c r="E19" i="10"/>
  <c r="E18" i="10" s="1"/>
  <c r="D13" i="10" l="1" a="1"/>
  <c r="D13" i="10" s="1"/>
  <c r="D12" i="10" a="1"/>
  <c r="D12" i="10" s="1"/>
  <c r="F20" i="10"/>
  <c r="F19" i="10" s="1"/>
  <c r="D19" i="10"/>
  <c r="I33" i="10" l="1"/>
  <c r="I38"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I66" i="9"/>
  <c r="J66" i="9"/>
  <c r="K66" i="9"/>
  <c r="L66" i="9"/>
  <c r="M66" i="9"/>
  <c r="N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I24" i="1" s="1"/>
  <c r="J24" i="1" s="1"/>
  <c r="K24" i="1" s="1"/>
  <c r="L24" i="1" s="1"/>
  <c r="M24" i="1" s="1"/>
  <c r="H25" i="1"/>
  <c r="I25" i="1" s="1"/>
  <c r="J25" i="1" s="1"/>
  <c r="K25" i="1" s="1"/>
  <c r="L25" i="1" s="1"/>
  <c r="M25" i="1" s="1"/>
  <c r="N64" i="9"/>
  <c r="N57" i="9"/>
  <c r="M57" i="9"/>
  <c r="N56" i="9"/>
  <c r="M56" i="9"/>
  <c r="L59" i="9"/>
  <c r="N53" i="9"/>
  <c r="M53" i="9"/>
  <c r="I9" i="8"/>
  <c r="J7" i="8"/>
  <c r="K8" i="8"/>
  <c r="L8" i="8" s="1"/>
  <c r="J95" i="1" l="1"/>
  <c r="K64" i="1"/>
  <c r="L64" i="1" s="1"/>
  <c r="M59" i="9"/>
  <c r="N59" i="9"/>
  <c r="J9" i="8"/>
  <c r="M8" i="8"/>
  <c r="N8" i="8" s="1"/>
  <c r="K7" i="8"/>
  <c r="K9" i="8" s="1"/>
  <c r="H99" i="5" l="1"/>
  <c r="M64" i="1"/>
  <c r="I99" i="5" s="1"/>
  <c r="K95" i="1"/>
  <c r="G99" i="5"/>
  <c r="L95" i="1"/>
  <c r="L7" i="8"/>
  <c r="L9" i="8" s="1"/>
  <c r="M95" i="1" l="1"/>
  <c r="M7" i="8"/>
  <c r="M9" i="8" s="1"/>
  <c r="N7" i="8" l="1"/>
  <c r="N9" i="8" s="1"/>
  <c r="R26" i="5"/>
  <c r="W25" i="5"/>
  <c r="W27" i="5" s="1"/>
  <c r="V25" i="5"/>
  <c r="V27" i="5" s="1"/>
  <c r="U25" i="5"/>
  <c r="U30" i="5" s="1"/>
  <c r="T25" i="5"/>
  <c r="S25" i="5"/>
  <c r="S27" i="5" s="1"/>
  <c r="R25" i="5"/>
  <c r="S17" i="5"/>
  <c r="T17" i="5" s="1"/>
  <c r="U17" i="5" s="1"/>
  <c r="V17" i="5" s="1"/>
  <c r="W17" i="5" s="1"/>
  <c r="C126" i="1"/>
  <c r="D126" i="1"/>
  <c r="E126" i="1"/>
  <c r="F126" i="1"/>
  <c r="G126" i="1"/>
  <c r="T30" i="5" l="1"/>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M81" i="5" l="1"/>
  <c r="N81" i="5" s="1"/>
  <c r="L81" i="5"/>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G15" i="5"/>
  <c r="F15" i="5"/>
  <c r="E15" i="5"/>
  <c r="D15" i="5"/>
  <c r="C15" i="5"/>
  <c r="C1" i="5"/>
  <c r="D1" i="5" s="1"/>
  <c r="E1" i="5" s="1"/>
  <c r="F1" i="5" s="1"/>
  <c r="G1" i="5" s="1"/>
  <c r="H1" i="5" s="1"/>
  <c r="I1" i="5" s="1"/>
  <c r="I7" i="5"/>
  <c r="D128" i="4" l="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J130" i="4"/>
  <c r="M131" i="4"/>
  <c r="K130" i="4"/>
  <c r="N131" i="4"/>
  <c r="I129" i="4"/>
  <c r="I128" i="4" s="1"/>
  <c r="L130" i="4"/>
  <c r="I131" i="4"/>
  <c r="J129" i="4"/>
  <c r="J128" i="4" s="1"/>
  <c r="M130" i="4"/>
  <c r="I130" i="4"/>
  <c r="K129" i="4"/>
  <c r="K128" i="4" s="1"/>
  <c r="N130" i="4"/>
  <c r="L129" i="4"/>
  <c r="L128" i="4" s="1"/>
  <c r="J131" i="4"/>
  <c r="M129" i="4"/>
  <c r="M128" i="4" s="1"/>
  <c r="K131" i="4"/>
  <c r="N129" i="4"/>
  <c r="N128" i="4" s="1"/>
  <c r="L131" i="4"/>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8" i="5"/>
  <c r="I10" i="5"/>
  <c r="I12" i="5"/>
  <c r="I11" i="5"/>
  <c r="I9" i="5"/>
  <c r="I4" i="5"/>
  <c r="I13" i="5"/>
  <c r="I14" i="5"/>
  <c r="M71" i="6" l="1"/>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11" i="5"/>
  <c r="J10" i="5"/>
  <c r="J4" i="5"/>
  <c r="J9" i="5"/>
  <c r="J7" i="5"/>
  <c r="J8" i="5"/>
  <c r="J14" i="5"/>
  <c r="J12" i="5"/>
  <c r="J13" i="5"/>
  <c r="J5" i="5"/>
  <c r="G11" i="6" l="1"/>
  <c r="G13" i="6" s="1"/>
  <c r="G14" i="6" s="1"/>
  <c r="K35" i="6"/>
  <c r="K43" i="6" s="1"/>
  <c r="J44" i="6"/>
  <c r="J23" i="6" s="1"/>
  <c r="N68" i="5"/>
  <c r="N61" i="5"/>
  <c r="J15" i="5"/>
  <c r="L1" i="5"/>
  <c r="K10" i="5"/>
  <c r="K14" i="5"/>
  <c r="K9" i="5"/>
  <c r="K11" i="5"/>
  <c r="K12" i="5"/>
  <c r="K4" i="5"/>
  <c r="K7" i="5"/>
  <c r="K5" i="5"/>
  <c r="K13" i="5"/>
  <c r="K8" i="5"/>
  <c r="L35" i="6" l="1"/>
  <c r="L43" i="6" s="1"/>
  <c r="H11" i="6"/>
  <c r="H13" i="6" s="1"/>
  <c r="H14" i="6" s="1"/>
  <c r="K44" i="6"/>
  <c r="K23" i="6" s="1"/>
  <c r="K15" i="5"/>
  <c r="M1" i="5"/>
  <c r="L7" i="5"/>
  <c r="L10" i="5"/>
  <c r="L8" i="5"/>
  <c r="L13" i="5"/>
  <c r="L14" i="5"/>
  <c r="L5" i="5"/>
  <c r="L4" i="5"/>
  <c r="L12" i="5"/>
  <c r="L9" i="5"/>
  <c r="L11" i="5"/>
  <c r="I11" i="6" l="1"/>
  <c r="I13" i="6" s="1"/>
  <c r="I14" i="6" s="1"/>
  <c r="M35" i="6"/>
  <c r="M43" i="6" s="1"/>
  <c r="M44" i="6" s="1"/>
  <c r="L44" i="6"/>
  <c r="L23" i="6" s="1"/>
  <c r="L27" i="6" s="1"/>
  <c r="L15" i="5"/>
  <c r="N1" i="5"/>
  <c r="M14" i="5"/>
  <c r="M9" i="5"/>
  <c r="M11" i="5"/>
  <c r="M7" i="5"/>
  <c r="M13" i="5"/>
  <c r="M5" i="5"/>
  <c r="M4" i="5"/>
  <c r="M12" i="5"/>
  <c r="M10" i="5"/>
  <c r="M8" i="5"/>
  <c r="L67" i="1" l="1"/>
  <c r="M15" i="5"/>
  <c r="N7" i="5"/>
  <c r="N14" i="5"/>
  <c r="N8" i="5"/>
  <c r="N5" i="5"/>
  <c r="N13" i="5"/>
  <c r="N4" i="5"/>
  <c r="N11" i="5"/>
  <c r="N12" i="5"/>
  <c r="N10" i="5"/>
  <c r="N9"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E22" i="10" s="1"/>
  <c r="D32" i="2"/>
  <c r="C32" i="2" s="1"/>
  <c r="H5" i="1"/>
  <c r="I5" i="1" s="1"/>
  <c r="D77" i="1"/>
  <c r="E77" i="1" s="1"/>
  <c r="F77" i="1" s="1"/>
  <c r="D33" i="2"/>
  <c r="C33" i="2" s="1"/>
  <c r="E34" i="2"/>
  <c r="C79" i="1"/>
  <c r="C20" i="1"/>
  <c r="F17" i="1"/>
  <c r="F19" i="1" s="1"/>
  <c r="G17" i="1"/>
  <c r="G19" i="1" s="1"/>
  <c r="D17" i="1"/>
  <c r="D19" i="1" s="1"/>
  <c r="E17" i="1"/>
  <c r="E19" i="1" s="1"/>
  <c r="C38" i="1"/>
  <c r="E23" i="10" l="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F22" i="10" s="1"/>
  <c r="F23" i="10" s="1"/>
  <c r="M5" i="1"/>
  <c r="M32" i="1" s="1"/>
  <c r="L32" i="1"/>
  <c r="D37" i="2"/>
  <c r="C37" i="2" s="1"/>
  <c r="E38" i="2"/>
  <c r="F81" i="1"/>
  <c r="F82" i="1"/>
  <c r="G81" i="1"/>
  <c r="G82" i="1"/>
  <c r="J2" i="8" l="1"/>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G22" i="10" s="1"/>
  <c r="G23" i="10" s="1"/>
  <c r="D41" i="2"/>
  <c r="C41" i="2" s="1"/>
  <c r="E42" i="2"/>
  <c r="K3" i="8" l="1"/>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H22" i="10" s="1"/>
  <c r="H23" i="10" s="1"/>
  <c r="E46" i="2"/>
  <c r="D45" i="2"/>
  <c r="C45" i="2" s="1"/>
  <c r="L3" i="8" l="1"/>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I22" i="10" s="1"/>
  <c r="I23" i="10" s="1"/>
  <c r="D49" i="2"/>
  <c r="C49" i="2" s="1"/>
  <c r="E50" i="2"/>
  <c r="M3" i="8" l="1"/>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s="1"/>
  <c r="I35" i="5" l="1"/>
  <c r="J35" i="5" s="1"/>
  <c r="I66" i="1" s="1"/>
  <c r="J23" i="10"/>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H66" i="1" l="1"/>
  <c r="H97" i="1" s="1"/>
  <c r="I37" i="5"/>
  <c r="I38" i="5" s="1"/>
  <c r="I78" i="5" s="1"/>
  <c r="I82"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J63" i="1" l="1"/>
  <c r="J94" i="1" s="1"/>
  <c r="E98" i="5"/>
  <c r="J50" i="1"/>
  <c r="E94" i="5"/>
  <c r="J65" i="1"/>
  <c r="E100" i="5"/>
  <c r="I97" i="1"/>
  <c r="K36" i="5"/>
  <c r="J68" i="1" s="1"/>
  <c r="J37" i="5"/>
  <c r="J38" i="5" s="1"/>
  <c r="J78" i="5" s="1"/>
  <c r="J82" i="5" s="1"/>
  <c r="I16" i="1"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K50" i="1" l="1"/>
  <c r="F94" i="5"/>
  <c r="J97" i="1"/>
  <c r="K65" i="1"/>
  <c r="F100" i="5"/>
  <c r="K63" i="1"/>
  <c r="F98" i="5"/>
  <c r="L36" i="5"/>
  <c r="K68" i="1" s="1"/>
  <c r="K37" i="5"/>
  <c r="K38" i="5" s="1"/>
  <c r="K78" i="5" s="1"/>
  <c r="K82" i="5" s="1"/>
  <c r="J16" i="1" s="1"/>
  <c r="L102" i="1"/>
  <c r="K93" i="1"/>
  <c r="J92" i="1"/>
  <c r="H104" i="1"/>
  <c r="J71" i="5"/>
  <c r="I56" i="1" s="1"/>
  <c r="K71" i="5"/>
  <c r="J56" i="1" s="1"/>
  <c r="L60" i="5"/>
  <c r="L62" i="5"/>
  <c r="M102" i="1"/>
  <c r="L67" i="5"/>
  <c r="M35" i="5"/>
  <c r="L66" i="1" s="1"/>
  <c r="M32" i="5"/>
  <c r="L55" i="1" s="1"/>
  <c r="H95" i="5" s="1"/>
  <c r="M66" i="5"/>
  <c r="M69" i="5" s="1"/>
  <c r="N65" i="5"/>
  <c r="M59" i="5"/>
  <c r="N58" i="5"/>
  <c r="M18" i="5"/>
  <c r="L63" i="1" l="1"/>
  <c r="L94" i="1" s="1"/>
  <c r="G98" i="5"/>
  <c r="K94" i="1"/>
  <c r="L65" i="1"/>
  <c r="G100" i="5"/>
  <c r="L50" i="1"/>
  <c r="G94" i="5"/>
  <c r="K97" i="1"/>
  <c r="M36" i="5"/>
  <c r="L68" i="1" s="1"/>
  <c r="L37" i="5"/>
  <c r="L38" i="5" s="1"/>
  <c r="L78" i="5" s="1"/>
  <c r="L82" i="5" s="1"/>
  <c r="K16" i="1" s="1"/>
  <c r="L93" i="1"/>
  <c r="J104" i="1"/>
  <c r="I104" i="1"/>
  <c r="K92" i="1"/>
  <c r="L71" i="5"/>
  <c r="K56" i="1" s="1"/>
  <c r="M60" i="5"/>
  <c r="M62" i="5"/>
  <c r="M67" i="5"/>
  <c r="N35" i="5"/>
  <c r="M66" i="1" s="1"/>
  <c r="N32" i="5"/>
  <c r="M55" i="1" s="1"/>
  <c r="I95" i="5" s="1"/>
  <c r="N66" i="5"/>
  <c r="N69" i="5" s="1"/>
  <c r="N59" i="5"/>
  <c r="N18" i="5"/>
  <c r="M50" i="1" l="1"/>
  <c r="I94" i="5" s="1"/>
  <c r="H94" i="5"/>
  <c r="M65" i="1"/>
  <c r="I100" i="5" s="1"/>
  <c r="H100" i="5"/>
  <c r="L97" i="1"/>
  <c r="M63" i="1"/>
  <c r="M94" i="1" s="1"/>
  <c r="H98" i="5"/>
  <c r="M37" i="5"/>
  <c r="M38" i="5" s="1"/>
  <c r="M78" i="5" s="1"/>
  <c r="M82" i="5" s="1"/>
  <c r="L16" i="1" s="1"/>
  <c r="N36" i="5"/>
  <c r="M68" i="1" s="1"/>
  <c r="M93" i="1"/>
  <c r="K104" i="1"/>
  <c r="L92" i="1"/>
  <c r="M71" i="5"/>
  <c r="L56" i="1" s="1"/>
  <c r="N60" i="5"/>
  <c r="N62" i="5"/>
  <c r="N67" i="5"/>
  <c r="M92" i="1" l="1"/>
  <c r="D15" i="10"/>
  <c r="I98" i="5"/>
  <c r="M97" i="1"/>
  <c r="N37" i="5"/>
  <c r="N38" i="5" s="1"/>
  <c r="N78" i="5" s="1"/>
  <c r="N82" i="5" s="1"/>
  <c r="M16" i="1" s="1"/>
  <c r="L104" i="1"/>
  <c r="N71" i="5"/>
  <c r="M56" i="1" s="1"/>
  <c r="I35" i="10" l="1"/>
  <c r="D34" i="10"/>
  <c r="M104" i="1"/>
  <c r="H16" i="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F24" i="10" s="1"/>
  <c r="K26" i="5"/>
  <c r="H90" i="1"/>
  <c r="E24" i="10" s="1"/>
  <c r="I61" i="9"/>
  <c r="I27" i="5"/>
  <c r="H54" i="1" s="1"/>
  <c r="M21" i="5"/>
  <c r="L25" i="5"/>
  <c r="H103" i="1" l="1"/>
  <c r="D16" i="10" s="1"/>
  <c r="J27" i="5"/>
  <c r="I54" i="1" s="1"/>
  <c r="K28" i="5"/>
  <c r="J90" i="1" s="1"/>
  <c r="G24" i="10" s="1"/>
  <c r="H25" i="6"/>
  <c r="I5" i="4"/>
  <c r="L26" i="5"/>
  <c r="L28" i="5" s="1"/>
  <c r="K90" i="1" s="1"/>
  <c r="H24" i="10" s="1"/>
  <c r="M25" i="5"/>
  <c r="N21" i="5"/>
  <c r="N25" i="5" s="1"/>
  <c r="K27" i="5"/>
  <c r="J54" i="1" s="1"/>
  <c r="H105" i="1" l="1"/>
  <c r="E25" i="10"/>
  <c r="J5" i="4"/>
  <c r="J103" i="1"/>
  <c r="I103" i="1"/>
  <c r="K5" i="4"/>
  <c r="L27" i="5"/>
  <c r="K54" i="1" s="1"/>
  <c r="M26" i="5"/>
  <c r="M28" i="5" s="1"/>
  <c r="L90" i="1" s="1"/>
  <c r="I24" i="10" s="1"/>
  <c r="O20" i="10" s="1"/>
  <c r="N26" i="5"/>
  <c r="N27" i="5" s="1"/>
  <c r="M54" i="1" s="1"/>
  <c r="H26" i="6"/>
  <c r="I25" i="6"/>
  <c r="H36" i="6"/>
  <c r="H37" i="6" s="1"/>
  <c r="H15" i="1" s="1"/>
  <c r="H17" i="1" s="1"/>
  <c r="I105" i="1" l="1"/>
  <c r="F25" i="10"/>
  <c r="J105" i="1"/>
  <c r="G25" i="10"/>
  <c r="L5" i="4"/>
  <c r="K103" i="1"/>
  <c r="M27" i="5"/>
  <c r="L54" i="1" s="1"/>
  <c r="H18" i="1"/>
  <c r="H19" i="1" s="1"/>
  <c r="I26" i="6"/>
  <c r="J25" i="6"/>
  <c r="I36" i="6"/>
  <c r="I37" i="6" s="1"/>
  <c r="I15" i="1" s="1"/>
  <c r="I17" i="1" s="1"/>
  <c r="H28" i="6"/>
  <c r="H29" i="6" s="1"/>
  <c r="I31" i="6" s="1"/>
  <c r="N28" i="5"/>
  <c r="M90" i="1" s="1"/>
  <c r="J24" i="10" s="1"/>
  <c r="K105" i="1" l="1"/>
  <c r="H25" i="10"/>
  <c r="H109" i="1"/>
  <c r="E19" i="6"/>
  <c r="H69" i="1"/>
  <c r="N5" i="4"/>
  <c r="M103" i="1"/>
  <c r="J25" i="10" s="1"/>
  <c r="L103" i="1"/>
  <c r="M5" i="4"/>
  <c r="H78" i="1"/>
  <c r="H20" i="1"/>
  <c r="H89" i="1"/>
  <c r="H30" i="1"/>
  <c r="H33" i="1" s="1"/>
  <c r="H38" i="1" s="1"/>
  <c r="I18" i="1"/>
  <c r="I19" i="1" s="1"/>
  <c r="I28" i="6"/>
  <c r="I29" i="6" s="1"/>
  <c r="I69" i="1" s="1"/>
  <c r="J36" i="6"/>
  <c r="J37" i="6" s="1"/>
  <c r="J15" i="1" s="1"/>
  <c r="J17" i="1" s="1"/>
  <c r="J26" i="6"/>
  <c r="K25" i="6"/>
  <c r="L105" i="1" l="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J18" i="1"/>
  <c r="J19" i="1" s="1"/>
  <c r="K26" i="6"/>
  <c r="K36" i="6"/>
  <c r="K37" i="6" s="1"/>
  <c r="K15" i="1" s="1"/>
  <c r="K17" i="1" s="1"/>
  <c r="L25" i="6"/>
  <c r="J28" i="6"/>
  <c r="J29" i="6" s="1"/>
  <c r="J69" i="1" s="1"/>
  <c r="I89" i="1"/>
  <c r="I20" i="1"/>
  <c r="I30" i="1"/>
  <c r="I33" i="1" s="1"/>
  <c r="I38" i="1" s="1"/>
  <c r="I78" i="1"/>
  <c r="N92" i="4" l="1"/>
  <c r="F50" i="6"/>
  <c r="J92" i="4"/>
  <c r="I92" i="4"/>
  <c r="I47" i="5" s="1"/>
  <c r="H50" i="6"/>
  <c r="M92" i="4"/>
  <c r="L92" i="4"/>
  <c r="G50" i="6"/>
  <c r="C50" i="6"/>
  <c r="D50" i="6"/>
  <c r="E50" i="6"/>
  <c r="K92" i="4"/>
  <c r="J109" i="1"/>
  <c r="J89" i="1"/>
  <c r="J20" i="1"/>
  <c r="J30" i="1"/>
  <c r="J33" i="1" s="1"/>
  <c r="J38" i="1" s="1"/>
  <c r="L26" i="6"/>
  <c r="L36" i="6"/>
  <c r="L37" i="6" s="1"/>
  <c r="L15" i="1" s="1"/>
  <c r="L17" i="1" s="1"/>
  <c r="M25" i="6"/>
  <c r="K28" i="6"/>
  <c r="K29" i="6" s="1"/>
  <c r="K69" i="1" s="1"/>
  <c r="J78" i="1"/>
  <c r="K18" i="1"/>
  <c r="K19" i="1" s="1"/>
  <c r="J47" i="5" l="1"/>
  <c r="K47" i="5" s="1"/>
  <c r="L47" i="5" s="1"/>
  <c r="I48" i="5"/>
  <c r="I49" i="5" s="1"/>
  <c r="I44" i="5"/>
  <c r="J44" i="5" s="1"/>
  <c r="K44" i="5" s="1"/>
  <c r="L44" i="5" s="1"/>
  <c r="M44" i="5" s="1"/>
  <c r="N44" i="5" s="1"/>
  <c r="K109" i="1"/>
  <c r="K89" i="1"/>
  <c r="K20" i="1"/>
  <c r="K30" i="1"/>
  <c r="K33" i="1" s="1"/>
  <c r="K38" i="1" s="1"/>
  <c r="L18" i="1"/>
  <c r="L19" i="1" s="1"/>
  <c r="L28" i="6"/>
  <c r="L29" i="6" s="1"/>
  <c r="L69" i="1" s="1"/>
  <c r="K78" i="1"/>
  <c r="M26" i="6"/>
  <c r="M36" i="6"/>
  <c r="M37" i="6" s="1"/>
  <c r="M15" i="1" s="1"/>
  <c r="M17" i="1" s="1"/>
  <c r="I50" i="5" l="1"/>
  <c r="I45" i="8" s="1"/>
  <c r="I42" i="8" s="1"/>
  <c r="H110" i="1" s="1"/>
  <c r="H111" i="1" s="1"/>
  <c r="J48" i="5"/>
  <c r="K48" i="5" s="1"/>
  <c r="I53" i="5"/>
  <c r="I52" i="5" s="1"/>
  <c r="H70" i="1" s="1"/>
  <c r="L109" i="1"/>
  <c r="L89" i="1"/>
  <c r="L20" i="1"/>
  <c r="L30" i="1"/>
  <c r="L33" i="1" s="1"/>
  <c r="L38" i="1" s="1"/>
  <c r="M28" i="6"/>
  <c r="M29" i="6" s="1"/>
  <c r="M69" i="1" s="1"/>
  <c r="D14" i="10" s="1"/>
  <c r="M47" i="5"/>
  <c r="L78" i="1"/>
  <c r="M18" i="1"/>
  <c r="M19" i="1" s="1"/>
  <c r="H96" i="1" l="1"/>
  <c r="H98" i="1" s="1"/>
  <c r="H115" i="1" s="1"/>
  <c r="D101" i="5"/>
  <c r="D102" i="5" s="1"/>
  <c r="D104" i="5" s="1"/>
  <c r="E26" i="10" s="1"/>
  <c r="D35" i="10"/>
  <c r="I34" i="10"/>
  <c r="I36" i="10" s="1"/>
  <c r="J49" i="5"/>
  <c r="J50" i="5" s="1"/>
  <c r="J45" i="8" s="1"/>
  <c r="J42" i="8" s="1"/>
  <c r="I110" i="1" s="1"/>
  <c r="I111" i="1" s="1"/>
  <c r="H71" i="1"/>
  <c r="J53" i="5"/>
  <c r="J52" i="5" s="1"/>
  <c r="I70" i="1" s="1"/>
  <c r="M109" i="1"/>
  <c r="L48" i="5"/>
  <c r="K49" i="5"/>
  <c r="K50" i="5" s="1"/>
  <c r="K45" i="8" s="1"/>
  <c r="K42" i="8" s="1"/>
  <c r="K53" i="5"/>
  <c r="K52" i="5" s="1"/>
  <c r="N47" i="5"/>
  <c r="M20" i="1"/>
  <c r="M30" i="1"/>
  <c r="M33" i="1" s="1"/>
  <c r="M38" i="1" s="1"/>
  <c r="M89" i="1"/>
  <c r="M78" i="1"/>
  <c r="E27" i="10" l="1"/>
  <c r="E29" i="10" s="1"/>
  <c r="D28" i="10"/>
  <c r="D30" i="10" s="1"/>
  <c r="I96" i="1"/>
  <c r="I98" i="1" s="1"/>
  <c r="I115" i="1" s="1"/>
  <c r="E101" i="5"/>
  <c r="E102" i="5" s="1"/>
  <c r="E104" i="5" s="1"/>
  <c r="F26" i="10" s="1"/>
  <c r="F27" i="10" s="1"/>
  <c r="F29" i="10" s="1"/>
  <c r="I71" i="1"/>
  <c r="J70" i="1"/>
  <c r="H119" i="1"/>
  <c r="J110" i="1"/>
  <c r="J111" i="1" s="1"/>
  <c r="M48" i="5"/>
  <c r="L49" i="5"/>
  <c r="L50" i="5" s="1"/>
  <c r="L45" i="8" s="1"/>
  <c r="L42" i="8" s="1"/>
  <c r="L53" i="5"/>
  <c r="L52" i="5" s="1"/>
  <c r="E30" i="10" l="1"/>
  <c r="F30" i="10"/>
  <c r="J96" i="1"/>
  <c r="J98" i="1" s="1"/>
  <c r="J115" i="1" s="1"/>
  <c r="F101" i="5"/>
  <c r="F102" i="5" s="1"/>
  <c r="F104" i="5" s="1"/>
  <c r="G26" i="10" s="1"/>
  <c r="G27" i="10" s="1"/>
  <c r="K70" i="1"/>
  <c r="J71" i="1"/>
  <c r="I118" i="1"/>
  <c r="I119" i="1" s="1"/>
  <c r="H124" i="1"/>
  <c r="H123" i="1"/>
  <c r="H48" i="1" s="1"/>
  <c r="H125" i="1"/>
  <c r="K110" i="1"/>
  <c r="K111" i="1" s="1"/>
  <c r="N48" i="5"/>
  <c r="M53" i="5"/>
  <c r="M52" i="5" s="1"/>
  <c r="M49" i="5"/>
  <c r="M50" i="5" s="1"/>
  <c r="M45" i="8" s="1"/>
  <c r="M42" i="8" s="1"/>
  <c r="G30" i="10" l="1"/>
  <c r="G29" i="10"/>
  <c r="K96" i="1"/>
  <c r="K98" i="1" s="1"/>
  <c r="K115" i="1" s="1"/>
  <c r="G101" i="5"/>
  <c r="G102" i="5" s="1"/>
  <c r="G104" i="5" s="1"/>
  <c r="H26" i="10" s="1"/>
  <c r="H27" i="10" s="1"/>
  <c r="K71" i="1"/>
  <c r="L70" i="1"/>
  <c r="I123" i="1"/>
  <c r="I48" i="1" s="1"/>
  <c r="J118" i="1"/>
  <c r="J119" i="1" s="1"/>
  <c r="K118" i="1" s="1"/>
  <c r="I125" i="1"/>
  <c r="H126" i="1"/>
  <c r="I124" i="1"/>
  <c r="H51" i="1"/>
  <c r="L110" i="1"/>
  <c r="L111" i="1" s="1"/>
  <c r="N53" i="5"/>
  <c r="N52" i="5" s="1"/>
  <c r="N49" i="5"/>
  <c r="N50" i="5" s="1"/>
  <c r="N45" i="8" s="1"/>
  <c r="N42" i="8" s="1"/>
  <c r="H30" i="10" l="1"/>
  <c r="H29" i="10"/>
  <c r="L96" i="1"/>
  <c r="L98" i="1" s="1"/>
  <c r="L115" i="1" s="1"/>
  <c r="H101" i="5"/>
  <c r="H102" i="5" s="1"/>
  <c r="H104" i="5" s="1"/>
  <c r="I26" i="10" s="1"/>
  <c r="I27" i="10" s="1"/>
  <c r="O19" i="10" s="1"/>
  <c r="L71" i="1"/>
  <c r="M70" i="1"/>
  <c r="I126" i="1"/>
  <c r="I51" i="1"/>
  <c r="I59" i="1" s="1"/>
  <c r="H59" i="1"/>
  <c r="I90" i="5" s="1"/>
  <c r="H76" i="1" s="1"/>
  <c r="J125" i="1"/>
  <c r="J123" i="1"/>
  <c r="J48" i="1" s="1"/>
  <c r="J124" i="1"/>
  <c r="K119" i="1"/>
  <c r="K125" i="1" s="1"/>
  <c r="M110" i="1"/>
  <c r="M111" i="1" s="1"/>
  <c r="O21" i="10" l="1"/>
  <c r="K28" i="10" s="1"/>
  <c r="I30" i="10"/>
  <c r="I29" i="10"/>
  <c r="M96" i="1"/>
  <c r="M98" i="1" s="1"/>
  <c r="M115" i="1" s="1"/>
  <c r="I101" i="5"/>
  <c r="I102" i="5" s="1"/>
  <c r="I104" i="5" s="1"/>
  <c r="J26" i="10" s="1"/>
  <c r="J27" i="10" s="1"/>
  <c r="J90" i="5"/>
  <c r="I76" i="1" s="1"/>
  <c r="I79" i="1" s="1"/>
  <c r="I81" i="1" s="1"/>
  <c r="M71" i="1"/>
  <c r="J51" i="1"/>
  <c r="J59" i="1" s="1"/>
  <c r="K123" i="1"/>
  <c r="K124" i="1"/>
  <c r="K51" i="1" s="1"/>
  <c r="L118" i="1"/>
  <c r="L119" i="1" s="1"/>
  <c r="M118" i="1" s="1"/>
  <c r="J126" i="1"/>
  <c r="J30" i="10" l="1"/>
  <c r="J29" i="10"/>
  <c r="K29" i="10"/>
  <c r="K30" i="10"/>
  <c r="K90" i="5"/>
  <c r="J76" i="1" s="1"/>
  <c r="J79" i="1" s="1"/>
  <c r="J81" i="1" s="1"/>
  <c r="I82" i="1"/>
  <c r="K126" i="1"/>
  <c r="K48" i="1"/>
  <c r="K59" i="1" s="1"/>
  <c r="L124" i="1"/>
  <c r="L123" i="1"/>
  <c r="L48" i="1" s="1"/>
  <c r="L125" i="1"/>
  <c r="M119" i="1"/>
  <c r="M125" i="1" s="1"/>
  <c r="D33" i="10" l="1"/>
  <c r="D36" i="10" s="1"/>
  <c r="D38" i="10" s="1"/>
  <c r="N38" i="10" s="1"/>
  <c r="N39" i="10" s="1"/>
  <c r="N34" i="10"/>
  <c r="L90" i="5"/>
  <c r="K76" i="1" s="1"/>
  <c r="K79" i="1" s="1"/>
  <c r="K81" i="1" s="1"/>
  <c r="J82" i="1"/>
  <c r="L126" i="1"/>
  <c r="L51" i="1"/>
  <c r="L59" i="1" s="1"/>
  <c r="M124" i="1"/>
  <c r="M51" i="1" s="1"/>
  <c r="M123" i="1"/>
  <c r="M48" i="1" s="1"/>
  <c r="N33" i="10" l="1"/>
  <c r="M90" i="5"/>
  <c r="L76" i="1" s="1"/>
  <c r="L79" i="1" s="1"/>
  <c r="L81" i="1" s="1"/>
  <c r="K82" i="1"/>
  <c r="M59" i="1"/>
  <c r="M126" i="1"/>
  <c r="L82" i="1" l="1"/>
  <c r="N90" i="5"/>
  <c r="M76" i="1" s="1"/>
  <c r="M79" i="1" s="1"/>
  <c r="M81" i="1" s="1"/>
  <c r="H79" i="1"/>
  <c r="H81" i="1" s="1"/>
  <c r="M82" i="1" l="1"/>
  <c r="H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<sst xmlns="http://schemas.openxmlformats.org/spreadsheetml/2006/main" count="780" uniqueCount="371">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</sst>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s>
  <fonts count="45"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s>
  <fills count="19">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s>
  <borders count="29">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s>
  <cellStyleXfs count="5">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cellStyleXfs>
  <cellXfs count="257">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0" fontId="1" fillId="11" borderId="0" xfId="0" applyFont="1" applyFill="1" applyAlignment="1">
      <alignment horizontal="center"/>
    </xf>
    <xf numFmtId="0" fontId="9" fillId="7" borderId="10" xfId="0" applyFont="1" applyFill="1" applyBorder="1" applyAlignment="1">
      <alignment horizontal="center" vertical="center"/>
    </xf>
    <xf numFmtId="166" fontId="41" fillId="0" borderId="2" xfId="1" applyNumberFormat="1" applyFont="1" applyBorder="1"/>
  </cellXfs>
  <cellStyles count="5">
    <cellStyle name="Comma" xfId="1" builtinId="3"/>
    <cellStyle name="Hyperlink" xfId="4" builtinId="8"/>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externalLink" Target="externalLinks/externalLink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b="1">
                <a:solidFill>
                  <a:sysClr val="windowText" lastClr="000000"/>
                </a:solidFill>
              </a:rPr>
              <a:t>Cash Flows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si\Desktop\Projects\IB%20Projects\Templates\CFI-DCF-Model-Template.xlsx" TargetMode="External"/><Relationship Id="rId1" Type="http://schemas.openxmlformats.org/officeDocument/2006/relationships/externalLinkPath" Target="/Users/Matsi/Desktop/Projects/IB%20Projects/Templates/CFI-DCF-Model-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sheetName val="DCF Model"/>
    </sheetNames>
    <sheetDataSet>
      <sheetData sheetId="0" refreshError="1"/>
      <sheetData sheetId="1">
        <row r="19">
          <cell r="E19">
            <v>43281</v>
          </cell>
          <cell r="F19">
            <v>43646</v>
          </cell>
          <cell r="G19">
            <v>44012</v>
          </cell>
          <cell r="H19">
            <v>44377</v>
          </cell>
          <cell r="I19">
            <v>44742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https://www.bing.com/financeapi/forcetrigger?t=b6m84c&amp;q=XNAS%3aLYFT&amp;form=skydnc</v>
    <v>Learn more on Bing</v>
  </rv>
  <rv s="1">
    <v>en-ZA</v>
    <v>b6m84c</v>
    <v>268435456</v>
    <v>1</v>
    <v>Powered by Refinitiv</v>
    <v>0</v>
    <v>LYFT, INC. (XNAS:LYFT)</v>
    <v>2</v>
    <v>3</v>
    <v>Finance</v>
    <v>4</v>
    <v>19.350000000000001</v>
    <v>9.66</v>
    <v>2.3504</v>
    <v>-0.64</v>
    <v>-9.4430000000000002E-4</v>
    <v>-3.3755E-2</v>
    <v>-1.7299999999999999E-2</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19.16</v>
    <v>Software &amp; IT Services</v>
    <v>Stock</v>
    <v>45911.909329270311</v>
    <v>0</v>
    <v>18.309999999999999</v>
    <v>7446008280</v>
    <v>LYFT, INC.</v>
    <v>LYFT, INC.</v>
    <v>19.04</v>
    <v>85.848200000000006</v>
    <v>18.96</v>
    <v>18.32</v>
    <v>18.302700000000002</v>
    <v>406441500</v>
    <v>LYFT</v>
    <v>LYFT, INC. (XNAS:LYFT)</v>
    <v>16116784</v>
    <v>22768450</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04"/>
  <sheetViews>
    <sheetView showGridLines="0" topLeftCell="A89" workbookViewId="0">
      <selection activeCell="B106" sqref="B106"/>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61"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54" t="s">
        <v>233</v>
      </c>
      <c r="C1" s="254"/>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57" activePane="bottomLeft" state="frozen"/>
      <selection pane="bottomLeft" activeCell="A94" sqref="A94"/>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M13" si="18">SUM(E8:E12)</f>
        <v>5554051</v>
      </c>
      <c r="F13" s="8">
        <f t="shared" si="18"/>
        <v>4879193</v>
      </c>
      <c r="G13" s="8">
        <f t="shared" si="18"/>
        <v>5904928</v>
      </c>
      <c r="H13" s="8">
        <f t="shared" ca="1" si="18"/>
        <v>6112713.3289948823</v>
      </c>
      <c r="I13" s="8">
        <f t="shared" ca="1" si="18"/>
        <v>6200369.8037727978</v>
      </c>
      <c r="J13" s="8">
        <f t="shared" ca="1" si="18"/>
        <v>6380731.6043496793</v>
      </c>
      <c r="K13" s="8">
        <f t="shared" ca="1" si="18"/>
        <v>6578284.7796479939</v>
      </c>
      <c r="L13" s="8">
        <f t="shared" ca="1" si="18"/>
        <v>6806844.3799423743</v>
      </c>
      <c r="M13" s="8">
        <f t="shared" ca="1" si="18"/>
        <v>7044410.8747559823</v>
      </c>
    </row>
    <row r="14" spans="1:13" x14ac:dyDescent="0.25">
      <c r="A14" s="9" t="s">
        <v>9</v>
      </c>
      <c r="B14" s="10">
        <f>B6-B13</f>
        <v>-2702480</v>
      </c>
      <c r="C14" s="10">
        <f t="shared" ref="C14:M14" si="19">C6-C13</f>
        <v>-1808382</v>
      </c>
      <c r="D14" s="10">
        <f t="shared" si="19"/>
        <v>-1135217</v>
      </c>
      <c r="E14" s="10">
        <f t="shared" si="19"/>
        <v>-1458916</v>
      </c>
      <c r="F14" s="10">
        <f t="shared" si="19"/>
        <v>-475604</v>
      </c>
      <c r="G14" s="10">
        <f t="shared" si="19"/>
        <v>-118912</v>
      </c>
      <c r="H14" s="10">
        <f t="shared" ca="1" si="19"/>
        <v>-86066.469228388742</v>
      </c>
      <c r="I14" s="10">
        <f t="shared" ca="1" si="19"/>
        <v>51387.724034561776</v>
      </c>
      <c r="J14" s="10">
        <f t="shared" ca="1" si="19"/>
        <v>194265.49180643447</v>
      </c>
      <c r="K14" s="10">
        <f t="shared" ca="1" si="19"/>
        <v>329649.07190733496</v>
      </c>
      <c r="L14" s="10">
        <f t="shared" ca="1" si="19"/>
        <v>444014.32967414521</v>
      </c>
      <c r="M14" s="10">
        <f t="shared" ca="1" si="19"/>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0">SUM(C14,C15,C16)</f>
        <v>-1797391</v>
      </c>
      <c r="D17" s="8">
        <f t="shared" si="20"/>
        <v>-1050919</v>
      </c>
      <c r="E17" s="8">
        <f t="shared" si="20"/>
        <v>-1578639</v>
      </c>
      <c r="F17" s="8">
        <f t="shared" si="20"/>
        <v>-331704</v>
      </c>
      <c r="G17" s="8">
        <f t="shared" si="20"/>
        <v>25350</v>
      </c>
      <c r="H17" s="8">
        <f ca="1">SUM(H14,H15,H16)</f>
        <v>58409.003611390421</v>
      </c>
      <c r="I17" s="8">
        <f t="shared" ref="I17:M17" ca="1" si="21">SUM(I14,I15,I16)</f>
        <v>201008.51023082196</v>
      </c>
      <c r="J17" s="8">
        <f t="shared" ca="1" si="21"/>
        <v>352204.37186056341</v>
      </c>
      <c r="K17" s="8">
        <f t="shared" ca="1" si="21"/>
        <v>476572.57789144642</v>
      </c>
      <c r="L17" s="8">
        <f t="shared" ca="1" si="21"/>
        <v>601265.95459886675</v>
      </c>
      <c r="M17" s="8">
        <f t="shared" ca="1" si="21"/>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M19" si="22">C17-C18</f>
        <v>-1752857</v>
      </c>
      <c r="D19" s="12">
        <f t="shared" si="22"/>
        <v>-1062144</v>
      </c>
      <c r="E19" s="12">
        <f t="shared" si="22"/>
        <v>-1584511</v>
      </c>
      <c r="F19" s="12">
        <f t="shared" si="22"/>
        <v>-340320</v>
      </c>
      <c r="G19" s="12">
        <f>G17-G18</f>
        <v>22784</v>
      </c>
      <c r="H19" s="12">
        <f ca="1">H17-H18</f>
        <v>51715.465332438987</v>
      </c>
      <c r="I19" s="12">
        <f t="shared" ca="1" si="22"/>
        <v>175600.66601498588</v>
      </c>
      <c r="J19" s="12">
        <f t="shared" ca="1" si="22"/>
        <v>303527.63101752754</v>
      </c>
      <c r="K19" s="12">
        <f t="shared" ca="1" si="22"/>
        <v>405081.8909238163</v>
      </c>
      <c r="L19" s="12">
        <f t="shared" ca="1" si="22"/>
        <v>503972.58992626052</v>
      </c>
      <c r="M19" s="12">
        <f t="shared" ca="1" si="22"/>
        <v>595956.78054809687</v>
      </c>
    </row>
    <row r="20" spans="1:14" ht="16.5" thickTop="1" thickBot="1" x14ac:dyDescent="0.3">
      <c r="A20" s="22" t="s">
        <v>15</v>
      </c>
      <c r="B20" s="23">
        <f>B19/B22</f>
        <v>-11.438522536461859</v>
      </c>
      <c r="C20" s="23">
        <f t="shared" ref="C20:M20" si="23">C19/C22</f>
        <v>-5.6149819812605113</v>
      </c>
      <c r="D20" s="23">
        <f t="shared" si="23"/>
        <v>-3.1731934369809158</v>
      </c>
      <c r="E20" s="23">
        <f t="shared" si="23"/>
        <v>-4.4667959665211106</v>
      </c>
      <c r="F20" s="23">
        <f t="shared" si="23"/>
        <v>-0.88317957102261668</v>
      </c>
      <c r="G20" s="23">
        <f t="shared" si="23"/>
        <v>5.5681959817293569E-2</v>
      </c>
      <c r="H20" s="23">
        <f t="shared" ca="1" si="23"/>
        <v>0.1175521590359606</v>
      </c>
      <c r="I20" s="23">
        <f t="shared" ca="1" si="23"/>
        <v>0.37967146474583258</v>
      </c>
      <c r="J20" s="23">
        <f t="shared" ca="1" si="23"/>
        <v>0.62471300951457198</v>
      </c>
      <c r="K20" s="23">
        <f t="shared" ca="1" si="23"/>
        <v>0.79370759583080841</v>
      </c>
      <c r="L20" s="23">
        <f t="shared" ca="1" si="23"/>
        <v>0.93897704710594854</v>
      </c>
      <c r="M20" s="23">
        <f t="shared" ca="1" si="23"/>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4">SUM(C24:C28)</f>
        <v>565807</v>
      </c>
      <c r="D29" s="6">
        <f t="shared" si="24"/>
        <v>724560</v>
      </c>
      <c r="E29" s="6">
        <f t="shared" si="24"/>
        <v>750767</v>
      </c>
      <c r="F29" s="6">
        <f t="shared" si="24"/>
        <v>484533</v>
      </c>
      <c r="G29" s="6">
        <f t="shared" si="24"/>
        <v>330921</v>
      </c>
      <c r="H29" s="6"/>
      <c r="I29" s="6"/>
      <c r="J29" s="6"/>
      <c r="K29" s="6"/>
      <c r="L29" s="6"/>
      <c r="M29" s="6"/>
    </row>
    <row r="30" spans="1:14" x14ac:dyDescent="0.25">
      <c r="A30" s="2" t="s">
        <v>14</v>
      </c>
      <c r="B30" s="15">
        <f t="shared" ref="B30:M30" si="25">B19</f>
        <v>-2602241</v>
      </c>
      <c r="C30" s="15">
        <f t="shared" si="25"/>
        <v>-1752857</v>
      </c>
      <c r="D30" s="15">
        <f t="shared" si="25"/>
        <v>-1062144</v>
      </c>
      <c r="E30" s="15">
        <f t="shared" si="25"/>
        <v>-1584511</v>
      </c>
      <c r="F30" s="15">
        <f t="shared" si="25"/>
        <v>-340320</v>
      </c>
      <c r="G30" s="15">
        <f t="shared" si="25"/>
        <v>22784</v>
      </c>
      <c r="H30" s="15">
        <f t="shared" ca="1" si="25"/>
        <v>51715.465332438987</v>
      </c>
      <c r="I30" s="15">
        <f t="shared" ca="1" si="25"/>
        <v>175600.66601498588</v>
      </c>
      <c r="J30" s="15">
        <f t="shared" ca="1" si="25"/>
        <v>303527.63101752754</v>
      </c>
      <c r="K30" s="15">
        <f t="shared" ca="1" si="25"/>
        <v>405081.8909238163</v>
      </c>
      <c r="L30" s="15">
        <f t="shared" ca="1" si="25"/>
        <v>503972.58992626052</v>
      </c>
      <c r="M30" s="15">
        <f t="shared" ca="1" si="25"/>
        <v>595956.78054809687</v>
      </c>
    </row>
    <row r="32" spans="1:14" x14ac:dyDescent="0.25">
      <c r="A32" s="20" t="s">
        <v>17</v>
      </c>
      <c r="B32" s="20">
        <v>2019</v>
      </c>
      <c r="C32" s="20">
        <f>B32+1</f>
        <v>2020</v>
      </c>
      <c r="D32" s="20">
        <f t="shared" ref="D32:G32" si="26">C32+1</f>
        <v>2021</v>
      </c>
      <c r="E32" s="20">
        <f t="shared" si="26"/>
        <v>2022</v>
      </c>
      <c r="F32" s="20">
        <f t="shared" si="26"/>
        <v>2023</v>
      </c>
      <c r="G32" s="26">
        <f t="shared" si="26"/>
        <v>2024</v>
      </c>
      <c r="H32" s="27">
        <f t="shared" ref="H32:M32" si="27">H5</f>
        <v>2025</v>
      </c>
      <c r="I32" s="27">
        <f t="shared" si="27"/>
        <v>2026</v>
      </c>
      <c r="J32" s="27">
        <f t="shared" si="27"/>
        <v>2027</v>
      </c>
      <c r="K32" s="27">
        <f t="shared" si="27"/>
        <v>2028</v>
      </c>
      <c r="L32" s="27">
        <f t="shared" si="27"/>
        <v>2029</v>
      </c>
      <c r="M32" s="27">
        <f t="shared" si="27"/>
        <v>2030</v>
      </c>
      <c r="N32" s="193"/>
    </row>
    <row r="33" spans="1:13" x14ac:dyDescent="0.25">
      <c r="A33" t="s">
        <v>18</v>
      </c>
      <c r="B33" s="6">
        <f>B30</f>
        <v>-2602241</v>
      </c>
      <c r="C33" s="6">
        <f t="shared" ref="C33:M33" si="28">C30</f>
        <v>-1752857</v>
      </c>
      <c r="D33" s="6">
        <f t="shared" si="28"/>
        <v>-1062144</v>
      </c>
      <c r="E33" s="6">
        <f t="shared" si="28"/>
        <v>-1584511</v>
      </c>
      <c r="F33" s="6">
        <f t="shared" si="28"/>
        <v>-340320</v>
      </c>
      <c r="G33" s="6">
        <f t="shared" si="28"/>
        <v>22784</v>
      </c>
      <c r="H33" s="28">
        <f t="shared" ca="1" si="28"/>
        <v>51715.465332438987</v>
      </c>
      <c r="I33" s="28">
        <f t="shared" ca="1" si="28"/>
        <v>175600.66601498588</v>
      </c>
      <c r="J33" s="28">
        <f t="shared" ca="1" si="28"/>
        <v>303527.63101752754</v>
      </c>
      <c r="K33" s="28">
        <f t="shared" ca="1" si="28"/>
        <v>405081.8909238163</v>
      </c>
      <c r="L33" s="28">
        <f t="shared" ca="1" si="28"/>
        <v>503972.58992626052</v>
      </c>
      <c r="M33" s="28">
        <f t="shared" ca="1" si="28"/>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29">SUM(C35:C36)</f>
        <v>-3198</v>
      </c>
      <c r="D37" s="17">
        <f t="shared" si="29"/>
        <v>-2038</v>
      </c>
      <c r="E37" s="17">
        <f t="shared" si="29"/>
        <v>-3243</v>
      </c>
      <c r="F37" s="17">
        <f t="shared" si="29"/>
        <v>805</v>
      </c>
      <c r="G37" s="17">
        <f>SUM(G35:G36)</f>
        <v>-5154</v>
      </c>
      <c r="H37" s="17">
        <f t="shared" ref="H37:M37" ca="1" si="30">SUM(H35:H36)</f>
        <v>-5368.3463570160375</v>
      </c>
      <c r="I37" s="17">
        <f t="shared" ca="1" si="30"/>
        <v>-5568.8678182568328</v>
      </c>
      <c r="J37" s="17">
        <f t="shared" ca="1" si="30"/>
        <v>-5856.7993993774999</v>
      </c>
      <c r="K37" s="17">
        <f t="shared" ca="1" si="30"/>
        <v>-6153.3689279317859</v>
      </c>
      <c r="L37" s="17">
        <f t="shared" ca="1" si="30"/>
        <v>-6458.8355423426983</v>
      </c>
      <c r="M37" s="17">
        <f t="shared" ca="1" si="30"/>
        <v>-6773.4661551859399</v>
      </c>
    </row>
    <row r="38" spans="1:13" ht="15.75" thickBot="1" x14ac:dyDescent="0.3">
      <c r="A38" s="18" t="s">
        <v>17</v>
      </c>
      <c r="B38" s="19">
        <f>SUM(B37,B33)</f>
        <v>-2599649</v>
      </c>
      <c r="C38" s="19">
        <f t="shared" ref="C38:M38" si="31">SUM(C37,C33)</f>
        <v>-1756055</v>
      </c>
      <c r="D38" s="19">
        <f t="shared" si="31"/>
        <v>-1064182</v>
      </c>
      <c r="E38" s="19">
        <f t="shared" si="31"/>
        <v>-1587754</v>
      </c>
      <c r="F38" s="19">
        <f t="shared" si="31"/>
        <v>-339515</v>
      </c>
      <c r="G38" s="19">
        <f t="shared" si="31"/>
        <v>17630</v>
      </c>
      <c r="H38" s="19">
        <f t="shared" ca="1" si="31"/>
        <v>46347.118975422949</v>
      </c>
      <c r="I38" s="19">
        <f t="shared" ca="1" si="31"/>
        <v>170031.79819672904</v>
      </c>
      <c r="J38" s="19">
        <f t="shared" ca="1" si="31"/>
        <v>297670.83161815006</v>
      </c>
      <c r="K38" s="19">
        <f t="shared" ca="1" si="31"/>
        <v>398928.52199588454</v>
      </c>
      <c r="L38" s="19">
        <f t="shared" ca="1" si="31"/>
        <v>497513.75438391784</v>
      </c>
      <c r="M38" s="19">
        <f t="shared" ca="1" si="31"/>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2">C45+1</f>
        <v>2021</v>
      </c>
      <c r="E45" s="20">
        <f t="shared" ref="E45" si="33">D45+1</f>
        <v>2022</v>
      </c>
      <c r="F45" s="20">
        <f t="shared" ref="F45" si="34">E45+1</f>
        <v>2023</v>
      </c>
      <c r="G45" s="20">
        <f t="shared" ref="G45" si="35">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ca="1">H123</f>
        <v>768458.45279941487</v>
      </c>
      <c r="I48" s="90">
        <f t="shared" ref="I48:M48" ca="1" si="36">I123</f>
        <v>802011.77472920378</v>
      </c>
      <c r="J48" s="90">
        <f t="shared" ca="1" si="36"/>
        <v>936260.15847229806</v>
      </c>
      <c r="K48" s="90">
        <f t="shared" ca="1" si="36"/>
        <v>1145279.3187718673</v>
      </c>
      <c r="L48" s="90">
        <f t="shared" ca="1" si="36"/>
        <v>868149.35834779835</v>
      </c>
      <c r="M48" s="90">
        <f t="shared" ca="1" si="36"/>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ca="1">H124+H125</f>
        <v>263316.6247800042</v>
      </c>
      <c r="I51" s="90">
        <f t="shared" ref="I51:M51" ca="1" si="37">I124+I125</f>
        <v>248944.52794704083</v>
      </c>
      <c r="J51" s="90">
        <f t="shared" ca="1" si="37"/>
        <v>281586.13967978652</v>
      </c>
      <c r="K51" s="90">
        <f t="shared" ca="1" si="37"/>
        <v>374819.61727091687</v>
      </c>
      <c r="L51" s="90">
        <f t="shared" ca="1" si="37"/>
        <v>275010.47793084179</v>
      </c>
      <c r="M51" s="90">
        <f t="shared" ca="1" si="37"/>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M59" si="38">SUM(D48:D58)</f>
        <v>4773884</v>
      </c>
      <c r="E59" s="41">
        <f t="shared" si="38"/>
        <v>4556431</v>
      </c>
      <c r="F59" s="41">
        <f t="shared" si="38"/>
        <v>4564467</v>
      </c>
      <c r="G59" s="41">
        <f t="shared" si="38"/>
        <v>5435069</v>
      </c>
      <c r="H59" s="41">
        <f t="shared" ca="1" si="38"/>
        <v>6088172.3538761912</v>
      </c>
      <c r="I59" s="41">
        <f t="shared" ca="1" si="38"/>
        <v>6868485.029653932</v>
      </c>
      <c r="J59" s="41">
        <f t="shared" ca="1" si="38"/>
        <v>7827019.5226290813</v>
      </c>
      <c r="K59" s="41">
        <f t="shared" ca="1" si="38"/>
        <v>8951159.1751069874</v>
      </c>
      <c r="L59" s="41">
        <f t="shared" ca="1" si="38"/>
        <v>9423219.5768518746</v>
      </c>
      <c r="M59" s="41">
        <f t="shared" ca="1" si="38"/>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M71" si="39">SUM(C63:C70)</f>
        <v>3002801</v>
      </c>
      <c r="D71" s="33">
        <f t="shared" si="39"/>
        <v>3432671</v>
      </c>
      <c r="E71" s="33">
        <f t="shared" si="39"/>
        <v>4167763</v>
      </c>
      <c r="F71" s="33">
        <f t="shared" si="39"/>
        <v>4022949</v>
      </c>
      <c r="G71" s="33">
        <f t="shared" si="39"/>
        <v>4668053</v>
      </c>
      <c r="H71" s="33">
        <f t="shared" ca="1" si="39"/>
        <v>4772378.3250228893</v>
      </c>
      <c r="I71" s="33">
        <f t="shared" ca="1" si="39"/>
        <v>5299602.376228204</v>
      </c>
      <c r="J71" s="33">
        <f t="shared" ca="1" si="39"/>
        <v>5916668.3866358409</v>
      </c>
      <c r="K71" s="33">
        <f t="shared" ca="1" si="39"/>
        <v>6632937.9973223265</v>
      </c>
      <c r="L71" s="33">
        <f t="shared" ca="1" si="39"/>
        <v>7480046.0215312233</v>
      </c>
      <c r="M71" s="33">
        <f t="shared" ca="1" si="39"/>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0">C77+D37</f>
        <v>-2511</v>
      </c>
      <c r="E77" s="28">
        <f t="shared" si="40"/>
        <v>-5754</v>
      </c>
      <c r="F77" s="28">
        <f t="shared" si="40"/>
        <v>-4949</v>
      </c>
      <c r="G77" s="28">
        <f t="shared" si="40"/>
        <v>-10103</v>
      </c>
      <c r="H77" s="90">
        <f ca="1">G77+H35</f>
        <v>-15232.82262481645</v>
      </c>
      <c r="I77" s="90">
        <f t="shared" ref="I77:M77" ca="1" si="41">H77+I35</f>
        <v>-20554.257239662184</v>
      </c>
      <c r="J77" s="90">
        <f t="shared" ca="1" si="41"/>
        <v>-26150.830200844604</v>
      </c>
      <c r="K77" s="90">
        <f t="shared" ca="1" si="41"/>
        <v>-32030.79565875381</v>
      </c>
      <c r="L77" s="90">
        <f t="shared" ca="1" si="41"/>
        <v>-38202.655388291605</v>
      </c>
      <c r="M77" s="90">
        <f t="shared" ca="1" si="41"/>
        <v>-44675.166217606849</v>
      </c>
    </row>
    <row r="78" spans="1:18" x14ac:dyDescent="0.25">
      <c r="A78" s="36" t="s">
        <v>53</v>
      </c>
      <c r="B78" s="6">
        <v>-5547571</v>
      </c>
      <c r="C78" s="6">
        <v>-7300428</v>
      </c>
      <c r="D78" s="6">
        <v>-8362572</v>
      </c>
      <c r="E78" s="6">
        <v>-9940595</v>
      </c>
      <c r="F78" s="6">
        <v>-10280915</v>
      </c>
      <c r="G78" s="6">
        <v>-10258131</v>
      </c>
      <c r="H78" s="34">
        <f ca="1">G78+H19</f>
        <v>-10206415.534667561</v>
      </c>
      <c r="I78" s="34">
        <f t="shared" ref="I78:M78" ca="1" si="42">H78+I19</f>
        <v>-10030814.868652575</v>
      </c>
      <c r="J78" s="34">
        <f t="shared" ca="1" si="42"/>
        <v>-9727287.2376350462</v>
      </c>
      <c r="K78" s="34">
        <f t="shared" ca="1" si="42"/>
        <v>-9322205.3467112295</v>
      </c>
      <c r="L78" s="34">
        <f t="shared" ca="1" si="42"/>
        <v>-8818232.7567849681</v>
      </c>
      <c r="M78" s="34">
        <f t="shared" ca="1" si="42"/>
        <v>-8222275.9762368714</v>
      </c>
    </row>
    <row r="79" spans="1:18" ht="15.75" thickBot="1" x14ac:dyDescent="0.3">
      <c r="A79" s="37" t="s">
        <v>54</v>
      </c>
      <c r="B79" s="38">
        <f>SUM(B74:B78)</f>
        <v>2854084</v>
      </c>
      <c r="C79" s="38">
        <f>SUM(C74:C78)</f>
        <v>1676163</v>
      </c>
      <c r="D79" s="38">
        <f t="shared" ref="D79:M79" si="43">SUM(D74:D78)</f>
        <v>1341213</v>
      </c>
      <c r="E79" s="38">
        <f t="shared" si="43"/>
        <v>388668</v>
      </c>
      <c r="F79" s="38">
        <f t="shared" si="43"/>
        <v>541518</v>
      </c>
      <c r="G79" s="38">
        <f>SUM(G74:G78)</f>
        <v>767016</v>
      </c>
      <c r="H79" s="38">
        <f t="shared" ca="1" si="43"/>
        <v>1315794.0288533028</v>
      </c>
      <c r="I79" s="38">
        <f t="shared" ca="1" si="43"/>
        <v>1568882.6534257289</v>
      </c>
      <c r="J79" s="38">
        <f t="shared" ca="1" si="43"/>
        <v>1910351.1359932404</v>
      </c>
      <c r="K79" s="38">
        <f t="shared" ca="1" si="43"/>
        <v>2318221.1777846608</v>
      </c>
      <c r="L79" s="38">
        <f t="shared" ca="1" si="43"/>
        <v>1943173.5553206485</v>
      </c>
      <c r="M79" s="38">
        <f t="shared" ca="1" si="43"/>
        <v>2931797.4119953522</v>
      </c>
    </row>
    <row r="80" spans="1:18" x14ac:dyDescent="0.25">
      <c r="A80" s="11"/>
      <c r="B80" s="31"/>
      <c r="C80" s="31"/>
      <c r="D80" s="31"/>
      <c r="E80" s="31"/>
      <c r="F80" s="31"/>
      <c r="G80" s="31"/>
    </row>
    <row r="81" spans="1:15" ht="15.75" thickBot="1" x14ac:dyDescent="0.3">
      <c r="A81" s="39" t="s">
        <v>55</v>
      </c>
      <c r="B81" s="40">
        <f t="shared" ref="B81:M81" si="44">SUM(B79,B71)</f>
        <v>5691383</v>
      </c>
      <c r="C81" s="40">
        <f t="shared" si="44"/>
        <v>4678964</v>
      </c>
      <c r="D81" s="40">
        <f t="shared" si="44"/>
        <v>4773884</v>
      </c>
      <c r="E81" s="40">
        <f t="shared" si="44"/>
        <v>4556431</v>
      </c>
      <c r="F81" s="40">
        <f t="shared" si="44"/>
        <v>4564467</v>
      </c>
      <c r="G81" s="40">
        <f t="shared" si="44"/>
        <v>5435069</v>
      </c>
      <c r="H81" s="40">
        <f t="shared" ca="1" si="44"/>
        <v>6088172.3538761921</v>
      </c>
      <c r="I81" s="40">
        <f t="shared" ca="1" si="44"/>
        <v>6868485.0296539329</v>
      </c>
      <c r="J81" s="40">
        <f t="shared" ca="1" si="44"/>
        <v>7827019.5226290813</v>
      </c>
      <c r="K81" s="40">
        <f t="shared" ca="1" si="44"/>
        <v>8951159.1751069874</v>
      </c>
      <c r="L81" s="40">
        <f t="shared" ca="1" si="44"/>
        <v>9423219.5768518709</v>
      </c>
      <c r="M81" s="40">
        <f t="shared" ca="1" si="44"/>
        <v>11000047.762027543</v>
      </c>
    </row>
    <row r="82" spans="1:15" ht="15.75" thickTop="1" x14ac:dyDescent="0.25">
      <c r="A82" s="192" t="s">
        <v>318</v>
      </c>
      <c r="B82" s="191">
        <f>B59-(B71+B79)</f>
        <v>0</v>
      </c>
      <c r="C82" s="191">
        <f t="shared" ref="C82:M82" si="45">C59-(C71+C79)</f>
        <v>0</v>
      </c>
      <c r="D82" s="191">
        <f t="shared" si="45"/>
        <v>0</v>
      </c>
      <c r="E82" s="191">
        <f t="shared" si="45"/>
        <v>0</v>
      </c>
      <c r="F82" s="191">
        <f t="shared" si="45"/>
        <v>0</v>
      </c>
      <c r="G82" s="191">
        <f t="shared" si="45"/>
        <v>0</v>
      </c>
      <c r="H82" s="191">
        <f ca="1">H59-(H71+H79)</f>
        <v>0</v>
      </c>
      <c r="I82" s="191">
        <f t="shared" ca="1" si="45"/>
        <v>0</v>
      </c>
      <c r="J82" s="191">
        <f t="shared" ca="1" si="45"/>
        <v>0</v>
      </c>
      <c r="K82" s="191">
        <f t="shared" ca="1" si="45"/>
        <v>0</v>
      </c>
      <c r="L82" s="191">
        <f t="shared" ca="1" si="45"/>
        <v>0</v>
      </c>
      <c r="M82" s="191">
        <f t="shared" ca="1" si="45"/>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46">C87+1</f>
        <v>2021</v>
      </c>
      <c r="E87" s="135">
        <f t="shared" ref="E87" si="47">D87+1</f>
        <v>2022</v>
      </c>
      <c r="F87" s="135">
        <f t="shared" ref="F87" si="48">E87+1</f>
        <v>2023</v>
      </c>
      <c r="G87" s="135">
        <f t="shared" ref="G87" si="49">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50">H19</f>
        <v>51715.465332438987</v>
      </c>
      <c r="I89" s="34">
        <f t="shared" ca="1" si="50"/>
        <v>175600.66601498588</v>
      </c>
      <c r="J89" s="34">
        <f t="shared" ca="1" si="50"/>
        <v>303527.63101752754</v>
      </c>
      <c r="K89" s="34">
        <f t="shared" ca="1" si="50"/>
        <v>405081.8909238163</v>
      </c>
      <c r="L89" s="34">
        <f t="shared" ca="1" si="50"/>
        <v>503972.58992626052</v>
      </c>
      <c r="M89" s="34">
        <f t="shared" ca="1" si="50"/>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ca="1">(G50+G58)-(H50+H58)</f>
        <v>-53091.731322286301</v>
      </c>
      <c r="I92" s="34">
        <f t="shared" ref="I92:M92" ca="1" si="51">(H50+H58)-(I50+I58)</f>
        <v>-47124.20711761259</v>
      </c>
      <c r="J92" s="34">
        <f t="shared" ca="1" si="51"/>
        <v>-49320.48478165362</v>
      </c>
      <c r="K92" s="34">
        <f t="shared" ca="1" si="51"/>
        <v>-51619.122482554754</v>
      </c>
      <c r="L92" s="34">
        <f t="shared" ca="1" si="51"/>
        <v>-54024.89082711027</v>
      </c>
      <c r="M92" s="34">
        <f t="shared" ca="1" si="51"/>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ca="1">H63-G63</f>
        <v>4714.5105779130536</v>
      </c>
      <c r="I94" s="34">
        <f t="shared" ref="I94:M94" ca="1" si="52">I63-H63</f>
        <v>4941.9998310577939</v>
      </c>
      <c r="J94" s="34">
        <f t="shared" ca="1" si="52"/>
        <v>5180.4661218909896</v>
      </c>
      <c r="K94" s="34">
        <f t="shared" ca="1" si="52"/>
        <v>5430.439125352219</v>
      </c>
      <c r="L94" s="34">
        <f t="shared" ca="1" si="52"/>
        <v>5692.4740747830074</v>
      </c>
      <c r="M94" s="34">
        <f t="shared" ca="1" si="52"/>
        <v>5967.1529951963021</v>
      </c>
      <c r="O94" s="42"/>
    </row>
    <row r="95" spans="1:15" x14ac:dyDescent="0.25">
      <c r="A95" s="36" t="s">
        <v>40</v>
      </c>
      <c r="B95" s="6">
        <v>568190</v>
      </c>
      <c r="C95" s="6">
        <v>-391398</v>
      </c>
      <c r="D95" s="6">
        <v>81564</v>
      </c>
      <c r="E95" s="6">
        <v>348721</v>
      </c>
      <c r="F95" s="6">
        <v>-79482</v>
      </c>
      <c r="G95" s="6">
        <v>363524</v>
      </c>
      <c r="H95" s="90">
        <f ca="1">H64-G64</f>
        <v>340278.59999999986</v>
      </c>
      <c r="I95" s="90">
        <f t="shared" ref="I95:M95" ca="1" si="53">I64-H64</f>
        <v>408334.32000000007</v>
      </c>
      <c r="J95" s="90">
        <f t="shared" ca="1" si="53"/>
        <v>490001.18399999989</v>
      </c>
      <c r="K95" s="90">
        <f t="shared" ca="1" si="53"/>
        <v>588001.42079999996</v>
      </c>
      <c r="L95" s="90">
        <f t="shared" ca="1" si="53"/>
        <v>705601.70495999977</v>
      </c>
      <c r="M95" s="90">
        <f t="shared" ca="1" si="53"/>
        <v>846722.04595199972</v>
      </c>
      <c r="O95" s="42"/>
    </row>
    <row r="96" spans="1:15" x14ac:dyDescent="0.25">
      <c r="A96" s="180" t="s">
        <v>70</v>
      </c>
      <c r="B96" s="6">
        <v>332363</v>
      </c>
      <c r="C96" s="6">
        <v>-36679</v>
      </c>
      <c r="D96" s="6">
        <v>234212</v>
      </c>
      <c r="E96" s="6">
        <v>262358</v>
      </c>
      <c r="F96" s="6">
        <v>-75571</v>
      </c>
      <c r="G96" s="6">
        <v>164057</v>
      </c>
      <c r="H96" s="34">
        <f ca="1">(H65+H70)-(G65+G70)</f>
        <v>84446.68055148609</v>
      </c>
      <c r="I96" s="34">
        <f t="shared" ref="I96:M96" ca="1" si="54">(I65+I70)-(H65+H70)</f>
        <v>87705.967400419991</v>
      </c>
      <c r="J96" s="34">
        <f t="shared" ca="1" si="54"/>
        <v>94312.681559968973</v>
      </c>
      <c r="K96" s="34">
        <f t="shared" ca="1" si="54"/>
        <v>93871.695297886617</v>
      </c>
      <c r="L96" s="34">
        <f t="shared" ca="1" si="54"/>
        <v>105385.8891321558</v>
      </c>
      <c r="M96" s="34">
        <f t="shared" ca="1" si="54"/>
        <v>103307.68166357232</v>
      </c>
      <c r="O96" s="42"/>
    </row>
    <row r="97" spans="1:16" x14ac:dyDescent="0.25">
      <c r="A97" s="36" t="s">
        <v>71</v>
      </c>
      <c r="B97" s="6">
        <v>-102946</v>
      </c>
      <c r="C97" s="6">
        <v>-53234</v>
      </c>
      <c r="D97" s="6">
        <v>-48332</v>
      </c>
      <c r="E97" s="6">
        <v>-43759</v>
      </c>
      <c r="F97" s="6">
        <v>-15292</v>
      </c>
      <c r="G97" s="6">
        <v>-47356</v>
      </c>
      <c r="H97" s="34">
        <f ca="1">(H68+H66)-(G68+G66)</f>
        <v>8261.6850278715137</v>
      </c>
      <c r="I97" s="34">
        <f t="shared" ref="I97:M97" ca="1" si="55">(I68+I66)-(H68+H66)</f>
        <v>8646.7303242044873</v>
      </c>
      <c r="J97" s="34">
        <f t="shared" ca="1" si="55"/>
        <v>9049.7210977285577</v>
      </c>
      <c r="K97" s="34">
        <f t="shared" ca="1" si="55"/>
        <v>9471.4937179688422</v>
      </c>
      <c r="L97" s="34">
        <f t="shared" ca="1" si="55"/>
        <v>9912.9235344104236</v>
      </c>
      <c r="M97" s="34">
        <f t="shared" ca="1" si="55"/>
        <v>10374.926693203772</v>
      </c>
      <c r="O97" s="42"/>
    </row>
    <row r="98" spans="1:16" ht="15.75" thickBot="1" x14ac:dyDescent="0.3">
      <c r="A98" s="45" t="s">
        <v>72</v>
      </c>
      <c r="B98" s="38">
        <f t="shared" ref="B98:M98" si="56">SUM(B89:B97)</f>
        <v>-105702</v>
      </c>
      <c r="C98" s="38">
        <f t="shared" si="56"/>
        <v>-1378899</v>
      </c>
      <c r="D98" s="38">
        <f t="shared" si="56"/>
        <v>-101721</v>
      </c>
      <c r="E98" s="38">
        <f t="shared" si="56"/>
        <v>-237285</v>
      </c>
      <c r="F98" s="38">
        <f t="shared" si="56"/>
        <v>-98244</v>
      </c>
      <c r="G98" s="38">
        <f t="shared" si="56"/>
        <v>849737</v>
      </c>
      <c r="H98" s="38">
        <f ca="1">SUM(H89:H97)</f>
        <v>725358.39080635982</v>
      </c>
      <c r="I98" s="38">
        <f t="shared" ca="1" si="56"/>
        <v>896304.76151862461</v>
      </c>
      <c r="J98" s="38">
        <f t="shared" ca="1" si="56"/>
        <v>1080435.4376352895</v>
      </c>
      <c r="K98" s="38">
        <f t="shared" ca="1" si="56"/>
        <v>1252256.5946125439</v>
      </c>
      <c r="L98" s="38">
        <f t="shared" ca="1" si="56"/>
        <v>1457732.8414116274</v>
      </c>
      <c r="M98" s="38">
        <f t="shared" ca="1" si="56"/>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ca="1">G49-H49</f>
        <v>-326233.98978734179</v>
      </c>
      <c r="I101" s="28">
        <f t="shared" ref="I101:M101" ca="1" si="57">H49-I49</f>
        <v>-333345.09226207598</v>
      </c>
      <c r="J101" s="28">
        <f t="shared" ca="1" si="57"/>
        <v>-345351.53404249763</v>
      </c>
      <c r="K101" s="28">
        <f t="shared" ca="1" si="57"/>
        <v>-356901.59806064516</v>
      </c>
      <c r="L101" s="28">
        <f t="shared" ca="1" si="57"/>
        <v>-371349.32255047746</v>
      </c>
      <c r="M101" s="28">
        <f t="shared" ca="1" si="57"/>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ca="1">G52-H52</f>
        <v>-93247.670404558768</v>
      </c>
      <c r="I102" s="28">
        <f t="shared" ref="I102:M102" ca="1" si="58">H52-I52</f>
        <v>-339659.6464210134</v>
      </c>
      <c r="J102" s="28">
        <f t="shared" ca="1" si="58"/>
        <v>-350827.67118092324</v>
      </c>
      <c r="K102" s="28">
        <f t="shared" ca="1" si="58"/>
        <v>-364175.16134459618</v>
      </c>
      <c r="L102" s="28">
        <f t="shared" ca="1" si="58"/>
        <v>-373738.77563066734</v>
      </c>
      <c r="M102" s="28">
        <f t="shared" ca="1" si="58"/>
        <v>-386901.25551383011</v>
      </c>
      <c r="P102" s="42"/>
    </row>
    <row r="103" spans="1:16" x14ac:dyDescent="0.25">
      <c r="A103" t="s">
        <v>178</v>
      </c>
      <c r="B103" s="6">
        <v>-170957</v>
      </c>
      <c r="C103" s="6">
        <v>-62745</v>
      </c>
      <c r="D103" s="6">
        <v>-36633</v>
      </c>
      <c r="E103" s="6">
        <v>14870</v>
      </c>
      <c r="F103" s="6">
        <v>-57225</v>
      </c>
      <c r="G103" s="6">
        <v>8575</v>
      </c>
      <c r="H103" s="28">
        <f ca="1">G54-H54</f>
        <v>-55021.427321555791</v>
      </c>
      <c r="I103" s="28">
        <f t="shared" ref="I103:M103" ca="1" si="59">H54-I54</f>
        <v>-23297.733070942282</v>
      </c>
      <c r="J103" s="28">
        <f t="shared" ca="1" si="59"/>
        <v>-24383.550613480329</v>
      </c>
      <c r="K103" s="28">
        <f t="shared" ca="1" si="59"/>
        <v>-25519.973926635343</v>
      </c>
      <c r="L103" s="28">
        <f t="shared" ca="1" si="59"/>
        <v>-26709.361550327158</v>
      </c>
      <c r="M103" s="28">
        <f t="shared" ca="1" si="59"/>
        <v>-27954.181946930941</v>
      </c>
      <c r="P103" s="42"/>
    </row>
    <row r="104" spans="1:16" x14ac:dyDescent="0.25">
      <c r="A104" t="s">
        <v>301</v>
      </c>
      <c r="B104" s="6">
        <v>-12323</v>
      </c>
      <c r="C104" s="6">
        <v>-12342</v>
      </c>
      <c r="D104" s="6">
        <v>120691</v>
      </c>
      <c r="E104" s="6">
        <v>-146334</v>
      </c>
      <c r="F104" s="6">
        <v>7130</v>
      </c>
      <c r="G104" s="6">
        <v>1303</v>
      </c>
      <c r="H104" s="28">
        <f t="shared" ref="H104:M104" ca="1" si="60">(G56+G57)-(H56+H57)</f>
        <v>-42175.411920724669</v>
      </c>
      <c r="I104" s="28">
        <f t="shared" ca="1" si="60"/>
        <v>-10466.221608324966</v>
      </c>
      <c r="J104" s="28">
        <f t="shared" ca="1" si="60"/>
        <v>-14185.345754313923</v>
      </c>
      <c r="K104" s="28">
        <f t="shared" ca="1" si="60"/>
        <v>-15742.163628385402</v>
      </c>
      <c r="L104" s="28">
        <f t="shared" ca="1" si="60"/>
        <v>-14878.615902916936</v>
      </c>
      <c r="M104" s="28">
        <f t="shared" ca="1" si="60"/>
        <v>-18636.131140142388</v>
      </c>
      <c r="P104" s="42"/>
    </row>
    <row r="105" spans="1:16" ht="15.75" thickBot="1" x14ac:dyDescent="0.3">
      <c r="A105" s="45" t="s">
        <v>74</v>
      </c>
      <c r="B105" s="38">
        <f t="shared" ref="B105:M105" si="61">SUM(B101:B104)</f>
        <v>-1610843</v>
      </c>
      <c r="C105" s="38">
        <f t="shared" si="61"/>
        <v>740427</v>
      </c>
      <c r="D105" s="38">
        <f t="shared" si="61"/>
        <v>267012</v>
      </c>
      <c r="E105" s="38">
        <f t="shared" si="61"/>
        <v>186045</v>
      </c>
      <c r="F105" s="38">
        <f t="shared" si="61"/>
        <v>599753</v>
      </c>
      <c r="G105" s="38">
        <f t="shared" si="61"/>
        <v>-517978</v>
      </c>
      <c r="H105" s="38">
        <f t="shared" ca="1" si="61"/>
        <v>-516678.49943418102</v>
      </c>
      <c r="I105" s="38">
        <f t="shared" ca="1" si="61"/>
        <v>-706768.69336235663</v>
      </c>
      <c r="J105" s="38">
        <f t="shared" ca="1" si="61"/>
        <v>-734748.10159121524</v>
      </c>
      <c r="K105" s="38">
        <f t="shared" ca="1" si="61"/>
        <v>-762338.89696026209</v>
      </c>
      <c r="L105" s="38">
        <f t="shared" ca="1" si="61"/>
        <v>-786676.07563438895</v>
      </c>
      <c r="M105" s="38">
        <f t="shared" ca="1" si="61"/>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M111" si="62">SUM(B108:B110)</f>
        <v>1574196</v>
      </c>
      <c r="C111" s="38">
        <f t="shared" si="62"/>
        <v>512566</v>
      </c>
      <c r="D111" s="38">
        <f t="shared" si="62"/>
        <v>-72470</v>
      </c>
      <c r="E111" s="38">
        <f t="shared" si="62"/>
        <v>-87500</v>
      </c>
      <c r="F111" s="38">
        <f t="shared" si="62"/>
        <v>-122078</v>
      </c>
      <c r="G111" s="38">
        <f t="shared" si="62"/>
        <v>-155869</v>
      </c>
      <c r="H111" s="38">
        <f t="shared" ca="1" si="62"/>
        <v>-121240.7752518054</v>
      </c>
      <c r="I111" s="38">
        <f t="shared" ca="1" si="62"/>
        <v>-168587.15432240936</v>
      </c>
      <c r="J111" s="38">
        <f t="shared" ca="1" si="62"/>
        <v>-176938.25562112895</v>
      </c>
      <c r="K111" s="38">
        <f t="shared" ca="1" si="62"/>
        <v>-185711.83671810228</v>
      </c>
      <c r="L111" s="38">
        <f t="shared" ca="1" si="62"/>
        <v>-1045945.6802586364</v>
      </c>
      <c r="M111" s="38">
        <f t="shared" ca="1" si="62"/>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M115" si="63">B98+B105+B111+B114</f>
        <v>-142021</v>
      </c>
      <c r="C115" s="28">
        <f t="shared" si="63"/>
        <v>-125980</v>
      </c>
      <c r="D115" s="28">
        <f t="shared" si="63"/>
        <v>92708</v>
      </c>
      <c r="E115" s="28">
        <f t="shared" si="63"/>
        <v>-139371</v>
      </c>
      <c r="F115" s="28">
        <f t="shared" si="63"/>
        <v>379964</v>
      </c>
      <c r="G115" s="28">
        <f t="shared" si="63"/>
        <v>174254</v>
      </c>
      <c r="H115" s="28">
        <f t="shared" ca="1" si="63"/>
        <v>85735.077579419143</v>
      </c>
      <c r="I115" s="28">
        <f t="shared" ca="1" si="63"/>
        <v>19181.225096825601</v>
      </c>
      <c r="J115" s="28">
        <f t="shared" ca="1" si="63"/>
        <v>166889.99547583985</v>
      </c>
      <c r="K115" s="28">
        <f t="shared" ca="1" si="63"/>
        <v>302252.63789069949</v>
      </c>
      <c r="L115" s="28">
        <f t="shared" ca="1" si="63"/>
        <v>-376939.09976414393</v>
      </c>
      <c r="M115" s="28">
        <f t="shared" ca="1" si="63"/>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M118" si="64">C119</f>
        <v>438485</v>
      </c>
      <c r="E118" s="6">
        <f t="shared" si="64"/>
        <v>531193</v>
      </c>
      <c r="F118" s="6">
        <f t="shared" si="64"/>
        <v>391822</v>
      </c>
      <c r="G118" s="6">
        <f t="shared" si="64"/>
        <v>771786</v>
      </c>
      <c r="H118" s="6">
        <f t="shared" si="64"/>
        <v>946040</v>
      </c>
      <c r="I118" s="6">
        <f t="shared" ca="1" si="64"/>
        <v>1031775.0775794191</v>
      </c>
      <c r="J118" s="6">
        <f t="shared" ca="1" si="64"/>
        <v>1050956.3026762446</v>
      </c>
      <c r="K118" s="6">
        <f t="shared" ca="1" si="64"/>
        <v>1217846.2981520845</v>
      </c>
      <c r="L118" s="6">
        <f t="shared" ca="1" si="64"/>
        <v>1520098.936042784</v>
      </c>
      <c r="M118" s="6">
        <f t="shared" ca="1" si="64"/>
        <v>1143159.8362786402</v>
      </c>
    </row>
    <row r="119" spans="1:13" ht="15.75" thickBot="1" x14ac:dyDescent="0.3">
      <c r="A119" s="96" t="s">
        <v>85</v>
      </c>
      <c r="B119" s="132">
        <f>B118+B115</f>
        <v>564465</v>
      </c>
      <c r="C119" s="132">
        <f t="shared" ref="C119:M119" si="65">C118+C115</f>
        <v>438485</v>
      </c>
      <c r="D119" s="132">
        <f t="shared" si="65"/>
        <v>531193</v>
      </c>
      <c r="E119" s="132">
        <f t="shared" si="65"/>
        <v>391822</v>
      </c>
      <c r="F119" s="132">
        <f t="shared" si="65"/>
        <v>771786</v>
      </c>
      <c r="G119" s="132">
        <f t="shared" si="65"/>
        <v>946040</v>
      </c>
      <c r="H119" s="132">
        <f t="shared" ca="1" si="65"/>
        <v>1031775.0775794191</v>
      </c>
      <c r="I119" s="132">
        <f t="shared" ca="1" si="65"/>
        <v>1050956.3026762446</v>
      </c>
      <c r="J119" s="132">
        <f t="shared" ca="1" si="65"/>
        <v>1217846.2981520845</v>
      </c>
      <c r="K119" s="132">
        <f t="shared" ca="1" si="65"/>
        <v>1520098.936042784</v>
      </c>
      <c r="L119" s="132">
        <f t="shared" ca="1" si="65"/>
        <v>1143159.8362786402</v>
      </c>
      <c r="M119" s="132">
        <f t="shared" ca="1" si="65"/>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ca="1">H119*H128</f>
        <v>768458.45279941487</v>
      </c>
      <c r="I123" s="34">
        <f t="shared" ref="I123:M123" ca="1" si="66">I119*I128</f>
        <v>802011.77472920378</v>
      </c>
      <c r="J123" s="34">
        <f t="shared" ca="1" si="66"/>
        <v>936260.15847229806</v>
      </c>
      <c r="K123" s="34">
        <f t="shared" ca="1" si="66"/>
        <v>1145279.3187718673</v>
      </c>
      <c r="L123" s="34">
        <f t="shared" ca="1" si="66"/>
        <v>868149.35834779835</v>
      </c>
      <c r="M123" s="34">
        <f t="shared" ca="1" si="66"/>
        <v>1403101.7975730509</v>
      </c>
    </row>
    <row r="124" spans="1:13" x14ac:dyDescent="0.25">
      <c r="A124" t="s">
        <v>29</v>
      </c>
      <c r="B124" s="52">
        <v>204976</v>
      </c>
      <c r="C124" s="52">
        <v>118559</v>
      </c>
      <c r="D124" s="52">
        <v>73205</v>
      </c>
      <c r="E124" s="52">
        <v>109368</v>
      </c>
      <c r="F124" s="52">
        <v>211786</v>
      </c>
      <c r="G124" s="52">
        <v>186721</v>
      </c>
      <c r="H124" s="34">
        <f ca="1">H129*H119</f>
        <v>261767.71264197424</v>
      </c>
      <c r="I124" s="34">
        <f t="shared" ref="I124:M124" ca="1" si="67">I129*I119</f>
        <v>247466.93275872196</v>
      </c>
      <c r="J124" s="34">
        <f t="shared" ca="1" si="67"/>
        <v>279677.40920964279</v>
      </c>
      <c r="K124" s="34">
        <f t="shared" ca="1" si="67"/>
        <v>372356.30558601615</v>
      </c>
      <c r="L124" s="34">
        <f t="shared" ca="1" si="67"/>
        <v>273512.50268982229</v>
      </c>
      <c r="M124" s="34">
        <f t="shared" ca="1" si="67"/>
        <v>427883.09926222335</v>
      </c>
    </row>
    <row r="125" spans="1:13" x14ac:dyDescent="0.25">
      <c r="A125" t="s">
        <v>87</v>
      </c>
      <c r="B125" s="52">
        <v>1170</v>
      </c>
      <c r="C125" s="52">
        <v>192</v>
      </c>
      <c r="D125" s="52">
        <v>663</v>
      </c>
      <c r="E125" s="52">
        <v>1364</v>
      </c>
      <c r="F125" s="52">
        <v>1364</v>
      </c>
      <c r="G125" s="52">
        <v>0</v>
      </c>
      <c r="H125" s="34">
        <f ca="1">H130*H119</f>
        <v>1548.9121380299559</v>
      </c>
      <c r="I125" s="34">
        <f t="shared" ref="I125:M125" ca="1" si="68">I130*I119</f>
        <v>1477.5951883188554</v>
      </c>
      <c r="J125" s="34">
        <f t="shared" ca="1" si="68"/>
        <v>1908.7304701437154</v>
      </c>
      <c r="K125" s="34">
        <f t="shared" ca="1" si="68"/>
        <v>2463.3116849006947</v>
      </c>
      <c r="L125" s="34">
        <f t="shared" ca="1" si="68"/>
        <v>1497.9752410195169</v>
      </c>
      <c r="M125" s="34">
        <f t="shared" ca="1" si="68"/>
        <v>2262.6367663887399</v>
      </c>
    </row>
    <row r="126" spans="1:13" ht="15.75" thickBot="1" x14ac:dyDescent="0.3">
      <c r="A126" s="53" t="s">
        <v>88</v>
      </c>
      <c r="B126" s="54">
        <f>SUM(B123:B125)</f>
        <v>564465</v>
      </c>
      <c r="C126" s="54">
        <f t="shared" ref="C126:M126" si="69">SUM(C123:C125)</f>
        <v>438485</v>
      </c>
      <c r="D126" s="54">
        <f t="shared" si="69"/>
        <v>531193</v>
      </c>
      <c r="E126" s="54">
        <f t="shared" si="69"/>
        <v>391822</v>
      </c>
      <c r="F126" s="54">
        <f t="shared" si="69"/>
        <v>771786</v>
      </c>
      <c r="G126" s="54">
        <f t="shared" si="69"/>
        <v>946040</v>
      </c>
      <c r="H126" s="54">
        <f t="shared" ca="1" si="69"/>
        <v>1031775.077579419</v>
      </c>
      <c r="I126" s="54">
        <f t="shared" ca="1" si="69"/>
        <v>1050956.3026762444</v>
      </c>
      <c r="J126" s="54">
        <f t="shared" ca="1" si="69"/>
        <v>1217846.2981520845</v>
      </c>
      <c r="K126" s="54">
        <f t="shared" ca="1" si="69"/>
        <v>1520098.936042784</v>
      </c>
      <c r="L126" s="54">
        <f t="shared" ca="1" si="69"/>
        <v>1143159.8362786402</v>
      </c>
      <c r="M126" s="54">
        <f t="shared" ca="1" si="69"/>
        <v>1833247.5336016631</v>
      </c>
    </row>
    <row r="127" spans="1:13" ht="15.75" thickTop="1" x14ac:dyDescent="0.25"/>
    <row r="128" spans="1:13" x14ac:dyDescent="0.25">
      <c r="A128" t="s">
        <v>260</v>
      </c>
      <c r="B128" s="63">
        <f>B123/B119</f>
        <v>0.63479400848591139</v>
      </c>
      <c r="C128" s="63">
        <f t="shared" ref="C128:G128" si="70">C123/C119</f>
        <v>0.72917887727060215</v>
      </c>
      <c r="D128" s="63">
        <f t="shared" si="70"/>
        <v>0.86093943256029348</v>
      </c>
      <c r="E128" s="63">
        <f t="shared" si="70"/>
        <v>0.71739208109804964</v>
      </c>
      <c r="F128" s="63">
        <f t="shared" si="70"/>
        <v>0.72382240672932652</v>
      </c>
      <c r="G128" s="63">
        <f t="shared" si="70"/>
        <v>0.80262885290262564</v>
      </c>
      <c r="H128" s="138">
        <f>AVERAGE(B128:G128)</f>
        <v>0.74479260984113482</v>
      </c>
      <c r="I128" s="139">
        <f t="shared" ref="I128:M130" si="71">AVERAGE(C128:H128)</f>
        <v>0.76312571006700536</v>
      </c>
      <c r="J128" s="139">
        <f t="shared" si="71"/>
        <v>0.76878351553307267</v>
      </c>
      <c r="K128" s="139">
        <f t="shared" si="71"/>
        <v>0.75342419602853583</v>
      </c>
      <c r="L128" s="139">
        <f t="shared" si="71"/>
        <v>0.7594295485169501</v>
      </c>
      <c r="M128" s="140">
        <f t="shared" si="71"/>
        <v>0.76536407214822078</v>
      </c>
    </row>
    <row r="129" spans="1:13" x14ac:dyDescent="0.25">
      <c r="A129" t="s">
        <v>261</v>
      </c>
      <c r="B129" s="63">
        <f>B124/B119</f>
        <v>0.36313323235275879</v>
      </c>
      <c r="C129" s="63">
        <f t="shared" ref="C129:G129" si="72">C124/C119</f>
        <v>0.27038325142251163</v>
      </c>
      <c r="D129" s="63">
        <f t="shared" si="72"/>
        <v>0.13781243352227909</v>
      </c>
      <c r="E129" s="63">
        <f t="shared" si="72"/>
        <v>0.27912674632869006</v>
      </c>
      <c r="F129" s="63">
        <f t="shared" si="72"/>
        <v>0.27441026398509433</v>
      </c>
      <c r="G129" s="63">
        <f t="shared" si="72"/>
        <v>0.19737114709737433</v>
      </c>
      <c r="H129" s="141">
        <f t="shared" ref="H129:H130" si="73">AVERAGE(B129:G129)</f>
        <v>0.25370617911811805</v>
      </c>
      <c r="I129" s="63">
        <f t="shared" si="71"/>
        <v>0.23546833691234459</v>
      </c>
      <c r="J129" s="63">
        <f t="shared" si="71"/>
        <v>0.22964918449398342</v>
      </c>
      <c r="K129" s="63">
        <f t="shared" si="71"/>
        <v>0.24495530965593412</v>
      </c>
      <c r="L129" s="63">
        <f t="shared" si="71"/>
        <v>0.23926007021047477</v>
      </c>
      <c r="M129" s="142">
        <f t="shared" si="71"/>
        <v>0.23340170458137155</v>
      </c>
    </row>
    <row r="130" spans="1:13" x14ac:dyDescent="0.25">
      <c r="A130" t="s">
        <v>262</v>
      </c>
      <c r="B130" s="63">
        <f>B125/B119</f>
        <v>2.0727591613297546E-3</v>
      </c>
      <c r="C130" s="63">
        <f t="shared" ref="C130:G130" si="74">C125/C119</f>
        <v>4.3787130688621045E-4</v>
      </c>
      <c r="D130" s="63">
        <f t="shared" si="74"/>
        <v>1.2481339174273758E-3</v>
      </c>
      <c r="E130" s="63">
        <f t="shared" si="74"/>
        <v>3.4811725732603071E-3</v>
      </c>
      <c r="F130" s="63">
        <f t="shared" si="74"/>
        <v>1.7673292855791632E-3</v>
      </c>
      <c r="G130" s="63">
        <f t="shared" si="74"/>
        <v>0</v>
      </c>
      <c r="H130" s="143">
        <f t="shared" si="73"/>
        <v>1.5012110407471352E-3</v>
      </c>
      <c r="I130" s="68">
        <f t="shared" si="71"/>
        <v>1.405953020650032E-3</v>
      </c>
      <c r="J130" s="68">
        <f t="shared" si="71"/>
        <v>1.5672999729440024E-3</v>
      </c>
      <c r="K130" s="68">
        <f t="shared" si="71"/>
        <v>1.6204943155301067E-3</v>
      </c>
      <c r="L130" s="68">
        <f t="shared" si="71"/>
        <v>1.3103812725750732E-3</v>
      </c>
      <c r="M130" s="144">
        <f t="shared" si="71"/>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abSelected="1" topLeftCell="C29" workbookViewId="0">
      <selection activeCell="P40" sqref="P40"/>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1">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v>0.12</v>
      </c>
    </row>
    <row r="8" spans="2:14" ht="15.6" customHeight="1" x14ac:dyDescent="0.3">
      <c r="B8" s="200" t="s">
        <v>323</v>
      </c>
      <c r="D8" s="209">
        <v>0.03</v>
      </c>
    </row>
    <row r="9" spans="2:14" ht="15.6" customHeight="1" x14ac:dyDescent="0.3">
      <c r="B9" s="200" t="s">
        <v>324</v>
      </c>
      <c r="D9" s="210">
        <v>7</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18.32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'3_Statement_Model'!M69</f>
        <v>320725.95559312042</v>
      </c>
      <c r="E14" s="200" t="s">
        <v>23</v>
      </c>
    </row>
    <row r="15" spans="2:14" ht="15.6" customHeight="1" x14ac:dyDescent="0.3">
      <c r="B15" s="200" t="s">
        <v>330</v>
      </c>
      <c r="D15" s="214">
        <f ca="1">'3_Statement_Model'!M63</f>
        <v>129631.04272619337</v>
      </c>
      <c r="E15" s="200" t="s">
        <v>23</v>
      </c>
    </row>
    <row r="16" spans="2:14" ht="15.6" customHeight="1" x14ac:dyDescent="0.3">
      <c r="B16" s="200" t="s">
        <v>331</v>
      </c>
      <c r="D16" s="215">
        <f ca="1">-'3_Statement_Model'!H103</f>
        <v>55021.427321555791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(I27*(1+D8))/(D7-D8)</f>
        <v>15554020.314823912</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D9*(I22+I24)</f>
        <v>4434535.1073296424</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9994277.7110767774</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-7637103.192866927</v>
      </c>
      <c r="K28" s="240">
        <f ca="1">O21</f>
        <v>9994277.7110767774</v>
      </c>
    </row>
    <row r="29" spans="2:15" ht="15.6" customHeight="1" x14ac:dyDescent="0.3">
      <c r="B29" s="200" t="s">
        <v>348</v>
      </c>
      <c r="D29" s="241">
        <v>0</v>
      </c>
      <c r="E29" s="256">
        <f ca="1">(E28+E27)*E21</f>
        <v>165473.1623467482</v>
      </c>
      <c r="F29" s="256">
        <f ca="1">(F28+F27)*F21</f>
        <v>786755.34742687643</v>
      </c>
      <c r="G29" s="256">
        <f t="shared" ref="G29:J29" ca="1" si="6">(G28+G27)*G21</f>
        <v>966275.54200333916</v>
      </c>
      <c r="H29" s="256">
        <f t="shared" ca="1" si="6"/>
        <v>1153492.6439631125</v>
      </c>
      <c r="I29" s="256">
        <f t="shared" ca="1" si="6"/>
        <v>1359089.1537224776</v>
      </c>
      <c r="J29" s="256">
        <f t="shared" ca="1" si="6"/>
        <v>1573238.7098376567</v>
      </c>
      <c r="K29" s="239">
        <f ca="1">K28+K27</f>
        <v>9994277.7110767774</v>
      </c>
    </row>
    <row r="30" spans="2:15" ht="15.6" customHeight="1" x14ac:dyDescent="0.3">
      <c r="B30" s="200" t="s">
        <v>348</v>
      </c>
      <c r="D30" s="227">
        <f ca="1">D28+D27</f>
        <v>-7637103.192866927</v>
      </c>
      <c r="E30" s="227">
        <f ca="1">(E28+E27)*E21</f>
        <v>165473.1623467482</v>
      </c>
      <c r="F30" s="227">
        <f t="shared" ref="F30:J30" ca="1" si="7">(F28+F27)*F21</f>
        <v>786755.34742687643</v>
      </c>
      <c r="G30" s="227">
        <f t="shared" ca="1" si="7"/>
        <v>966275.54200333916</v>
      </c>
      <c r="H30" s="227">
        <f t="shared" ca="1" si="7"/>
        <v>1153492.6439631125</v>
      </c>
      <c r="I30" s="227">
        <f t="shared" ca="1" si="7"/>
        <v>1359089.1537224776</v>
      </c>
      <c r="J30" s="227">
        <f t="shared" ca="1" si="7"/>
        <v>1573238.7098376567</v>
      </c>
      <c r="K30" s="227">
        <f ca="1">K28</f>
        <v>9994277.7110767774</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9608796.0278583467</v>
      </c>
      <c r="G33" s="217" t="s">
        <v>353</v>
      </c>
      <c r="H33" s="217"/>
      <c r="I33" s="227">
        <f ca="1">D13*D12</f>
        <v>7446008.2800000003</v>
      </c>
      <c r="L33" s="217" t="s">
        <v>354</v>
      </c>
      <c r="M33" s="217"/>
      <c r="N33" s="242">
        <f ca="1">D38/I38-1</f>
        <v>0.26479863583920427</v>
      </c>
    </row>
    <row r="34" spans="2:14" ht="15.6" customHeight="1" x14ac:dyDescent="0.3">
      <c r="B34" s="200" t="s">
        <v>355</v>
      </c>
      <c r="D34" s="238">
        <f ca="1">+D15</f>
        <v>129631.04272619337</v>
      </c>
      <c r="G34" s="200" t="s">
        <v>356</v>
      </c>
      <c r="I34" s="238">
        <f ca="1">D14</f>
        <v>320725.95559312042</v>
      </c>
      <c r="L34" s="200" t="s">
        <v>357</v>
      </c>
      <c r="N34" s="243">
        <f ca="1">XIRR(D30:K30,D19:K19)</f>
        <v>0.18081944584846499</v>
      </c>
    </row>
    <row r="35" spans="2:14" ht="15.6" customHeight="1" x14ac:dyDescent="0.3">
      <c r="B35" s="200" t="s">
        <v>358</v>
      </c>
      <c r="D35" s="238">
        <f ca="1">+D14</f>
        <v>320725.95559312042</v>
      </c>
      <c r="G35" s="200" t="s">
        <v>359</v>
      </c>
      <c r="I35" s="238">
        <f ca="1">+D15</f>
        <v>129631.04272619337</v>
      </c>
    </row>
    <row r="36" spans="2:14" ht="15.6" customHeight="1" thickBot="1" x14ac:dyDescent="0.35">
      <c r="B36" s="200" t="s">
        <v>360</v>
      </c>
      <c r="D36" s="239">
        <f ca="1">D33+D34-D35</f>
        <v>9417701.114991419</v>
      </c>
      <c r="G36" s="200" t="s">
        <v>352</v>
      </c>
      <c r="I36" s="239">
        <f ca="1">I33+I34-I35</f>
        <v>7637103.192866927</v>
      </c>
      <c r="L36" s="223" t="s">
        <v>361</v>
      </c>
      <c r="M36" s="224"/>
      <c r="N36" s="224"/>
    </row>
    <row r="37" spans="2:14" ht="15.6" customHeight="1" x14ac:dyDescent="0.3">
      <c r="D37" s="200"/>
      <c r="I37" s="244"/>
      <c r="L37" s="200" t="s">
        <v>350</v>
      </c>
      <c r="N37" s="245">
        <f ca="1">I38</f>
        <v>18.32</v>
      </c>
    </row>
    <row r="38" spans="2:14" ht="15.6" customHeight="1" x14ac:dyDescent="0.3">
      <c r="B38" s="200" t="s">
        <v>362</v>
      </c>
      <c r="D38" s="245">
        <f ca="1">D36/D13</f>
        <v>23.171111008574222</v>
      </c>
      <c r="G38" s="200" t="s">
        <v>362</v>
      </c>
      <c r="I38" s="245">
        <f ca="1">D12</f>
        <v>18.32</v>
      </c>
      <c r="L38" s="200" t="s">
        <v>363</v>
      </c>
      <c r="N38" s="245">
        <f ca="1">D38-I38</f>
        <v>4.8511110085742217</v>
      </c>
    </row>
    <row r="39" spans="2:14" ht="15.6" customHeight="1" x14ac:dyDescent="0.3">
      <c r="D39" s="200"/>
      <c r="L39" s="200" t="s">
        <v>349</v>
      </c>
      <c r="N39" s="245">
        <f ca="1">SUM(N37:N38)</f>
        <v>23.171111008574222</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A11" workbookViewId="0">
      <selection sqref="A1:C25"/>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55"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55"/>
      <c r="B3" s="56" t="s">
        <v>93</v>
      </c>
      <c r="C3">
        <v>0.86726499999999995</v>
      </c>
      <c r="D3">
        <v>481.1</v>
      </c>
      <c r="E3" s="57">
        <v>21397.9</v>
      </c>
      <c r="F3">
        <f>(E3/E2)-1</f>
        <v>1.3561264897023584E-2</v>
      </c>
    </row>
    <row r="4" spans="1:27" x14ac:dyDescent="0.25">
      <c r="A4" s="255"/>
      <c r="B4" s="56" t="s">
        <v>94</v>
      </c>
      <c r="C4">
        <v>0.95559799999999995</v>
      </c>
      <c r="D4">
        <v>493.9</v>
      </c>
      <c r="E4" s="57">
        <v>21717.200000000001</v>
      </c>
      <c r="F4">
        <f t="shared" ref="F4:F25" si="0">(E4/E3)-1</f>
        <v>1.4922025058533794E-2</v>
      </c>
      <c r="L4" s="62" t="s">
        <v>105</v>
      </c>
      <c r="M4" s="62"/>
      <c r="V4" s="62" t="s">
        <v>105</v>
      </c>
      <c r="W4" s="62"/>
    </row>
    <row r="5" spans="1:27" x14ac:dyDescent="0.25">
      <c r="A5" s="255"/>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55" t="s">
        <v>96</v>
      </c>
      <c r="B6" s="56" t="s">
        <v>92</v>
      </c>
      <c r="C6">
        <v>0.95571200000000001</v>
      </c>
      <c r="D6">
        <v>457.1</v>
      </c>
      <c r="E6" s="57">
        <v>21727.7</v>
      </c>
      <c r="F6">
        <f t="shared" si="0"/>
        <v>-9.369357868436845E-3</v>
      </c>
      <c r="L6" t="s">
        <v>107</v>
      </c>
      <c r="M6">
        <v>0.87413963187231591</v>
      </c>
      <c r="V6" t="s">
        <v>107</v>
      </c>
      <c r="W6">
        <v>0.83429407050779791</v>
      </c>
    </row>
    <row r="7" spans="1:27" x14ac:dyDescent="0.25">
      <c r="A7" s="255"/>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55"/>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55"/>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55" t="s">
        <v>97</v>
      </c>
      <c r="B10" s="56" t="s">
        <v>92</v>
      </c>
      <c r="C10">
        <v>0.60895999999999995</v>
      </c>
      <c r="D10">
        <v>375.9</v>
      </c>
      <c r="E10" s="57">
        <v>22656.799999999999</v>
      </c>
      <c r="F10">
        <f t="shared" si="0"/>
        <v>2.6643949829623814E-2</v>
      </c>
    </row>
    <row r="11" spans="1:27" ht="15.75" thickBot="1" x14ac:dyDescent="0.3">
      <c r="A11" s="255"/>
      <c r="B11" s="56" t="s">
        <v>93</v>
      </c>
      <c r="C11">
        <v>0.76502499999999996</v>
      </c>
      <c r="D11">
        <v>450.3</v>
      </c>
      <c r="E11" s="57">
        <v>23368.9</v>
      </c>
      <c r="F11">
        <f t="shared" si="0"/>
        <v>3.1429857702764741E-2</v>
      </c>
      <c r="L11" t="s">
        <v>111</v>
      </c>
      <c r="V11" t="s">
        <v>111</v>
      </c>
    </row>
    <row r="12" spans="1:27" x14ac:dyDescent="0.25">
      <c r="A12" s="255"/>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55"/>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55"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55"/>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55"/>
      <c r="B16" s="56" t="s">
        <v>94</v>
      </c>
      <c r="C16">
        <v>1.05382</v>
      </c>
      <c r="D16">
        <v>582.1</v>
      </c>
      <c r="E16" s="57">
        <v>26272</v>
      </c>
      <c r="F16">
        <f t="shared" si="0"/>
        <v>1.8065706159080541E-2</v>
      </c>
    </row>
    <row r="17" spans="1:30" x14ac:dyDescent="0.25">
      <c r="A17" s="255"/>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55"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55"/>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55"/>
      <c r="B20" s="56" t="s">
        <v>94</v>
      </c>
      <c r="C20">
        <v>1.1575500000000001</v>
      </c>
      <c r="D20">
        <v>617.1</v>
      </c>
      <c r="E20" s="57">
        <v>27967.7</v>
      </c>
      <c r="F20">
        <f t="shared" si="0"/>
        <v>1.8718720177170356E-2</v>
      </c>
    </row>
    <row r="21" spans="1:30" x14ac:dyDescent="0.25">
      <c r="A21" s="255"/>
      <c r="B21" s="56" t="s">
        <v>95</v>
      </c>
      <c r="C21">
        <v>1.224585</v>
      </c>
      <c r="D21">
        <v>632</v>
      </c>
      <c r="E21" s="57">
        <v>28297</v>
      </c>
      <c r="F21">
        <f t="shared" si="0"/>
        <v>1.177429677806896E-2</v>
      </c>
      <c r="G21" s="63">
        <f>SUM(F19:F21)</f>
        <v>4.1146666584901626E-2</v>
      </c>
    </row>
    <row r="22" spans="1:30" x14ac:dyDescent="0.25">
      <c r="A22" s="255" t="s">
        <v>100</v>
      </c>
      <c r="B22" s="56" t="s">
        <v>92</v>
      </c>
      <c r="C22">
        <v>1.227201</v>
      </c>
      <c r="D22">
        <v>637.6</v>
      </c>
      <c r="E22" s="57">
        <v>28624.1</v>
      </c>
      <c r="F22">
        <f t="shared" si="0"/>
        <v>1.1559529278722058E-2</v>
      </c>
    </row>
    <row r="23" spans="1:30" x14ac:dyDescent="0.25">
      <c r="A23" s="255"/>
      <c r="B23" s="56" t="s">
        <v>93</v>
      </c>
      <c r="C23">
        <v>1.435846</v>
      </c>
      <c r="D23">
        <v>659.4</v>
      </c>
      <c r="E23" s="57">
        <v>29016.7</v>
      </c>
      <c r="F23">
        <f t="shared" si="0"/>
        <v>1.3715715079251511E-2</v>
      </c>
      <c r="L23" t="s">
        <v>128</v>
      </c>
      <c r="V23" t="s">
        <v>128</v>
      </c>
    </row>
    <row r="24" spans="1:30" ht="15.75" thickBot="1" x14ac:dyDescent="0.3">
      <c r="A24" s="255"/>
      <c r="B24" s="56" t="s">
        <v>94</v>
      </c>
      <c r="C24">
        <v>1.5226919999999999</v>
      </c>
      <c r="D24">
        <v>654.4</v>
      </c>
      <c r="E24" s="57">
        <v>29374.9</v>
      </c>
      <c r="F24">
        <f t="shared" si="0"/>
        <v>1.234461534219955E-2</v>
      </c>
    </row>
    <row r="25" spans="1:30" x14ac:dyDescent="0.25">
      <c r="A25" s="255"/>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55">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55"/>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55"/>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55"/>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55">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55"/>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55"/>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55"/>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55">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55"/>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55"/>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55"/>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55">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55"/>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55"/>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55"/>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55">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55"/>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55"/>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55"/>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55">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55"/>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55"/>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55"/>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APIC</vt:lpstr>
      <vt:lpstr>Mark_Secs</vt:lpstr>
      <vt:lpstr>Schedules</vt:lpstr>
      <vt:lpstr>Debt_Schedule</vt:lpstr>
      <vt:lpstr>3_Statement_Model</vt:lpstr>
      <vt:lpstr>DCF</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2025-09-11T21:56:37Z</dcterms:modified>
</cp:coreProperties>
</file>