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Matsi\Desktop\Projects\IB Projects\Equity_Research\Lyft\"/>
    </mc:Choice>
  </mc:AlternateContent>
  <xr:revisionPtr revIDLastSave="0" documentId="13_ncr:1_{1CA6E0B5-6CE7-4867-9804-ABDC3536AC4C}" xr6:coauthVersionLast="47" xr6:coauthVersionMax="47" xr10:uidLastSave="{00000000-0000-0000-0000-000000000000}"/>
  <bookViews>
    <workbookView xWindow="-120" yWindow="-120" windowWidth="20730" windowHeight="11040" tabRatio="777" firstSheet="4" activeTab="7" xr2:uid="{00000000-000D-0000-FFFF-FFFF00000000}"/>
  </bookViews>
  <sheets>
    <sheet name="APIC" sheetId="7" state="hidden" r:id="rId1"/>
    <sheet name="Mark_Secs" sheetId="8" state="hidden" r:id="rId2"/>
    <sheet name="Schedules" sheetId="5" r:id="rId3"/>
    <sheet name="Debt_Schedule" sheetId="6" r:id="rId4"/>
    <sheet name="Metrics" sheetId="12" r:id="rId5"/>
    <sheet name="3_Statement_Model" sheetId="1" r:id="rId6"/>
    <sheet name="DCF" sheetId="10" r:id="rId7"/>
    <sheet name="Comps_Analysis" sheetId="11" r:id="rId8"/>
    <sheet name="Assumptions" sheetId="4" r:id="rId9"/>
    <sheet name="Sheet1" sheetId="9" state="hidden" r:id="rId10"/>
    <sheet name="Revenue_Regression" sheetId="2" r:id="rId11"/>
  </sheets>
  <definedNames>
    <definedName name="_xlchart.v1.0" hidden="1">DCF!$L$37:$L$39</definedName>
    <definedName name="_xlchart.v1.1" hidden="1">DCF!$N$37:$N$39</definedName>
    <definedName name="S">'3_Statement_Model'!$A$2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11" l="1" a="1"/>
  <c r="C7" i="11" s="1"/>
  <c r="D7" i="11" a="1"/>
  <c r="D7" i="11" s="1"/>
  <c r="O7" i="11" s="1"/>
  <c r="L7" i="11"/>
  <c r="M7" i="11"/>
  <c r="N7" i="11"/>
  <c r="D9" i="11" a="1"/>
  <c r="D9" i="11" s="1"/>
  <c r="C8" i="12"/>
  <c r="C11" i="12"/>
  <c r="C6" i="12"/>
  <c r="E139" i="5"/>
  <c r="F139" i="5" s="1"/>
  <c r="G139" i="5" s="1"/>
  <c r="H139" i="5" s="1"/>
  <c r="I139" i="5" s="1"/>
  <c r="D139" i="5"/>
  <c r="E138" i="5"/>
  <c r="F138" i="5" s="1"/>
  <c r="G138" i="5" s="1"/>
  <c r="H138" i="5" s="1"/>
  <c r="I138" i="5" s="1"/>
  <c r="D138" i="5"/>
  <c r="D136" i="5" l="1"/>
  <c r="E136" i="5" s="1"/>
  <c r="F136" i="5" s="1"/>
  <c r="G136" i="5" s="1"/>
  <c r="H136" i="5" s="1"/>
  <c r="I136" i="5" s="1"/>
  <c r="C10" i="12"/>
  <c r="C9" i="12"/>
  <c r="C130" i="5"/>
  <c r="C140" i="5"/>
  <c r="J13" i="11"/>
  <c r="I13" i="11"/>
  <c r="C127" i="5"/>
  <c r="H13" i="11" s="1"/>
  <c r="G13" i="11"/>
  <c r="D13" i="11" a="1"/>
  <c r="D13" i="11" s="1"/>
  <c r="L8" i="11"/>
  <c r="M8" i="11"/>
  <c r="N8" i="11"/>
  <c r="L9" i="11"/>
  <c r="M9" i="11"/>
  <c r="N9" i="11"/>
  <c r="L10" i="11"/>
  <c r="M10" i="11"/>
  <c r="N10" i="11"/>
  <c r="L11" i="11"/>
  <c r="M11" i="11"/>
  <c r="N11" i="11"/>
  <c r="D8" i="11" a="1"/>
  <c r="D8" i="11" s="1"/>
  <c r="O8" i="11" s="1"/>
  <c r="O9" i="11"/>
  <c r="D10" i="11" a="1"/>
  <c r="D10" i="11" s="1"/>
  <c r="O10" i="11" s="1"/>
  <c r="D11" i="11" a="1"/>
  <c r="D11" i="11" s="1"/>
  <c r="O11" i="11" s="1"/>
  <c r="C8" i="11" a="1"/>
  <c r="C8" i="11" s="1"/>
  <c r="C9" i="11" a="1"/>
  <c r="C9" i="11" s="1"/>
  <c r="C10" i="11" a="1"/>
  <c r="C10" i="11" s="1"/>
  <c r="C11" i="11" a="1"/>
  <c r="C11" i="11" s="1"/>
  <c r="C13" i="11" a="1"/>
  <c r="C13" i="11" s="1"/>
  <c r="L15" i="11" l="1"/>
  <c r="N15" i="11"/>
  <c r="M15" i="11"/>
  <c r="L14" i="11"/>
  <c r="N14" i="11"/>
  <c r="M14" i="11"/>
  <c r="O15" i="11"/>
  <c r="O14" i="11"/>
  <c r="C116" i="5" a="1"/>
  <c r="C116" i="5" s="1"/>
  <c r="C115" i="5" a="1"/>
  <c r="C115" i="5" s="1"/>
  <c r="C112" i="5"/>
  <c r="C109" i="5"/>
  <c r="C108" i="5"/>
  <c r="C110" i="5" l="1"/>
  <c r="D109" i="5" s="1"/>
  <c r="C118" i="5"/>
  <c r="C101" i="5"/>
  <c r="C100" i="5"/>
  <c r="C99" i="5"/>
  <c r="C98" i="5"/>
  <c r="C95" i="5"/>
  <c r="C94" i="5"/>
  <c r="J21" i="10"/>
  <c r="K19" i="10"/>
  <c r="J18" i="10"/>
  <c r="J20" i="10"/>
  <c r="I19" i="10"/>
  <c r="J19" i="10"/>
  <c r="E19" i="10"/>
  <c r="E18" i="10" s="1"/>
  <c r="C102" i="5" l="1"/>
  <c r="D108" i="5"/>
  <c r="D13" i="10" a="1"/>
  <c r="D13" i="10" s="1"/>
  <c r="D12" i="10" a="1"/>
  <c r="D12" i="10" s="1"/>
  <c r="I38" i="10" s="1"/>
  <c r="F20" i="10"/>
  <c r="F19" i="10" s="1"/>
  <c r="D19" i="10"/>
  <c r="I33" i="10" l="1"/>
  <c r="N37" i="10"/>
  <c r="E21" i="10"/>
  <c r="F21" i="10"/>
  <c r="F18" i="10"/>
  <c r="G20" i="10"/>
  <c r="G19" i="10" s="1"/>
  <c r="H20" i="10" l="1"/>
  <c r="H19" i="10" s="1"/>
  <c r="I20" i="10" l="1"/>
  <c r="G18" i="10"/>
  <c r="H21" i="10"/>
  <c r="G21" i="10"/>
  <c r="I18" i="10" l="1"/>
  <c r="H18" i="10"/>
  <c r="I21" i="10"/>
  <c r="D17" i="7" l="1"/>
  <c r="E17" i="7"/>
  <c r="F17" i="7"/>
  <c r="G17" i="7"/>
  <c r="C17" i="7"/>
  <c r="C29" i="1"/>
  <c r="D29" i="1"/>
  <c r="E29" i="1"/>
  <c r="F29" i="1"/>
  <c r="G29" i="1"/>
  <c r="B29" i="1"/>
  <c r="D32" i="4" s="1"/>
  <c r="M67" i="9"/>
  <c r="I63" i="9"/>
  <c r="J63" i="9" s="1"/>
  <c r="K63" i="9" s="1"/>
  <c r="L63" i="9" s="1"/>
  <c r="M63" i="9" s="1"/>
  <c r="N63" i="9" s="1"/>
  <c r="F63" i="9"/>
  <c r="G63" i="9" s="1"/>
  <c r="H63" i="9" s="1"/>
  <c r="E63" i="9"/>
  <c r="D63" i="9"/>
  <c r="I64" i="9"/>
  <c r="H64" i="1" s="1"/>
  <c r="E64" i="9"/>
  <c r="F64" i="9"/>
  <c r="G64" i="9"/>
  <c r="H64" i="9"/>
  <c r="D64" i="9"/>
  <c r="J38" i="9"/>
  <c r="K38" i="9"/>
  <c r="L38" i="9"/>
  <c r="M38" i="9" s="1"/>
  <c r="N38" i="9" s="1"/>
  <c r="J39" i="9"/>
  <c r="J40" i="9"/>
  <c r="K40" i="9" s="1"/>
  <c r="J41" i="9"/>
  <c r="K41" i="9" s="1"/>
  <c r="K56" i="9" s="1"/>
  <c r="J42" i="9"/>
  <c r="N42" i="9" s="1"/>
  <c r="K42" i="9"/>
  <c r="L42" i="9"/>
  <c r="M42" i="9"/>
  <c r="I39" i="9"/>
  <c r="I40" i="9"/>
  <c r="I41" i="9"/>
  <c r="I42" i="9"/>
  <c r="I38" i="9"/>
  <c r="I56" i="9"/>
  <c r="I57" i="9"/>
  <c r="J53" i="9"/>
  <c r="J55" i="9"/>
  <c r="I54" i="9"/>
  <c r="I55" i="9"/>
  <c r="I53" i="9"/>
  <c r="D38" i="9"/>
  <c r="E38" i="9"/>
  <c r="F38" i="9"/>
  <c r="G38" i="9"/>
  <c r="H38" i="9"/>
  <c r="D39" i="9"/>
  <c r="E39" i="9"/>
  <c r="F39" i="9"/>
  <c r="G39" i="9"/>
  <c r="H39" i="9"/>
  <c r="D40" i="9"/>
  <c r="E40" i="9"/>
  <c r="F40" i="9"/>
  <c r="G40" i="9"/>
  <c r="H40" i="9"/>
  <c r="D41" i="9"/>
  <c r="E41" i="9"/>
  <c r="F41" i="9"/>
  <c r="G41" i="9"/>
  <c r="H41" i="9"/>
  <c r="D42" i="9"/>
  <c r="E42" i="9"/>
  <c r="F42" i="9"/>
  <c r="G42" i="9"/>
  <c r="H42" i="9"/>
  <c r="C42" i="9"/>
  <c r="C39" i="9"/>
  <c r="C40" i="9"/>
  <c r="C41" i="9"/>
  <c r="C38" i="9"/>
  <c r="D36" i="9"/>
  <c r="E36" i="9" s="1"/>
  <c r="F36" i="9" s="1"/>
  <c r="G36" i="9" s="1"/>
  <c r="H36" i="9" s="1"/>
  <c r="I36" i="9" s="1"/>
  <c r="J36" i="9" s="1"/>
  <c r="K36" i="9" s="1"/>
  <c r="L36" i="9" s="1"/>
  <c r="M36" i="9" s="1"/>
  <c r="N36" i="9" s="1"/>
  <c r="G35" i="8"/>
  <c r="G42" i="8"/>
  <c r="D42" i="8"/>
  <c r="E42" i="8"/>
  <c r="F42" i="8"/>
  <c r="H42" i="8"/>
  <c r="C42" i="8"/>
  <c r="D35" i="8"/>
  <c r="E35" i="8"/>
  <c r="E48" i="8" s="1"/>
  <c r="F35" i="8"/>
  <c r="F48" i="8" s="1"/>
  <c r="H35" i="8"/>
  <c r="C35" i="8"/>
  <c r="D31" i="8"/>
  <c r="D48" i="8" s="1"/>
  <c r="E31" i="8"/>
  <c r="F31" i="8"/>
  <c r="G31" i="8"/>
  <c r="H31" i="8"/>
  <c r="H48" i="8" s="1"/>
  <c r="C31" i="8"/>
  <c r="C48" i="8" s="1"/>
  <c r="D23" i="8"/>
  <c r="E23" i="8"/>
  <c r="F23" i="8"/>
  <c r="G23" i="8"/>
  <c r="H23" i="8"/>
  <c r="C23" i="8"/>
  <c r="D19" i="8"/>
  <c r="E19" i="8"/>
  <c r="F19" i="8"/>
  <c r="G19" i="8"/>
  <c r="H19" i="8"/>
  <c r="C19" i="8"/>
  <c r="D1" i="8"/>
  <c r="E1" i="8" s="1"/>
  <c r="F1" i="8" s="1"/>
  <c r="G1" i="8" s="1"/>
  <c r="H1" i="8" s="1"/>
  <c r="I1" i="8" s="1"/>
  <c r="J1" i="8" s="1"/>
  <c r="K1" i="8" s="1"/>
  <c r="L1" i="8" s="1"/>
  <c r="M1" i="8" s="1"/>
  <c r="N1" i="8" s="1"/>
  <c r="D3" i="9"/>
  <c r="E3" i="9"/>
  <c r="F3" i="9"/>
  <c r="G3" i="9"/>
  <c r="H3" i="9"/>
  <c r="C3" i="9"/>
  <c r="I22" i="1"/>
  <c r="J22" i="1"/>
  <c r="K22" i="1"/>
  <c r="L22" i="1"/>
  <c r="M22" i="1"/>
  <c r="H22" i="1"/>
  <c r="D11" i="8"/>
  <c r="E11" i="8"/>
  <c r="F11" i="8"/>
  <c r="G11" i="8"/>
  <c r="H11" i="8"/>
  <c r="C11" i="8"/>
  <c r="D4" i="8"/>
  <c r="D7" i="8" s="1"/>
  <c r="E4" i="8"/>
  <c r="F4" i="8"/>
  <c r="F8" i="8" s="1"/>
  <c r="G4" i="8"/>
  <c r="G8" i="8" s="1"/>
  <c r="H4" i="8"/>
  <c r="H8" i="8" s="1"/>
  <c r="C4" i="8"/>
  <c r="C8" i="8" s="1"/>
  <c r="K66" i="9"/>
  <c r="I66" i="9"/>
  <c r="L66" i="9"/>
  <c r="N66" i="9"/>
  <c r="J66" i="9"/>
  <c r="M66" i="9"/>
  <c r="H95" i="1" l="1"/>
  <c r="D99" i="5"/>
  <c r="I67" i="9"/>
  <c r="N67" i="9"/>
  <c r="L67" i="9"/>
  <c r="K67" i="9"/>
  <c r="J67" i="9"/>
  <c r="G48" i="8"/>
  <c r="J64" i="9"/>
  <c r="K64" i="9" s="1"/>
  <c r="K55" i="9"/>
  <c r="L40" i="9"/>
  <c r="L55" i="9" s="1"/>
  <c r="M40" i="9"/>
  <c r="M55" i="9" s="1"/>
  <c r="K39" i="9"/>
  <c r="M41" i="9"/>
  <c r="N41" i="9" s="1"/>
  <c r="K57" i="9"/>
  <c r="L41" i="9"/>
  <c r="K53" i="9"/>
  <c r="L53" i="9"/>
  <c r="J56" i="9"/>
  <c r="I59" i="9"/>
  <c r="J54" i="9"/>
  <c r="J57" i="9"/>
  <c r="F32" i="4"/>
  <c r="G102" i="1"/>
  <c r="E102" i="1"/>
  <c r="F102" i="1"/>
  <c r="C101" i="1"/>
  <c r="B102" i="1"/>
  <c r="D8" i="8"/>
  <c r="C102" i="1" s="1"/>
  <c r="E32" i="4"/>
  <c r="H32" i="4"/>
  <c r="K35" i="4" s="1"/>
  <c r="G32" i="4"/>
  <c r="E8" i="8"/>
  <c r="D102" i="1" s="1"/>
  <c r="H7" i="8"/>
  <c r="G101" i="1" s="1"/>
  <c r="C7" i="8"/>
  <c r="B101" i="1" s="1"/>
  <c r="G7" i="8"/>
  <c r="F101" i="1" s="1"/>
  <c r="F7" i="8"/>
  <c r="E101" i="1" s="1"/>
  <c r="E7" i="8"/>
  <c r="D101" i="1" s="1"/>
  <c r="I64" i="1" l="1"/>
  <c r="L64" i="9"/>
  <c r="M64" i="9" s="1"/>
  <c r="K59" i="9"/>
  <c r="L39" i="9"/>
  <c r="L54" i="9" s="1"/>
  <c r="K54" i="9"/>
  <c r="M39" i="9"/>
  <c r="N40" i="9"/>
  <c r="N55" i="9" s="1"/>
  <c r="N39" i="9"/>
  <c r="M54" i="9"/>
  <c r="N54" i="9"/>
  <c r="J59" i="9"/>
  <c r="L57" i="9"/>
  <c r="L56" i="9"/>
  <c r="C105" i="1"/>
  <c r="B105" i="1"/>
  <c r="J35" i="4"/>
  <c r="I35" i="4"/>
  <c r="N35" i="4"/>
  <c r="M35" i="4"/>
  <c r="L35" i="4"/>
  <c r="J34" i="4"/>
  <c r="M33" i="4"/>
  <c r="M32" i="4" s="1"/>
  <c r="K34" i="4"/>
  <c r="J33" i="4"/>
  <c r="J32" i="4" s="1"/>
  <c r="I33" i="4"/>
  <c r="I32" i="4" s="1"/>
  <c r="H28" i="1" s="1"/>
  <c r="N33" i="4"/>
  <c r="N32" i="4" s="1"/>
  <c r="M34" i="4"/>
  <c r="I34" i="4"/>
  <c r="N34" i="4"/>
  <c r="L33" i="4"/>
  <c r="L32" i="4" s="1"/>
  <c r="K33" i="4"/>
  <c r="K32" i="4" s="1"/>
  <c r="L34" i="4"/>
  <c r="I7" i="8"/>
  <c r="I8" i="8"/>
  <c r="J8" i="8" s="1"/>
  <c r="J64" i="1" l="1"/>
  <c r="F99" i="5" s="1"/>
  <c r="E99" i="5"/>
  <c r="I95" i="1"/>
  <c r="I28" i="1"/>
  <c r="J28" i="1" s="1"/>
  <c r="K28" i="1" s="1"/>
  <c r="L28" i="1" s="1"/>
  <c r="M28" i="1" s="1"/>
  <c r="H26" i="1"/>
  <c r="I26" i="1" s="1"/>
  <c r="J26" i="1" s="1"/>
  <c r="K26" i="1" s="1"/>
  <c r="L26" i="1" s="1"/>
  <c r="M26" i="1" s="1"/>
  <c r="H27" i="1"/>
  <c r="I27" i="1" s="1"/>
  <c r="J27" i="1" s="1"/>
  <c r="K27" i="1" s="1"/>
  <c r="L27" i="1" s="1"/>
  <c r="M27" i="1" s="1"/>
  <c r="H24" i="1"/>
  <c r="H25" i="1"/>
  <c r="I25" i="1" s="1"/>
  <c r="J25" i="1" s="1"/>
  <c r="K25" i="1" s="1"/>
  <c r="L25" i="1" s="1"/>
  <c r="M25" i="1" s="1"/>
  <c r="N64" i="9"/>
  <c r="N57" i="9"/>
  <c r="M57" i="9"/>
  <c r="N56" i="9"/>
  <c r="M56" i="9"/>
  <c r="L59" i="9"/>
  <c r="N53" i="9"/>
  <c r="M53" i="9"/>
  <c r="I9" i="8"/>
  <c r="J7" i="8"/>
  <c r="K8" i="8"/>
  <c r="L8" i="8" s="1"/>
  <c r="I24" i="1" l="1"/>
  <c r="J95" i="1"/>
  <c r="K64" i="1"/>
  <c r="L64" i="1" s="1"/>
  <c r="M59" i="9"/>
  <c r="N59" i="9"/>
  <c r="J9" i="8"/>
  <c r="M8" i="8"/>
  <c r="N8" i="8" s="1"/>
  <c r="K7" i="8"/>
  <c r="K9" i="8" s="1"/>
  <c r="J24" i="1" l="1"/>
  <c r="H99" i="5"/>
  <c r="M64" i="1"/>
  <c r="I99" i="5" s="1"/>
  <c r="K95" i="1"/>
  <c r="G99" i="5"/>
  <c r="L95" i="1"/>
  <c r="L7" i="8"/>
  <c r="L9" i="8" s="1"/>
  <c r="K24" i="1" l="1"/>
  <c r="M95" i="1"/>
  <c r="M7" i="8"/>
  <c r="M9" i="8" s="1"/>
  <c r="L24" i="1" l="1"/>
  <c r="N7" i="8"/>
  <c r="N9" i="8" s="1"/>
  <c r="R26" i="5"/>
  <c r="W25" i="5"/>
  <c r="W27" i="5" s="1"/>
  <c r="V25" i="5"/>
  <c r="V27" i="5" s="1"/>
  <c r="U25" i="5"/>
  <c r="T25" i="5"/>
  <c r="S25" i="5"/>
  <c r="S27" i="5" s="1"/>
  <c r="R25" i="5"/>
  <c r="S17" i="5"/>
  <c r="T17" i="5" s="1"/>
  <c r="U17" i="5" s="1"/>
  <c r="V17" i="5" s="1"/>
  <c r="W17" i="5" s="1"/>
  <c r="C126" i="1"/>
  <c r="D126" i="1"/>
  <c r="E126" i="1"/>
  <c r="F126" i="1"/>
  <c r="G126" i="1"/>
  <c r="M24" i="1" l="1"/>
  <c r="U30" i="5"/>
  <c r="T30" i="5"/>
  <c r="T27" i="5"/>
  <c r="U27" i="5"/>
  <c r="S30" i="5"/>
  <c r="R27" i="5"/>
  <c r="W30" i="5"/>
  <c r="V30" i="5"/>
  <c r="AB31" i="5" l="1"/>
  <c r="AB30" i="5" s="1"/>
  <c r="Z31" i="5"/>
  <c r="Z30" i="5" s="1"/>
  <c r="AC33" i="5" a="1"/>
  <c r="AC33" i="5" s="1"/>
  <c r="AA33" i="5" a="1"/>
  <c r="AA33" i="5" s="1"/>
  <c r="AC32" i="5"/>
  <c r="AA32" i="5"/>
  <c r="X32" i="5"/>
  <c r="X31" i="5"/>
  <c r="X30" i="5" s="1"/>
  <c r="AA31" i="5"/>
  <c r="AA30" i="5" s="1"/>
  <c r="Y32" i="5"/>
  <c r="Y33" i="5" a="1"/>
  <c r="Y33" i="5" s="1"/>
  <c r="AB33" i="5" a="1"/>
  <c r="AB33" i="5" s="1"/>
  <c r="Y31" i="5"/>
  <c r="Y30" i="5" s="1"/>
  <c r="AC31" i="5"/>
  <c r="AC30" i="5" s="1"/>
  <c r="Z33" i="5" a="1"/>
  <c r="Z33" i="5" s="1"/>
  <c r="AB32" i="5"/>
  <c r="Z32" i="5"/>
  <c r="X33" i="5" a="1"/>
  <c r="X33" i="5" s="1"/>
  <c r="X18" i="5" l="1"/>
  <c r="X24" i="5"/>
  <c r="Y24" i="5" s="1"/>
  <c r="Z24" i="5" s="1"/>
  <c r="AA24" i="5" s="1"/>
  <c r="AB24" i="5" s="1"/>
  <c r="AC24" i="5" s="1"/>
  <c r="X23" i="5"/>
  <c r="Y23" i="5" s="1"/>
  <c r="Z23" i="5" s="1"/>
  <c r="AA23" i="5" s="1"/>
  <c r="AB23" i="5" s="1"/>
  <c r="AC23" i="5" s="1"/>
  <c r="X21" i="5"/>
  <c r="Y21" i="5" s="1"/>
  <c r="Z21" i="5" s="1"/>
  <c r="AA21" i="5" s="1"/>
  <c r="AB21" i="5" s="1"/>
  <c r="AC21" i="5" s="1"/>
  <c r="X22" i="5"/>
  <c r="Y22" i="5" s="1"/>
  <c r="Z22" i="5" s="1"/>
  <c r="AA22" i="5" s="1"/>
  <c r="AB22" i="5" s="1"/>
  <c r="AC22" i="5" s="1"/>
  <c r="X20" i="5"/>
  <c r="Y20" i="5" s="1"/>
  <c r="Z20" i="5" s="1"/>
  <c r="AA20" i="5" s="1"/>
  <c r="AB20" i="5" s="1"/>
  <c r="AC20" i="5" s="1"/>
  <c r="X19" i="5"/>
  <c r="Y19" i="5" s="1"/>
  <c r="Z19" i="5" s="1"/>
  <c r="AA19" i="5" s="1"/>
  <c r="AB19" i="5" s="1"/>
  <c r="AC19" i="5" s="1"/>
  <c r="Y18" i="5" l="1"/>
  <c r="X25" i="5"/>
  <c r="Z18" i="5" l="1"/>
  <c r="Y25" i="5"/>
  <c r="I75" i="1"/>
  <c r="J75" i="1"/>
  <c r="K75" i="1"/>
  <c r="L75" i="1"/>
  <c r="M75" i="1"/>
  <c r="H75" i="1"/>
  <c r="D34" i="7"/>
  <c r="E34" i="7"/>
  <c r="F34" i="7"/>
  <c r="G34" i="7"/>
  <c r="H34" i="7"/>
  <c r="I34" i="7"/>
  <c r="J34" i="7"/>
  <c r="K34" i="7"/>
  <c r="L34" i="7"/>
  <c r="M34" i="7"/>
  <c r="C34" i="7"/>
  <c r="H50" i="7"/>
  <c r="H67" i="7"/>
  <c r="H66" i="7"/>
  <c r="H65" i="7"/>
  <c r="D64" i="7"/>
  <c r="E64" i="7"/>
  <c r="F64" i="7"/>
  <c r="G64" i="7"/>
  <c r="C64" i="7"/>
  <c r="H42" i="7"/>
  <c r="H62" i="7"/>
  <c r="H61" i="7"/>
  <c r="H60" i="7"/>
  <c r="D59" i="7"/>
  <c r="E59" i="7"/>
  <c r="F59" i="7"/>
  <c r="G59" i="7"/>
  <c r="C59" i="7"/>
  <c r="H37" i="7"/>
  <c r="H57" i="7"/>
  <c r="H56" i="7"/>
  <c r="H55" i="7"/>
  <c r="D37" i="7"/>
  <c r="E37" i="7"/>
  <c r="F37" i="7"/>
  <c r="G37" i="7"/>
  <c r="C37" i="7"/>
  <c r="I22" i="7"/>
  <c r="J22" i="7"/>
  <c r="K22" i="7"/>
  <c r="L22" i="7"/>
  <c r="M22" i="7"/>
  <c r="H22" i="7"/>
  <c r="H4" i="7"/>
  <c r="AA18" i="5" l="1"/>
  <c r="Z25" i="5"/>
  <c r="D74" i="5"/>
  <c r="E74" i="5" s="1"/>
  <c r="F74" i="5" s="1"/>
  <c r="G74" i="5" s="1"/>
  <c r="H74" i="5" s="1"/>
  <c r="I76" i="5"/>
  <c r="J76" i="5" s="1"/>
  <c r="I77" i="5"/>
  <c r="J77" i="5" s="1"/>
  <c r="K77" i="5" s="1"/>
  <c r="I79" i="5"/>
  <c r="J79" i="5" s="1"/>
  <c r="I81" i="5"/>
  <c r="J81" i="5"/>
  <c r="C82" i="5"/>
  <c r="D82" i="5"/>
  <c r="E82" i="5"/>
  <c r="F82" i="5"/>
  <c r="G82" i="5"/>
  <c r="H82" i="5"/>
  <c r="D117" i="4"/>
  <c r="E117" i="4"/>
  <c r="F117" i="4"/>
  <c r="G117" i="4"/>
  <c r="H117" i="4"/>
  <c r="C117" i="4"/>
  <c r="B126" i="1"/>
  <c r="K79" i="5" l="1"/>
  <c r="K81" i="5"/>
  <c r="AB18" i="5"/>
  <c r="AA25" i="5"/>
  <c r="K76" i="5"/>
  <c r="L76" i="5" s="1"/>
  <c r="L77" i="5"/>
  <c r="M118" i="4"/>
  <c r="M117" i="4" s="1"/>
  <c r="M119" i="4"/>
  <c r="J118" i="4"/>
  <c r="J117" i="4" s="1"/>
  <c r="I119" i="4"/>
  <c r="L119" i="4"/>
  <c r="J120" i="4" a="1"/>
  <c r="J120" i="4" s="1"/>
  <c r="L118" i="4"/>
  <c r="L117" i="4" s="1"/>
  <c r="I120" i="4" a="1"/>
  <c r="I120" i="4" s="1"/>
  <c r="N119" i="4"/>
  <c r="K118" i="4"/>
  <c r="K117" i="4" s="1"/>
  <c r="I118" i="4"/>
  <c r="I117" i="4" s="1"/>
  <c r="N120" i="4" a="1"/>
  <c r="N120" i="4" s="1"/>
  <c r="K119" i="4"/>
  <c r="M120" i="4" a="1"/>
  <c r="M120" i="4" s="1"/>
  <c r="J119" i="4"/>
  <c r="L120" i="4" a="1"/>
  <c r="L120" i="4" s="1"/>
  <c r="N118" i="4"/>
  <c r="N117" i="4" s="1"/>
  <c r="K120" i="4" a="1"/>
  <c r="K120" i="4" s="1"/>
  <c r="L81" i="5" l="1"/>
  <c r="M81" i="5" s="1"/>
  <c r="N81" i="5" s="1"/>
  <c r="L79" i="5"/>
  <c r="M79" i="5" s="1"/>
  <c r="N79" i="5" s="1"/>
  <c r="AC18" i="5"/>
  <c r="AC25" i="5" s="1"/>
  <c r="AB25" i="5"/>
  <c r="M76" i="5"/>
  <c r="N76" i="5" s="1"/>
  <c r="M77" i="5"/>
  <c r="N77" i="5" s="1"/>
  <c r="B98" i="1"/>
  <c r="C1" i="1"/>
  <c r="D1" i="1" s="1"/>
  <c r="E1" i="1" s="1"/>
  <c r="F1" i="1" s="1"/>
  <c r="G1" i="1" s="1"/>
  <c r="H1" i="1" s="1"/>
  <c r="I1" i="1" s="1"/>
  <c r="J1" i="1" s="1"/>
  <c r="K1" i="1" s="1"/>
  <c r="L1" i="1" s="1"/>
  <c r="M1" i="1" s="1"/>
  <c r="D87" i="1"/>
  <c r="E87" i="1" s="1"/>
  <c r="F87" i="1" s="1"/>
  <c r="G87" i="1" s="1"/>
  <c r="B14" i="1"/>
  <c r="B17" i="1" s="1"/>
  <c r="B19" i="1" s="1"/>
  <c r="B37" i="1"/>
  <c r="B59" i="1"/>
  <c r="B71" i="1"/>
  <c r="B79" i="1"/>
  <c r="B81" i="1" l="1"/>
  <c r="B82" i="1"/>
  <c r="B20" i="1"/>
  <c r="B30" i="1"/>
  <c r="B33" i="1" s="1"/>
  <c r="B38" i="1" s="1"/>
  <c r="C98" i="1" l="1"/>
  <c r="D98" i="1"/>
  <c r="E98" i="1"/>
  <c r="F98" i="1"/>
  <c r="G98" i="1"/>
  <c r="D62" i="6" l="1"/>
  <c r="E62" i="6" s="1"/>
  <c r="F62" i="6" s="1"/>
  <c r="G62" i="6" s="1"/>
  <c r="D64" i="6"/>
  <c r="H67" i="6" s="1"/>
  <c r="E64" i="6"/>
  <c r="F64" i="6"/>
  <c r="G64" i="6"/>
  <c r="C64" i="6"/>
  <c r="J65" i="6" s="1"/>
  <c r="J64" i="6" s="1"/>
  <c r="D21" i="6"/>
  <c r="E21" i="6" s="1"/>
  <c r="F21" i="6" s="1"/>
  <c r="D33" i="6"/>
  <c r="E33" i="6" s="1"/>
  <c r="F33" i="6" s="1"/>
  <c r="G33" i="6" s="1"/>
  <c r="D41" i="6"/>
  <c r="E41" i="6" s="1"/>
  <c r="F41" i="6" s="1"/>
  <c r="G41" i="6" s="1"/>
  <c r="G44" i="6"/>
  <c r="F44" i="6"/>
  <c r="E44" i="6"/>
  <c r="D44" i="6"/>
  <c r="G37" i="6"/>
  <c r="G39" i="6" s="1"/>
  <c r="F37" i="6"/>
  <c r="E37" i="6"/>
  <c r="D37" i="6"/>
  <c r="C37" i="6"/>
  <c r="H35" i="6"/>
  <c r="H43" i="6" s="1"/>
  <c r="M34" i="6"/>
  <c r="L34" i="6"/>
  <c r="K34" i="6"/>
  <c r="J34" i="6"/>
  <c r="I34" i="6"/>
  <c r="H34" i="6"/>
  <c r="G26" i="6"/>
  <c r="F26" i="6"/>
  <c r="E26" i="6"/>
  <c r="D26" i="6"/>
  <c r="C26" i="6"/>
  <c r="C29" i="6" s="1"/>
  <c r="D16" i="6"/>
  <c r="I12" i="6"/>
  <c r="H12" i="6"/>
  <c r="G12" i="6"/>
  <c r="F12" i="6"/>
  <c r="E12" i="6"/>
  <c r="D12" i="6"/>
  <c r="D11" i="6"/>
  <c r="E10" i="6"/>
  <c r="F10" i="6" s="1"/>
  <c r="G10" i="6" s="1"/>
  <c r="H10" i="6" s="1"/>
  <c r="I10" i="6" s="1"/>
  <c r="I97" i="4"/>
  <c r="H58" i="1" s="1"/>
  <c r="J98" i="4"/>
  <c r="J97" i="4" s="1"/>
  <c r="I58" i="1" s="1"/>
  <c r="K98" i="4"/>
  <c r="K97" i="4" s="1"/>
  <c r="J58" i="1" s="1"/>
  <c r="L98" i="4"/>
  <c r="L97" i="4" s="1"/>
  <c r="K58" i="1" s="1"/>
  <c r="M98" i="4"/>
  <c r="M97" i="4" s="1"/>
  <c r="L58" i="1" s="1"/>
  <c r="N98" i="4"/>
  <c r="N97" i="4" s="1"/>
  <c r="M58" i="1" s="1"/>
  <c r="I98" i="4"/>
  <c r="J99" i="4"/>
  <c r="K99" i="4"/>
  <c r="L99" i="4"/>
  <c r="M99" i="4"/>
  <c r="N99" i="4"/>
  <c r="J100" i="4"/>
  <c r="K100" i="4"/>
  <c r="L100" i="4"/>
  <c r="M100" i="4"/>
  <c r="N100" i="4"/>
  <c r="I100" i="4"/>
  <c r="I99" i="4"/>
  <c r="F53" i="5"/>
  <c r="G53" i="5"/>
  <c r="H53" i="5"/>
  <c r="E53" i="5"/>
  <c r="E52" i="5"/>
  <c r="E54" i="5" s="1"/>
  <c r="F52" i="5"/>
  <c r="F54" i="5" s="1"/>
  <c r="G52" i="5"/>
  <c r="G54" i="5" s="1"/>
  <c r="H52" i="5"/>
  <c r="H54" i="5" s="1"/>
  <c r="D52" i="5"/>
  <c r="D61" i="5"/>
  <c r="E61" i="5"/>
  <c r="F61" i="5"/>
  <c r="G61" i="5"/>
  <c r="H61" i="5"/>
  <c r="C61" i="5"/>
  <c r="D68" i="5"/>
  <c r="E68" i="5"/>
  <c r="F68" i="5"/>
  <c r="G68" i="5"/>
  <c r="H68" i="5"/>
  <c r="C68" i="5"/>
  <c r="H67" i="5"/>
  <c r="D56" i="5"/>
  <c r="E56" i="5" s="1"/>
  <c r="F56" i="5" s="1"/>
  <c r="G56" i="5" s="1"/>
  <c r="H56" i="5" s="1"/>
  <c r="G67" i="5"/>
  <c r="F67" i="5"/>
  <c r="E67" i="5"/>
  <c r="D67" i="5"/>
  <c r="C67" i="5"/>
  <c r="H60" i="5"/>
  <c r="G60" i="5"/>
  <c r="F60" i="5"/>
  <c r="E60" i="5"/>
  <c r="D60" i="5"/>
  <c r="C60" i="5"/>
  <c r="D42" i="5"/>
  <c r="E42" i="5" s="1"/>
  <c r="F42" i="5" s="1"/>
  <c r="G42" i="5" s="1"/>
  <c r="H42" i="5" s="1"/>
  <c r="H49" i="5"/>
  <c r="H50" i="5" s="1"/>
  <c r="H128" i="4" s="1"/>
  <c r="G49" i="5"/>
  <c r="G50" i="5" s="1"/>
  <c r="G128" i="4" s="1"/>
  <c r="F49" i="5"/>
  <c r="F50" i="5" s="1"/>
  <c r="F128" i="4" s="1"/>
  <c r="E49" i="5"/>
  <c r="E50" i="5" s="1"/>
  <c r="E128" i="4" s="1"/>
  <c r="D49" i="5"/>
  <c r="D50" i="5" s="1"/>
  <c r="C49" i="5"/>
  <c r="C50" i="5" s="1"/>
  <c r="H37" i="5"/>
  <c r="H38" i="5" s="1"/>
  <c r="H102" i="4" s="1"/>
  <c r="G37" i="5"/>
  <c r="G38" i="5" s="1"/>
  <c r="G102" i="4" s="1"/>
  <c r="F37" i="5"/>
  <c r="F38" i="5" s="1"/>
  <c r="F102" i="4" s="1"/>
  <c r="E37" i="5"/>
  <c r="E38" i="5" s="1"/>
  <c r="E102" i="4" s="1"/>
  <c r="D37" i="5"/>
  <c r="D38" i="5" s="1"/>
  <c r="D102" i="4" s="1"/>
  <c r="C37" i="5"/>
  <c r="C38" i="5" s="1"/>
  <c r="C102" i="4" s="1"/>
  <c r="D30" i="5"/>
  <c r="E30" i="5" s="1"/>
  <c r="F30" i="5" s="1"/>
  <c r="G30" i="5" s="1"/>
  <c r="H30" i="5" s="1"/>
  <c r="D2" i="5"/>
  <c r="E2" i="5" s="1"/>
  <c r="F2" i="5" s="1"/>
  <c r="G2" i="5" s="1"/>
  <c r="H2" i="5" s="1"/>
  <c r="D17" i="5"/>
  <c r="E17" i="5" s="1"/>
  <c r="F17" i="5" s="1"/>
  <c r="G17" i="5" s="1"/>
  <c r="H17" i="5" s="1"/>
  <c r="D40" i="4"/>
  <c r="E40" i="4" s="1"/>
  <c r="F40" i="4" s="1"/>
  <c r="G40" i="4" s="1"/>
  <c r="H40" i="4" s="1"/>
  <c r="I40" i="4" s="1"/>
  <c r="J40" i="4" s="1"/>
  <c r="K40" i="4" s="1"/>
  <c r="L40" i="4" s="1"/>
  <c r="M40" i="4" s="1"/>
  <c r="N40" i="4" s="1"/>
  <c r="C25" i="5"/>
  <c r="D25" i="5"/>
  <c r="E25" i="5"/>
  <c r="F25" i="5"/>
  <c r="G25" i="5"/>
  <c r="H25" i="5"/>
  <c r="C26" i="5"/>
  <c r="F47" i="4"/>
  <c r="D47" i="4"/>
  <c r="E47" i="4"/>
  <c r="G47" i="4"/>
  <c r="H47" i="4"/>
  <c r="C47" i="4"/>
  <c r="D1" i="4"/>
  <c r="E1" i="4" s="1"/>
  <c r="F1" i="4" s="1"/>
  <c r="G1" i="4" s="1"/>
  <c r="H1" i="4" s="1"/>
  <c r="I1" i="4" s="1"/>
  <c r="J1" i="4" s="1"/>
  <c r="K1" i="4" s="1"/>
  <c r="L1" i="4" s="1"/>
  <c r="M1" i="4" s="1"/>
  <c r="N1" i="4" s="1"/>
  <c r="H15" i="5"/>
  <c r="C113" i="5" s="1"/>
  <c r="C120" i="5" s="1"/>
  <c r="D7" i="10" s="1"/>
  <c r="G15" i="5"/>
  <c r="F15" i="5"/>
  <c r="E15" i="5"/>
  <c r="D15" i="5"/>
  <c r="C15" i="5"/>
  <c r="C1" i="5"/>
  <c r="D1" i="5" s="1"/>
  <c r="E1" i="5" s="1"/>
  <c r="F1" i="5" s="1"/>
  <c r="G1" i="5" s="1"/>
  <c r="H1" i="5" s="1"/>
  <c r="I1" i="5" s="1"/>
  <c r="I7" i="5"/>
  <c r="D128" i="4" l="1"/>
  <c r="J129" i="4" s="1"/>
  <c r="J128" i="4" s="1"/>
  <c r="D88" i="5"/>
  <c r="M67" i="6"/>
  <c r="L66" i="6"/>
  <c r="M66" i="6"/>
  <c r="K65" i="6"/>
  <c r="K64" i="6" s="1"/>
  <c r="I65" i="6"/>
  <c r="I64" i="6" s="1"/>
  <c r="L67" i="6"/>
  <c r="K66" i="6"/>
  <c r="D29" i="6"/>
  <c r="D70" i="6"/>
  <c r="K67" i="6"/>
  <c r="J66" i="6"/>
  <c r="E29" i="6"/>
  <c r="E70" i="6"/>
  <c r="J67" i="6"/>
  <c r="I66" i="6"/>
  <c r="I67" i="6"/>
  <c r="M65" i="6"/>
  <c r="M64" i="6" s="1"/>
  <c r="G29" i="6"/>
  <c r="G70" i="6"/>
  <c r="H66" i="6"/>
  <c r="L65" i="6"/>
  <c r="L64" i="6" s="1"/>
  <c r="F29" i="6"/>
  <c r="F70" i="6"/>
  <c r="H65" i="6"/>
  <c r="H64" i="6" s="1"/>
  <c r="I105" i="4" a="1"/>
  <c r="I105" i="4" s="1"/>
  <c r="G27" i="5"/>
  <c r="E57" i="4"/>
  <c r="H27" i="5"/>
  <c r="F57" i="4"/>
  <c r="D27" i="5"/>
  <c r="N103" i="4"/>
  <c r="N102" i="4" s="1"/>
  <c r="K104" i="4"/>
  <c r="M105" i="4" a="1"/>
  <c r="M105" i="4" s="1"/>
  <c r="N105" i="4" a="1"/>
  <c r="N105" i="4" s="1"/>
  <c r="M104" i="4"/>
  <c r="N104" i="4"/>
  <c r="J104" i="4"/>
  <c r="L105" i="4" a="1"/>
  <c r="L105" i="4" s="1"/>
  <c r="L104" i="4"/>
  <c r="J103" i="4"/>
  <c r="J102" i="4" s="1"/>
  <c r="I103" i="4"/>
  <c r="I102" i="4" s="1"/>
  <c r="K103" i="4"/>
  <c r="K102" i="4" s="1"/>
  <c r="I104" i="4"/>
  <c r="L103" i="4"/>
  <c r="L102" i="4" s="1"/>
  <c r="J105" i="4" a="1"/>
  <c r="J105" i="4" s="1"/>
  <c r="K105" i="4" a="1"/>
  <c r="K105" i="4" s="1"/>
  <c r="M103" i="4"/>
  <c r="M102" i="4" s="1"/>
  <c r="E71" i="5"/>
  <c r="E31" i="6"/>
  <c r="D31" i="6"/>
  <c r="F31" i="6"/>
  <c r="C31" i="6"/>
  <c r="G31" i="6"/>
  <c r="G21" i="6"/>
  <c r="D13" i="6"/>
  <c r="D14" i="6" s="1"/>
  <c r="I35" i="6" s="1"/>
  <c r="I43" i="6" s="1"/>
  <c r="H44" i="6"/>
  <c r="H23" i="6" s="1"/>
  <c r="I54" i="5"/>
  <c r="J54" i="5" s="1"/>
  <c r="K54" i="5" s="1"/>
  <c r="L54" i="5" s="1"/>
  <c r="I61" i="5"/>
  <c r="J61" i="5" s="1"/>
  <c r="K61" i="5" s="1"/>
  <c r="I68" i="5"/>
  <c r="J68" i="5" s="1"/>
  <c r="G57" i="4"/>
  <c r="D71" i="5"/>
  <c r="C57" i="4"/>
  <c r="G71" i="5"/>
  <c r="H71" i="5"/>
  <c r="C71" i="5"/>
  <c r="F71" i="5"/>
  <c r="E27" i="5"/>
  <c r="C27" i="5"/>
  <c r="D57" i="4"/>
  <c r="F27" i="5"/>
  <c r="H57" i="4"/>
  <c r="N49" i="4"/>
  <c r="I48" i="4"/>
  <c r="I47" i="4" s="1"/>
  <c r="H53" i="1" s="1"/>
  <c r="K48" i="4"/>
  <c r="K47" i="4" s="1"/>
  <c r="J53" i="1" s="1"/>
  <c r="J48" i="4"/>
  <c r="J47" i="4" s="1"/>
  <c r="I53" i="1" s="1"/>
  <c r="I49" i="4"/>
  <c r="L48" i="4"/>
  <c r="L47" i="4" s="1"/>
  <c r="K53" i="1" s="1"/>
  <c r="M49" i="4"/>
  <c r="I50" i="4"/>
  <c r="L49" i="4"/>
  <c r="N50" i="4"/>
  <c r="K49" i="4"/>
  <c r="M50" i="4"/>
  <c r="J49" i="4"/>
  <c r="L50" i="4"/>
  <c r="N48" i="4"/>
  <c r="N47" i="4" s="1"/>
  <c r="M53" i="1" s="1"/>
  <c r="K50" i="4"/>
  <c r="M48" i="4"/>
  <c r="M47" i="4" s="1"/>
  <c r="L53" i="1" s="1"/>
  <c r="J50" i="4"/>
  <c r="J1" i="5"/>
  <c r="I5" i="5"/>
  <c r="I14" i="5"/>
  <c r="I8" i="5"/>
  <c r="I12" i="5"/>
  <c r="I9" i="5"/>
  <c r="I13" i="5"/>
  <c r="I10" i="5"/>
  <c r="I11" i="5"/>
  <c r="I4" i="5"/>
  <c r="L130" i="4" l="1"/>
  <c r="I131" i="4"/>
  <c r="K129" i="4"/>
  <c r="K128" i="4" s="1"/>
  <c r="K130" i="4"/>
  <c r="M129" i="4"/>
  <c r="M128" i="4" s="1"/>
  <c r="L129" i="4"/>
  <c r="L128" i="4" s="1"/>
  <c r="N131" i="4"/>
  <c r="L131" i="4"/>
  <c r="I130" i="4"/>
  <c r="M131" i="4"/>
  <c r="J131" i="4"/>
  <c r="I129" i="4"/>
  <c r="I128" i="4" s="1"/>
  <c r="N129" i="4"/>
  <c r="N128" i="4" s="1"/>
  <c r="M130" i="4"/>
  <c r="J130" i="4"/>
  <c r="N130" i="4"/>
  <c r="K131" i="4"/>
  <c r="M71" i="6"/>
  <c r="M70" i="6" s="1"/>
  <c r="I72" i="6"/>
  <c r="I73" i="6"/>
  <c r="K71" i="6"/>
  <c r="K70" i="6" s="1"/>
  <c r="H73" i="6"/>
  <c r="H71" i="6"/>
  <c r="H70" i="6" s="1"/>
  <c r="K72" i="6"/>
  <c r="M72" i="6"/>
  <c r="M73" i="6"/>
  <c r="J71" i="6"/>
  <c r="J70" i="6" s="1"/>
  <c r="J72" i="6"/>
  <c r="H72" i="6"/>
  <c r="L73" i="6"/>
  <c r="J73" i="6"/>
  <c r="L72" i="6"/>
  <c r="K73" i="6"/>
  <c r="L71" i="6"/>
  <c r="L70" i="6" s="1"/>
  <c r="I71" i="6"/>
  <c r="I70" i="6" s="1"/>
  <c r="E11" i="6"/>
  <c r="E13" i="6" s="1"/>
  <c r="E14" i="6" s="1"/>
  <c r="D57" i="6"/>
  <c r="G58" i="6"/>
  <c r="E57" i="6"/>
  <c r="H58" i="6"/>
  <c r="G56" i="6"/>
  <c r="G55" i="6" s="1"/>
  <c r="F57" i="6"/>
  <c r="C58" i="6"/>
  <c r="D58" i="6"/>
  <c r="D56" i="6"/>
  <c r="D55" i="6" s="1"/>
  <c r="G57" i="6"/>
  <c r="C56" i="6"/>
  <c r="C55" i="6" s="1"/>
  <c r="E58" i="6"/>
  <c r="E56" i="6"/>
  <c r="E55" i="6" s="1"/>
  <c r="H57" i="6"/>
  <c r="C57" i="6"/>
  <c r="H56" i="6"/>
  <c r="H55" i="6" s="1"/>
  <c r="F58" i="6"/>
  <c r="F56" i="6"/>
  <c r="F55" i="6" s="1"/>
  <c r="F11" i="6"/>
  <c r="F13" i="6" s="1"/>
  <c r="F14" i="6" s="1"/>
  <c r="J35" i="6"/>
  <c r="J43" i="6"/>
  <c r="I44" i="6"/>
  <c r="I23" i="6" s="1"/>
  <c r="M54" i="5"/>
  <c r="N54" i="5" s="1"/>
  <c r="K68" i="5"/>
  <c r="L68" i="5" s="1"/>
  <c r="M68" i="5" s="1"/>
  <c r="N58" i="4"/>
  <c r="N57" i="4" s="1"/>
  <c r="AC26" i="5" s="1"/>
  <c r="AC27" i="5" s="1"/>
  <c r="L61" i="5"/>
  <c r="M61" i="5" s="1"/>
  <c r="K59" i="4"/>
  <c r="M60" i="4"/>
  <c r="L59" i="4"/>
  <c r="J60" i="4"/>
  <c r="I60" i="4"/>
  <c r="J58" i="4"/>
  <c r="J57" i="4" s="1"/>
  <c r="Y26" i="5" s="1"/>
  <c r="Y27" i="5" s="1"/>
  <c r="M59" i="4"/>
  <c r="I59" i="4"/>
  <c r="K58" i="4"/>
  <c r="K57" i="4" s="1"/>
  <c r="Z26" i="5" s="1"/>
  <c r="Z27" i="5" s="1"/>
  <c r="N60" i="4"/>
  <c r="L60" i="4"/>
  <c r="I58" i="4"/>
  <c r="I57" i="4" s="1"/>
  <c r="X26" i="5" s="1"/>
  <c r="X27" i="5" s="1"/>
  <c r="X35" i="5" s="1"/>
  <c r="M58" i="4"/>
  <c r="M57" i="4" s="1"/>
  <c r="AB26" i="5" s="1"/>
  <c r="AB27" i="5" s="1"/>
  <c r="K60" i="4"/>
  <c r="N59" i="4"/>
  <c r="J59" i="4"/>
  <c r="L58" i="4"/>
  <c r="L57" i="4" s="1"/>
  <c r="AA26" i="5" s="1"/>
  <c r="AA27" i="5" s="1"/>
  <c r="I15" i="5"/>
  <c r="K1" i="5"/>
  <c r="J9" i="5"/>
  <c r="J11" i="5"/>
  <c r="J14" i="5"/>
  <c r="J4" i="5"/>
  <c r="J12" i="5"/>
  <c r="J8" i="5"/>
  <c r="J5" i="5"/>
  <c r="J13" i="5"/>
  <c r="J10" i="5"/>
  <c r="J7" i="5"/>
  <c r="G11" i="6" l="1"/>
  <c r="G13" i="6" s="1"/>
  <c r="G14" i="6" s="1"/>
  <c r="K35" i="6"/>
  <c r="K43" i="6" s="1"/>
  <c r="J44" i="6"/>
  <c r="J23" i="6" s="1"/>
  <c r="N68" i="5"/>
  <c r="N61" i="5"/>
  <c r="J15" i="5"/>
  <c r="L1" i="5"/>
  <c r="K13" i="5"/>
  <c r="K11" i="5"/>
  <c r="K12" i="5"/>
  <c r="K5" i="5"/>
  <c r="K14" i="5"/>
  <c r="K8" i="5"/>
  <c r="K9" i="5"/>
  <c r="K7" i="5"/>
  <c r="K10" i="5"/>
  <c r="K4" i="5"/>
  <c r="L35" i="6" l="1"/>
  <c r="L43" i="6" s="1"/>
  <c r="H11" i="6"/>
  <c r="H13" i="6" s="1"/>
  <c r="H14" i="6" s="1"/>
  <c r="K44" i="6"/>
  <c r="K23" i="6" s="1"/>
  <c r="K15" i="5"/>
  <c r="M1" i="5"/>
  <c r="L12" i="5"/>
  <c r="L9" i="5"/>
  <c r="L8" i="5"/>
  <c r="L10" i="5"/>
  <c r="L13" i="5"/>
  <c r="L11" i="5"/>
  <c r="L5" i="5"/>
  <c r="L4" i="5"/>
  <c r="L14" i="5"/>
  <c r="L7" i="5"/>
  <c r="I11" i="6" l="1"/>
  <c r="I13" i="6" s="1"/>
  <c r="I14" i="6" s="1"/>
  <c r="M35" i="6"/>
  <c r="M43" i="6" s="1"/>
  <c r="M44" i="6" s="1"/>
  <c r="L44" i="6"/>
  <c r="L23" i="6" s="1"/>
  <c r="L27" i="6" s="1"/>
  <c r="L15" i="5"/>
  <c r="N1" i="5"/>
  <c r="M5" i="5"/>
  <c r="M9" i="5"/>
  <c r="M8" i="5"/>
  <c r="M4" i="5"/>
  <c r="M12" i="5"/>
  <c r="M14" i="5"/>
  <c r="M10" i="5"/>
  <c r="M11" i="5"/>
  <c r="M7" i="5"/>
  <c r="M13" i="5"/>
  <c r="L67" i="1" l="1"/>
  <c r="M15" i="5"/>
  <c r="N14" i="5"/>
  <c r="N5" i="5"/>
  <c r="N11" i="5"/>
  <c r="N4" i="5"/>
  <c r="N12" i="5"/>
  <c r="N13" i="5"/>
  <c r="N10" i="5"/>
  <c r="N9" i="5"/>
  <c r="N8" i="5"/>
  <c r="N7" i="5"/>
  <c r="N15" i="5" l="1"/>
  <c r="D6" i="10" s="1"/>
  <c r="E27" i="4" l="1"/>
  <c r="F27" i="4"/>
  <c r="G27" i="4"/>
  <c r="H27" i="4"/>
  <c r="D27" i="4"/>
  <c r="D22" i="4"/>
  <c r="E22" i="4"/>
  <c r="F22" i="4"/>
  <c r="G22" i="4"/>
  <c r="H22" i="4"/>
  <c r="C22" i="4"/>
  <c r="D17" i="4"/>
  <c r="E17" i="4"/>
  <c r="F17" i="4"/>
  <c r="G17" i="4"/>
  <c r="H17" i="4"/>
  <c r="E12" i="4"/>
  <c r="F12" i="4"/>
  <c r="G12" i="4"/>
  <c r="H12" i="4"/>
  <c r="D12" i="4"/>
  <c r="I14" i="4" l="1"/>
  <c r="L29" i="4"/>
  <c r="J23" i="4"/>
  <c r="J22" i="4" s="1"/>
  <c r="L19" i="4"/>
  <c r="I15" i="4"/>
  <c r="I23" i="4"/>
  <c r="I22" i="4" s="1"/>
  <c r="I24" i="4"/>
  <c r="L23" i="4"/>
  <c r="L22" i="4" s="1"/>
  <c r="N24" i="4"/>
  <c r="K19" i="4"/>
  <c r="L20" i="4"/>
  <c r="M24" i="4"/>
  <c r="K23" i="4"/>
  <c r="K22" i="4" s="1"/>
  <c r="N30" i="4"/>
  <c r="K29" i="4"/>
  <c r="I13" i="4"/>
  <c r="I12" i="4" s="1"/>
  <c r="M19" i="4"/>
  <c r="M28" i="4"/>
  <c r="M27" i="4" s="1"/>
  <c r="K20" i="4"/>
  <c r="J20" i="4"/>
  <c r="L30" i="4"/>
  <c r="N18" i="4"/>
  <c r="N17" i="4" s="1"/>
  <c r="M30" i="4"/>
  <c r="M18" i="4"/>
  <c r="M17" i="4" s="1"/>
  <c r="L24" i="4"/>
  <c r="M14" i="4"/>
  <c r="L18" i="4"/>
  <c r="L17" i="4" s="1"/>
  <c r="J19" i="4"/>
  <c r="N25" i="4"/>
  <c r="K24" i="4"/>
  <c r="K30" i="4"/>
  <c r="N14" i="4"/>
  <c r="L14" i="4"/>
  <c r="I18" i="4"/>
  <c r="I17" i="4" s="1"/>
  <c r="H10" i="1" s="1"/>
  <c r="K18" i="4"/>
  <c r="K17" i="4" s="1"/>
  <c r="I20" i="4"/>
  <c r="M25" i="4"/>
  <c r="J24" i="4"/>
  <c r="J30" i="4"/>
  <c r="J29" i="4"/>
  <c r="I25" i="4"/>
  <c r="K14" i="4"/>
  <c r="J18" i="4"/>
  <c r="J17" i="4" s="1"/>
  <c r="N20" i="4"/>
  <c r="L25" i="4"/>
  <c r="N23" i="4"/>
  <c r="N22" i="4" s="1"/>
  <c r="I28" i="4"/>
  <c r="I27" i="4" s="1"/>
  <c r="H12" i="1" s="1"/>
  <c r="N29" i="4"/>
  <c r="J14" i="4"/>
  <c r="I19" i="4"/>
  <c r="M20" i="4"/>
  <c r="K25" i="4"/>
  <c r="M23" i="4"/>
  <c r="M22" i="4" s="1"/>
  <c r="I29" i="4"/>
  <c r="M29" i="4"/>
  <c r="N19" i="4"/>
  <c r="J25" i="4"/>
  <c r="I30" i="4"/>
  <c r="L28" i="4"/>
  <c r="L27" i="4" s="1"/>
  <c r="N28" i="4"/>
  <c r="N27" i="4" s="1"/>
  <c r="K28" i="4"/>
  <c r="K27" i="4" s="1"/>
  <c r="J28" i="4"/>
  <c r="J27" i="4" s="1"/>
  <c r="J15" i="4"/>
  <c r="N15" i="4"/>
  <c r="M15" i="4"/>
  <c r="L15" i="4"/>
  <c r="K15" i="4"/>
  <c r="D7" i="4"/>
  <c r="E7" i="4"/>
  <c r="F7" i="4"/>
  <c r="G7" i="4"/>
  <c r="H7" i="4"/>
  <c r="C7" i="4"/>
  <c r="D2" i="4"/>
  <c r="E2" i="4" s="1"/>
  <c r="F2" i="4" s="1"/>
  <c r="G2" i="4" s="1"/>
  <c r="H2" i="4" s="1"/>
  <c r="I2" i="4" s="1"/>
  <c r="G35" i="2"/>
  <c r="F35" i="2" s="1"/>
  <c r="G51" i="2"/>
  <c r="F51" i="2" s="1"/>
  <c r="G31" i="2"/>
  <c r="F29" i="2" s="1"/>
  <c r="G64" i="2"/>
  <c r="F64" i="2"/>
  <c r="E64" i="2"/>
  <c r="D64" i="2"/>
  <c r="C64" i="2"/>
  <c r="B64" i="2"/>
  <c r="D61" i="2"/>
  <c r="E61" i="2" s="1"/>
  <c r="F61" i="2" s="1"/>
  <c r="G61" i="2" s="1"/>
  <c r="C61" i="2"/>
  <c r="G47" i="2"/>
  <c r="F46" i="2" s="1"/>
  <c r="G43" i="2"/>
  <c r="F42" i="2" s="1"/>
  <c r="G39" i="2"/>
  <c r="F39" i="2" s="1"/>
  <c r="D29" i="2"/>
  <c r="D28" i="2"/>
  <c r="A28" i="2"/>
  <c r="A32" i="2" s="1"/>
  <c r="A36" i="2" s="1"/>
  <c r="A40" i="2" s="1"/>
  <c r="A44" i="2" s="1"/>
  <c r="A48" i="2" s="1"/>
  <c r="G25" i="2"/>
  <c r="F25" i="2"/>
  <c r="F24" i="2"/>
  <c r="F23" i="2"/>
  <c r="F22" i="2"/>
  <c r="F21" i="2"/>
  <c r="F20" i="2"/>
  <c r="F19" i="2"/>
  <c r="G21" i="2" s="1"/>
  <c r="F18" i="2"/>
  <c r="F17" i="2"/>
  <c r="F16" i="2"/>
  <c r="F15" i="2"/>
  <c r="G17" i="2" s="1"/>
  <c r="F14" i="2"/>
  <c r="F13" i="2"/>
  <c r="G13" i="2" s="1"/>
  <c r="F12" i="2"/>
  <c r="F11" i="2"/>
  <c r="F10" i="2"/>
  <c r="F9" i="2"/>
  <c r="F8" i="2"/>
  <c r="F7" i="2"/>
  <c r="G9" i="2" s="1"/>
  <c r="F6" i="2"/>
  <c r="F5" i="2"/>
  <c r="F4" i="2"/>
  <c r="F3" i="2"/>
  <c r="G5" i="2" s="1"/>
  <c r="I12" i="1" l="1"/>
  <c r="I10" i="1"/>
  <c r="J13" i="4"/>
  <c r="J12" i="4" s="1"/>
  <c r="K13" i="4" s="1"/>
  <c r="K12" i="4" s="1"/>
  <c r="L13" i="4" s="1"/>
  <c r="L12" i="4" s="1"/>
  <c r="M13" i="4" s="1"/>
  <c r="M12" i="4" s="1"/>
  <c r="H9" i="1"/>
  <c r="J10" i="4"/>
  <c r="K8" i="4"/>
  <c r="K7" i="4" s="1"/>
  <c r="J8" i="4"/>
  <c r="J7" i="4" s="1"/>
  <c r="M8" i="4"/>
  <c r="M7" i="4" s="1"/>
  <c r="I8" i="4"/>
  <c r="I7" i="4" s="1"/>
  <c r="N8" i="4"/>
  <c r="N7" i="4" s="1"/>
  <c r="L8" i="4"/>
  <c r="L7" i="4" s="1"/>
  <c r="K9" i="4"/>
  <c r="J9" i="4"/>
  <c r="I10" i="4"/>
  <c r="N10" i="4"/>
  <c r="I9" i="4"/>
  <c r="M10" i="4"/>
  <c r="N9" i="4"/>
  <c r="L10" i="4"/>
  <c r="M9" i="4"/>
  <c r="K10" i="4"/>
  <c r="L9" i="4"/>
  <c r="J2" i="4"/>
  <c r="K2" i="4" s="1"/>
  <c r="L2" i="4" s="1"/>
  <c r="M2" i="4" s="1"/>
  <c r="N2" i="4" s="1"/>
  <c r="F31" i="2"/>
  <c r="F30" i="2"/>
  <c r="E30" i="2" s="1"/>
  <c r="D30" i="2" s="1"/>
  <c r="C30" i="2" s="1"/>
  <c r="F43" i="2"/>
  <c r="F45" i="2"/>
  <c r="F47" i="2"/>
  <c r="F32" i="2"/>
  <c r="F34" i="2"/>
  <c r="F48" i="2"/>
  <c r="F50" i="2"/>
  <c r="F28" i="2"/>
  <c r="F41" i="2"/>
  <c r="E63" i="2"/>
  <c r="F63" i="2"/>
  <c r="D63" i="2"/>
  <c r="C63" i="2"/>
  <c r="B63" i="2"/>
  <c r="G63" i="2"/>
  <c r="F36" i="2"/>
  <c r="F33" i="2"/>
  <c r="F40" i="2"/>
  <c r="F49" i="2"/>
  <c r="F38" i="2"/>
  <c r="F37" i="2"/>
  <c r="F44" i="2"/>
  <c r="J12" i="1" l="1"/>
  <c r="K12" i="1" s="1"/>
  <c r="J10" i="1"/>
  <c r="I9" i="1"/>
  <c r="N13" i="4"/>
  <c r="N12" i="4" s="1"/>
  <c r="E31" i="2"/>
  <c r="D31" i="2" s="1"/>
  <c r="C31" i="2" s="1"/>
  <c r="H6" i="1" s="1"/>
  <c r="H8" i="1" l="1"/>
  <c r="I3" i="4"/>
  <c r="I17" i="8" s="1"/>
  <c r="C42" i="4"/>
  <c r="J9" i="1"/>
  <c r="K10" i="1"/>
  <c r="L12" i="1"/>
  <c r="H11" i="1"/>
  <c r="E32" i="2"/>
  <c r="E33" i="2" s="1"/>
  <c r="C45" i="1"/>
  <c r="D45" i="1" s="1"/>
  <c r="E45" i="1" s="1"/>
  <c r="F45" i="1" s="1"/>
  <c r="G45" i="1" s="1"/>
  <c r="C59" i="1"/>
  <c r="D59" i="1"/>
  <c r="E59" i="1"/>
  <c r="F59" i="1"/>
  <c r="G59" i="1"/>
  <c r="G71" i="1"/>
  <c r="F71" i="1"/>
  <c r="E71" i="1"/>
  <c r="D71" i="1"/>
  <c r="C71" i="1"/>
  <c r="G37" i="1"/>
  <c r="F37" i="1"/>
  <c r="E37" i="1"/>
  <c r="D37" i="1"/>
  <c r="C37" i="1"/>
  <c r="C77" i="1" s="1"/>
  <c r="C32" i="1"/>
  <c r="D32" i="1" s="1"/>
  <c r="E32" i="1" s="1"/>
  <c r="F32" i="1" s="1"/>
  <c r="G32" i="1" s="1"/>
  <c r="G13" i="1"/>
  <c r="G14" i="1" s="1"/>
  <c r="F13" i="1"/>
  <c r="F14" i="1" s="1"/>
  <c r="E13" i="1"/>
  <c r="E14" i="1" s="1"/>
  <c r="D13" i="1"/>
  <c r="D14" i="1" s="1"/>
  <c r="C13" i="1"/>
  <c r="C14" i="1" s="1"/>
  <c r="C17" i="1" s="1"/>
  <c r="C19" i="1" s="1"/>
  <c r="C30" i="1" s="1"/>
  <c r="C33" i="1" s="1"/>
  <c r="C5" i="1"/>
  <c r="D5" i="1" s="1"/>
  <c r="E5" i="1" s="1"/>
  <c r="F5" i="1" s="1"/>
  <c r="G5" i="1" s="1"/>
  <c r="I4" i="4" l="1"/>
  <c r="I15" i="8"/>
  <c r="I16" i="8"/>
  <c r="I12" i="8"/>
  <c r="I14" i="8"/>
  <c r="H35" i="1"/>
  <c r="H36" i="1"/>
  <c r="H27" i="7"/>
  <c r="H9" i="7" s="1"/>
  <c r="H25" i="7"/>
  <c r="H26" i="7"/>
  <c r="H8" i="7" s="1"/>
  <c r="I44" i="8" s="1"/>
  <c r="I75" i="5"/>
  <c r="H24" i="7"/>
  <c r="H6" i="7" s="1"/>
  <c r="H114" i="1"/>
  <c r="L10" i="1"/>
  <c r="M12" i="1"/>
  <c r="K9" i="1"/>
  <c r="H13" i="1"/>
  <c r="H14" i="1" s="1"/>
  <c r="D32" i="2"/>
  <c r="C32" i="2" s="1"/>
  <c r="H5" i="1"/>
  <c r="I5" i="1" s="1"/>
  <c r="D77" i="1"/>
  <c r="E77" i="1" s="1"/>
  <c r="F77" i="1" s="1"/>
  <c r="D33" i="2"/>
  <c r="C33" i="2" s="1"/>
  <c r="E34" i="2"/>
  <c r="C79" i="1"/>
  <c r="C20" i="1"/>
  <c r="F17" i="1"/>
  <c r="F19" i="1" s="1"/>
  <c r="G17" i="1"/>
  <c r="G19" i="1" s="1"/>
  <c r="D17" i="1"/>
  <c r="D19" i="1" s="1"/>
  <c r="E17" i="1"/>
  <c r="E19" i="1" s="1"/>
  <c r="C38" i="1"/>
  <c r="E22" i="10" l="1"/>
  <c r="E23" i="10" s="1"/>
  <c r="I43" i="8"/>
  <c r="I11" i="8"/>
  <c r="I2" i="8" s="1"/>
  <c r="H37" i="1"/>
  <c r="H13" i="7"/>
  <c r="H17" i="7" s="1"/>
  <c r="H32" i="1"/>
  <c r="L9" i="1"/>
  <c r="M10" i="1"/>
  <c r="J5" i="1"/>
  <c r="I32" i="1"/>
  <c r="D34" i="2"/>
  <c r="C34" i="2" s="1"/>
  <c r="E35" i="2"/>
  <c r="G77" i="1"/>
  <c r="G79" i="1" s="1"/>
  <c r="C82" i="1"/>
  <c r="C81" i="1"/>
  <c r="D79" i="1"/>
  <c r="D30" i="1"/>
  <c r="D33" i="1" s="1"/>
  <c r="D38" i="1" s="1"/>
  <c r="D20" i="1"/>
  <c r="F20" i="1"/>
  <c r="F30" i="1"/>
  <c r="F33" i="1" s="1"/>
  <c r="F38" i="1" s="1"/>
  <c r="E20" i="1"/>
  <c r="E30" i="1"/>
  <c r="E33" i="1" s="1"/>
  <c r="E38" i="1" s="1"/>
  <c r="G20" i="1"/>
  <c r="G30" i="1"/>
  <c r="G33" i="1" s="1"/>
  <c r="G38" i="1" s="1"/>
  <c r="I3" i="8" l="1"/>
  <c r="H52" i="1" s="1"/>
  <c r="H77" i="1"/>
  <c r="H49" i="1"/>
  <c r="M9" i="1"/>
  <c r="K5" i="1"/>
  <c r="J32" i="1"/>
  <c r="D35" i="2"/>
  <c r="C35" i="2" s="1"/>
  <c r="I6" i="1" s="1"/>
  <c r="J3" i="4" s="1"/>
  <c r="E36" i="2"/>
  <c r="D81" i="1"/>
  <c r="D82" i="1"/>
  <c r="E79" i="1"/>
  <c r="H101" i="1" l="1"/>
  <c r="H102" i="1"/>
  <c r="I4" i="8"/>
  <c r="J17" i="8"/>
  <c r="J14" i="8"/>
  <c r="J12" i="8"/>
  <c r="J16" i="8"/>
  <c r="J15" i="8"/>
  <c r="I27" i="7"/>
  <c r="I9" i="7" s="1"/>
  <c r="I36" i="1"/>
  <c r="I35" i="1"/>
  <c r="I77" i="1" s="1"/>
  <c r="I4" i="7"/>
  <c r="I25" i="7"/>
  <c r="I26" i="7"/>
  <c r="I8" i="7" s="1"/>
  <c r="J44" i="8" s="1"/>
  <c r="J75" i="5"/>
  <c r="I24" i="7"/>
  <c r="I6" i="7" s="1"/>
  <c r="I114" i="1"/>
  <c r="I11" i="1"/>
  <c r="D42" i="4"/>
  <c r="I8" i="1"/>
  <c r="J4" i="4" s="1"/>
  <c r="L5" i="1"/>
  <c r="K32" i="1"/>
  <c r="E37" i="2"/>
  <c r="D36" i="2"/>
  <c r="C36" i="2" s="1"/>
  <c r="E81" i="1"/>
  <c r="E82" i="1"/>
  <c r="F79" i="1"/>
  <c r="J43" i="8" l="1"/>
  <c r="J11" i="8"/>
  <c r="I37" i="1"/>
  <c r="I13" i="1"/>
  <c r="I14" i="1" s="1"/>
  <c r="M5" i="1"/>
  <c r="M32" i="1" s="1"/>
  <c r="L32" i="1"/>
  <c r="D37" i="2"/>
  <c r="C37" i="2" s="1"/>
  <c r="E38" i="2"/>
  <c r="F81" i="1"/>
  <c r="F82" i="1"/>
  <c r="G81" i="1"/>
  <c r="G82" i="1"/>
  <c r="F22" i="10" l="1"/>
  <c r="F23" i="10" s="1"/>
  <c r="J2" i="8"/>
  <c r="I49" i="1" s="1"/>
  <c r="J3" i="8"/>
  <c r="I52" i="1" s="1"/>
  <c r="I13" i="7"/>
  <c r="I17" i="7" s="1"/>
  <c r="E39" i="2"/>
  <c r="D38" i="2"/>
  <c r="C38" i="2" s="1"/>
  <c r="I101" i="1" l="1"/>
  <c r="J4" i="8"/>
  <c r="J4" i="7"/>
  <c r="D39" i="2"/>
  <c r="C39" i="2" s="1"/>
  <c r="J6" i="1" s="1"/>
  <c r="K3" i="4" s="1"/>
  <c r="E40" i="2"/>
  <c r="K15" i="8" l="1"/>
  <c r="K14" i="8"/>
  <c r="K12" i="8"/>
  <c r="K16" i="8"/>
  <c r="K17" i="8"/>
  <c r="J27" i="7"/>
  <c r="J9" i="7" s="1"/>
  <c r="J36" i="1"/>
  <c r="J35" i="1"/>
  <c r="J77" i="1" s="1"/>
  <c r="J25" i="7"/>
  <c r="J26" i="7"/>
  <c r="J8" i="7" s="1"/>
  <c r="K44" i="8" s="1"/>
  <c r="K75" i="5"/>
  <c r="J24" i="7"/>
  <c r="J6" i="7" s="1"/>
  <c r="J114" i="1"/>
  <c r="J11" i="1"/>
  <c r="E42" i="4"/>
  <c r="J8" i="1"/>
  <c r="K4" i="4" s="1"/>
  <c r="D40" i="2"/>
  <c r="C40" i="2" s="1"/>
  <c r="E41" i="2"/>
  <c r="K43" i="8" l="1"/>
  <c r="K11" i="8"/>
  <c r="J37" i="1"/>
  <c r="J13" i="1"/>
  <c r="J14" i="1" s="1"/>
  <c r="D41" i="2"/>
  <c r="C41" i="2" s="1"/>
  <c r="E42" i="2"/>
  <c r="G22" i="10" l="1"/>
  <c r="G23" i="10" s="1"/>
  <c r="K3" i="8"/>
  <c r="J52" i="1" s="1"/>
  <c r="K2" i="8"/>
  <c r="J49" i="1" s="1"/>
  <c r="J13" i="7"/>
  <c r="J17" i="7" s="1"/>
  <c r="E43" i="2"/>
  <c r="D42" i="2"/>
  <c r="C42" i="2" s="1"/>
  <c r="J101" i="1" l="1"/>
  <c r="K4" i="8"/>
  <c r="K4" i="7"/>
  <c r="D43" i="2"/>
  <c r="C43" i="2" s="1"/>
  <c r="K6" i="1" s="1"/>
  <c r="L3" i="4" s="1"/>
  <c r="E44" i="2"/>
  <c r="L12" i="8" l="1"/>
  <c r="L17" i="8"/>
  <c r="L16" i="8"/>
  <c r="L14" i="8"/>
  <c r="L15" i="8"/>
  <c r="K27" i="7"/>
  <c r="K9" i="7" s="1"/>
  <c r="K36" i="1"/>
  <c r="K35" i="1"/>
  <c r="K77" i="1" s="1"/>
  <c r="K25" i="7"/>
  <c r="K26" i="7"/>
  <c r="K8" i="7" s="1"/>
  <c r="L44" i="8" s="1"/>
  <c r="L75" i="5"/>
  <c r="K24" i="7"/>
  <c r="K6" i="7" s="1"/>
  <c r="K114" i="1"/>
  <c r="K11" i="1"/>
  <c r="F42" i="4"/>
  <c r="K8" i="1"/>
  <c r="L4" i="4" s="1"/>
  <c r="E45" i="2"/>
  <c r="D44" i="2"/>
  <c r="C44" i="2" s="1"/>
  <c r="L43" i="8" l="1"/>
  <c r="L11" i="8"/>
  <c r="K37" i="1"/>
  <c r="K13" i="1"/>
  <c r="K14" i="1" s="1"/>
  <c r="E46" i="2"/>
  <c r="D45" i="2"/>
  <c r="C45" i="2" s="1"/>
  <c r="H22" i="10" l="1"/>
  <c r="H23" i="10" s="1"/>
  <c r="L3" i="8"/>
  <c r="K52" i="1" s="1"/>
  <c r="L2" i="8"/>
  <c r="K49" i="1" s="1"/>
  <c r="K13" i="7"/>
  <c r="K17" i="7" s="1"/>
  <c r="D46" i="2"/>
  <c r="C46" i="2" s="1"/>
  <c r="E47" i="2"/>
  <c r="K101" i="1" l="1"/>
  <c r="L4" i="8"/>
  <c r="L4" i="7"/>
  <c r="D47" i="2"/>
  <c r="C47" i="2" s="1"/>
  <c r="L6" i="1" s="1"/>
  <c r="M3" i="4" s="1"/>
  <c r="E48" i="2"/>
  <c r="M16" i="8" l="1"/>
  <c r="M17" i="8"/>
  <c r="M15" i="8"/>
  <c r="M12" i="8"/>
  <c r="M14" i="8"/>
  <c r="L27" i="7"/>
  <c r="L9" i="7" s="1"/>
  <c r="L36" i="1"/>
  <c r="L35" i="1"/>
  <c r="L77" i="1" s="1"/>
  <c r="L25" i="7"/>
  <c r="L26" i="7"/>
  <c r="L8" i="7" s="1"/>
  <c r="M44" i="8" s="1"/>
  <c r="M75" i="5"/>
  <c r="L24" i="7"/>
  <c r="L6" i="7" s="1"/>
  <c r="L114" i="1"/>
  <c r="L11" i="1"/>
  <c r="G42" i="4"/>
  <c r="L8" i="1"/>
  <c r="M4" i="4" s="1"/>
  <c r="D48" i="2"/>
  <c r="C48" i="2" s="1"/>
  <c r="E49" i="2"/>
  <c r="M43" i="8" l="1"/>
  <c r="M11" i="8"/>
  <c r="L37" i="1"/>
  <c r="L13" i="1"/>
  <c r="L14" i="1" s="1"/>
  <c r="D49" i="2"/>
  <c r="C49" i="2" s="1"/>
  <c r="E50" i="2"/>
  <c r="I22" i="10" l="1"/>
  <c r="I23" i="10" s="1"/>
  <c r="M3" i="8"/>
  <c r="L52" i="1" s="1"/>
  <c r="M2" i="8"/>
  <c r="L49" i="1" s="1"/>
  <c r="L13" i="7"/>
  <c r="L17" i="7" s="1"/>
  <c r="D50" i="2"/>
  <c r="C50" i="2" s="1"/>
  <c r="E51" i="2"/>
  <c r="D51" i="2" s="1"/>
  <c r="C51" i="2" s="1"/>
  <c r="L101" i="1" l="1"/>
  <c r="M4" i="8"/>
  <c r="M4" i="7"/>
  <c r="M6" i="1"/>
  <c r="N3" i="4" s="1"/>
  <c r="N14" i="8" l="1"/>
  <c r="N12" i="8"/>
  <c r="N15" i="8"/>
  <c r="N17" i="8"/>
  <c r="N16" i="8"/>
  <c r="M27" i="7"/>
  <c r="M9" i="7" s="1"/>
  <c r="M36" i="1"/>
  <c r="M35" i="1"/>
  <c r="M77" i="1" s="1"/>
  <c r="M25" i="7"/>
  <c r="M26" i="7"/>
  <c r="M8" i="7" s="1"/>
  <c r="N44" i="8" s="1"/>
  <c r="N75" i="5"/>
  <c r="M24" i="7"/>
  <c r="M6" i="7" s="1"/>
  <c r="M114" i="1"/>
  <c r="N110" i="4"/>
  <c r="M110" i="4"/>
  <c r="K109" i="4"/>
  <c r="L110" i="4"/>
  <c r="I109" i="4"/>
  <c r="J109" i="4"/>
  <c r="I108" i="4"/>
  <c r="N108" i="4"/>
  <c r="L108" i="4"/>
  <c r="J110" i="4"/>
  <c r="M108" i="4"/>
  <c r="M107" i="4" s="1"/>
  <c r="J108" i="4"/>
  <c r="K110" i="4"/>
  <c r="K108" i="4"/>
  <c r="I110" i="4"/>
  <c r="M109" i="4"/>
  <c r="L109" i="4"/>
  <c r="N109" i="4"/>
  <c r="J113" i="4"/>
  <c r="L114" i="4"/>
  <c r="K115" i="4"/>
  <c r="N113" i="4"/>
  <c r="N115" i="4"/>
  <c r="M114" i="4"/>
  <c r="K114" i="4"/>
  <c r="M113" i="4"/>
  <c r="J115" i="4"/>
  <c r="N114" i="4"/>
  <c r="L113" i="4"/>
  <c r="J114" i="4"/>
  <c r="M115" i="4"/>
  <c r="L115" i="4"/>
  <c r="K113" i="4"/>
  <c r="I114" i="4"/>
  <c r="I115" i="4"/>
  <c r="I113" i="4"/>
  <c r="J73" i="4"/>
  <c r="M75" i="4"/>
  <c r="N74" i="4"/>
  <c r="L73" i="4"/>
  <c r="L75" i="4"/>
  <c r="K74" i="4"/>
  <c r="N75" i="4"/>
  <c r="K75" i="4"/>
  <c r="K73" i="4"/>
  <c r="J74" i="4"/>
  <c r="M74" i="4"/>
  <c r="L74" i="4"/>
  <c r="N73" i="4"/>
  <c r="M73" i="4"/>
  <c r="J75" i="4"/>
  <c r="I73" i="4"/>
  <c r="I75" i="4"/>
  <c r="I74" i="4"/>
  <c r="K68" i="4"/>
  <c r="N69" i="4"/>
  <c r="J68" i="4"/>
  <c r="K70" i="4"/>
  <c r="J70" i="4"/>
  <c r="L68" i="4"/>
  <c r="L70" i="4"/>
  <c r="M68" i="4"/>
  <c r="K69" i="4"/>
  <c r="M69" i="4"/>
  <c r="M70" i="4"/>
  <c r="N68" i="4"/>
  <c r="L69" i="4"/>
  <c r="J69" i="4"/>
  <c r="N70" i="4"/>
  <c r="I69" i="4"/>
  <c r="I70" i="4"/>
  <c r="I68" i="4"/>
  <c r="K63" i="4"/>
  <c r="M65" i="4"/>
  <c r="J65" i="4"/>
  <c r="M63" i="4"/>
  <c r="L64" i="4"/>
  <c r="L63" i="4"/>
  <c r="J64" i="4"/>
  <c r="N65" i="4"/>
  <c r="N64" i="4"/>
  <c r="K65" i="4"/>
  <c r="L65" i="4"/>
  <c r="N63" i="4"/>
  <c r="J63" i="4"/>
  <c r="K64" i="4"/>
  <c r="M64" i="4"/>
  <c r="I65" i="4"/>
  <c r="I64" i="4"/>
  <c r="I63" i="4"/>
  <c r="I53" i="4"/>
  <c r="L53" i="4"/>
  <c r="J53" i="4"/>
  <c r="N55" i="4"/>
  <c r="K53" i="4"/>
  <c r="L55" i="4"/>
  <c r="J54" i="4"/>
  <c r="M54" i="4"/>
  <c r="M55" i="4"/>
  <c r="M53" i="4"/>
  <c r="J55" i="4"/>
  <c r="K55" i="4"/>
  <c r="L54" i="4"/>
  <c r="N54" i="4"/>
  <c r="K54" i="4"/>
  <c r="N53" i="4"/>
  <c r="I55" i="4"/>
  <c r="I54" i="4"/>
  <c r="M11" i="1"/>
  <c r="H42" i="4"/>
  <c r="M8" i="1"/>
  <c r="N4" i="4" s="1"/>
  <c r="N107" i="4" l="1"/>
  <c r="J62" i="4"/>
  <c r="N62" i="4"/>
  <c r="J107" i="4"/>
  <c r="J112" i="4"/>
  <c r="I62" i="4"/>
  <c r="I32" i="5" s="1"/>
  <c r="I107" i="4"/>
  <c r="L62" i="4"/>
  <c r="K72" i="4"/>
  <c r="J72" i="4"/>
  <c r="K67" i="4"/>
  <c r="M67" i="4"/>
  <c r="K107" i="4"/>
  <c r="L112" i="4"/>
  <c r="M62" i="4"/>
  <c r="I112" i="4"/>
  <c r="N43" i="8"/>
  <c r="N11" i="8"/>
  <c r="M37" i="1"/>
  <c r="L67" i="4"/>
  <c r="I72" i="4"/>
  <c r="H57" i="1" s="1"/>
  <c r="N67" i="4"/>
  <c r="M112" i="4"/>
  <c r="K62" i="4"/>
  <c r="J67" i="4"/>
  <c r="N72" i="4"/>
  <c r="K112" i="4"/>
  <c r="L107" i="4"/>
  <c r="N112" i="4"/>
  <c r="N52" i="4"/>
  <c r="M72" i="4"/>
  <c r="I67" i="4"/>
  <c r="I58" i="5" s="1"/>
  <c r="L72" i="4"/>
  <c r="N89" i="4"/>
  <c r="N88" i="4"/>
  <c r="K88" i="4"/>
  <c r="K89" i="4"/>
  <c r="L90" i="4"/>
  <c r="M90" i="4"/>
  <c r="J88" i="4"/>
  <c r="J90" i="4"/>
  <c r="L88" i="4"/>
  <c r="N90" i="4"/>
  <c r="J89" i="4"/>
  <c r="M89" i="4"/>
  <c r="K90" i="4"/>
  <c r="L89" i="4"/>
  <c r="M88" i="4"/>
  <c r="M87" i="4" s="1"/>
  <c r="I89" i="4"/>
  <c r="I90" i="4"/>
  <c r="I88" i="4"/>
  <c r="J84" i="4"/>
  <c r="M85" i="4"/>
  <c r="J83" i="4"/>
  <c r="K83" i="4"/>
  <c r="M84" i="4"/>
  <c r="N85" i="4"/>
  <c r="M83" i="4"/>
  <c r="L84" i="4"/>
  <c r="L83" i="4"/>
  <c r="K84" i="4"/>
  <c r="J85" i="4"/>
  <c r="K85" i="4"/>
  <c r="N84" i="4"/>
  <c r="N83" i="4"/>
  <c r="N82" i="4" s="1"/>
  <c r="L85" i="4"/>
  <c r="I84" i="4"/>
  <c r="I85" i="4"/>
  <c r="I83" i="4"/>
  <c r="I78" i="4"/>
  <c r="J78" i="4"/>
  <c r="L79" i="4"/>
  <c r="M80" i="4"/>
  <c r="N80" i="4"/>
  <c r="K78" i="4"/>
  <c r="K80" i="4"/>
  <c r="K79" i="4"/>
  <c r="M79" i="4"/>
  <c r="J80" i="4"/>
  <c r="N78" i="4"/>
  <c r="J79" i="4"/>
  <c r="N79" i="4"/>
  <c r="L78" i="4"/>
  <c r="M78" i="4"/>
  <c r="L80" i="4"/>
  <c r="I80" i="4"/>
  <c r="I79" i="4"/>
  <c r="M52" i="4"/>
  <c r="K52" i="4"/>
  <c r="J52" i="4"/>
  <c r="L52" i="4"/>
  <c r="I52" i="4"/>
  <c r="I21" i="5" s="1"/>
  <c r="I45" i="4"/>
  <c r="K43" i="4"/>
  <c r="J44" i="4"/>
  <c r="L43" i="4"/>
  <c r="N44" i="4"/>
  <c r="M44" i="4"/>
  <c r="K45" i="4"/>
  <c r="L44" i="4"/>
  <c r="J43" i="4"/>
  <c r="J45" i="4"/>
  <c r="M43" i="4"/>
  <c r="N45" i="4"/>
  <c r="K44" i="4"/>
  <c r="M45" i="4"/>
  <c r="N43" i="4"/>
  <c r="L45" i="4"/>
  <c r="I43" i="4"/>
  <c r="I44" i="4"/>
  <c r="M13" i="1"/>
  <c r="M14" i="1" s="1"/>
  <c r="J22" i="10" l="1"/>
  <c r="I35" i="5"/>
  <c r="J35" i="5" s="1"/>
  <c r="I66" i="1" s="1"/>
  <c r="I36" i="5"/>
  <c r="H68" i="1" s="1"/>
  <c r="I57" i="1"/>
  <c r="J57" i="1" s="1"/>
  <c r="K57" i="1" s="1"/>
  <c r="L57" i="1" s="1"/>
  <c r="M57" i="1" s="1"/>
  <c r="M77" i="4"/>
  <c r="L87" i="4"/>
  <c r="I82" i="4"/>
  <c r="L82" i="4"/>
  <c r="K87" i="4"/>
  <c r="I87" i="4"/>
  <c r="H65" i="1" s="1"/>
  <c r="D100" i="5" s="1"/>
  <c r="I102" i="1"/>
  <c r="H93" i="1"/>
  <c r="N3" i="8"/>
  <c r="M52" i="1" s="1"/>
  <c r="N2" i="8"/>
  <c r="J58" i="5"/>
  <c r="K58" i="5" s="1"/>
  <c r="I65" i="5"/>
  <c r="J65" i="5" s="1"/>
  <c r="K65" i="5" s="1"/>
  <c r="K77" i="4"/>
  <c r="N77" i="4"/>
  <c r="J87" i="4"/>
  <c r="K82" i="4"/>
  <c r="L77" i="4"/>
  <c r="N87" i="4"/>
  <c r="M82" i="4"/>
  <c r="J77" i="4"/>
  <c r="I77" i="4"/>
  <c r="H63" i="1" s="1"/>
  <c r="D98" i="5" s="1"/>
  <c r="J82" i="4"/>
  <c r="M13" i="7"/>
  <c r="J102" i="1"/>
  <c r="I59" i="5"/>
  <c r="J32" i="5"/>
  <c r="I55" i="1" s="1"/>
  <c r="E95" i="5" s="1"/>
  <c r="H55" i="1"/>
  <c r="D95" i="5" s="1"/>
  <c r="I42" i="4"/>
  <c r="H50" i="1" s="1"/>
  <c r="D94" i="5" s="1"/>
  <c r="L42" i="4"/>
  <c r="K42" i="4"/>
  <c r="I23" i="5"/>
  <c r="J23" i="5" s="1"/>
  <c r="K23" i="5" s="1"/>
  <c r="L23" i="5" s="1"/>
  <c r="M23" i="5" s="1"/>
  <c r="N23" i="5" s="1"/>
  <c r="I24" i="5"/>
  <c r="J24" i="5" s="1"/>
  <c r="K24" i="5" s="1"/>
  <c r="L24" i="5" s="1"/>
  <c r="M24" i="5" s="1"/>
  <c r="N24" i="5" s="1"/>
  <c r="I22" i="5"/>
  <c r="J22" i="5" s="1"/>
  <c r="K22" i="5" s="1"/>
  <c r="L22" i="5" s="1"/>
  <c r="M22" i="5" s="1"/>
  <c r="N22" i="5" s="1"/>
  <c r="I19" i="5"/>
  <c r="J19" i="5" s="1"/>
  <c r="K19" i="5" s="1"/>
  <c r="L19" i="5" s="1"/>
  <c r="M19" i="5" s="1"/>
  <c r="N19" i="5" s="1"/>
  <c r="I20" i="5"/>
  <c r="J20" i="5" s="1"/>
  <c r="K20" i="5" s="1"/>
  <c r="L20" i="5" s="1"/>
  <c r="M20" i="5" s="1"/>
  <c r="N20" i="5" s="1"/>
  <c r="I18" i="5"/>
  <c r="J18" i="5" s="1"/>
  <c r="M42" i="4"/>
  <c r="J42" i="4"/>
  <c r="N42" i="4"/>
  <c r="J23" i="10" l="1"/>
  <c r="H66" i="1"/>
  <c r="H97" i="1" s="1"/>
  <c r="I37" i="5"/>
  <c r="I38" i="5" s="1"/>
  <c r="I78" i="5" s="1"/>
  <c r="J36" i="5"/>
  <c r="I68" i="1" s="1"/>
  <c r="I65" i="1"/>
  <c r="I63" i="1"/>
  <c r="I50" i="1"/>
  <c r="M49" i="1"/>
  <c r="M101" i="1" s="1"/>
  <c r="H94" i="1"/>
  <c r="I93" i="1"/>
  <c r="H92" i="1"/>
  <c r="I60" i="5"/>
  <c r="I62" i="5"/>
  <c r="M17" i="7"/>
  <c r="N4" i="8"/>
  <c r="I66" i="5"/>
  <c r="J59" i="5"/>
  <c r="J66" i="5"/>
  <c r="K102" i="1"/>
  <c r="K35" i="5"/>
  <c r="J66" i="1" s="1"/>
  <c r="L65" i="5"/>
  <c r="K66" i="5"/>
  <c r="L58" i="5"/>
  <c r="K59" i="5"/>
  <c r="K32" i="5"/>
  <c r="J55" i="1" s="1"/>
  <c r="F95" i="5" s="1"/>
  <c r="K18" i="5"/>
  <c r="I82" i="5" l="1"/>
  <c r="D137" i="5"/>
  <c r="J63" i="1"/>
  <c r="J94" i="1" s="1"/>
  <c r="E98" i="5"/>
  <c r="J50" i="1"/>
  <c r="E94" i="5"/>
  <c r="J65" i="1"/>
  <c r="E100" i="5"/>
  <c r="I97" i="1"/>
  <c r="K36" i="5"/>
  <c r="J68" i="1" s="1"/>
  <c r="J37" i="5"/>
  <c r="J38" i="5" s="1"/>
  <c r="J78" i="5" s="1"/>
  <c r="I92" i="1"/>
  <c r="I94" i="1"/>
  <c r="J93" i="1"/>
  <c r="K69" i="5"/>
  <c r="J67" i="5"/>
  <c r="J69" i="5"/>
  <c r="I67" i="5"/>
  <c r="I71" i="5" s="1"/>
  <c r="H56" i="1" s="1"/>
  <c r="I69" i="5"/>
  <c r="K60" i="5"/>
  <c r="K62" i="5"/>
  <c r="J60" i="5"/>
  <c r="J62" i="5"/>
  <c r="K67" i="5"/>
  <c r="L35" i="5"/>
  <c r="K66" i="1" s="1"/>
  <c r="M65" i="5"/>
  <c r="L66" i="5"/>
  <c r="L69" i="5" s="1"/>
  <c r="M58" i="5"/>
  <c r="L59" i="5"/>
  <c r="L32" i="5"/>
  <c r="K55" i="1" s="1"/>
  <c r="G95" i="5" s="1"/>
  <c r="L18" i="5"/>
  <c r="J82" i="5" l="1"/>
  <c r="I16" i="1" s="1"/>
  <c r="E133" i="5" s="1"/>
  <c r="E137" i="5"/>
  <c r="K50" i="1"/>
  <c r="F94" i="5"/>
  <c r="J97" i="1"/>
  <c r="K65" i="1"/>
  <c r="F100" i="5"/>
  <c r="K63" i="1"/>
  <c r="F98" i="5"/>
  <c r="L36" i="5"/>
  <c r="K68" i="1" s="1"/>
  <c r="K37" i="5"/>
  <c r="K38" i="5" s="1"/>
  <c r="K78" i="5" s="1"/>
  <c r="L102" i="1"/>
  <c r="K93" i="1"/>
  <c r="J92" i="1"/>
  <c r="H104" i="1"/>
  <c r="J71" i="5"/>
  <c r="I56" i="1" s="1"/>
  <c r="K71" i="5"/>
  <c r="J56" i="1" s="1"/>
  <c r="L60" i="5"/>
  <c r="L62" i="5"/>
  <c r="M102" i="1"/>
  <c r="L67" i="5"/>
  <c r="M35" i="5"/>
  <c r="L66" i="1" s="1"/>
  <c r="M32" i="5"/>
  <c r="L55" i="1" s="1"/>
  <c r="H95" i="5" s="1"/>
  <c r="M66" i="5"/>
  <c r="M69" i="5" s="1"/>
  <c r="N65" i="5"/>
  <c r="M59" i="5"/>
  <c r="N58" i="5"/>
  <c r="M18" i="5"/>
  <c r="K82" i="5" l="1"/>
  <c r="J16" i="1" s="1"/>
  <c r="F133" i="5" s="1"/>
  <c r="F137" i="5"/>
  <c r="L63" i="1"/>
  <c r="L94" i="1" s="1"/>
  <c r="G98" i="5"/>
  <c r="K94" i="1"/>
  <c r="L65" i="1"/>
  <c r="G100" i="5"/>
  <c r="L50" i="1"/>
  <c r="G94" i="5"/>
  <c r="K97" i="1"/>
  <c r="M36" i="5"/>
  <c r="L68" i="1" s="1"/>
  <c r="L37" i="5"/>
  <c r="L38" i="5" s="1"/>
  <c r="L78" i="5" s="1"/>
  <c r="L93" i="1"/>
  <c r="J104" i="1"/>
  <c r="I104" i="1"/>
  <c r="K92" i="1"/>
  <c r="L71" i="5"/>
  <c r="K56" i="1" s="1"/>
  <c r="M60" i="5"/>
  <c r="M62" i="5"/>
  <c r="M67" i="5"/>
  <c r="N35" i="5"/>
  <c r="M66" i="1" s="1"/>
  <c r="N32" i="5"/>
  <c r="M55" i="1" s="1"/>
  <c r="I95" i="5" s="1"/>
  <c r="N66" i="5"/>
  <c r="N69" i="5" s="1"/>
  <c r="N59" i="5"/>
  <c r="N18" i="5"/>
  <c r="L82" i="5" l="1"/>
  <c r="K16" i="1" s="1"/>
  <c r="G133" i="5" s="1"/>
  <c r="G137" i="5"/>
  <c r="M50" i="1"/>
  <c r="I94" i="5" s="1"/>
  <c r="H94" i="5"/>
  <c r="M65" i="1"/>
  <c r="I100" i="5" s="1"/>
  <c r="H100" i="5"/>
  <c r="L97" i="1"/>
  <c r="M63" i="1"/>
  <c r="M94" i="1" s="1"/>
  <c r="H98" i="5"/>
  <c r="M37" i="5"/>
  <c r="M38" i="5" s="1"/>
  <c r="M78" i="5" s="1"/>
  <c r="N36" i="5"/>
  <c r="M68" i="1" s="1"/>
  <c r="M93" i="1"/>
  <c r="K104" i="1"/>
  <c r="L92" i="1"/>
  <c r="M71" i="5"/>
  <c r="L56" i="1" s="1"/>
  <c r="N60" i="5"/>
  <c r="N62" i="5"/>
  <c r="N67" i="5"/>
  <c r="M82" i="5" l="1"/>
  <c r="L16" i="1" s="1"/>
  <c r="H133" i="5" s="1"/>
  <c r="H137" i="5"/>
  <c r="M92" i="1"/>
  <c r="I98" i="5"/>
  <c r="M97" i="1"/>
  <c r="N37" i="5"/>
  <c r="N38" i="5" s="1"/>
  <c r="N78" i="5" s="1"/>
  <c r="L104" i="1"/>
  <c r="N71" i="5"/>
  <c r="M56" i="1" s="1"/>
  <c r="N82" i="5" l="1"/>
  <c r="M16" i="1" s="1"/>
  <c r="I133" i="5" s="1"/>
  <c r="I137" i="5"/>
  <c r="M104" i="1"/>
  <c r="H16" i="1"/>
  <c r="D133" i="5" s="1"/>
  <c r="E105" i="1" l="1"/>
  <c r="D105" i="1"/>
  <c r="F105" i="1"/>
  <c r="G105" i="1"/>
  <c r="E123" i="4"/>
  <c r="H123" i="4"/>
  <c r="G123" i="4"/>
  <c r="F123" i="4"/>
  <c r="N124" i="4" l="1"/>
  <c r="N123" i="4" s="1"/>
  <c r="I124" i="4"/>
  <c r="I123" i="4" s="1"/>
  <c r="N125" i="4"/>
  <c r="L124" i="4"/>
  <c r="L123" i="4" s="1"/>
  <c r="M126" i="4"/>
  <c r="J124" i="4"/>
  <c r="J123" i="4" s="1"/>
  <c r="I126" i="4"/>
  <c r="M124" i="4"/>
  <c r="M123" i="4" s="1"/>
  <c r="K126" i="4"/>
  <c r="J126" i="4"/>
  <c r="N126" i="4"/>
  <c r="L125" i="4"/>
  <c r="I125" i="4"/>
  <c r="K125" i="4"/>
  <c r="L126" i="4"/>
  <c r="K124" i="4"/>
  <c r="K123" i="4" s="1"/>
  <c r="M125" i="4"/>
  <c r="J125" i="4"/>
  <c r="B111" i="1"/>
  <c r="B115" i="1" s="1"/>
  <c r="B119" i="1" s="1"/>
  <c r="G111" i="1"/>
  <c r="G115" i="1" s="1"/>
  <c r="C111" i="1"/>
  <c r="C115" i="1" s="1"/>
  <c r="D111" i="1"/>
  <c r="D115" i="1" s="1"/>
  <c r="E111" i="1"/>
  <c r="E115" i="1" s="1"/>
  <c r="F111" i="1"/>
  <c r="F115" i="1" s="1"/>
  <c r="C118" i="1" l="1"/>
  <c r="B130" i="1"/>
  <c r="B129" i="1"/>
  <c r="B128" i="1"/>
  <c r="C119" i="1"/>
  <c r="C128" i="1" l="1"/>
  <c r="C129" i="1"/>
  <c r="C130" i="1"/>
  <c r="D118" i="1"/>
  <c r="D119" i="1" s="1"/>
  <c r="D128" i="1" l="1"/>
  <c r="D130" i="1"/>
  <c r="E118" i="1"/>
  <c r="E119" i="1" s="1"/>
  <c r="D129" i="1"/>
  <c r="E129" i="1" l="1"/>
  <c r="F118" i="1"/>
  <c r="F119" i="1" s="1"/>
  <c r="E130" i="1"/>
  <c r="E128" i="1"/>
  <c r="F129" i="1" l="1"/>
  <c r="G118" i="1"/>
  <c r="G119" i="1" s="1"/>
  <c r="F128" i="1"/>
  <c r="F130" i="1"/>
  <c r="G130" i="1" l="1"/>
  <c r="G129" i="1"/>
  <c r="H129" i="1" s="1"/>
  <c r="G128" i="1"/>
  <c r="H118" i="1"/>
  <c r="H130" i="1" l="1"/>
  <c r="H128" i="1"/>
  <c r="I129" i="1"/>
  <c r="I130" i="1" l="1"/>
  <c r="I128" i="1"/>
  <c r="J129" i="1"/>
  <c r="K129" i="1" s="1"/>
  <c r="L129" i="1" l="1"/>
  <c r="J128" i="1"/>
  <c r="M129" i="1"/>
  <c r="J130" i="1"/>
  <c r="K128" i="1" l="1"/>
  <c r="K130" i="1"/>
  <c r="L128" i="1" l="1"/>
  <c r="M128" i="1" s="1"/>
  <c r="L130" i="1"/>
  <c r="M130" i="1"/>
  <c r="J21" i="5" l="1"/>
  <c r="K21" i="5" s="1"/>
  <c r="I25" i="5"/>
  <c r="J25" i="5" l="1"/>
  <c r="L21" i="5"/>
  <c r="K25" i="5"/>
  <c r="I26" i="5"/>
  <c r="I28" i="5" s="1"/>
  <c r="J26" i="5" l="1"/>
  <c r="J28" i="5" s="1"/>
  <c r="I90" i="1" s="1"/>
  <c r="E135" i="5" s="1"/>
  <c r="K26" i="5"/>
  <c r="H90" i="1"/>
  <c r="D135" i="5" s="1"/>
  <c r="I61" i="9"/>
  <c r="I27" i="5"/>
  <c r="H54" i="1" s="1"/>
  <c r="M21" i="5"/>
  <c r="L25" i="5"/>
  <c r="C123" i="5" l="1"/>
  <c r="F24" i="10"/>
  <c r="D123" i="5"/>
  <c r="E24" i="10"/>
  <c r="H103" i="1"/>
  <c r="J27" i="5"/>
  <c r="I54" i="1" s="1"/>
  <c r="K28" i="5"/>
  <c r="J90" i="1" s="1"/>
  <c r="F135" i="5" s="1"/>
  <c r="H25" i="6"/>
  <c r="I5" i="4"/>
  <c r="L26" i="5"/>
  <c r="L28" i="5" s="1"/>
  <c r="K90" i="1" s="1"/>
  <c r="G135" i="5" s="1"/>
  <c r="M25" i="5"/>
  <c r="N21" i="5"/>
  <c r="N25" i="5" s="1"/>
  <c r="K27" i="5"/>
  <c r="J54" i="1" s="1"/>
  <c r="G24" i="10" l="1"/>
  <c r="E123" i="5"/>
  <c r="H24" i="10"/>
  <c r="F123" i="5"/>
  <c r="H105" i="1"/>
  <c r="E25" i="10"/>
  <c r="J5" i="4"/>
  <c r="J103" i="1"/>
  <c r="I103" i="1"/>
  <c r="K5" i="4"/>
  <c r="L27" i="5"/>
  <c r="K54" i="1" s="1"/>
  <c r="M26" i="5"/>
  <c r="M28" i="5" s="1"/>
  <c r="L90" i="1" s="1"/>
  <c r="H135" i="5" s="1"/>
  <c r="N26" i="5"/>
  <c r="N27" i="5" s="1"/>
  <c r="M54" i="1" s="1"/>
  <c r="H26" i="6"/>
  <c r="I25" i="6"/>
  <c r="H36" i="6"/>
  <c r="H37" i="6" s="1"/>
  <c r="H15" i="1" s="1"/>
  <c r="D132" i="5" s="1"/>
  <c r="H17" i="1" l="1"/>
  <c r="H18" i="1" s="1"/>
  <c r="I24" i="10"/>
  <c r="G123" i="5"/>
  <c r="I105" i="1"/>
  <c r="F25" i="10"/>
  <c r="J105" i="1"/>
  <c r="G25" i="10"/>
  <c r="L5" i="4"/>
  <c r="K103" i="1"/>
  <c r="M27" i="5"/>
  <c r="L54" i="1" s="1"/>
  <c r="I26" i="6"/>
  <c r="J25" i="6"/>
  <c r="I36" i="6"/>
  <c r="I37" i="6" s="1"/>
  <c r="I15" i="1" s="1"/>
  <c r="H28" i="6"/>
  <c r="H29" i="6" s="1"/>
  <c r="N28" i="5"/>
  <c r="M90" i="1" s="1"/>
  <c r="I135" i="5" s="1"/>
  <c r="I31" i="6" l="1"/>
  <c r="I17" i="1"/>
  <c r="I18" i="1" s="1"/>
  <c r="E132" i="5"/>
  <c r="H19" i="1"/>
  <c r="D134" i="5"/>
  <c r="J24" i="10"/>
  <c r="O20" i="10" s="1"/>
  <c r="H123" i="5"/>
  <c r="K105" i="1"/>
  <c r="H25" i="10"/>
  <c r="H109" i="1"/>
  <c r="E19" i="6"/>
  <c r="H69" i="1"/>
  <c r="N5" i="4"/>
  <c r="M103" i="1"/>
  <c r="L103" i="1"/>
  <c r="M5" i="4"/>
  <c r="I28" i="6"/>
  <c r="I29" i="6" s="1"/>
  <c r="J36" i="6"/>
  <c r="J37" i="6" s="1"/>
  <c r="J15" i="1" s="1"/>
  <c r="J26" i="6"/>
  <c r="K25" i="6"/>
  <c r="I69" i="1" l="1"/>
  <c r="I19" i="1"/>
  <c r="I89" i="1" s="1"/>
  <c r="E134" i="5"/>
  <c r="J17" i="1"/>
  <c r="J18" i="1" s="1"/>
  <c r="F132" i="5"/>
  <c r="H20" i="1"/>
  <c r="C124" i="5"/>
  <c r="H30" i="1"/>
  <c r="H33" i="1" s="1"/>
  <c r="H38" i="1" s="1"/>
  <c r="H78" i="1"/>
  <c r="H89" i="1"/>
  <c r="J25" i="10"/>
  <c r="D16" i="10"/>
  <c r="L105" i="1"/>
  <c r="I25" i="10"/>
  <c r="M105" i="1"/>
  <c r="I109" i="1"/>
  <c r="H112" i="1"/>
  <c r="L94" i="4"/>
  <c r="I94" i="4"/>
  <c r="K95" i="4"/>
  <c r="F52" i="6"/>
  <c r="F51" i="6"/>
  <c r="N93" i="4"/>
  <c r="D53" i="6"/>
  <c r="E51" i="6"/>
  <c r="L93" i="4"/>
  <c r="M93" i="4"/>
  <c r="N95" i="4"/>
  <c r="H53" i="6"/>
  <c r="E52" i="6"/>
  <c r="D52" i="6"/>
  <c r="N94" i="4"/>
  <c r="K93" i="4"/>
  <c r="D51" i="6"/>
  <c r="K94" i="4"/>
  <c r="I93" i="4"/>
  <c r="M94" i="4"/>
  <c r="C51" i="6"/>
  <c r="L95" i="4"/>
  <c r="C53" i="6"/>
  <c r="J94" i="4"/>
  <c r="G51" i="6"/>
  <c r="H51" i="6"/>
  <c r="G53" i="6"/>
  <c r="I95" i="4"/>
  <c r="J93" i="4"/>
  <c r="C52" i="6"/>
  <c r="J95" i="4"/>
  <c r="G52" i="6"/>
  <c r="H52" i="6"/>
  <c r="E53" i="6"/>
  <c r="M95" i="4"/>
  <c r="F53" i="6"/>
  <c r="K26" i="6"/>
  <c r="K36" i="6"/>
  <c r="K37" i="6" s="1"/>
  <c r="K15" i="1" s="1"/>
  <c r="L25" i="6"/>
  <c r="J28" i="6"/>
  <c r="J29" i="6" s="1"/>
  <c r="I20" i="1" l="1"/>
  <c r="I30" i="1"/>
  <c r="E130" i="5" s="1"/>
  <c r="E140" i="5" s="1"/>
  <c r="I78" i="1"/>
  <c r="J69" i="1"/>
  <c r="J19" i="1"/>
  <c r="J89" i="1" s="1"/>
  <c r="F134" i="5"/>
  <c r="K17" i="1"/>
  <c r="K18" i="1" s="1"/>
  <c r="G132" i="5"/>
  <c r="D130" i="5"/>
  <c r="D140" i="5" s="1"/>
  <c r="N92" i="4"/>
  <c r="F50" i="6"/>
  <c r="J92" i="4"/>
  <c r="I92" i="4"/>
  <c r="I47" i="5" s="1"/>
  <c r="H50" i="6"/>
  <c r="M92" i="4"/>
  <c r="L92" i="4"/>
  <c r="G50" i="6"/>
  <c r="C50" i="6"/>
  <c r="D50" i="6"/>
  <c r="E50" i="6"/>
  <c r="K92" i="4"/>
  <c r="J109" i="1"/>
  <c r="L26" i="6"/>
  <c r="L36" i="6"/>
  <c r="L37" i="6" s="1"/>
  <c r="L15" i="1" s="1"/>
  <c r="M25" i="6"/>
  <c r="K28" i="6"/>
  <c r="K29" i="6" s="1"/>
  <c r="I33" i="1" l="1"/>
  <c r="I38" i="1" s="1"/>
  <c r="J78" i="1"/>
  <c r="J30" i="1"/>
  <c r="J33" i="1" s="1"/>
  <c r="J38" i="1" s="1"/>
  <c r="J20" i="1"/>
  <c r="K69" i="1"/>
  <c r="D6" i="12"/>
  <c r="D11" i="12"/>
  <c r="E6" i="12"/>
  <c r="E11" i="12"/>
  <c r="K19" i="1"/>
  <c r="K89" i="1" s="1"/>
  <c r="G134" i="5"/>
  <c r="L17" i="1"/>
  <c r="L18" i="1" s="1"/>
  <c r="H132" i="5"/>
  <c r="J47" i="5"/>
  <c r="K47" i="5" s="1"/>
  <c r="L47" i="5" s="1"/>
  <c r="I48" i="5"/>
  <c r="I49" i="5" s="1"/>
  <c r="I44" i="5"/>
  <c r="J44" i="5" s="1"/>
  <c r="K44" i="5" s="1"/>
  <c r="L44" i="5" s="1"/>
  <c r="M44" i="5" s="1"/>
  <c r="N44" i="5" s="1"/>
  <c r="K109" i="1"/>
  <c r="L28" i="6"/>
  <c r="L29" i="6" s="1"/>
  <c r="M26" i="6"/>
  <c r="M36" i="6"/>
  <c r="M37" i="6" s="1"/>
  <c r="M15" i="1" s="1"/>
  <c r="F130" i="5" l="1"/>
  <c r="F140" i="5" s="1"/>
  <c r="F11" i="12" s="1"/>
  <c r="K78" i="1"/>
  <c r="L69" i="1"/>
  <c r="K30" i="1"/>
  <c r="K33" i="1" s="1"/>
  <c r="K38" i="1" s="1"/>
  <c r="K20" i="1"/>
  <c r="L19" i="1"/>
  <c r="L20" i="1" s="1"/>
  <c r="H134" i="5"/>
  <c r="M17" i="1"/>
  <c r="M18" i="1" s="1"/>
  <c r="I132" i="5"/>
  <c r="I50" i="5"/>
  <c r="I45" i="8" s="1"/>
  <c r="I42" i="8" s="1"/>
  <c r="H110" i="1" s="1"/>
  <c r="H111" i="1" s="1"/>
  <c r="J48" i="5"/>
  <c r="K48" i="5" s="1"/>
  <c r="I53" i="5"/>
  <c r="I52" i="5" s="1"/>
  <c r="H70" i="1" s="1"/>
  <c r="L109" i="1"/>
  <c r="M28" i="6"/>
  <c r="M29" i="6" s="1"/>
  <c r="M47" i="5"/>
  <c r="F6" i="12" l="1"/>
  <c r="L78" i="1"/>
  <c r="G130" i="5"/>
  <c r="G140" i="5" s="1"/>
  <c r="L30" i="1"/>
  <c r="H130" i="5" s="1"/>
  <c r="H140" i="5" s="1"/>
  <c r="L89" i="1"/>
  <c r="M19" i="1"/>
  <c r="M30" i="1" s="1"/>
  <c r="I134" i="5"/>
  <c r="M69" i="1"/>
  <c r="D14" i="10"/>
  <c r="I34" i="10" s="1"/>
  <c r="H96" i="1"/>
  <c r="H98" i="1" s="1"/>
  <c r="D7" i="12" s="1"/>
  <c r="D101" i="5"/>
  <c r="D102" i="5" s="1"/>
  <c r="D104" i="5" s="1"/>
  <c r="E26" i="10" s="1"/>
  <c r="J49" i="5"/>
  <c r="J50" i="5" s="1"/>
  <c r="J45" i="8" s="1"/>
  <c r="J42" i="8" s="1"/>
  <c r="I110" i="1" s="1"/>
  <c r="I111" i="1" s="1"/>
  <c r="H71" i="1"/>
  <c r="J53" i="5"/>
  <c r="J52" i="5" s="1"/>
  <c r="I70" i="1" s="1"/>
  <c r="M109" i="1"/>
  <c r="L48" i="5"/>
  <c r="K49" i="5"/>
  <c r="K50" i="5" s="1"/>
  <c r="K45" i="8" s="1"/>
  <c r="K42" i="8" s="1"/>
  <c r="K53" i="5"/>
  <c r="K52" i="5" s="1"/>
  <c r="N47" i="5"/>
  <c r="L33" i="1" l="1"/>
  <c r="L38" i="1" s="1"/>
  <c r="M20" i="1"/>
  <c r="H6" i="12"/>
  <c r="H11" i="12"/>
  <c r="G6" i="12"/>
  <c r="G11" i="12"/>
  <c r="M78" i="1"/>
  <c r="M89" i="1"/>
  <c r="H115" i="1"/>
  <c r="H119" i="1" s="1"/>
  <c r="M33" i="1"/>
  <c r="M38" i="1" s="1"/>
  <c r="I130" i="5"/>
  <c r="I140" i="5" s="1"/>
  <c r="D35" i="10"/>
  <c r="E27" i="10"/>
  <c r="E29" i="10" s="1"/>
  <c r="I96" i="1"/>
  <c r="I98" i="1" s="1"/>
  <c r="E7" i="12" s="1"/>
  <c r="E101" i="5"/>
  <c r="E102" i="5" s="1"/>
  <c r="E104" i="5" s="1"/>
  <c r="F26" i="10" s="1"/>
  <c r="F27" i="10" s="1"/>
  <c r="F29" i="10" s="1"/>
  <c r="I71" i="1"/>
  <c r="J70" i="1"/>
  <c r="J110" i="1"/>
  <c r="J111" i="1" s="1"/>
  <c r="M48" i="5"/>
  <c r="L49" i="5"/>
  <c r="L50" i="5" s="1"/>
  <c r="L45" i="8" s="1"/>
  <c r="L42" i="8" s="1"/>
  <c r="L53" i="5"/>
  <c r="L52" i="5" s="1"/>
  <c r="I6" i="12" l="1"/>
  <c r="I11" i="12"/>
  <c r="I115" i="1"/>
  <c r="E30" i="10"/>
  <c r="F30" i="10"/>
  <c r="J96" i="1"/>
  <c r="J98" i="1" s="1"/>
  <c r="F7" i="12" s="1"/>
  <c r="F101" i="5"/>
  <c r="F102" i="5" s="1"/>
  <c r="F104" i="5" s="1"/>
  <c r="G26" i="10" s="1"/>
  <c r="G27" i="10" s="1"/>
  <c r="K70" i="1"/>
  <c r="J71" i="1"/>
  <c r="I118" i="1"/>
  <c r="H124" i="1"/>
  <c r="H123" i="1"/>
  <c r="H48" i="1" s="1"/>
  <c r="H125" i="1"/>
  <c r="K110" i="1"/>
  <c r="K111" i="1" s="1"/>
  <c r="N48" i="5"/>
  <c r="M53" i="5"/>
  <c r="M52" i="5" s="1"/>
  <c r="M49" i="5"/>
  <c r="M50" i="5" s="1"/>
  <c r="M45" i="8" s="1"/>
  <c r="M42" i="8" s="1"/>
  <c r="I119" i="1" l="1"/>
  <c r="I124" i="1" s="1"/>
  <c r="J115" i="1"/>
  <c r="G30" i="10"/>
  <c r="G29" i="10"/>
  <c r="K96" i="1"/>
  <c r="K98" i="1" s="1"/>
  <c r="G7" i="12" s="1"/>
  <c r="G101" i="5"/>
  <c r="G102" i="5" s="1"/>
  <c r="G104" i="5" s="1"/>
  <c r="H26" i="10" s="1"/>
  <c r="H27" i="10" s="1"/>
  <c r="K71" i="1"/>
  <c r="L70" i="1"/>
  <c r="H126" i="1"/>
  <c r="H51" i="1"/>
  <c r="L110" i="1"/>
  <c r="L111" i="1" s="1"/>
  <c r="N53" i="5"/>
  <c r="N52" i="5" s="1"/>
  <c r="N49" i="5"/>
  <c r="N50" i="5" s="1"/>
  <c r="N45" i="8" s="1"/>
  <c r="N42" i="8" s="1"/>
  <c r="J118" i="1" l="1"/>
  <c r="J119" i="1" s="1"/>
  <c r="K118" i="1" s="1"/>
  <c r="I123" i="1"/>
  <c r="I48" i="1" s="1"/>
  <c r="I125" i="1"/>
  <c r="I51" i="1" s="1"/>
  <c r="K115" i="1"/>
  <c r="H30" i="10"/>
  <c r="H29" i="10"/>
  <c r="L96" i="1"/>
  <c r="L98" i="1" s="1"/>
  <c r="H7" i="12" s="1"/>
  <c r="H101" i="5"/>
  <c r="H102" i="5" s="1"/>
  <c r="H104" i="5" s="1"/>
  <c r="I26" i="10" s="1"/>
  <c r="I27" i="10" s="1"/>
  <c r="I30" i="10" s="1"/>
  <c r="L71" i="1"/>
  <c r="M70" i="1"/>
  <c r="H59" i="1"/>
  <c r="M110" i="1"/>
  <c r="M111" i="1" s="1"/>
  <c r="I90" i="5" l="1"/>
  <c r="H76" i="1" s="1"/>
  <c r="D9" i="12"/>
  <c r="J124" i="1"/>
  <c r="J123" i="1"/>
  <c r="J48" i="1" s="1"/>
  <c r="J125" i="1"/>
  <c r="K119" i="1"/>
  <c r="K125" i="1" s="1"/>
  <c r="I126" i="1"/>
  <c r="I59" i="1"/>
  <c r="E9" i="12" s="1"/>
  <c r="L115" i="1"/>
  <c r="I29" i="10"/>
  <c r="M96" i="1"/>
  <c r="M98" i="1" s="1"/>
  <c r="I7" i="12" s="1"/>
  <c r="I101" i="5"/>
  <c r="I102" i="5" s="1"/>
  <c r="I104" i="5" s="1"/>
  <c r="J26" i="10" s="1"/>
  <c r="J27" i="10" s="1"/>
  <c r="O19" i="10" s="1"/>
  <c r="M71" i="1"/>
  <c r="L118" i="1" l="1"/>
  <c r="L119" i="1" s="1"/>
  <c r="M118" i="1" s="1"/>
  <c r="J90" i="5"/>
  <c r="I76" i="1" s="1"/>
  <c r="I79" i="1" s="1"/>
  <c r="K124" i="1"/>
  <c r="K51" i="1" s="1"/>
  <c r="K123" i="1"/>
  <c r="J126" i="1"/>
  <c r="J51" i="1"/>
  <c r="J59" i="1" s="1"/>
  <c r="M115" i="1"/>
  <c r="J29" i="10"/>
  <c r="J30" i="10"/>
  <c r="I81" i="1" l="1"/>
  <c r="E10" i="12"/>
  <c r="K126" i="1"/>
  <c r="K48" i="1"/>
  <c r="K59" i="1" s="1"/>
  <c r="G9" i="12" s="1"/>
  <c r="K90" i="5"/>
  <c r="J76" i="1" s="1"/>
  <c r="J79" i="1" s="1"/>
  <c r="I82" i="1"/>
  <c r="F9" i="12"/>
  <c r="M119" i="1"/>
  <c r="M125" i="1" s="1"/>
  <c r="L124" i="1"/>
  <c r="L125" i="1"/>
  <c r="L123" i="1"/>
  <c r="L48" i="1" s="1"/>
  <c r="L90" i="5" l="1"/>
  <c r="K76" i="1" s="1"/>
  <c r="K79" i="1" s="1"/>
  <c r="G10" i="12" s="1"/>
  <c r="J82" i="1"/>
  <c r="F10" i="12"/>
  <c r="F8" i="12"/>
  <c r="J81" i="1"/>
  <c r="M123" i="1"/>
  <c r="M48" i="1" s="1"/>
  <c r="D15" i="10" s="1"/>
  <c r="D34" i="10" s="1"/>
  <c r="M124" i="1"/>
  <c r="M51" i="1" s="1"/>
  <c r="L126" i="1"/>
  <c r="L51" i="1"/>
  <c r="L59" i="1" s="1"/>
  <c r="K81" i="1" l="1"/>
  <c r="G8" i="12"/>
  <c r="K82" i="1"/>
  <c r="M90" i="5"/>
  <c r="L76" i="1" s="1"/>
  <c r="L79" i="1" s="1"/>
  <c r="H9" i="12"/>
  <c r="M59" i="1"/>
  <c r="N90" i="5" s="1"/>
  <c r="M76" i="1" s="1"/>
  <c r="M79" i="1" s="1"/>
  <c r="I35" i="10"/>
  <c r="I36" i="10" s="1"/>
  <c r="D28" i="10" s="1"/>
  <c r="D30" i="10" s="1"/>
  <c r="M126" i="1"/>
  <c r="H79" i="1"/>
  <c r="D10" i="12" s="1"/>
  <c r="H8" i="12" l="1"/>
  <c r="H10" i="12"/>
  <c r="M81" i="1"/>
  <c r="I10" i="12"/>
  <c r="L82" i="1"/>
  <c r="L81" i="1"/>
  <c r="I9" i="12"/>
  <c r="H81" i="1"/>
  <c r="E8" i="12"/>
  <c r="D8" i="12"/>
  <c r="I8" i="12"/>
  <c r="M82" i="1"/>
  <c r="H82" i="1"/>
  <c r="O21" i="10" l="1"/>
  <c r="K28" i="10" l="1"/>
  <c r="K29" i="10" s="1"/>
  <c r="D33" i="10" l="1"/>
  <c r="D36" i="10" s="1"/>
  <c r="D38" i="10" s="1"/>
  <c r="N33" i="10" s="1"/>
  <c r="K30" i="10"/>
  <c r="N34" i="10" s="1"/>
  <c r="C125" i="5" l="1"/>
  <c r="N38" i="10"/>
  <c r="N39"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2" authorId="0" shapeId="0" xr:uid="{F2B09FAE-35E3-46C0-AD6F-A1392AF1DDF1}">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B3" authorId="0" shapeId="0" xr:uid="{53C0F2B1-F9C0-4BA2-911D-9FD2462BD0BD}">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B7" authorId="0" shapeId="0" xr:uid="{91419623-F9CD-4F2F-9EAA-F7CFBEBF5854}">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B8" authorId="0" shapeId="0" xr:uid="{FA040527-B881-40E3-9E68-C6B3994F8BA0}">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42" authorId="0" shapeId="0" xr:uid="{F52C74E2-0D49-4615-B255-157F0124E152}">
      <text>
        <r>
          <rPr>
            <sz val="8"/>
            <color indexed="81"/>
            <rFont val="Arial"/>
            <family val="2"/>
          </rPr>
          <t>We tie Finance Leases to the projected growth in Property and Equipment, net, since finance leases represent capitalized leased assets that function similarly to owned property and equipment. As the company expands its asset base, it is reasonable to assume that finance leases will scale proportionally with PP&amp;E growth.</t>
        </r>
      </text>
    </comment>
    <comment ref="B61" authorId="0" shapeId="0" xr:uid="{826CB38A-B259-4390-B284-146C73AE2A48}">
      <text>
        <r>
          <rPr>
            <b/>
            <sz val="9"/>
            <color indexed="81"/>
            <rFont val="Tahoma"/>
            <family val="2"/>
          </rPr>
          <t>Nkgopoleng Sebake:</t>
        </r>
        <r>
          <rPr>
            <sz val="9"/>
            <color indexed="81"/>
            <rFont val="Tahoma"/>
            <family val="2"/>
          </rPr>
          <t xml:space="preserve">
Average used to project future values</t>
        </r>
      </text>
    </comment>
    <comment ref="B68" authorId="0" shapeId="0" xr:uid="{84F3E2BB-E4C7-42E5-97A5-C79065937123}">
      <text>
        <r>
          <rPr>
            <b/>
            <sz val="9"/>
            <color indexed="81"/>
            <rFont val="Tahoma"/>
            <family val="2"/>
          </rPr>
          <t>Nkgopoleng Sebake:</t>
        </r>
        <r>
          <rPr>
            <sz val="9"/>
            <color indexed="81"/>
            <rFont val="Tahoma"/>
            <family val="2"/>
          </rPr>
          <t xml:space="preserve">
Average used to project future values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25" authorId="0" shapeId="0" xr:uid="{248F30E0-6D5F-41B4-94A7-32B90268C4B9}">
      <text>
        <r>
          <rPr>
            <sz val="9"/>
            <color indexed="81"/>
            <rFont val="Tahoma"/>
            <family val="2"/>
          </rPr>
          <t xml:space="preserve">
</t>
        </r>
        <r>
          <rPr>
            <sz val="8"/>
            <color indexed="81"/>
            <rFont val="Arial"/>
            <family val="2"/>
          </rPr>
          <t>We tie the Master Vehicle Loan to the projected growth of Property and Equipment, net, since the facility is specifically used to finance vehicle acquisitions. As fleet size expands and capitalized vehicle assets increase, the corresponding loan liability grows in tandem, creating a direct and consistent relationship between the two.</t>
        </r>
      </text>
    </comment>
    <comment ref="B50" authorId="0" shapeId="0" xr:uid="{A4A84360-8FEC-4633-B30B-42AA646041D9}">
      <text>
        <r>
          <rPr>
            <sz val="9"/>
            <color indexed="81"/>
            <rFont val="Tahoma"/>
            <family val="2"/>
          </rPr>
          <t xml:space="preserve">
</t>
        </r>
        <r>
          <rPr>
            <sz val="8"/>
            <color indexed="81"/>
            <rFont val="Arial"/>
            <family val="2"/>
          </rPr>
          <t>We tie the Master Vehicle Loan to the projected growth of Property and Equipment, net, since the facility is specifically used to finance vehicle acquisitions. As fleet size expands and capitalized vehicle assets increase, the corresponding loan liability grows in tandem, creating a direct and consistent relationship between the two.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8" authorId="0" shapeId="0" xr:uid="{9FAC895D-F592-4EFD-9971-C9DB3006FD51}">
      <text>
        <r>
          <rPr>
            <b/>
            <sz val="9"/>
            <color indexed="81"/>
            <rFont val="Tahoma"/>
            <family val="2"/>
          </rPr>
          <t>Nkgopoleng Sebake:</t>
        </r>
        <r>
          <rPr>
            <sz val="9"/>
            <color indexed="81"/>
            <rFont val="Tahoma"/>
            <family val="2"/>
          </rPr>
          <t xml:space="preserve">
average equity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A10" authorId="0" shapeId="0" xr:uid="{D1C0E21B-7335-4387-9513-D48902E87B54}">
      <text>
        <r>
          <rPr>
            <sz val="8"/>
            <color indexed="81"/>
            <rFont val="Arial"/>
            <family val="2"/>
          </rPr>
          <t>To forecast R&amp;D, we applied a scenario-based approach using historical decline percentages. The Base case applies half of the historical average decline rate to capture a continued but measured reduction in R&amp;D costs. The Best case applies one-third of the minimum historical decline rate, reflecting a potential stabilization if Lyft reinvests in technology. The Worst case uses the maximum historical decline rate, reflecting management’s ongoing emphasis on profitability through cost discipline. This triangulated approach ensures our projections account for both historical trends and strategic uncertainty.</t>
        </r>
      </text>
    </comment>
    <comment ref="A12" authorId="0" shapeId="0" xr:uid="{7A177F3F-10B9-4A38-95F9-ED9BF7D216FD}">
      <text>
        <r>
          <rPr>
            <sz val="8"/>
            <color indexed="81"/>
            <rFont val="Arial"/>
            <family val="2"/>
          </rPr>
          <t>Given the historical volatility of General and Administrative (G&amp;A) expenses and the absence of a clear external driver such as revenue or headcount, we have chosen to model future G&amp;A based on historical spending patterns. For the base case, we use the historical average to reflect normal operating conditions. The best-case scenario is derived from the minimum historical value divided by 7, representing an optimistic outlook where cost efficiencies are maximized. Conversely, the worst-case scenario uses the maximum historical value divided by 7, capturing the potential for elevated expenses due to unexpected corporate or legal costs. This approach ensures that our projections remain grounded in Lyft’s actual cost behavior while accounting for plausible variability.</t>
        </r>
        <r>
          <rPr>
            <sz val="9"/>
            <color indexed="81"/>
            <rFont val="Tahoma"/>
            <family val="2"/>
          </rPr>
          <t xml:space="preserve">
</t>
        </r>
      </text>
    </comment>
    <comment ref="A49" authorId="0" shapeId="0" xr:uid="{32679299-CEE5-47BC-98D2-19AA0AE308E8}">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A50" authorId="0" shapeId="0" xr:uid="{DB81D718-7CA9-46E3-B77A-116623CAF3A0}">
      <text>
        <r>
          <rPr>
            <sz val="8"/>
            <color indexed="81"/>
            <rFont val="Arial"/>
            <family val="2"/>
          </rPr>
          <t>Prepaid expenses and other current assets are primarily composed of uncollected fees from completed transactions with Enterprise Users and riders. Therefore, we tie these balances directly to Lyft’s revenue, as higher transaction volume and revenue naturally increase amounts temporarily recorded in this category before collection. This approach reflects the operational reality that these assets fluctuate in line with platform activity rather than external macroeconomic factors</t>
        </r>
      </text>
    </comment>
    <comment ref="A52" authorId="0" shapeId="0" xr:uid="{427C1762-2941-475F-9AB1-4DF3CB932398}">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A53" authorId="0" shapeId="0" xr:uid="{76C50AFB-A6FB-434E-9063-D419C0806D3C}">
      <text>
        <r>
          <rPr>
            <sz val="8"/>
            <color indexed="81"/>
            <rFont val="Arial"/>
            <family val="2"/>
          </rPr>
          <t>Other Investments, especially VIE-related ones, are irregular and discretionary, reflecting strategic decisions rather than steady operations. Using the historical average, minimum, and maximum provides a practical range: the average shows typical activity, the minimum is conservative, and the maximum captures more aggressive investment behavior. This approach relies on actual history rather than arbitrary percentages, making projections more realistic.</t>
        </r>
      </text>
    </comment>
    <comment ref="A54" authorId="0" shapeId="0" xr:uid="{6DBE9201-6367-4B9F-A799-2D9D9C79D14C}">
      <text>
        <r>
          <rPr>
            <sz val="8"/>
            <color indexed="81"/>
            <rFont val="Arial"/>
            <family val="2"/>
          </rPr>
          <t>Property and Equipment, Net primarily consists of assets that support Lyft’s operations, including bikes, scooters, and facilities. The scale of these assets is inherently linked to the level of company activity—higher revenue generally reflects higher ride volumes and increased operational demand, which in turn requires a larger or better-maintained fleet and supporting infrastructure. Therefore, projecting Property and Equipment, Net based on revenue growth provides a practical and intuitive approach, aligning future capital needs with expected operational scale.</t>
        </r>
      </text>
    </comment>
    <comment ref="A55" authorId="0" shapeId="0" xr:uid="{7043784A-E1A0-4A7B-8A69-12025E522C3A}">
      <text>
        <r>
          <rPr>
            <sz val="8"/>
            <color indexed="81"/>
            <rFont val="Arial"/>
            <family val="2"/>
          </rPr>
          <t>Operating lease ROU assets primarily represent real estate and vehicles leased to support Lyft’s operations. The size and scope of these leased assets are closely related to operational scale—higher projected revenue typically indicates more rides, expanded geographic coverage, and greater operational activity, which in turn drives the need for additional leased vehicles and facilities. Therefore, projecting ROU assets as a function of revenue growth provides a practical way to align lease-related capital needs with expected operational expansion.</t>
        </r>
      </text>
    </comment>
    <comment ref="A56" authorId="0" shapeId="0" xr:uid="{9C99D188-06CC-4BFD-AB3A-F9AD5A5F99CD}">
      <text>
        <r>
          <rPr>
            <sz val="8"/>
            <color indexed="81"/>
            <rFont val="Arial"/>
            <family val="2"/>
          </rPr>
          <t>Intangible assets, such as developed technology, patents, and contractual relationships, are key drivers of Lyft’s ability to generate revenue. Developed technology and patents support the platform’s functionality, efficiency, and competitive differentiation, which enable the company to attract and retain riders and drivers. Similarly, contractual relationships with cities and users directly impact the company’s capacity to operate in those markets and expand service offerings. Therefore, as revenue grows, it reflects higher utilization and monetization of these intangible assets, making revenue growth a reasonable and company-specific driver for projecting the future carrying value of these assets.</t>
        </r>
      </text>
    </comment>
    <comment ref="A57" authorId="0" shapeId="0" xr:uid="{0B58EF0F-EDD5-42D0-87FF-ECB8C8F8D540}">
      <text>
        <r>
          <rPr>
            <b/>
            <sz val="9"/>
            <color indexed="81"/>
            <rFont val="Tahoma"/>
            <family val="2"/>
          </rPr>
          <t>Nkgopoleng Sebake:</t>
        </r>
        <r>
          <rPr>
            <sz val="9"/>
            <color indexed="81"/>
            <rFont val="Tahoma"/>
            <family val="2"/>
          </rPr>
          <t xml:space="preserve">
</t>
        </r>
        <r>
          <rPr>
            <sz val="8"/>
            <color indexed="81"/>
            <rFont val="Arial"/>
            <family val="2"/>
          </rPr>
          <t>Goodwill represents the premium paid over the fair value of acquired net assets and reflects synergies, brand value, and customer relationships. Since its recoverability depends on the ability of the acquired business to generate future cash flows, it is reasonable to tie goodwill projections to revenue growth. Growing revenues indicate that the acquired assets continue to create value, supporting the carrying amount of goodwill, while declining revenues could signal potential impairment.</t>
        </r>
      </text>
    </comment>
    <comment ref="A63" authorId="0" shapeId="0" xr:uid="{AF54CF5D-4D23-41FF-979A-F00E3C5FC6C2}">
      <text>
        <r>
          <rPr>
            <sz val="8"/>
            <color indexed="81"/>
            <rFont val="Arial"/>
            <family val="2"/>
          </rPr>
          <t>Accounts Payable is tied to the projected growth of Cost of Revenue because it primarily reflects amounts owed to suppliers and service providers for operational activities. As the Company’s cost of providing services increases or decreases, the corresponding payables are expected to scale proportionally, making Cost of Revenue growth a logical driver for projecting Accounts Payable.</t>
        </r>
      </text>
    </comment>
    <comment ref="A64" authorId="0" shapeId="0" xr:uid="{F7DF91BD-79D6-49A0-8DDF-0887EF9C078A}">
      <text>
        <r>
          <rPr>
            <sz val="8"/>
            <color indexed="81"/>
            <rFont val="Arial"/>
            <family val="2"/>
          </rPr>
          <t>Insurance reserves are appropriately tied to Cost of Revenue because claims activity and related insurance obligations increase in line with the company’s operational volume and service delivery. As Lyft provides more rides, the exposure to accidents and claims grows, which directly drives insurance costs. By linking reserves to Cost of Revenue, the forecast captures this operational relationship and ensures that reserves scale consistently with the underlying cost structure of the business.</t>
        </r>
      </text>
    </comment>
    <comment ref="A65" authorId="0" shapeId="0" xr:uid="{D9266D66-B470-44BF-9DD4-75939D93049F}">
      <text>
        <r>
          <rPr>
            <sz val="8"/>
            <color indexed="81"/>
            <rFont val="Arial"/>
            <family val="2"/>
          </rPr>
          <t>We tie Accrued and other current liabilities to Cost of Revenue because the bulk of its components, including insurance-related accruals, ride-related accruals, and claims payable, are directly linked to business activity and operational costs. As these expenses naturally scale with the level of services provided, using Cost of Revenue as the driver offers a practical and consistent approach that reflects the company’s operating intensity without unnecessary complexity.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42" authorId="0" shapeId="0" xr:uid="{80A9459E-2520-4556-B37F-A7F5FFD4C5D6}">
      <text>
        <r>
          <rPr>
            <sz val="8"/>
            <color indexed="81"/>
            <rFont val="Arial"/>
            <family val="2"/>
          </rPr>
          <t>tied to future revenue growth</t>
        </r>
      </text>
    </comment>
    <comment ref="B47" authorId="0" shapeId="0" xr:uid="{2F58EBDD-4F88-4459-95C4-D6752DE083C3}">
      <text>
        <r>
          <rPr>
            <sz val="8"/>
            <color indexed="81"/>
            <rFont val="Arial"/>
            <family val="2"/>
          </rPr>
          <t>Other Investments, especially VIE-related ones, are irregular and discretionary, reflecting strategic decisions rather than steady operations. Using the historical average, minimum, and maximum provides a practical range: the average shows typical activity, the minimum is conservative, and the maximum captures more aggressive investment behavior. This approach relies on actual history rather than arbitrary percentages, making projections more realistic.</t>
        </r>
      </text>
    </comment>
    <comment ref="B52" authorId="0" shapeId="0" xr:uid="{FEE4F8EA-01DD-4E20-B479-21FE29DFDFE4}">
      <text>
        <r>
          <rPr>
            <b/>
            <sz val="9"/>
            <color indexed="81"/>
            <rFont val="Tahoma"/>
            <family val="2"/>
          </rPr>
          <t>Nkgopoleng Sebake:</t>
        </r>
        <r>
          <rPr>
            <sz val="9"/>
            <color indexed="81"/>
            <rFont val="Tahoma"/>
            <family val="2"/>
          </rPr>
          <t xml:space="preserve">
tied to projected revenue growth</t>
        </r>
      </text>
    </comment>
    <comment ref="B62" authorId="0" shapeId="0" xr:uid="{DBAD7F2A-AA9A-4588-AFF4-003EE7011886}">
      <text>
        <r>
          <rPr>
            <b/>
            <sz val="9"/>
            <color indexed="81"/>
            <rFont val="Tahoma"/>
            <family val="2"/>
          </rPr>
          <t>Nkgopoleng Sebake:</t>
        </r>
        <r>
          <rPr>
            <sz val="9"/>
            <color indexed="81"/>
            <rFont val="Tahoma"/>
            <family val="2"/>
          </rPr>
          <t xml:space="preserve">
tied to projected revenue growth</t>
        </r>
      </text>
    </comment>
    <comment ref="B67" authorId="0" shapeId="0" xr:uid="{4F937482-BCC9-49A3-9BBA-BC949E0FB223}">
      <text>
        <r>
          <rPr>
            <b/>
            <sz val="9"/>
            <color indexed="81"/>
            <rFont val="Tahoma"/>
            <family val="2"/>
          </rPr>
          <t>Nkgopoleng Sebake:</t>
        </r>
        <r>
          <rPr>
            <sz val="9"/>
            <color indexed="81"/>
            <rFont val="Tahoma"/>
            <family val="2"/>
          </rPr>
          <t xml:space="preserve">
tied to projected revenue growth</t>
        </r>
      </text>
    </comment>
    <comment ref="B72" authorId="0" shapeId="0" xr:uid="{82CE6C69-57D6-4740-8D59-55AE09644B8D}">
      <text>
        <r>
          <rPr>
            <b/>
            <sz val="9"/>
            <color indexed="81"/>
            <rFont val="Tahoma"/>
            <family val="2"/>
          </rPr>
          <t>Nkgopoleng Sebake:</t>
        </r>
        <r>
          <rPr>
            <sz val="9"/>
            <color indexed="81"/>
            <rFont val="Tahoma"/>
            <family val="2"/>
          </rPr>
          <t xml:space="preserve">
tied to revenue</t>
        </r>
      </text>
    </comment>
    <comment ref="B77" authorId="0" shapeId="0" xr:uid="{E46F49C2-CDDD-4B55-8D53-EF17BAA7EF97}">
      <text>
        <r>
          <rPr>
            <b/>
            <sz val="9"/>
            <color indexed="81"/>
            <rFont val="Tahoma"/>
            <family val="2"/>
          </rPr>
          <t>Nkgopoleng Sebake:</t>
        </r>
        <r>
          <rPr>
            <sz val="9"/>
            <color indexed="81"/>
            <rFont val="Tahoma"/>
            <family val="2"/>
          </rPr>
          <t xml:space="preserve">
tied to projected Cost of revenue growth</t>
        </r>
      </text>
    </comment>
    <comment ref="B82" authorId="0" shapeId="0" xr:uid="{212811C3-7287-4C86-AFC9-04D3ECE741AA}">
      <text>
        <r>
          <rPr>
            <b/>
            <sz val="9"/>
            <color indexed="81"/>
            <rFont val="Tahoma"/>
            <family val="2"/>
          </rPr>
          <t>Nkgopoleng Sebake:</t>
        </r>
        <r>
          <rPr>
            <sz val="9"/>
            <color indexed="81"/>
            <rFont val="Tahoma"/>
            <family val="2"/>
          </rPr>
          <t xml:space="preserve">
tied to projected Cost of revenue growth</t>
        </r>
      </text>
    </comment>
    <comment ref="B87" authorId="0" shapeId="0" xr:uid="{4CA47F7F-1981-41BA-B9D1-F23C45799C2A}">
      <text>
        <r>
          <rPr>
            <b/>
            <sz val="9"/>
            <color indexed="81"/>
            <rFont val="Tahoma"/>
            <family val="2"/>
          </rPr>
          <t>Nkgopoleng Sebake:</t>
        </r>
        <r>
          <rPr>
            <sz val="9"/>
            <color indexed="81"/>
            <rFont val="Tahoma"/>
            <family val="2"/>
          </rPr>
          <t xml:space="preserve">
tied to projected Cost of revenue growth</t>
        </r>
      </text>
    </comment>
    <comment ref="B92" authorId="0" shapeId="0" xr:uid="{D532C287-DC55-4B43-B658-9A3BC37695A4}">
      <text>
        <r>
          <rPr>
            <b/>
            <sz val="9"/>
            <color indexed="81"/>
            <rFont val="Tahoma"/>
            <family val="2"/>
          </rPr>
          <t>Nkgopoleng Sebake:</t>
        </r>
        <r>
          <rPr>
            <sz val="9"/>
            <color indexed="81"/>
            <rFont val="Tahoma"/>
            <family val="2"/>
          </rPr>
          <t xml:space="preserve">
tied to Projected Property and equipment, net growth</t>
        </r>
      </text>
    </comment>
    <comment ref="B97" authorId="0" shapeId="0" xr:uid="{B25BD802-EBAB-4301-98E7-DDD83B7E7589}">
      <text>
        <r>
          <rPr>
            <b/>
            <sz val="9"/>
            <color indexed="81"/>
            <rFont val="Tahoma"/>
            <family val="2"/>
          </rPr>
          <t>Nkgopoleng Sebake:</t>
        </r>
        <r>
          <rPr>
            <sz val="9"/>
            <color indexed="81"/>
            <rFont val="Tahoma"/>
            <family val="2"/>
          </rPr>
          <t xml:space="preserve">
Investment trends</t>
        </r>
      </text>
    </comment>
    <comment ref="B107" authorId="0" shapeId="0" xr:uid="{485AB811-46E6-43C3-BC7B-227E6197244A}">
      <text>
        <r>
          <rPr>
            <b/>
            <sz val="9"/>
            <color indexed="81"/>
            <rFont val="Tahoma"/>
            <family val="2"/>
          </rPr>
          <t>Nkgopoleng Sebake:</t>
        </r>
        <r>
          <rPr>
            <sz val="9"/>
            <color indexed="81"/>
            <rFont val="Tahoma"/>
            <family val="2"/>
          </rPr>
          <t xml:space="preserve">
tied to revenue</t>
        </r>
      </text>
    </comment>
    <comment ref="B112" authorId="0" shapeId="0" xr:uid="{55613A9C-D7DA-44B1-AC5B-81EFA92B8CD6}">
      <text>
        <r>
          <rPr>
            <b/>
            <sz val="9"/>
            <color indexed="81"/>
            <rFont val="Tahoma"/>
            <family val="2"/>
          </rPr>
          <t>Nkgopoleng Sebake:</t>
        </r>
        <r>
          <rPr>
            <sz val="9"/>
            <color indexed="81"/>
            <rFont val="Tahoma"/>
            <family val="2"/>
          </rPr>
          <t xml:space="preserve">
tied to revenue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40" authorId="0" shapeId="0" xr:uid="{07A2FF66-C4E7-45F7-9B91-F177ECD10E2F}">
      <text>
        <r>
          <rPr>
            <sz val="8"/>
            <color indexed="81"/>
            <rFont val="Arial"/>
            <family val="2"/>
          </rPr>
          <t>To forecast R&amp;D, we applied a scenario-based approach using historical decline percentages. The Base case applies half of the historical average decline rate to capture a continued but measured reduction in R&amp;D costs. The Best case applies one-third of the minimum historical decline rate, reflecting a potential stabilization if Lyft reinvests in technology. The Worst case uses the maximum historical decline rate, reflecting management’s ongoing emphasis on profitability through cost discipline. This triangulated approach ensures our projections account for both historical trends and strategic uncertainty.</t>
        </r>
      </text>
    </comment>
    <comment ref="B42" authorId="0" shapeId="0" xr:uid="{0E755EA4-8462-49C0-832A-613CA56EF589}">
      <text>
        <r>
          <rPr>
            <sz val="8"/>
            <color indexed="81"/>
            <rFont val="Arial"/>
            <family val="2"/>
          </rPr>
          <t>Given the historical volatility of General and Administrative (G&amp;A) expenses and the absence of a clear external driver such as revenue or headcount, we have chosen to model future G&amp;A based on historical spending patterns. For the base case, we use the historical average to reflect normal operating conditions. The best-case scenario is derived from the minimum historical value divided by 7, representing an optimistic outlook where cost efficiencies are maximized. Conversely, the worst-case scenario uses the maximum historical value divided by 7, capturing the potential for elevated expenses due to unexpected corporate or legal costs. This approach ensures that our projections remain grounded in Lyft’s actual cost behavior while accounting for plausible variability.</t>
        </r>
        <r>
          <rPr>
            <sz val="9"/>
            <color indexed="81"/>
            <rFont val="Tahoma"/>
            <family val="2"/>
          </rPr>
          <t xml:space="preserve">
</t>
        </r>
      </text>
    </comment>
    <comment ref="B48" authorId="0" shapeId="0" xr:uid="{BB935065-D93A-4CCC-A1E8-AD02761C0D84}">
      <text>
        <r>
          <rPr>
            <sz val="8"/>
            <color indexed="81"/>
            <rFont val="Arial"/>
            <family val="2"/>
          </rPr>
          <t>To forecast R&amp;D, we applied a scenario-based approach using historical decline percentages. The Base case applies half of the historical average decline rate to capture a continued but measured reduction in R&amp;D costs. The Best case applies one-third of the minimum historical decline rate, reflecting a potential stabilization if Lyft reinvests in technology. The Worst case uses the maximum historical decline rate, reflecting management’s ongoing emphasis on profitability through cost discipline. This triangulated approach ensures our projections account for both historical trends and strategic uncertainty.</t>
        </r>
      </text>
    </comment>
    <comment ref="B50" authorId="0" shapeId="0" xr:uid="{1E14A8DD-879A-4C4A-83A7-585FB8003C27}">
      <text>
        <r>
          <rPr>
            <sz val="8"/>
            <color indexed="81"/>
            <rFont val="Arial"/>
            <family val="2"/>
          </rPr>
          <t>Given the historical volatility of General and Administrative (G&amp;A) expenses and the absence of a clear external driver such as revenue or headcount, we have chosen to model future G&amp;A based on historical spending patterns. For the base case, we use the historical average to reflect normal operating conditions. The best-case scenario is derived from the minimum historical value divided by 7, representing an optimistic outlook where cost efficiencies are maximized. Conversely, the worst-case scenario uses the maximum historical value divided by 7, capturing the potential for elevated expenses due to unexpected corporate or legal costs. This approach ensures that our projections remain grounded in Lyft’s actual cost behavior while accounting for plausible variability.</t>
        </r>
        <r>
          <rPr>
            <sz val="9"/>
            <color indexed="81"/>
            <rFont val="Tahoma"/>
            <family val="2"/>
          </rPr>
          <t xml:space="preserve">
</t>
        </r>
      </text>
    </comment>
    <comment ref="B64" authorId="0" shapeId="0" xr:uid="{9D691FFA-D91E-4C1E-B186-0B1F5D4B65FA}">
      <text>
        <r>
          <rPr>
            <b/>
            <sz val="9"/>
            <color indexed="81"/>
            <rFont val="Tahoma"/>
            <family val="2"/>
          </rPr>
          <t>Nkgopoleng Sebake:</t>
        </r>
        <r>
          <rPr>
            <sz val="9"/>
            <color indexed="81"/>
            <rFont val="Tahoma"/>
            <family val="2"/>
          </rPr>
          <t xml:space="preserve">
tied to projected Cost of revenue growth</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4"/>
        </ext>
      </extLst>
    </bk>
  </futureMetadata>
  <cellMetadata count="1">
    <bk>
      <rc t="1" v="0"/>
    </bk>
  </cellMetadata>
  <valueMetadata count="7">
    <bk>
      <rc t="2" v="0"/>
    </bk>
    <bk>
      <rc t="2" v="1"/>
    </bk>
    <bk>
      <rc t="2" v="2"/>
    </bk>
    <bk>
      <rc t="2" v="3"/>
    </bk>
    <bk>
      <rc t="2" v="4"/>
    </bk>
    <bk>
      <rc t="2" v="5"/>
    </bk>
    <bk>
      <rc t="2" v="6"/>
    </bk>
  </valueMetadata>
</metadata>
</file>

<file path=xl/sharedStrings.xml><?xml version="1.0" encoding="utf-8"?>
<sst xmlns="http://schemas.openxmlformats.org/spreadsheetml/2006/main" count="854" uniqueCount="418">
  <si>
    <t>Income Statement</t>
  </si>
  <si>
    <t>Revenue</t>
  </si>
  <si>
    <t>Costs and expenses</t>
  </si>
  <si>
    <t>Cost of revenue</t>
  </si>
  <si>
    <t>Operations and support</t>
  </si>
  <si>
    <t>Research and development</t>
  </si>
  <si>
    <t>Sales and marketing</t>
  </si>
  <si>
    <t>General and administrative</t>
  </si>
  <si>
    <t>Total costs and expenses</t>
  </si>
  <si>
    <t>Loss from operations</t>
  </si>
  <si>
    <t>Interest expense</t>
  </si>
  <si>
    <t>Other income, net</t>
  </si>
  <si>
    <t>Loss before income taxes</t>
  </si>
  <si>
    <t>Provision for (benefit from) income taxes</t>
  </si>
  <si>
    <t>Net income (loss)</t>
  </si>
  <si>
    <t>Net loss per share, basic and diluted</t>
  </si>
  <si>
    <t>Stock-based compensation included in costs and expenses:</t>
  </si>
  <si>
    <t>Comprehensive Income (Loss)</t>
  </si>
  <si>
    <t>Net income</t>
  </si>
  <si>
    <t>Other comprehensive income(loss)</t>
  </si>
  <si>
    <t>Foreign currency translation adjustment, net of taxes</t>
  </si>
  <si>
    <t>Unrealized gain(loss) on marketable securities, net of taxes</t>
  </si>
  <si>
    <t>Weighted-average shares outstanding</t>
  </si>
  <si>
    <t>x</t>
  </si>
  <si>
    <t>Balance Sheet</t>
  </si>
  <si>
    <t>Assets</t>
  </si>
  <si>
    <t>Cash and cash equivalents</t>
  </si>
  <si>
    <t>Short-term investments</t>
  </si>
  <si>
    <t>Prepaid expenses and other current assets</t>
  </si>
  <si>
    <t>Restricted cash and cash equivalents</t>
  </si>
  <si>
    <t>Restricted investments</t>
  </si>
  <si>
    <t>Other investments</t>
  </si>
  <si>
    <t>Property and equipment, net</t>
  </si>
  <si>
    <t>Operating lease right of use assets</t>
  </si>
  <si>
    <t>Intangible assets, net</t>
  </si>
  <si>
    <t>Goodwill</t>
  </si>
  <si>
    <t>Other assets</t>
  </si>
  <si>
    <t>Total assets</t>
  </si>
  <si>
    <t>Liabilities and Stockholders’ Equity</t>
  </si>
  <si>
    <t>Accounts payable</t>
  </si>
  <si>
    <t>Insurance reserves</t>
  </si>
  <si>
    <t>Accrued and other current liabilities</t>
  </si>
  <si>
    <t>Operating lease liabilities — current</t>
  </si>
  <si>
    <t>Convertible senior notes, current</t>
  </si>
  <si>
    <t>Operating lease liabilities</t>
  </si>
  <si>
    <t>Long-term debt, net of current portion</t>
  </si>
  <si>
    <t>Other liabilities</t>
  </si>
  <si>
    <t>Total liabilities</t>
  </si>
  <si>
    <t>Stockholders’ equity</t>
  </si>
  <si>
    <t>Preferred Stock</t>
  </si>
  <si>
    <t>Common Stock</t>
  </si>
  <si>
    <t>Additional paid-in capital</t>
  </si>
  <si>
    <t>Accumulated other comprehensive income (loss)</t>
  </si>
  <si>
    <t>Accumulated deficit (Retained Earnings)</t>
  </si>
  <si>
    <t>Total stockholders’ equity</t>
  </si>
  <si>
    <t>Total liabilities and stockholders’ equity</t>
  </si>
  <si>
    <t>Statement of Cash Flows</t>
  </si>
  <si>
    <t>Cash flows from operating activities</t>
  </si>
  <si>
    <t>Depreciation and amortization</t>
  </si>
  <si>
    <t>Stock-based compensation</t>
  </si>
  <si>
    <t>Amortization of premium on marketable securities</t>
  </si>
  <si>
    <t>Accretion of discount on marketable securities</t>
  </si>
  <si>
    <t>Amortization of debt discount and issuance costs</t>
  </si>
  <si>
    <t>Deferred income tax from convertible senior notes</t>
  </si>
  <si>
    <t>(Gain) loss on sale and disposal of assets, net</t>
  </si>
  <si>
    <t>Impairment of non-marketable equity security</t>
  </si>
  <si>
    <t>Gain on divestiture</t>
  </si>
  <si>
    <t>Other</t>
  </si>
  <si>
    <t>Prepaid expenses and other assets</t>
  </si>
  <si>
    <t>Operating lease right-of-use assets</t>
  </si>
  <si>
    <t>Accrued and other liabilities</t>
  </si>
  <si>
    <t>Lease liabilities</t>
  </si>
  <si>
    <t>Net cash provided by (used in) operating activities</t>
  </si>
  <si>
    <t>Cash flows from investing activities</t>
  </si>
  <si>
    <t>Net cash (used in) provided by investing activities</t>
  </si>
  <si>
    <t>Cash flows from financing activities</t>
  </si>
  <si>
    <t>Proceeds from issuance of common stock, net of costs</t>
  </si>
  <si>
    <t>(Proceeds) and Repayments loans</t>
  </si>
  <si>
    <t>Other financing activities</t>
  </si>
  <si>
    <t>Repurchase of Class A common stock</t>
  </si>
  <si>
    <t>Net cash provided by (used in) financing activities</t>
  </si>
  <si>
    <t>Effect of foreign exchange on cash, cash equivalents and restricted cash and cash equivalents</t>
  </si>
  <si>
    <t>Net increase (decrease) in cash, cash equivalents and restricted cash and cash equivalents</t>
  </si>
  <si>
    <t>Cash, cash equivalents and restricted cash and cash equivalents</t>
  </si>
  <si>
    <t>Beginning of period</t>
  </si>
  <si>
    <t>End of period</t>
  </si>
  <si>
    <t>Reconciliation of cash, cash equivalents and restricted cash and cash equivalents to the consolidated balance
sheets</t>
  </si>
  <si>
    <t>Restricted cash, included in prepaid expenses and other current assets</t>
  </si>
  <si>
    <t>Total cash, cash equivalents and restricted cash and cash equivalents</t>
  </si>
  <si>
    <t>Billions</t>
  </si>
  <si>
    <t>Lyft Revenue</t>
  </si>
  <si>
    <t>2019</t>
  </si>
  <si>
    <t>Q1</t>
  </si>
  <si>
    <t>Q2</t>
  </si>
  <si>
    <t>Q3</t>
  </si>
  <si>
    <t>Q4</t>
  </si>
  <si>
    <t>2020</t>
  </si>
  <si>
    <t>2021</t>
  </si>
  <si>
    <t>2022</t>
  </si>
  <si>
    <t>2023</t>
  </si>
  <si>
    <t>2024</t>
  </si>
  <si>
    <t>PCE(Transportation services)</t>
  </si>
  <si>
    <t xml:space="preserve">        Gross domestic product</t>
  </si>
  <si>
    <t>Predictions</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</si>
  <si>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</si>
  <si>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</si>
  <si>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</si>
  <si>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</si>
  <si>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</si>
  <si>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</si>
  <si>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</si>
  <si>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</si>
  <si>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</si>
  <si>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</si>
  <si>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</si>
  <si>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</si>
  <si>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</si>
  <si>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</si>
  <si>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</si>
  <si>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</si>
  <si>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</si>
  <si>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</si>
  <si>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</si>
  <si>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</si>
  <si>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</si>
  <si>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</si>
  <si>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</si>
  <si>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</si>
  <si>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</si>
  <si>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</si>
  <si>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Lyft Revenue</t>
  </si>
  <si>
    <t>Residuals</t>
  </si>
  <si>
    <t>GDP growth</t>
  </si>
  <si>
    <t>Lyft Revenue regressed wih PCE(Transportatioon)</t>
  </si>
  <si>
    <t>PCE regressed with GDP</t>
  </si>
  <si>
    <t>Predicted PCE(Transportation services)</t>
  </si>
  <si>
    <t>Quartely GDP Growth</t>
  </si>
  <si>
    <t>Expected annual GDP growth as per IMF</t>
  </si>
  <si>
    <t>Actual = 0,80%</t>
  </si>
  <si>
    <t>Actual = 1%</t>
  </si>
  <si>
    <t>Scenario</t>
  </si>
  <si>
    <t>GDP Growth (Annual)</t>
  </si>
  <si>
    <t>Description</t>
  </si>
  <si>
    <t>Base</t>
  </si>
  <si>
    <t>Most likely macro environment</t>
  </si>
  <si>
    <t>Best</t>
  </si>
  <si>
    <t>Average growth</t>
  </si>
  <si>
    <t>Faster economic recovery, stronger consumer spending</t>
  </si>
  <si>
    <t>Worst</t>
  </si>
  <si>
    <t>-1–2% below Base</t>
  </si>
  <si>
    <t>Slowdown or recession, weaker consumer spending</t>
  </si>
  <si>
    <t>GDP Growth</t>
  </si>
  <si>
    <t xml:space="preserve">Scenerio </t>
  </si>
  <si>
    <t>Cost of Revenue(as % of Revenue)</t>
  </si>
  <si>
    <t>Average</t>
  </si>
  <si>
    <t>Min</t>
  </si>
  <si>
    <t>Max</t>
  </si>
  <si>
    <t>Operations and support(Spending growth)</t>
  </si>
  <si>
    <t>Min/3</t>
  </si>
  <si>
    <t>R&amp;D Costs(Spending growth/decline)</t>
  </si>
  <si>
    <t>Average/2</t>
  </si>
  <si>
    <t>Sales and marketing(as % of Revenue)</t>
  </si>
  <si>
    <t>General and administrative(as % of Revenue)</t>
  </si>
  <si>
    <t>Min/7</t>
  </si>
  <si>
    <t>Max/7</t>
  </si>
  <si>
    <t>Provision at federal statutory rate</t>
  </si>
  <si>
    <t>State, net of federal benefit</t>
  </si>
  <si>
    <t>Permanent tax adjustments</t>
  </si>
  <si>
    <t>Federal statutory tax rate change</t>
  </si>
  <si>
    <t>Nondeductible expenses</t>
  </si>
  <si>
    <t>Convertible senior notes</t>
  </si>
  <si>
    <t>Executive compensation</t>
  </si>
  <si>
    <t>Change in valuation allowance</t>
  </si>
  <si>
    <t>Impact of foreign operations</t>
  </si>
  <si>
    <t>Deferred adjustments</t>
  </si>
  <si>
    <t>Other adjustments</t>
  </si>
  <si>
    <t>Effective income tax rate</t>
  </si>
  <si>
    <t>Other investments(Investment trends)</t>
  </si>
  <si>
    <t>Property and Equipment, net</t>
  </si>
  <si>
    <t>Bike fleet</t>
  </si>
  <si>
    <t>Leasehold improvements</t>
  </si>
  <si>
    <t>Owned vehicles</t>
  </si>
  <si>
    <t>Finance lease right-of-use assets</t>
  </si>
  <si>
    <t>Computer equipment and software</t>
  </si>
  <si>
    <t>Furniture and fixtures</t>
  </si>
  <si>
    <t>Less: Accumulated depreciation</t>
  </si>
  <si>
    <t>Construction in progress</t>
  </si>
  <si>
    <t>Projected Revenue growth</t>
  </si>
  <si>
    <t>Property and equipment, net line items</t>
  </si>
  <si>
    <t>Accumulated depreciation(% of Property and Equipment)</t>
  </si>
  <si>
    <t>Operating Leases</t>
  </si>
  <si>
    <t>Liabilties</t>
  </si>
  <si>
    <t>Operating lease liabilities, current</t>
  </si>
  <si>
    <t>Operating lease liabilities, non-current</t>
  </si>
  <si>
    <t>Total operating lease liabilities</t>
  </si>
  <si>
    <t>Total Operating Leases</t>
  </si>
  <si>
    <t>Finance Leases</t>
  </si>
  <si>
    <t>Finance lease right-of-use lease</t>
  </si>
  <si>
    <t>Liabilities</t>
  </si>
  <si>
    <t>Finance lease liabilities, current</t>
  </si>
  <si>
    <t>Finance lease liabilities, non-current</t>
  </si>
  <si>
    <t>Total finance lease liabilities</t>
  </si>
  <si>
    <t>Total Finance Leases</t>
  </si>
  <si>
    <t>Operating Leases items</t>
  </si>
  <si>
    <t>Developed technology and patents</t>
  </si>
  <si>
    <t>Gross carrying amount</t>
  </si>
  <si>
    <t>Accumulated amortization</t>
  </si>
  <si>
    <t>Net carrying amount</t>
  </si>
  <si>
    <t>Contractual relationship - cities and user relationships</t>
  </si>
  <si>
    <t>Ending balance</t>
  </si>
  <si>
    <t>Intangible assets items(Carrying amounts)</t>
  </si>
  <si>
    <t>Accumulated amortization(% carrying amount)</t>
  </si>
  <si>
    <t>Projected Cost of Revenue growth</t>
  </si>
  <si>
    <t>Projected Property and equipment, net growth</t>
  </si>
  <si>
    <t>Other Liabilities</t>
  </si>
  <si>
    <t>Sundry liabilities</t>
  </si>
  <si>
    <t>Outstanding Debt Obligations</t>
  </si>
  <si>
    <t>Convertible senior note(2025)</t>
  </si>
  <si>
    <t>Convertible senior note(2029)</t>
  </si>
  <si>
    <t>Non-rolving loan</t>
  </si>
  <si>
    <t>Master Vehicle loan</t>
  </si>
  <si>
    <t>Total Long-term debt, including current maturities</t>
  </si>
  <si>
    <t>Less: Convertible senior notes, current</t>
  </si>
  <si>
    <t>Less: long-term debt maturing within one year</t>
  </si>
  <si>
    <t>Total Long-term debt</t>
  </si>
  <si>
    <t>Components of Interest expense</t>
  </si>
  <si>
    <t>Contractual interest expense(2025 &amp; 2029)</t>
  </si>
  <si>
    <t>Interest expense (Vehicle loans)</t>
  </si>
  <si>
    <t>Interest Expense</t>
  </si>
  <si>
    <t>Carrying amounts(Liability components)(2029)</t>
  </si>
  <si>
    <t>Principal</t>
  </si>
  <si>
    <t>Unamortized debt discount and debt issuance costs</t>
  </si>
  <si>
    <t>Net carrying amount of liability components</t>
  </si>
  <si>
    <t>Notes(2029)</t>
  </si>
  <si>
    <t>Princpal</t>
  </si>
  <si>
    <t>Coupon rate</t>
  </si>
  <si>
    <t>Effective Interest rate</t>
  </si>
  <si>
    <t>Frequancy(semi-annual)</t>
  </si>
  <si>
    <t>Discount cost</t>
  </si>
  <si>
    <t>Issuance Costs</t>
  </si>
  <si>
    <t>Carrying value</t>
  </si>
  <si>
    <t>Cash interest</t>
  </si>
  <si>
    <t>Amortization</t>
  </si>
  <si>
    <t>Ending Carrying value</t>
  </si>
  <si>
    <t>Assumptions</t>
  </si>
  <si>
    <t>Master Vehicle loan(PPE growth)</t>
  </si>
  <si>
    <t>long-term debt maturing within one year(% of total debt)</t>
  </si>
  <si>
    <t>Interest expense (Vehicle loans)(% of Vehicle loans)</t>
  </si>
  <si>
    <t>Interest income</t>
  </si>
  <si>
    <t>Gain (loss) on sale of securities, net</t>
  </si>
  <si>
    <t>Foreign currency exchange gains (loss), net</t>
  </si>
  <si>
    <t>Sublease income</t>
  </si>
  <si>
    <t>Gain on equity method investment</t>
  </si>
  <si>
    <t>Impairment charges</t>
  </si>
  <si>
    <t>Other, net</t>
  </si>
  <si>
    <t>Other income (expense), net</t>
  </si>
  <si>
    <t>Sublease income(% of Operating leases)</t>
  </si>
  <si>
    <t>Gain on lease termination/Other</t>
  </si>
  <si>
    <t>Purchase of capped call</t>
  </si>
  <si>
    <t>Interest income(% of Marketable securities)</t>
  </si>
  <si>
    <t>Cash and cash equivalents(% of Cash, cash equivalents and restricted cash and cash equivalents)</t>
  </si>
  <si>
    <t>Restricted cash and cash equivalents(% of Cash, cash equivalents and restricted cash and cash equivalents)</t>
  </si>
  <si>
    <t>Restricted cash, (% of Cash, cash equivalents and restricted cash and cash equivalents)</t>
  </si>
  <si>
    <t>Additional Paid-in Capital</t>
  </si>
  <si>
    <t>Beginning Value</t>
  </si>
  <si>
    <t>Adjustment related to the adoptation of ASU 2020-06</t>
  </si>
  <si>
    <t>Issuance of common stock upon exercise of stock options</t>
  </si>
  <si>
    <t>Issuance of common stock upon settlement of RSU</t>
  </si>
  <si>
    <t>Shares withheld related to net share settlement</t>
  </si>
  <si>
    <t>Issuance off common stock under employee stock purchase plan</t>
  </si>
  <si>
    <t>Equity component of the convertible senior notes issued, net of tax and offer</t>
  </si>
  <si>
    <t>Repurchase of common stock</t>
  </si>
  <si>
    <t>Other comprehensive loss</t>
  </si>
  <si>
    <t>Net loss</t>
  </si>
  <si>
    <t>A &amp; B Shares</t>
  </si>
  <si>
    <t>Issuance of common stock upon exercise of stock options (COST)</t>
  </si>
  <si>
    <t>Issuance of common stock upon exercise of stock options (Shares)</t>
  </si>
  <si>
    <t>Cost of shares</t>
  </si>
  <si>
    <t>Shares withheld related to net share settlement (COST)</t>
  </si>
  <si>
    <t>Share issuance CAGR</t>
  </si>
  <si>
    <t>Issuance of common stock upon exercise of stock options (Value)</t>
  </si>
  <si>
    <t>Issuance off common stock under employee stock purchase plan(Cost)</t>
  </si>
  <si>
    <t>(Proceeds) and Repayments loans(% of debt obligations)</t>
  </si>
  <si>
    <t>Taxes paid related to net share settlement of equity awards</t>
  </si>
  <si>
    <t>Principal payments on finance lease obligations</t>
  </si>
  <si>
    <t>Principal payments on finance lease obligations(%)</t>
  </si>
  <si>
    <t>Property and Equipment investment</t>
  </si>
  <si>
    <t>Purchases of marketable securities</t>
  </si>
  <si>
    <t>Purchase of non-marketable security</t>
  </si>
  <si>
    <t>Purchases of term deposits</t>
  </si>
  <si>
    <t>Proceeds from sales of marketable securities</t>
  </si>
  <si>
    <t>Proceeds from maturities of marketable securities</t>
  </si>
  <si>
    <t>Proceeds from maturities of term deposits</t>
  </si>
  <si>
    <t>Total increase/decrease in SBC</t>
  </si>
  <si>
    <t>Non-Cash addbacks</t>
  </si>
  <si>
    <t>Short-term Investments</t>
  </si>
  <si>
    <t>Restricted Investments</t>
  </si>
  <si>
    <t>Purchases of propert and equipment and scooter fleet</t>
  </si>
  <si>
    <t>Sales of property and equipment</t>
  </si>
  <si>
    <t>Proceeds divestiture</t>
  </si>
  <si>
    <t>Cash paid for acquisitions, net of cash acquired</t>
  </si>
  <si>
    <t>Goodwill and Intangible Assets</t>
  </si>
  <si>
    <t>Issuance of common stock</t>
  </si>
  <si>
    <t>Repayment of loans</t>
  </si>
  <si>
    <t>Proceeds from issuance of convertible senior notes</t>
  </si>
  <si>
    <t>Payment of debt issuance costs</t>
  </si>
  <si>
    <t xml:space="preserve">Proceeds from exercise of stock options </t>
  </si>
  <si>
    <t>Principal payment of finance lease obligations</t>
  </si>
  <si>
    <t>Repurchase of class a</t>
  </si>
  <si>
    <t>Payment for settlement of senior notes</t>
  </si>
  <si>
    <t>Common Stock Proceeds/ (Repurchasements)</t>
  </si>
  <si>
    <t>Loan (Proceeds)/ Repayments</t>
  </si>
  <si>
    <t>Other Financing Activities</t>
  </si>
  <si>
    <t>Repayment of loans(as % of debt)</t>
  </si>
  <si>
    <t>SBC(% of Costs)</t>
  </si>
  <si>
    <t>Investment Growth</t>
  </si>
  <si>
    <t>Assets - (Liabilities + Equity)</t>
  </si>
  <si>
    <t>% of finance lease obligations</t>
  </si>
  <si>
    <t>Check</t>
  </si>
  <si>
    <t>APIC</t>
  </si>
  <si>
    <t>DCF Model</t>
  </si>
  <si>
    <t>Tax Rate</t>
  </si>
  <si>
    <t>Discount Rate</t>
  </si>
  <si>
    <t>Perpetural Growth Rate</t>
  </si>
  <si>
    <t>EV/EBITDA Mulltiple</t>
  </si>
  <si>
    <t>Transaction Date</t>
  </si>
  <si>
    <t>Fiscal Year End</t>
  </si>
  <si>
    <t>Current Price</t>
  </si>
  <si>
    <t>Shares Outstanding</t>
  </si>
  <si>
    <t>Debt</t>
  </si>
  <si>
    <t>Cash</t>
  </si>
  <si>
    <t>Capex</t>
  </si>
  <si>
    <t>Discounted Cash Flow</t>
  </si>
  <si>
    <t>Entry</t>
  </si>
  <si>
    <t>Exit</t>
  </si>
  <si>
    <t>Terminal Value</t>
  </si>
  <si>
    <t>Date</t>
  </si>
  <si>
    <t>Perpetural Growth</t>
  </si>
  <si>
    <t>Time Periods</t>
  </si>
  <si>
    <t>EV/EBITDA</t>
  </si>
  <si>
    <t>Year Fraction</t>
  </si>
  <si>
    <t>EBIT</t>
  </si>
  <si>
    <t>Less:  Taxes</t>
  </si>
  <si>
    <t>Plus: D&amp;A</t>
  </si>
  <si>
    <t>Less: Capex</t>
  </si>
  <si>
    <t>Less: Changes in NWC</t>
  </si>
  <si>
    <t>Unlevered FCF</t>
  </si>
  <si>
    <t>(Entry)/Exit</t>
  </si>
  <si>
    <t>Transaction CF</t>
  </si>
  <si>
    <t>Intrinsic Value</t>
  </si>
  <si>
    <t>Market Value</t>
  </si>
  <si>
    <t>Rate of Return</t>
  </si>
  <si>
    <t>Enterprise Value</t>
  </si>
  <si>
    <t>Market Cap</t>
  </si>
  <si>
    <t>Target Price Upside</t>
  </si>
  <si>
    <t>Plus: Cash</t>
  </si>
  <si>
    <t>Plus: Debt</t>
  </si>
  <si>
    <t>Internal Rate of Return (IRR)</t>
  </si>
  <si>
    <t>Less: Debt</t>
  </si>
  <si>
    <t>Less: Cash</t>
  </si>
  <si>
    <t>Equity Value</t>
  </si>
  <si>
    <t>Market Value vs Intrinsic Value</t>
  </si>
  <si>
    <t>Equity Value/Share</t>
  </si>
  <si>
    <t>Upside</t>
  </si>
  <si>
    <t>Income Statement (Thousands)</t>
  </si>
  <si>
    <t>Working Capital</t>
  </si>
  <si>
    <t>Current Assets</t>
  </si>
  <si>
    <t>Operating lease RUA</t>
  </si>
  <si>
    <t>Current liabilities</t>
  </si>
  <si>
    <t>Lease Liabilities</t>
  </si>
  <si>
    <t>Changes in WC</t>
  </si>
  <si>
    <t>WACC</t>
  </si>
  <si>
    <t>Equity</t>
  </si>
  <si>
    <t>Total Capital</t>
  </si>
  <si>
    <t>Cost of debt</t>
  </si>
  <si>
    <t>Risk free rate</t>
  </si>
  <si>
    <t>Beta</t>
  </si>
  <si>
    <t>Equity Risk premium</t>
  </si>
  <si>
    <t xml:space="preserve">Cost of Equity </t>
  </si>
  <si>
    <t>EBITDA</t>
  </si>
  <si>
    <t>© Corporate Finance Institute®. All rights reserved.</t>
  </si>
  <si>
    <t>Comparable Company Analysis</t>
  </si>
  <si>
    <t>Market Data</t>
  </si>
  <si>
    <t>Financial Data</t>
  </si>
  <si>
    <t>Valuation</t>
  </si>
  <si>
    <t>Price</t>
  </si>
  <si>
    <t>EV</t>
  </si>
  <si>
    <t>Sales</t>
  </si>
  <si>
    <t>Earnings</t>
  </si>
  <si>
    <t>EV/Sales</t>
  </si>
  <si>
    <t>EV/EBIT</t>
  </si>
  <si>
    <t>P/E</t>
  </si>
  <si>
    <t>Company Name</t>
  </si>
  <si>
    <t>($/share)</t>
  </si>
  <si>
    <t>($M)</t>
  </si>
  <si>
    <t>Median</t>
  </si>
  <si>
    <t>Software - Application</t>
  </si>
  <si>
    <t>Financial (Thousands)</t>
  </si>
  <si>
    <t>2024A</t>
  </si>
  <si>
    <t>2025E</t>
  </si>
  <si>
    <t>2026E</t>
  </si>
  <si>
    <t>2027E</t>
  </si>
  <si>
    <t>2028E</t>
  </si>
  <si>
    <t>2029E</t>
  </si>
  <si>
    <t>2030E</t>
  </si>
  <si>
    <t>Net Income</t>
  </si>
  <si>
    <t>Adjusted EBITDA</t>
  </si>
  <si>
    <t>Free Cash Flow</t>
  </si>
  <si>
    <t>ROE</t>
  </si>
  <si>
    <t>ROA</t>
  </si>
  <si>
    <t>Debt/Equity</t>
  </si>
  <si>
    <t>Debt/EBITDA</t>
  </si>
  <si>
    <t>Adjustments</t>
  </si>
  <si>
    <t>Other (income) expense, net</t>
  </si>
  <si>
    <t>Payroll tax expense related to SBC</t>
  </si>
  <si>
    <t>Gain from lease termination</t>
  </si>
  <si>
    <t>Restructuring charges</t>
  </si>
  <si>
    <t>Non-cash add backs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</si>
</sst>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3" formatCode="_-* #,##0.00_-;\-* #,##0.00_-;_-* &quot;-&quot;??_-;_-@_-"/>
    <numFmt numFmtId="164" formatCode="0000&quot;A&quot;"/>
    <numFmt numFmtId="165" formatCode="#,##0.0;[Red]\(#,##0.0\);&quot;-&quot;"/>
    <numFmt numFmtId="166" formatCode="#,##0.0;\(#,##0.0\);&quot;-&quot;"/>
    <numFmt numFmtId="167" formatCode="0.0%"/>
    <numFmt numFmtId="168" formatCode="\ ______General"/>
    <numFmt numFmtId="169" formatCode="0000&quot;E&quot;"/>
    <numFmt numFmtId="170" formatCode="#,##0.0"/>
    <numFmt numFmtId="171" formatCode="#,##0.0;[Red]#,##0.0"/>
    <numFmt numFmtId="172" formatCode="[Blue]#,##0.0%;\(#,##0.0%\);&quot;-&quot;"/>
    <numFmt numFmtId="173" formatCode="[Black]#,##0.0%;\(#,##0.0%\);&quot;-&quot;"/>
    <numFmt numFmtId="174" formatCode="_([$$-409]* #,##0.00_);_([$$-409]* \(#,##0.00\);_([$$-409]* &quot;-&quot;??_);_(@_)"/>
    <numFmt numFmtId="175" formatCode="_-* #,##0_-;\(#,##0\)_-;_-* &quot;-&quot;_-;_-@_-"/>
    <numFmt numFmtId="176" formatCode="0.0\x"/>
    <numFmt numFmtId="177" formatCode="_-* #,##0_-;\-* #,##0_-;_-* &quot;-&quot;??_-;_-@_-"/>
    <numFmt numFmtId="178" formatCode="_(* #,##0_);_(* \(#,##0\);_(* &quot;-&quot;??_);_(@_)"/>
    <numFmt numFmtId="179" formatCode="_-* #,##0.00_-;\(#,##0.00\)_-;_-* &quot;-&quot;_-;_-@_-"/>
    <numFmt numFmtId="180" formatCode="_ * #,##0_ ;_ * \-#,##0_ ;_ * &quot;-&quot;??_ ;_ @_ "/>
    <numFmt numFmtId="181" formatCode="#,##0.00;\(#,##0.00\);&quot;-&quot;"/>
  </numFmts>
  <fonts count="57" x14ac:knownFonts="1">
    <font>
      <sz val="11"/>
      <color theme="1"/>
      <name val="Calibri"/>
      <family val="2"/>
      <scheme val="minor"/>
    </font>
    <font>
      <b/>
      <sz val="11"/>
      <color theme="0"/>
      <name val="Calibri"/>
      <family val="2"/>
      <scheme val="minor"/>
    </font>
    <font>
      <b/>
      <sz val="11"/>
      <color theme="1"/>
      <name val="Calibri"/>
      <family val="2"/>
      <scheme val="minor"/>
    </font>
    <font>
      <sz val="11"/>
      <color rgb="FF0000FF"/>
      <name val="Calibri"/>
      <family val="2"/>
      <scheme val="minor"/>
    </font>
    <font>
      <b/>
      <sz val="11"/>
      <color rgb="FF0000FF"/>
      <name val="Calibri"/>
      <family val="2"/>
      <scheme val="minor"/>
    </font>
    <font>
      <b/>
      <sz val="11"/>
      <name val="Calibri"/>
      <family val="2"/>
      <scheme val="minor"/>
    </font>
    <font>
      <sz val="11"/>
      <name val="Calibri"/>
      <family val="2"/>
      <scheme val="minor"/>
    </font>
    <font>
      <i/>
      <sz val="11"/>
      <color theme="1"/>
      <name val="Calibri"/>
      <family val="2"/>
      <scheme val="minor"/>
    </font>
    <font>
      <i/>
      <sz val="11"/>
      <name val="Calibri"/>
      <family val="2"/>
      <scheme val="minor"/>
    </font>
    <font>
      <b/>
      <sz val="11"/>
      <color indexed="9"/>
      <name val="Calibri"/>
      <family val="2"/>
    </font>
    <font>
      <sz val="11"/>
      <name val="Calibri"/>
      <family val="2"/>
    </font>
    <font>
      <b/>
      <i/>
      <sz val="11"/>
      <color theme="1"/>
      <name val="Calibri"/>
      <family val="2"/>
      <scheme val="minor"/>
    </font>
    <font>
      <sz val="9"/>
      <color indexed="81"/>
      <name val="Tahoma"/>
      <family val="2"/>
    </font>
    <font>
      <sz val="8"/>
      <color indexed="81"/>
      <name val="Arial"/>
      <family val="2"/>
    </font>
    <font>
      <b/>
      <sz val="9"/>
      <color indexed="81"/>
      <name val="Tahoma"/>
      <family val="2"/>
    </font>
    <font>
      <b/>
      <i/>
      <sz val="11"/>
      <name val="Calibri"/>
      <family val="2"/>
      <scheme val="minor"/>
    </font>
    <font>
      <b/>
      <sz val="11"/>
      <color rgb="FF000000"/>
      <name val="Calibri"/>
      <family val="2"/>
      <scheme val="minor"/>
    </font>
    <font>
      <sz val="11"/>
      <color theme="1"/>
      <name val="Calibri"/>
      <family val="2"/>
    </font>
    <font>
      <b/>
      <i/>
      <sz val="11"/>
      <color rgb="FF000000"/>
      <name val="Calibri"/>
      <family val="2"/>
    </font>
    <font>
      <b/>
      <sz val="11"/>
      <color rgb="FFFFFFFF"/>
      <name val="Calibri"/>
      <family val="2"/>
    </font>
    <font>
      <sz val="11"/>
      <color rgb="FF0000FF"/>
      <name val="Calibri"/>
      <family val="2"/>
    </font>
    <font>
      <sz val="11"/>
      <color rgb="FF5B9BD5"/>
      <name val="Calibri"/>
      <family val="2"/>
    </font>
    <font>
      <sz val="11"/>
      <color rgb="FFFFC000"/>
      <name val="Calibri"/>
      <family val="2"/>
    </font>
    <font>
      <sz val="11"/>
      <color rgb="FF70AD47"/>
      <name val="Calibri"/>
      <family val="2"/>
    </font>
    <font>
      <sz val="11"/>
      <color rgb="FFC00000"/>
      <name val="Calibri"/>
      <family val="2"/>
    </font>
    <font>
      <sz val="11"/>
      <color rgb="FF7030A0"/>
      <name val="Calibri"/>
      <family val="2"/>
    </font>
    <font>
      <i/>
      <sz val="11"/>
      <color rgb="FF000000"/>
      <name val="Calibri"/>
      <family val="2"/>
    </font>
    <font>
      <sz val="11"/>
      <color rgb="FF000000"/>
      <name val="Calibri"/>
      <family val="2"/>
    </font>
    <font>
      <sz val="11"/>
      <color theme="1"/>
      <name val="Calibri"/>
      <family val="2"/>
      <scheme val="minor"/>
    </font>
    <font>
      <sz val="8"/>
      <color theme="0"/>
      <name val="Open Sans"/>
      <family val="2"/>
    </font>
    <font>
      <sz val="12"/>
      <color theme="1"/>
      <name val="Open Sans"/>
      <family val="2"/>
    </font>
    <font>
      <sz val="11"/>
      <color theme="1"/>
      <name val="Open sans"/>
      <family val="2"/>
    </font>
    <font>
      <b/>
      <sz val="14"/>
      <color rgb="FF3271D2"/>
      <name val="Open Sans"/>
      <family val="2"/>
    </font>
    <font>
      <b/>
      <sz val="10"/>
      <color theme="1"/>
      <name val="Open Sans"/>
      <family val="2"/>
    </font>
    <font>
      <sz val="10"/>
      <color theme="1"/>
      <name val="Open Sans"/>
      <family val="2"/>
    </font>
    <font>
      <sz val="10"/>
      <color rgb="FF0000FF"/>
      <name val="Open Sans"/>
      <family val="2"/>
    </font>
    <font>
      <b/>
      <sz val="10"/>
      <name val="Open Sans"/>
      <family val="2"/>
    </font>
    <font>
      <sz val="10"/>
      <name val="Open Sans"/>
      <family val="2"/>
    </font>
    <font>
      <sz val="10"/>
      <color rgb="FF3271D2"/>
      <name val="Open Sans"/>
      <family val="2"/>
    </font>
    <font>
      <b/>
      <sz val="10"/>
      <color rgb="FF000000"/>
      <name val="Open Sans"/>
      <family val="2"/>
    </font>
    <font>
      <i/>
      <sz val="10"/>
      <color rgb="FF000000"/>
      <name val="Open Sans"/>
      <family val="2"/>
    </font>
    <font>
      <sz val="10"/>
      <color rgb="FF000000"/>
      <name val="Open Sans"/>
      <family val="2"/>
    </font>
    <font>
      <i/>
      <sz val="10"/>
      <color theme="1"/>
      <name val="Open Sans"/>
      <family val="2"/>
    </font>
    <font>
      <u/>
      <sz val="11"/>
      <color theme="10"/>
      <name val="Calibri"/>
      <family val="2"/>
      <scheme val="minor"/>
    </font>
    <font>
      <u/>
      <sz val="10"/>
      <color theme="10"/>
      <name val="Open Sans"/>
      <family val="2"/>
    </font>
    <font>
      <sz val="11"/>
      <color theme="1"/>
      <name val="Arial Narrow"/>
      <family val="2"/>
    </font>
    <font>
      <b/>
      <sz val="10"/>
      <color theme="0"/>
      <name val="Open Sans"/>
      <family val="2"/>
    </font>
    <font>
      <b/>
      <sz val="11"/>
      <color theme="0"/>
      <name val="Open Sans"/>
      <family val="2"/>
    </font>
    <font>
      <sz val="11"/>
      <color theme="0"/>
      <name val="Arial Narrow"/>
      <family val="2"/>
    </font>
    <font>
      <b/>
      <sz val="11"/>
      <color theme="0"/>
      <name val="Arial Narrow"/>
      <family val="2"/>
    </font>
    <font>
      <i/>
      <sz val="9"/>
      <color theme="0"/>
      <name val="Arial Narrow"/>
      <family val="2"/>
    </font>
    <font>
      <sz val="11"/>
      <color rgb="FF0000FF"/>
      <name val="Arial Narrow"/>
      <family val="2"/>
    </font>
    <font>
      <i/>
      <sz val="12"/>
      <color theme="1"/>
      <name val="Arial Narrow"/>
      <family val="2"/>
    </font>
    <font>
      <sz val="12"/>
      <color theme="1"/>
      <name val="Calibri"/>
      <family val="2"/>
      <scheme val="minor"/>
    </font>
    <font>
      <u/>
      <sz val="12"/>
      <color rgb="FF0070C0"/>
      <name val="Calibri"/>
      <family val="2"/>
      <scheme val="minor"/>
    </font>
    <font>
      <sz val="11"/>
      <name val="Arial Narrow"/>
      <family val="2"/>
    </font>
    <font>
      <b/>
      <sz val="11"/>
      <color rgb="FFFFFFFF"/>
      <name val="Arial Narrow"/>
      <family val="2"/>
    </font>
  </fonts>
  <fills count="20">
    <fill>
      <patternFill patternType="none"/>
    </fill>
    <fill>
      <patternFill patternType="gray125"/>
    </fill>
    <fill>
      <patternFill patternType="solid">
        <fgColor rgb="FF0070C0"/>
        <bgColor indexed="64"/>
      </patternFill>
    </fill>
    <fill>
      <patternFill patternType="solid">
        <fgColor theme="8"/>
        <bgColor indexed="64"/>
      </patternFill>
    </fill>
    <fill>
      <patternFill patternType="solid">
        <fgColor theme="8" tint="-0.499984740745262"/>
        <bgColor indexed="64"/>
      </patternFill>
    </fill>
    <fill>
      <patternFill patternType="solid">
        <fgColor theme="4" tint="-0.249977111117893"/>
        <bgColor indexed="64"/>
      </patternFill>
    </fill>
    <fill>
      <patternFill patternType="solid">
        <fgColor theme="0" tint="-0.249977111117893"/>
        <bgColor indexed="64"/>
      </patternFill>
    </fill>
    <fill>
      <patternFill patternType="darkGray">
        <bgColor indexed="12"/>
      </patternFill>
    </fill>
    <fill>
      <patternFill patternType="solid">
        <fgColor theme="4" tint="-0.499984740745262"/>
        <bgColor indexed="64"/>
      </patternFill>
    </fill>
    <fill>
      <patternFill patternType="solid">
        <fgColor rgb="FF00B0F0"/>
        <bgColor indexed="64"/>
      </patternFill>
    </fill>
    <fill>
      <patternFill patternType="solid">
        <fgColor theme="4" tint="0.39997558519241921"/>
        <bgColor indexed="64"/>
      </patternFill>
    </fill>
    <fill>
      <patternFill patternType="solid">
        <fgColor rgb="FF002060"/>
        <bgColor indexed="64"/>
      </patternFill>
    </fill>
    <fill>
      <patternFill patternType="solid">
        <fgColor rgb="FFFFFF00"/>
        <bgColor indexed="64"/>
      </patternFill>
    </fill>
    <fill>
      <patternFill patternType="solid">
        <fgColor rgb="FF00B0F0"/>
        <bgColor rgb="FF000000"/>
      </patternFill>
    </fill>
    <fill>
      <patternFill patternType="solid">
        <fgColor rgb="FF657C9C"/>
        <bgColor rgb="FF000000"/>
      </patternFill>
    </fill>
    <fill>
      <patternFill patternType="solid">
        <fgColor rgb="FF9BC2E6"/>
        <bgColor rgb="FF000000"/>
      </patternFill>
    </fill>
    <fill>
      <patternFill patternType="solid">
        <fgColor theme="0" tint="-0.34998626667073579"/>
        <bgColor indexed="64"/>
      </patternFill>
    </fill>
    <fill>
      <patternFill patternType="solid">
        <fgColor rgb="FF132E57"/>
        <bgColor indexed="64"/>
      </patternFill>
    </fill>
    <fill>
      <patternFill patternType="solid">
        <fgColor theme="2" tint="0.79998168889431442"/>
        <bgColor rgb="FF000000"/>
      </patternFill>
    </fill>
    <fill>
      <patternFill patternType="solid">
        <fgColor rgb="FF2F75B5"/>
        <bgColor indexed="64"/>
      </patternFill>
    </fill>
  </fills>
  <borders count="30">
    <border>
      <left/>
      <right/>
      <top/>
      <bottom/>
      <diagonal/>
    </border>
    <border>
      <left/>
      <right/>
      <top/>
      <bottom style="thin">
        <color indexed="64"/>
      </bottom>
      <diagonal/>
    </border>
    <border>
      <left/>
      <right/>
      <top style="thin">
        <color indexed="64"/>
      </top>
      <bottom/>
      <diagonal/>
    </border>
    <border>
      <left/>
      <right/>
      <top style="thin">
        <color indexed="64"/>
      </top>
      <bottom style="double">
        <color indexed="64"/>
      </bottom>
      <diagonal/>
    </border>
    <border>
      <left/>
      <right/>
      <top style="double">
        <color indexed="64"/>
      </top>
      <bottom style="double">
        <color indexed="64"/>
      </bottom>
      <diagonal/>
    </border>
    <border>
      <left/>
      <right/>
      <top style="thin">
        <color indexed="64"/>
      </top>
      <bottom style="medium">
        <color indexed="64"/>
      </bottom>
      <diagonal/>
    </border>
    <border>
      <left/>
      <right/>
      <top/>
      <bottom style="double">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thin">
        <color indexed="9"/>
      </left>
      <right style="thin">
        <color indexed="9"/>
      </right>
      <top style="thin">
        <color indexed="9"/>
      </top>
      <bottom style="thin">
        <color indexed="64"/>
      </bottom>
      <diagonal/>
    </border>
    <border>
      <left style="thin">
        <color indexed="9"/>
      </left>
      <right/>
      <top/>
      <bottom style="thin">
        <color indexed="64"/>
      </bottom>
      <diagonal/>
    </border>
    <border>
      <left style="thin">
        <color indexed="9"/>
      </left>
      <right/>
      <top/>
      <bottom style="thin">
        <color indexed="9"/>
      </bottom>
      <diagonal/>
    </border>
    <border>
      <left style="thin">
        <color indexed="9"/>
      </left>
      <right/>
      <top style="thin">
        <color indexed="9"/>
      </top>
      <bottom style="thin">
        <color indexed="9"/>
      </bottom>
      <diagonal/>
    </border>
    <border>
      <left style="thin">
        <color indexed="9"/>
      </left>
      <right/>
      <top style="thin">
        <color indexed="9"/>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rgb="FF000000"/>
      </bottom>
      <diagonal/>
    </border>
    <border>
      <left/>
      <right/>
      <top style="thin">
        <color rgb="FF000000"/>
      </top>
      <bottom style="medium">
        <color rgb="FF000000"/>
      </bottom>
      <diagonal/>
    </border>
    <border>
      <left/>
      <right/>
      <top style="hair">
        <color rgb="FF000000"/>
      </top>
      <bottom/>
      <diagonal/>
    </border>
    <border>
      <left/>
      <right/>
      <top style="thin">
        <color theme="0"/>
      </top>
      <bottom/>
      <diagonal/>
    </border>
  </borders>
  <cellStyleXfs count="6">
    <xf numFmtId="0" fontId="0" fillId="0" borderId="0"/>
    <xf numFmtId="43" fontId="28" fillId="0" borderId="0" applyFont="0" applyFill="0" applyBorder="0" applyAlignment="0" applyProtection="0"/>
    <xf numFmtId="9" fontId="28" fillId="0" borderId="0" applyFont="0" applyFill="0" applyBorder="0" applyAlignment="0" applyProtection="0"/>
    <xf numFmtId="0" fontId="28" fillId="0" borderId="0"/>
    <xf numFmtId="0" fontId="43" fillId="0" borderId="0" applyNumberFormat="0" applyFill="0" applyBorder="0" applyAlignment="0" applyProtection="0"/>
    <xf numFmtId="0" fontId="43" fillId="0" borderId="0" applyNumberFormat="0" applyFill="0" applyBorder="0" applyAlignment="0" applyProtection="0"/>
  </cellStyleXfs>
  <cellXfs count="299">
    <xf numFmtId="0" fontId="0" fillId="0" borderId="0" xfId="0"/>
    <xf numFmtId="166" fontId="3" fillId="0" borderId="1" xfId="0" applyNumberFormat="1" applyFont="1" applyBorder="1"/>
    <xf numFmtId="0" fontId="2" fillId="0" borderId="0" xfId="0" applyFont="1"/>
    <xf numFmtId="166" fontId="4" fillId="0" borderId="0" xfId="0" applyNumberFormat="1" applyFont="1"/>
    <xf numFmtId="167" fontId="4" fillId="0" borderId="0" xfId="0" applyNumberFormat="1" applyFont="1"/>
    <xf numFmtId="168" fontId="0" fillId="0" borderId="0" xfId="0" applyNumberFormat="1" applyAlignment="1">
      <alignment horizontal="left" indent="2"/>
    </xf>
    <xf numFmtId="166" fontId="3" fillId="0" borderId="0" xfId="0" applyNumberFormat="1" applyFont="1"/>
    <xf numFmtId="165" fontId="2" fillId="0" borderId="2" xfId="0" applyNumberFormat="1" applyFont="1" applyBorder="1"/>
    <xf numFmtId="166" fontId="5" fillId="0" borderId="2" xfId="0" applyNumberFormat="1" applyFont="1" applyBorder="1"/>
    <xf numFmtId="0" fontId="2" fillId="0" borderId="0" xfId="0" applyFont="1" applyAlignment="1">
      <alignment horizontal="left" indent="4"/>
    </xf>
    <xf numFmtId="166" fontId="5" fillId="0" borderId="0" xfId="0" applyNumberFormat="1" applyFont="1"/>
    <xf numFmtId="0" fontId="2" fillId="0" borderId="0" xfId="0" applyFont="1" applyAlignment="1">
      <alignment horizontal="left" indent="2"/>
    </xf>
    <xf numFmtId="166" fontId="5" fillId="0" borderId="3" xfId="0" applyNumberFormat="1" applyFont="1" applyBorder="1"/>
    <xf numFmtId="0" fontId="0" fillId="0" borderId="0" xfId="0" applyAlignment="1">
      <alignment wrapText="1"/>
    </xf>
    <xf numFmtId="0" fontId="0" fillId="0" borderId="0" xfId="0" applyAlignment="1">
      <alignment horizontal="left" indent="2"/>
    </xf>
    <xf numFmtId="166" fontId="5" fillId="0" borderId="1" xfId="0" applyNumberFormat="1" applyFont="1" applyBorder="1"/>
    <xf numFmtId="0" fontId="0" fillId="0" borderId="5" xfId="0" applyBorder="1" applyAlignment="1">
      <alignment horizontal="left" indent="4"/>
    </xf>
    <xf numFmtId="166" fontId="0" fillId="0" borderId="5" xfId="0" applyNumberFormat="1" applyBorder="1"/>
    <xf numFmtId="0" fontId="0" fillId="0" borderId="6" xfId="0" applyBorder="1" applyAlignment="1">
      <alignment horizontal="left" indent="4"/>
    </xf>
    <xf numFmtId="166" fontId="0" fillId="0" borderId="6" xfId="0" applyNumberFormat="1" applyBorder="1"/>
    <xf numFmtId="164" fontId="1" fillId="3" borderId="0" xfId="0" applyNumberFormat="1" applyFont="1" applyFill="1"/>
    <xf numFmtId="165" fontId="0" fillId="0" borderId="0" xfId="0" applyNumberFormat="1"/>
    <xf numFmtId="165" fontId="7" fillId="0" borderId="4" xfId="0" applyNumberFormat="1" applyFont="1" applyBorder="1"/>
    <xf numFmtId="166" fontId="8" fillId="0" borderId="4" xfId="0" applyNumberFormat="1" applyFont="1" applyBorder="1"/>
    <xf numFmtId="0" fontId="1" fillId="3" borderId="0" xfId="0" applyFont="1" applyFill="1"/>
    <xf numFmtId="0" fontId="1" fillId="4" borderId="0" xfId="0" applyFont="1" applyFill="1"/>
    <xf numFmtId="169" fontId="1" fillId="3" borderId="0" xfId="0" applyNumberFormat="1" applyFont="1" applyFill="1"/>
    <xf numFmtId="169" fontId="1" fillId="5" borderId="0" xfId="0" applyNumberFormat="1" applyFont="1" applyFill="1"/>
    <xf numFmtId="166" fontId="6" fillId="0" borderId="0" xfId="0" applyNumberFormat="1" applyFont="1"/>
    <xf numFmtId="0" fontId="6" fillId="0" borderId="0" xfId="0" applyFont="1"/>
    <xf numFmtId="0" fontId="2" fillId="2" borderId="0" xfId="0" applyFont="1" applyFill="1"/>
    <xf numFmtId="166" fontId="2" fillId="0" borderId="0" xfId="0" applyNumberFormat="1" applyFont="1"/>
    <xf numFmtId="0" fontId="2" fillId="0" borderId="3" xfId="0" applyFont="1" applyBorder="1" applyAlignment="1">
      <alignment horizontal="left" indent="4"/>
    </xf>
    <xf numFmtId="166" fontId="2" fillId="0" borderId="3" xfId="0" applyNumberFormat="1" applyFont="1" applyBorder="1" applyAlignment="1">
      <alignment horizontal="left" indent="4"/>
    </xf>
    <xf numFmtId="166" fontId="0" fillId="0" borderId="0" xfId="0" applyNumberFormat="1"/>
    <xf numFmtId="166" fontId="2" fillId="2" borderId="0" xfId="0" applyNumberFormat="1" applyFont="1" applyFill="1"/>
    <xf numFmtId="0" fontId="0" fillId="0" borderId="0" xfId="0" applyAlignment="1">
      <alignment horizontal="left"/>
    </xf>
    <xf numFmtId="0" fontId="2" fillId="0" borderId="5" xfId="0" applyFont="1" applyBorder="1" applyAlignment="1">
      <alignment horizontal="left" indent="2"/>
    </xf>
    <xf numFmtId="166" fontId="2" fillId="0" borderId="5" xfId="0" applyNumberFormat="1" applyFont="1" applyBorder="1"/>
    <xf numFmtId="0" fontId="2" fillId="0" borderId="6" xfId="0" applyFont="1" applyBorder="1" applyAlignment="1">
      <alignment horizontal="left" indent="4"/>
    </xf>
    <xf numFmtId="166" fontId="2" fillId="0" borderId="6" xfId="0" applyNumberFormat="1" applyFont="1" applyBorder="1"/>
    <xf numFmtId="166" fontId="2" fillId="0" borderId="3" xfId="0" applyNumberFormat="1" applyFont="1" applyBorder="1"/>
    <xf numFmtId="170" fontId="0" fillId="0" borderId="0" xfId="0" applyNumberFormat="1"/>
    <xf numFmtId="0" fontId="1" fillId="0" borderId="0" xfId="0" applyFont="1"/>
    <xf numFmtId="0" fontId="0" fillId="0" borderId="0" xfId="0" applyAlignment="1">
      <alignment horizontal="left" indent="4"/>
    </xf>
    <xf numFmtId="0" fontId="0" fillId="0" borderId="5" xfId="0" applyBorder="1" applyAlignment="1">
      <alignment horizontal="left" indent="6"/>
    </xf>
    <xf numFmtId="0" fontId="2" fillId="0" borderId="0" xfId="0" applyFont="1" applyAlignment="1">
      <alignment horizontal="left" indent="6"/>
    </xf>
    <xf numFmtId="166" fontId="5" fillId="2" borderId="0" xfId="0" applyNumberFormat="1" applyFont="1" applyFill="1"/>
    <xf numFmtId="0" fontId="2" fillId="0" borderId="5" xfId="0" applyFont="1" applyBorder="1" applyAlignment="1">
      <alignment horizontal="left" indent="6"/>
    </xf>
    <xf numFmtId="166" fontId="4" fillId="2" borderId="0" xfId="0" applyNumberFormat="1" applyFont="1" applyFill="1"/>
    <xf numFmtId="171" fontId="3" fillId="0" borderId="0" xfId="0" applyNumberFormat="1" applyFont="1"/>
    <xf numFmtId="0" fontId="4" fillId="2" borderId="0" xfId="0" applyFont="1" applyFill="1"/>
    <xf numFmtId="165" fontId="3" fillId="0" borderId="0" xfId="0" applyNumberFormat="1" applyFont="1"/>
    <xf numFmtId="0" fontId="2" fillId="0" borderId="3" xfId="0" applyFont="1" applyBorder="1"/>
    <xf numFmtId="165" fontId="0" fillId="0" borderId="3" xfId="0" applyNumberFormat="1" applyBorder="1"/>
    <xf numFmtId="0" fontId="2" fillId="6" borderId="0" xfId="0" applyFont="1" applyFill="1"/>
    <xf numFmtId="0" fontId="9" fillId="7" borderId="10" xfId="0" applyFont="1" applyFill="1" applyBorder="1" applyAlignment="1">
      <alignment horizontal="center" vertical="center"/>
    </xf>
    <xf numFmtId="166" fontId="10" fillId="0" borderId="0" xfId="0" applyNumberFormat="1" applyFont="1"/>
    <xf numFmtId="0" fontId="9" fillId="7" borderId="11" xfId="0" applyFont="1" applyFill="1" applyBorder="1" applyAlignment="1">
      <alignment horizontal="center" vertical="center"/>
    </xf>
    <xf numFmtId="166" fontId="0" fillId="0" borderId="1" xfId="0" applyNumberFormat="1" applyBorder="1"/>
    <xf numFmtId="0" fontId="0" fillId="5" borderId="0" xfId="0" applyFill="1"/>
    <xf numFmtId="0" fontId="1" fillId="8" borderId="0" xfId="0" applyFont="1" applyFill="1"/>
    <xf numFmtId="0" fontId="7" fillId="0" borderId="14" xfId="0" applyFont="1" applyBorder="1" applyAlignment="1">
      <alignment horizontal="centerContinuous"/>
    </xf>
    <xf numFmtId="10" fontId="0" fillId="0" borderId="0" xfId="0" applyNumberFormat="1"/>
    <xf numFmtId="0" fontId="0" fillId="0" borderId="12" xfId="0" applyBorder="1"/>
    <xf numFmtId="0" fontId="7" fillId="0" borderId="14" xfId="0" applyFont="1" applyBorder="1" applyAlignment="1">
      <alignment horizontal="center"/>
    </xf>
    <xf numFmtId="0" fontId="9" fillId="7" borderId="15" xfId="0" applyFont="1" applyFill="1" applyBorder="1" applyAlignment="1">
      <alignment horizontal="center" vertical="center"/>
    </xf>
    <xf numFmtId="0" fontId="0" fillId="0" borderId="16" xfId="0" applyBorder="1"/>
    <xf numFmtId="10" fontId="0" fillId="0" borderId="1" xfId="0" applyNumberFormat="1" applyBorder="1"/>
    <xf numFmtId="167" fontId="0" fillId="0" borderId="1" xfId="0" applyNumberFormat="1" applyBorder="1"/>
    <xf numFmtId="0" fontId="9" fillId="7" borderId="17" xfId="0" applyFont="1" applyFill="1" applyBorder="1" applyAlignment="1">
      <alignment horizontal="center" vertical="center"/>
    </xf>
    <xf numFmtId="167" fontId="0" fillId="0" borderId="0" xfId="0" applyNumberFormat="1"/>
    <xf numFmtId="0" fontId="9" fillId="7" borderId="18" xfId="0" applyFont="1" applyFill="1" applyBorder="1" applyAlignment="1">
      <alignment horizontal="center" vertical="center"/>
    </xf>
    <xf numFmtId="0" fontId="9" fillId="7" borderId="19" xfId="0" applyFont="1" applyFill="1" applyBorder="1" applyAlignment="1">
      <alignment horizontal="center" vertical="center"/>
    </xf>
    <xf numFmtId="0" fontId="0" fillId="0" borderId="1" xfId="0" applyBorder="1"/>
    <xf numFmtId="9" fontId="0" fillId="0" borderId="0" xfId="0" applyNumberFormat="1"/>
    <xf numFmtId="169" fontId="2" fillId="9" borderId="0" xfId="0" applyNumberFormat="1" applyFont="1" applyFill="1"/>
    <xf numFmtId="167" fontId="0" fillId="5" borderId="0" xfId="0" applyNumberFormat="1" applyFill="1"/>
    <xf numFmtId="0" fontId="11" fillId="0" borderId="0" xfId="0" applyFont="1"/>
    <xf numFmtId="10" fontId="11" fillId="0" borderId="20" xfId="0" applyNumberFormat="1" applyFont="1" applyBorder="1"/>
    <xf numFmtId="10" fontId="11" fillId="0" borderId="13" xfId="0" applyNumberFormat="1" applyFont="1" applyBorder="1"/>
    <xf numFmtId="10" fontId="11" fillId="0" borderId="21" xfId="0" applyNumberFormat="1" applyFont="1" applyBorder="1"/>
    <xf numFmtId="10" fontId="7" fillId="0" borderId="0" xfId="0" applyNumberFormat="1" applyFont="1"/>
    <xf numFmtId="14" fontId="0" fillId="0" borderId="0" xfId="0" applyNumberFormat="1"/>
    <xf numFmtId="0" fontId="11" fillId="10" borderId="0" xfId="0" applyFont="1" applyFill="1"/>
    <xf numFmtId="167" fontId="3" fillId="0" borderId="0" xfId="0" applyNumberFormat="1" applyFont="1"/>
    <xf numFmtId="172" fontId="3" fillId="0" borderId="0" xfId="0" applyNumberFormat="1" applyFont="1"/>
    <xf numFmtId="173" fontId="5" fillId="0" borderId="3" xfId="0" applyNumberFormat="1" applyFont="1" applyBorder="1"/>
    <xf numFmtId="10" fontId="3" fillId="0" borderId="0" xfId="0" applyNumberFormat="1" applyFont="1"/>
    <xf numFmtId="10" fontId="6" fillId="0" borderId="0" xfId="0" applyNumberFormat="1" applyFont="1"/>
    <xf numFmtId="166" fontId="0" fillId="6" borderId="0" xfId="0" applyNumberFormat="1" applyFill="1"/>
    <xf numFmtId="10" fontId="0" fillId="0" borderId="20" xfId="0" applyNumberFormat="1" applyBorder="1"/>
    <xf numFmtId="10" fontId="0" fillId="0" borderId="13" xfId="0" applyNumberFormat="1" applyBorder="1"/>
    <xf numFmtId="10" fontId="0" fillId="0" borderId="21" xfId="0" applyNumberFormat="1" applyBorder="1"/>
    <xf numFmtId="10" fontId="11" fillId="0" borderId="0" xfId="0" applyNumberFormat="1" applyFont="1"/>
    <xf numFmtId="165" fontId="0" fillId="0" borderId="2" xfId="0" applyNumberFormat="1" applyBorder="1"/>
    <xf numFmtId="0" fontId="0" fillId="0" borderId="3" xfId="0" applyBorder="1"/>
    <xf numFmtId="166" fontId="11" fillId="0" borderId="20" xfId="0" applyNumberFormat="1" applyFont="1" applyBorder="1"/>
    <xf numFmtId="166" fontId="11" fillId="0" borderId="13" xfId="0" applyNumberFormat="1" applyFont="1" applyBorder="1"/>
    <xf numFmtId="166" fontId="11" fillId="0" borderId="21" xfId="0" applyNumberFormat="1" applyFont="1" applyBorder="1"/>
    <xf numFmtId="164" fontId="1" fillId="0" borderId="0" xfId="0" applyNumberFormat="1" applyFont="1"/>
    <xf numFmtId="169" fontId="1" fillId="0" borderId="0" xfId="0" applyNumberFormat="1" applyFont="1"/>
    <xf numFmtId="164" fontId="5" fillId="0" borderId="0" xfId="0" applyNumberFormat="1" applyFont="1"/>
    <xf numFmtId="169" fontId="5" fillId="0" borderId="0" xfId="0" applyNumberFormat="1" applyFont="1"/>
    <xf numFmtId="10" fontId="5" fillId="0" borderId="0" xfId="0" applyNumberFormat="1" applyFont="1"/>
    <xf numFmtId="165" fontId="2" fillId="0" borderId="3" xfId="0" applyNumberFormat="1" applyFont="1" applyBorder="1"/>
    <xf numFmtId="0" fontId="2" fillId="0" borderId="13" xfId="0" applyFont="1" applyBorder="1"/>
    <xf numFmtId="164" fontId="5" fillId="10" borderId="0" xfId="0" applyNumberFormat="1" applyFont="1" applyFill="1"/>
    <xf numFmtId="164" fontId="5" fillId="10" borderId="7" xfId="0" applyNumberFormat="1" applyFont="1" applyFill="1" applyBorder="1"/>
    <xf numFmtId="169" fontId="5" fillId="10" borderId="0" xfId="0" applyNumberFormat="1" applyFont="1" applyFill="1"/>
    <xf numFmtId="165" fontId="2" fillId="0" borderId="13" xfId="0" applyNumberFormat="1" applyFont="1" applyBorder="1"/>
    <xf numFmtId="171" fontId="0" fillId="0" borderId="0" xfId="0" applyNumberFormat="1"/>
    <xf numFmtId="0" fontId="0" fillId="0" borderId="0" xfId="0" applyAlignment="1">
      <alignment horizontal="left" indent="3"/>
    </xf>
    <xf numFmtId="0" fontId="2" fillId="0" borderId="2" xfId="0" applyFont="1" applyBorder="1" applyAlignment="1">
      <alignment horizontal="left" indent="5"/>
    </xf>
    <xf numFmtId="0" fontId="2" fillId="0" borderId="0" xfId="0" applyFont="1" applyAlignment="1">
      <alignment horizontal="left" indent="5"/>
    </xf>
    <xf numFmtId="166" fontId="6" fillId="0" borderId="3" xfId="0" applyNumberFormat="1" applyFont="1" applyBorder="1"/>
    <xf numFmtId="167" fontId="8" fillId="0" borderId="0" xfId="0" applyNumberFormat="1" applyFont="1"/>
    <xf numFmtId="165" fontId="2" fillId="0" borderId="0" xfId="0" applyNumberFormat="1" applyFont="1"/>
    <xf numFmtId="0" fontId="1" fillId="11" borderId="0" xfId="0" applyFont="1" applyFill="1"/>
    <xf numFmtId="0" fontId="0" fillId="0" borderId="2" xfId="0" applyBorder="1"/>
    <xf numFmtId="2" fontId="0" fillId="0" borderId="0" xfId="0" applyNumberFormat="1"/>
    <xf numFmtId="167" fontId="7" fillId="0" borderId="20" xfId="0" applyNumberFormat="1" applyFont="1" applyBorder="1"/>
    <xf numFmtId="167" fontId="7" fillId="0" borderId="13" xfId="0" applyNumberFormat="1" applyFont="1" applyBorder="1"/>
    <xf numFmtId="167" fontId="7" fillId="0" borderId="21" xfId="0" applyNumberFormat="1" applyFont="1" applyBorder="1"/>
    <xf numFmtId="0" fontId="0" fillId="12" borderId="0" xfId="0" applyFill="1"/>
    <xf numFmtId="167" fontId="6" fillId="0" borderId="0" xfId="0" applyNumberFormat="1" applyFont="1"/>
    <xf numFmtId="166" fontId="15" fillId="0" borderId="20" xfId="0" applyNumberFormat="1" applyFont="1" applyBorder="1"/>
    <xf numFmtId="166" fontId="15" fillId="0" borderId="13" xfId="0" applyNumberFormat="1" applyFont="1" applyBorder="1"/>
    <xf numFmtId="166" fontId="15" fillId="0" borderId="21" xfId="0" applyNumberFormat="1" applyFont="1" applyBorder="1"/>
    <xf numFmtId="167" fontId="11" fillId="0" borderId="20" xfId="0" applyNumberFormat="1" applyFont="1" applyBorder="1"/>
    <xf numFmtId="167" fontId="11" fillId="0" borderId="13" xfId="0" applyNumberFormat="1" applyFont="1" applyBorder="1"/>
    <xf numFmtId="167" fontId="11" fillId="0" borderId="21" xfId="0" applyNumberFormat="1" applyFont="1" applyBorder="1"/>
    <xf numFmtId="170" fontId="0" fillId="0" borderId="3" xfId="0" applyNumberFormat="1" applyBorder="1"/>
    <xf numFmtId="0" fontId="16" fillId="0" borderId="0" xfId="0" applyFont="1"/>
    <xf numFmtId="170" fontId="3" fillId="0" borderId="0" xfId="0" applyNumberFormat="1" applyFont="1"/>
    <xf numFmtId="164" fontId="1" fillId="4" borderId="0" xfId="0" applyNumberFormat="1" applyFont="1" applyFill="1"/>
    <xf numFmtId="169" fontId="1" fillId="4" borderId="0" xfId="0" applyNumberFormat="1" applyFont="1" applyFill="1"/>
    <xf numFmtId="0" fontId="2" fillId="6" borderId="25" xfId="0" applyFont="1" applyFill="1" applyBorder="1"/>
    <xf numFmtId="10" fontId="0" fillId="0" borderId="22" xfId="0" applyNumberFormat="1" applyBorder="1"/>
    <xf numFmtId="10" fontId="0" fillId="0" borderId="2" xfId="0" applyNumberFormat="1" applyBorder="1"/>
    <xf numFmtId="10" fontId="0" fillId="0" borderId="9" xfId="0" applyNumberFormat="1" applyBorder="1"/>
    <xf numFmtId="10" fontId="0" fillId="0" borderId="23" xfId="0" applyNumberFormat="1" applyBorder="1"/>
    <xf numFmtId="10" fontId="0" fillId="0" borderId="7" xfId="0" applyNumberFormat="1" applyBorder="1"/>
    <xf numFmtId="10" fontId="0" fillId="0" borderId="24" xfId="0" applyNumberFormat="1" applyBorder="1"/>
    <xf numFmtId="10" fontId="0" fillId="0" borderId="8" xfId="0" applyNumberFormat="1" applyBorder="1"/>
    <xf numFmtId="0" fontId="18" fillId="13" borderId="0" xfId="0" applyFont="1" applyFill="1"/>
    <xf numFmtId="169" fontId="19" fillId="14" borderId="0" xfId="0" applyNumberFormat="1" applyFont="1" applyFill="1"/>
    <xf numFmtId="0" fontId="18" fillId="15" borderId="0" xfId="0" applyFont="1" applyFill="1"/>
    <xf numFmtId="0" fontId="17" fillId="15" borderId="0" xfId="0" applyFont="1" applyFill="1"/>
    <xf numFmtId="0" fontId="18" fillId="0" borderId="0" xfId="0" applyFont="1"/>
    <xf numFmtId="166" fontId="20" fillId="0" borderId="0" xfId="0" applyNumberFormat="1" applyFont="1"/>
    <xf numFmtId="165" fontId="17" fillId="0" borderId="0" xfId="0" applyNumberFormat="1" applyFont="1"/>
    <xf numFmtId="0" fontId="17" fillId="0" borderId="0" xfId="0" applyFont="1"/>
    <xf numFmtId="0" fontId="21" fillId="0" borderId="0" xfId="0" applyFont="1"/>
    <xf numFmtId="166" fontId="17" fillId="0" borderId="0" xfId="0" applyNumberFormat="1" applyFont="1"/>
    <xf numFmtId="0" fontId="22" fillId="0" borderId="0" xfId="0" applyFont="1"/>
    <xf numFmtId="0" fontId="23" fillId="0" borderId="0" xfId="0" applyFont="1"/>
    <xf numFmtId="0" fontId="24" fillId="0" borderId="0" xfId="0" applyFont="1"/>
    <xf numFmtId="0" fontId="25" fillId="0" borderId="0" xfId="0" applyFont="1"/>
    <xf numFmtId="0" fontId="17" fillId="0" borderId="3" xfId="0" applyFont="1" applyBorder="1" applyAlignment="1">
      <alignment horizontal="left" indent="4"/>
    </xf>
    <xf numFmtId="166" fontId="20" fillId="0" borderId="3" xfId="0" applyNumberFormat="1" applyFont="1" applyBorder="1"/>
    <xf numFmtId="166" fontId="10" fillId="0" borderId="3" xfId="0" applyNumberFormat="1" applyFont="1" applyBorder="1"/>
    <xf numFmtId="0" fontId="10" fillId="0" borderId="3" xfId="0" applyFont="1" applyBorder="1" applyAlignment="1">
      <alignment horizontal="left" indent="4"/>
    </xf>
    <xf numFmtId="1" fontId="17" fillId="0" borderId="0" xfId="0" applyNumberFormat="1" applyFont="1"/>
    <xf numFmtId="174" fontId="17" fillId="0" borderId="0" xfId="0" applyNumberFormat="1" applyFont="1"/>
    <xf numFmtId="0" fontId="26" fillId="0" borderId="0" xfId="0" applyFont="1" applyAlignment="1">
      <alignment horizontal="left" indent="9"/>
    </xf>
    <xf numFmtId="166" fontId="26" fillId="0" borderId="0" xfId="0" applyNumberFormat="1" applyFont="1"/>
    <xf numFmtId="0" fontId="17" fillId="0" borderId="0" xfId="0" applyFont="1" applyAlignment="1">
      <alignment horizontal="left" indent="9"/>
    </xf>
    <xf numFmtId="10" fontId="17" fillId="0" borderId="0" xfId="0" applyNumberFormat="1" applyFont="1"/>
    <xf numFmtId="10" fontId="26" fillId="0" borderId="0" xfId="0" applyNumberFormat="1" applyFont="1"/>
    <xf numFmtId="166" fontId="27" fillId="0" borderId="0" xfId="0" applyNumberFormat="1" applyFont="1"/>
    <xf numFmtId="10" fontId="27" fillId="0" borderId="0" xfId="0" applyNumberFormat="1" applyFont="1"/>
    <xf numFmtId="170" fontId="17" fillId="0" borderId="0" xfId="0" applyNumberFormat="1" applyFont="1"/>
    <xf numFmtId="0" fontId="0" fillId="0" borderId="22" xfId="0" applyBorder="1"/>
    <xf numFmtId="0" fontId="0" fillId="0" borderId="23" xfId="0" applyBorder="1"/>
    <xf numFmtId="0" fontId="0" fillId="0" borderId="24" xfId="0" applyBorder="1"/>
    <xf numFmtId="166" fontId="3" fillId="0" borderId="5" xfId="0" applyNumberFormat="1" applyFont="1" applyBorder="1"/>
    <xf numFmtId="0" fontId="0" fillId="0" borderId="20" xfId="0" applyBorder="1"/>
    <xf numFmtId="166" fontId="3" fillId="0" borderId="13" xfId="0" applyNumberFormat="1" applyFont="1" applyBorder="1"/>
    <xf numFmtId="166" fontId="3" fillId="0" borderId="21" xfId="0" applyNumberFormat="1" applyFont="1" applyBorder="1"/>
    <xf numFmtId="0" fontId="7" fillId="0" borderId="0" xfId="0" applyFont="1" applyAlignment="1">
      <alignment horizontal="left"/>
    </xf>
    <xf numFmtId="166" fontId="8" fillId="0" borderId="0" xfId="0" applyNumberFormat="1" applyFont="1"/>
    <xf numFmtId="167" fontId="0" fillId="0" borderId="20" xfId="0" applyNumberFormat="1" applyBorder="1"/>
    <xf numFmtId="167" fontId="0" fillId="0" borderId="13" xfId="0" applyNumberFormat="1" applyBorder="1"/>
    <xf numFmtId="167" fontId="0" fillId="0" borderId="21" xfId="0" applyNumberFormat="1" applyBorder="1"/>
    <xf numFmtId="166" fontId="0" fillId="16" borderId="0" xfId="0" applyNumberFormat="1" applyFill="1"/>
    <xf numFmtId="0" fontId="0" fillId="0" borderId="0" xfId="0" applyAlignment="1">
      <alignment horizontal="left" indent="6"/>
    </xf>
    <xf numFmtId="166" fontId="3" fillId="0" borderId="2" xfId="0" applyNumberFormat="1" applyFont="1" applyBorder="1"/>
    <xf numFmtId="166" fontId="3" fillId="0" borderId="9" xfId="0" applyNumberFormat="1" applyFont="1" applyBorder="1"/>
    <xf numFmtId="166" fontId="3" fillId="0" borderId="7" xfId="0" applyNumberFormat="1" applyFont="1" applyBorder="1"/>
    <xf numFmtId="166" fontId="3" fillId="0" borderId="8" xfId="0" applyNumberFormat="1" applyFont="1" applyBorder="1"/>
    <xf numFmtId="170" fontId="7" fillId="0" borderId="0" xfId="0" applyNumberFormat="1" applyFont="1"/>
    <xf numFmtId="0" fontId="7" fillId="0" borderId="0" xfId="0" applyFont="1" applyAlignment="1">
      <alignment horizontal="left" indent="76"/>
    </xf>
    <xf numFmtId="169" fontId="0" fillId="0" borderId="0" xfId="0" applyNumberFormat="1"/>
    <xf numFmtId="175" fontId="29" fillId="17" borderId="0" xfId="1" applyNumberFormat="1" applyFont="1" applyFill="1"/>
    <xf numFmtId="175" fontId="30" fillId="17" borderId="0" xfId="1" applyNumberFormat="1" applyFont="1" applyFill="1"/>
    <xf numFmtId="175" fontId="30" fillId="17" borderId="0" xfId="1" applyNumberFormat="1" applyFont="1" applyFill="1" applyAlignment="1">
      <alignment horizontal="center"/>
    </xf>
    <xf numFmtId="0" fontId="31" fillId="0" borderId="0" xfId="0" applyFont="1"/>
    <xf numFmtId="0" fontId="32" fillId="18" borderId="0" xfId="3" applyFont="1" applyFill="1" applyAlignment="1">
      <alignment vertical="center"/>
    </xf>
    <xf numFmtId="175" fontId="33" fillId="0" borderId="0" xfId="1" applyNumberFormat="1" applyFont="1"/>
    <xf numFmtId="175" fontId="34" fillId="0" borderId="0" xfId="1" applyNumberFormat="1" applyFont="1"/>
    <xf numFmtId="175" fontId="34" fillId="0" borderId="0" xfId="1" applyNumberFormat="1" applyFont="1" applyAlignment="1">
      <alignment horizontal="center"/>
    </xf>
    <xf numFmtId="175" fontId="35" fillId="0" borderId="0" xfId="1" applyNumberFormat="1" applyFont="1"/>
    <xf numFmtId="175" fontId="36" fillId="0" borderId="26" xfId="1" applyNumberFormat="1" applyFont="1" applyFill="1" applyBorder="1"/>
    <xf numFmtId="175" fontId="35" fillId="0" borderId="26" xfId="1" applyNumberFormat="1" applyFont="1" applyFill="1" applyBorder="1"/>
    <xf numFmtId="175" fontId="37" fillId="0" borderId="0" xfId="1" applyNumberFormat="1" applyFont="1" applyBorder="1"/>
    <xf numFmtId="175" fontId="35" fillId="0" borderId="0" xfId="1" applyNumberFormat="1" applyFont="1" applyBorder="1"/>
    <xf numFmtId="9" fontId="38" fillId="0" borderId="0" xfId="2" applyFont="1" applyBorder="1" applyAlignment="1">
      <alignment horizontal="right"/>
    </xf>
    <xf numFmtId="175" fontId="37" fillId="0" borderId="0" xfId="1" applyNumberFormat="1" applyFont="1"/>
    <xf numFmtId="9" fontId="38" fillId="0" borderId="0" xfId="2" applyFont="1" applyAlignment="1">
      <alignment horizontal="right"/>
    </xf>
    <xf numFmtId="176" fontId="38" fillId="0" borderId="0" xfId="1" applyNumberFormat="1" applyFont="1" applyAlignment="1">
      <alignment horizontal="right"/>
    </xf>
    <xf numFmtId="14" fontId="38" fillId="0" borderId="0" xfId="1" applyNumberFormat="1" applyFont="1"/>
    <xf numFmtId="14" fontId="38" fillId="0" borderId="0" xfId="1" applyNumberFormat="1" applyFont="1" applyFill="1"/>
    <xf numFmtId="43" fontId="38" fillId="0" borderId="0" xfId="1" applyFont="1" applyAlignment="1">
      <alignment horizontal="right"/>
    </xf>
    <xf numFmtId="177" fontId="38" fillId="0" borderId="0" xfId="1" applyNumberFormat="1" applyFont="1" applyAlignment="1">
      <alignment horizontal="right"/>
    </xf>
    <xf numFmtId="175" fontId="38" fillId="0" borderId="0" xfId="1" applyNumberFormat="1" applyFont="1"/>
    <xf numFmtId="14" fontId="35" fillId="0" borderId="0" xfId="1" applyNumberFormat="1" applyFont="1"/>
    <xf numFmtId="175" fontId="34" fillId="0" borderId="0" xfId="1" applyNumberFormat="1" applyFont="1" applyBorder="1"/>
    <xf numFmtId="175" fontId="33" fillId="0" borderId="0" xfId="1" applyNumberFormat="1" applyFont="1" applyFill="1" applyBorder="1"/>
    <xf numFmtId="175" fontId="34" fillId="0" borderId="0" xfId="1" applyNumberFormat="1" applyFont="1" applyFill="1" applyBorder="1"/>
    <xf numFmtId="175" fontId="33" fillId="0" borderId="26" xfId="1" applyNumberFormat="1" applyFont="1" applyFill="1" applyBorder="1" applyAlignment="1">
      <alignment horizontal="right"/>
    </xf>
    <xf numFmtId="0" fontId="39" fillId="0" borderId="27" xfId="1" applyNumberFormat="1" applyFont="1" applyFill="1" applyBorder="1"/>
    <xf numFmtId="175" fontId="33" fillId="0" borderId="27" xfId="1" applyNumberFormat="1" applyFont="1" applyFill="1" applyBorder="1" applyAlignment="1">
      <alignment horizontal="right"/>
    </xf>
    <xf numFmtId="175" fontId="33" fillId="0" borderId="26" xfId="1" applyNumberFormat="1" applyFont="1" applyFill="1" applyBorder="1"/>
    <xf numFmtId="175" fontId="34" fillId="0" borderId="26" xfId="1" applyNumberFormat="1" applyFont="1" applyFill="1" applyBorder="1"/>
    <xf numFmtId="14" fontId="40" fillId="0" borderId="0" xfId="1" applyNumberFormat="1" applyFont="1" applyBorder="1"/>
    <xf numFmtId="14" fontId="40" fillId="0" borderId="0" xfId="1" applyNumberFormat="1" applyFont="1" applyFill="1" applyBorder="1"/>
    <xf numFmtId="175" fontId="41" fillId="0" borderId="0" xfId="1" applyNumberFormat="1" applyFont="1" applyBorder="1"/>
    <xf numFmtId="175" fontId="42" fillId="0" borderId="0" xfId="1" applyNumberFormat="1" applyFont="1" applyBorder="1"/>
    <xf numFmtId="14" fontId="42" fillId="0" borderId="0" xfId="1" applyNumberFormat="1" applyFont="1" applyBorder="1"/>
    <xf numFmtId="1" fontId="40" fillId="0" borderId="0" xfId="1" applyNumberFormat="1" applyFont="1"/>
    <xf numFmtId="178" fontId="41" fillId="0" borderId="0" xfId="1" applyNumberFormat="1" applyFont="1" applyBorder="1"/>
    <xf numFmtId="175" fontId="42" fillId="0" borderId="0" xfId="1" applyNumberFormat="1" applyFont="1"/>
    <xf numFmtId="43" fontId="40" fillId="0" borderId="0" xfId="1" applyFont="1" applyBorder="1"/>
    <xf numFmtId="175" fontId="41" fillId="0" borderId="28" xfId="1" applyNumberFormat="1" applyFont="1" applyBorder="1"/>
    <xf numFmtId="175" fontId="38" fillId="0" borderId="0" xfId="1" applyNumberFormat="1" applyFont="1" applyBorder="1"/>
    <xf numFmtId="178" fontId="41" fillId="0" borderId="0" xfId="1" applyNumberFormat="1" applyFont="1"/>
    <xf numFmtId="178" fontId="38" fillId="0" borderId="0" xfId="1" applyNumberFormat="1" applyFont="1"/>
    <xf numFmtId="175" fontId="41" fillId="0" borderId="0" xfId="1" applyNumberFormat="1" applyFont="1"/>
    <xf numFmtId="175" fontId="41" fillId="0" borderId="2" xfId="1" applyNumberFormat="1" applyFont="1" applyBorder="1"/>
    <xf numFmtId="175" fontId="41" fillId="0" borderId="0" xfId="1" applyNumberFormat="1" applyFont="1" applyFill="1"/>
    <xf numFmtId="175" fontId="38" fillId="0" borderId="2" xfId="1" applyNumberFormat="1" applyFont="1" applyBorder="1"/>
    <xf numFmtId="9" fontId="41" fillId="0" borderId="0" xfId="2" applyFont="1" applyBorder="1"/>
    <xf numFmtId="9" fontId="41" fillId="0" borderId="0" xfId="2" applyFont="1"/>
    <xf numFmtId="179" fontId="34" fillId="0" borderId="0" xfId="1" applyNumberFormat="1" applyFont="1"/>
    <xf numFmtId="179" fontId="41" fillId="0" borderId="0" xfId="1" applyNumberFormat="1" applyFont="1"/>
    <xf numFmtId="175" fontId="34" fillId="0" borderId="0" xfId="1" applyNumberFormat="1" applyFont="1" applyBorder="1" applyAlignment="1">
      <alignment horizontal="center"/>
    </xf>
    <xf numFmtId="0" fontId="34" fillId="0" borderId="0" xfId="0" applyFont="1" applyAlignment="1">
      <alignment horizontal="right"/>
    </xf>
    <xf numFmtId="0" fontId="44" fillId="0" borderId="0" xfId="4" applyFont="1" applyAlignment="1">
      <alignment horizontal="right"/>
    </xf>
    <xf numFmtId="164" fontId="15" fillId="0" borderId="0" xfId="0" applyNumberFormat="1" applyFont="1"/>
    <xf numFmtId="175" fontId="34" fillId="0" borderId="0" xfId="1" applyNumberFormat="1" applyFont="1" applyFill="1" applyBorder="1" applyAlignment="1">
      <alignment horizontal="center"/>
    </xf>
    <xf numFmtId="0" fontId="42" fillId="0" borderId="0" xfId="0" applyFont="1" applyAlignment="1">
      <alignment horizontal="right"/>
    </xf>
    <xf numFmtId="0" fontId="34" fillId="0" borderId="0" xfId="0" applyFont="1"/>
    <xf numFmtId="175" fontId="34" fillId="0" borderId="0" xfId="1" applyNumberFormat="1" applyFont="1" applyBorder="1" applyAlignment="1">
      <alignment horizontal="left" indent="5"/>
    </xf>
    <xf numFmtId="166" fontId="41" fillId="0" borderId="2" xfId="1" applyNumberFormat="1" applyFont="1" applyBorder="1"/>
    <xf numFmtId="0" fontId="0" fillId="0" borderId="5" xfId="0" applyBorder="1"/>
    <xf numFmtId="10" fontId="0" fillId="0" borderId="5" xfId="0" applyNumberFormat="1" applyBorder="1"/>
    <xf numFmtId="10" fontId="2" fillId="0" borderId="5" xfId="0" applyNumberFormat="1" applyFont="1" applyBorder="1"/>
    <xf numFmtId="4" fontId="0" fillId="0" borderId="0" xfId="0" applyNumberFormat="1"/>
    <xf numFmtId="10" fontId="0" fillId="0" borderId="3" xfId="0" applyNumberFormat="1" applyBorder="1"/>
    <xf numFmtId="0" fontId="45" fillId="0" borderId="0" xfId="0" applyFont="1"/>
    <xf numFmtId="0" fontId="46" fillId="17" borderId="0" xfId="0" applyFont="1" applyFill="1" applyAlignment="1">
      <alignment vertical="center"/>
    </xf>
    <xf numFmtId="0" fontId="47" fillId="17" borderId="0" xfId="0" applyFont="1" applyFill="1"/>
    <xf numFmtId="0" fontId="45" fillId="0" borderId="0" xfId="0" applyFont="1" applyAlignment="1">
      <alignment vertical="center"/>
    </xf>
    <xf numFmtId="0" fontId="51" fillId="0" borderId="0" xfId="0" applyFont="1" applyAlignment="1">
      <alignment vertical="center"/>
    </xf>
    <xf numFmtId="3" fontId="51" fillId="0" borderId="0" xfId="0" applyNumberFormat="1" applyFont="1" applyAlignment="1">
      <alignment vertical="center"/>
    </xf>
    <xf numFmtId="176" fontId="45" fillId="0" borderId="0" xfId="0" applyNumberFormat="1" applyFont="1" applyAlignment="1">
      <alignment vertical="center"/>
    </xf>
    <xf numFmtId="0" fontId="52" fillId="0" borderId="0" xfId="0" applyFont="1"/>
    <xf numFmtId="0" fontId="53" fillId="0" borderId="0" xfId="0" applyFont="1"/>
    <xf numFmtId="180" fontId="53" fillId="0" borderId="0" xfId="1" applyNumberFormat="1" applyFont="1"/>
    <xf numFmtId="0" fontId="54" fillId="0" borderId="0" xfId="5" applyFont="1"/>
    <xf numFmtId="0" fontId="48" fillId="11" borderId="0" xfId="0" applyFont="1" applyFill="1" applyAlignment="1">
      <alignment vertical="center"/>
    </xf>
    <xf numFmtId="0" fontId="49" fillId="11" borderId="0" xfId="0" applyFont="1" applyFill="1" applyAlignment="1">
      <alignment horizontal="centerContinuous" vertical="center"/>
    </xf>
    <xf numFmtId="0" fontId="48" fillId="11" borderId="0" xfId="0" applyFont="1" applyFill="1" applyAlignment="1">
      <alignment horizontal="centerContinuous" vertical="center"/>
    </xf>
    <xf numFmtId="0" fontId="49" fillId="11" borderId="0" xfId="0" applyFont="1" applyFill="1" applyAlignment="1">
      <alignment horizontal="centerContinuous"/>
    </xf>
    <xf numFmtId="0" fontId="49" fillId="11" borderId="0" xfId="0" applyFont="1" applyFill="1" applyAlignment="1">
      <alignment vertical="center"/>
    </xf>
    <xf numFmtId="0" fontId="49" fillId="11" borderId="29" xfId="0" applyFont="1" applyFill="1" applyBorder="1" applyAlignment="1">
      <alignment horizontal="right" vertical="center"/>
    </xf>
    <xf numFmtId="0" fontId="49" fillId="11" borderId="0" xfId="0" applyFont="1" applyFill="1" applyAlignment="1">
      <alignment horizontal="right" vertical="center"/>
    </xf>
    <xf numFmtId="0" fontId="48" fillId="11" borderId="0" xfId="0" applyFont="1" applyFill="1" applyAlignment="1">
      <alignment horizontal="right" vertical="center"/>
    </xf>
    <xf numFmtId="0" fontId="48" fillId="11" borderId="29" xfId="0" applyFont="1" applyFill="1" applyBorder="1" applyAlignment="1">
      <alignment horizontal="right"/>
    </xf>
    <xf numFmtId="0" fontId="50" fillId="11" borderId="0" xfId="0" applyFont="1" applyFill="1" applyAlignment="1">
      <alignment horizontal="right" vertical="center"/>
    </xf>
    <xf numFmtId="0" fontId="48" fillId="11" borderId="0" xfId="0" applyFont="1" applyFill="1" applyAlignment="1">
      <alignment horizontal="right"/>
    </xf>
    <xf numFmtId="176" fontId="49" fillId="11" borderId="0" xfId="0" applyNumberFormat="1" applyFont="1" applyFill="1" applyAlignment="1">
      <alignment vertical="center"/>
    </xf>
    <xf numFmtId="174" fontId="45" fillId="0" borderId="0" xfId="0" applyNumberFormat="1" applyFont="1" applyAlignment="1">
      <alignment vertical="center"/>
    </xf>
    <xf numFmtId="174" fontId="55" fillId="0" borderId="0" xfId="0" applyNumberFormat="1" applyFont="1" applyAlignment="1">
      <alignment vertical="center"/>
    </xf>
    <xf numFmtId="3" fontId="55" fillId="0" borderId="0" xfId="0" applyNumberFormat="1" applyFont="1" applyAlignment="1">
      <alignment vertical="center"/>
    </xf>
    <xf numFmtId="166" fontId="51" fillId="0" borderId="0" xfId="0" applyNumberFormat="1" applyFont="1" applyAlignment="1">
      <alignment vertical="center"/>
    </xf>
    <xf numFmtId="166" fontId="45" fillId="0" borderId="0" xfId="0" applyNumberFormat="1" applyFont="1" applyAlignment="1">
      <alignment vertical="center"/>
    </xf>
    <xf numFmtId="181" fontId="51" fillId="0" borderId="0" xfId="0" applyNumberFormat="1" applyFont="1" applyAlignment="1">
      <alignment vertical="center"/>
    </xf>
    <xf numFmtId="0" fontId="56" fillId="17" borderId="0" xfId="0" applyFont="1" applyFill="1" applyAlignment="1">
      <alignment vertical="center"/>
    </xf>
    <xf numFmtId="0" fontId="19" fillId="11" borderId="0" xfId="0" applyFont="1" applyFill="1" applyAlignment="1">
      <alignment horizontal="right" vertical="center"/>
    </xf>
    <xf numFmtId="0" fontId="19" fillId="19" borderId="0" xfId="0" applyFont="1" applyFill="1" applyAlignment="1">
      <alignment horizontal="right" vertical="center"/>
    </xf>
    <xf numFmtId="0" fontId="27" fillId="0" borderId="0" xfId="0" applyFont="1" applyAlignment="1">
      <alignment vertical="center"/>
    </xf>
    <xf numFmtId="4" fontId="27" fillId="0" borderId="0" xfId="0" applyNumberFormat="1" applyFont="1" applyAlignment="1">
      <alignment horizontal="right" vertical="center"/>
    </xf>
    <xf numFmtId="166" fontId="0" fillId="0" borderId="3" xfId="0" applyNumberFormat="1" applyBorder="1"/>
    <xf numFmtId="10" fontId="27" fillId="0" borderId="0" xfId="0" applyNumberFormat="1" applyFont="1" applyAlignment="1">
      <alignment horizontal="right" vertical="center"/>
    </xf>
    <xf numFmtId="176" fontId="27" fillId="0" borderId="0" xfId="0" applyNumberFormat="1" applyFont="1" applyAlignment="1">
      <alignment horizontal="right" vertical="center"/>
    </xf>
    <xf numFmtId="0" fontId="1" fillId="11" borderId="0" xfId="0" applyFont="1" applyFill="1" applyAlignment="1">
      <alignment horizontal="center"/>
    </xf>
    <xf numFmtId="0" fontId="9" fillId="7" borderId="10" xfId="0" applyFont="1" applyFill="1" applyBorder="1" applyAlignment="1">
      <alignment horizontal="center" vertical="center"/>
    </xf>
  </cellXfs>
  <cellStyles count="6">
    <cellStyle name="Comma" xfId="1" builtinId="3"/>
    <cellStyle name="Hyperlink" xfId="4" builtinId="8"/>
    <cellStyle name="Hyperlink 3" xfId="5" xr:uid="{AB9E4421-72E2-4B4E-B40B-CE889B59CF50}"/>
    <cellStyle name="Normal" xfId="0" builtinId="0"/>
    <cellStyle name="Normal 2" xfId="3" xr:uid="{250CF584-F440-432F-98D8-21A66D79015D}"/>
    <cellStyle name="Percent" xfId="2"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ichStyles" Target="richData/richStyles.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rPr>
              <a:t>Cashflows</a:t>
            </a:r>
            <a:endParaRPr lang="en-US" sz="1600" b="1" i="0" u="none" strike="noStrike" baseline="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48216374800725E-2"/>
          <c:y val="0.21882005899705015"/>
          <c:w val="0.9246228170670352"/>
          <c:h val="0.64431700462220987"/>
        </c:manualLayout>
      </c:layout>
      <c:barChart>
        <c:barDir val="col"/>
        <c:grouping val="clustered"/>
        <c:varyColors val="0"/>
        <c:ser>
          <c:idx val="0"/>
          <c:order val="0"/>
          <c:spPr>
            <a:solidFill>
              <a:schemeClr val="tx2"/>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DCF!$E$18:$J$18</c:f>
              <c:numCache>
                <c:formatCode>General</c:formatCode>
                <c:ptCount val="6"/>
                <c:pt idx="0">
                  <c:v>2025</c:v>
                </c:pt>
                <c:pt idx="1">
                  <c:v>2026</c:v>
                </c:pt>
                <c:pt idx="2">
                  <c:v>2027</c:v>
                </c:pt>
                <c:pt idx="3">
                  <c:v>2028</c:v>
                </c:pt>
                <c:pt idx="4">
                  <c:v>2029</c:v>
                </c:pt>
                <c:pt idx="5">
                  <c:v>2030</c:v>
                </c:pt>
              </c:numCache>
            </c:numRef>
          </c:cat>
          <c:val>
            <c:numRef>
              <c:f>DCF!$E$29:$J$29</c:f>
              <c:numCache>
                <c:formatCode>#\ ##0.0;\(#\ ##0.0\);"-"</c:formatCode>
                <c:ptCount val="6"/>
                <c:pt idx="0">
                  <c:v>165473.1623467482</c:v>
                </c:pt>
                <c:pt idx="1">
                  <c:v>786755.34742687643</c:v>
                </c:pt>
                <c:pt idx="2">
                  <c:v>966275.54200333916</c:v>
                </c:pt>
                <c:pt idx="3">
                  <c:v>1153492.6439631125</c:v>
                </c:pt>
                <c:pt idx="4">
                  <c:v>1359089.1537224776</c:v>
                </c:pt>
                <c:pt idx="5">
                  <c:v>1573238.7098376567</c:v>
                </c:pt>
              </c:numCache>
            </c:numRef>
          </c:val>
          <c:extLst>
            <c:ext xmlns:c16="http://schemas.microsoft.com/office/drawing/2014/chart" uri="{C3380CC4-5D6E-409C-BE32-E72D297353CC}">
              <c16:uniqueId val="{00000000-8ABC-4B12-9229-06D666660399}"/>
            </c:ext>
          </c:extLst>
        </c:ser>
        <c:dLbls>
          <c:dLblPos val="outEnd"/>
          <c:showLegendKey val="0"/>
          <c:showVal val="1"/>
          <c:showCatName val="0"/>
          <c:showSerName val="0"/>
          <c:showPercent val="0"/>
          <c:showBubbleSize val="0"/>
        </c:dLbls>
        <c:gapWidth val="219"/>
        <c:overlap val="-27"/>
        <c:axId val="384053663"/>
        <c:axId val="384037343"/>
      </c:barChart>
      <c:catAx>
        <c:axId val="384053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84037343"/>
        <c:crosses val="autoZero"/>
        <c:auto val="1"/>
        <c:lblAlgn val="ctr"/>
        <c:lblOffset val="100"/>
        <c:noMultiLvlLbl val="0"/>
      </c:catAx>
      <c:valAx>
        <c:axId val="384037343"/>
        <c:scaling>
          <c:orientation val="minMax"/>
        </c:scaling>
        <c:delete val="1"/>
        <c:axPos val="l"/>
        <c:majorGridlines>
          <c:spPr>
            <a:ln w="9525" cap="flat" cmpd="sng" algn="ctr">
              <a:noFill/>
              <a:round/>
            </a:ln>
            <a:effectLst/>
          </c:spPr>
        </c:majorGridlines>
        <c:numFmt formatCode="#\ ##0.0;\(#\ ##0.0\);&quot;-&quot;" sourceLinked="0"/>
        <c:majorTickMark val="none"/>
        <c:minorTickMark val="none"/>
        <c:tickLblPos val="nextTo"/>
        <c:crossAx val="3840536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rich>
          <a:bodyPr spcFirstLastPara="1" vertOverflow="ellipsis" horzOverflow="overflow" wrap="square" lIns="0" tIns="0" rIns="0" bIns="0" anchor="ctr" anchorCtr="1"/>
          <a:lstStyle/>
          <a:p>
            <a:pPr rtl="0"/>
            <a:r>
              <a:rPr lang="en-US" sz="1600" b="1" i="0" baseline="0">
                <a:effectLst/>
              </a:rPr>
              <a:t>Market Value vs Intrinsic Value</a:t>
            </a:r>
            <a:endParaRPr lang="en-ZA" sz="1600">
              <a:effectLst/>
            </a:endParaRPr>
          </a:p>
        </cx:rich>
      </cx:tx>
    </cx:title>
    <cx:plotArea>
      <cx:plotAreaRegion>
        <cx:series layoutId="waterfall" uniqueId="{AD24576B-7C3B-4115-9251-53644503BF3A}">
          <cx:spPr>
            <a:solidFill>
              <a:schemeClr val="tx2"/>
            </a:solidFill>
          </cx:spPr>
          <cx:dataLabels pos="outEnd">
            <cx:numFmt formatCode="&quot;$&quot;# ##0,0" sourceLinked="0"/>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visibility seriesName="0" categoryName="0" value="1"/>
            <cx:separator>, </cx:separator>
          </cx:dataLabels>
          <cx:dataId val="0"/>
          <cx:layoutPr>
            <cx:subtotals>
              <cx:idx val="2"/>
            </cx:subtotals>
          </cx:layoutPr>
        </cx:series>
      </cx:plotAreaRegion>
      <cx:axis id="0">
        <cx:catScaling gapWidth="0.5"/>
        <cx:tickLabels/>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axis>
      <cx:axis id="1">
        <cx:valScaling/>
        <cx:tickLabels/>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752474</xdr:colOff>
      <xdr:row>4</xdr:row>
      <xdr:rowOff>66675</xdr:rowOff>
    </xdr:from>
    <xdr:to>
      <xdr:col>10</xdr:col>
      <xdr:colOff>180974</xdr:colOff>
      <xdr:row>15</xdr:row>
      <xdr:rowOff>123825</xdr:rowOff>
    </xdr:to>
    <xdr:graphicFrame macro="">
      <xdr:nvGraphicFramePr>
        <xdr:cNvPr id="4" name="Chart 3">
          <a:extLst>
            <a:ext uri="{FF2B5EF4-FFF2-40B4-BE49-F238E27FC236}">
              <a16:creationId xmlns:a16="http://schemas.microsoft.com/office/drawing/2014/main" id="{38F625D1-7A9C-EE0B-1F33-89152BE3B9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257175</xdr:colOff>
      <xdr:row>4</xdr:row>
      <xdr:rowOff>76199</xdr:rowOff>
    </xdr:from>
    <xdr:to>
      <xdr:col>14</xdr:col>
      <xdr:colOff>704850</xdr:colOff>
      <xdr:row>15</xdr:row>
      <xdr:rowOff>147636</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E1492CCE-D4F8-B2E2-2EC0-09E206F80C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658100" y="1419224"/>
              <a:ext cx="3800475" cy="2166937"/>
            </a:xfrm>
            <a:prstGeom prst="rect">
              <a:avLst/>
            </a:prstGeom>
            <a:solidFill>
              <a:prstClr val="white"/>
            </a:solidFill>
            <a:ln w="1">
              <a:solidFill>
                <a:prstClr val="green"/>
              </a:solidFill>
            </a:ln>
          </xdr:spPr>
          <xdr:txBody>
            <a:bodyPr vertOverflow="clip" horzOverflow="clip"/>
            <a:lstStyle/>
            <a:p>
              <a:r>
                <a:rPr lang="en-ZA" sz="1100"/>
                <a:t>This chart isn't available in your version of Excel.
Editing this shape or saving this workbook into a different file format will permanently break the chart.</a:t>
              </a:r>
            </a:p>
          </xdr:txBody>
        </xdr:sp>
      </mc:Fallback>
    </mc:AlternateContent>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5">
  <rv s="0">
    <v>https://www.bing.com/financeapi/forcetrigger?t=r6dwra&amp;q=US10Y&amp;form=skydnc</v>
    <v>Learn more on Bing</v>
  </rv>
  <rv s="1">
    <v>en-ZA</v>
    <v>r6dwra</v>
    <v>268435456</v>
    <v>1</v>
    <v>Powered by Refinitiv</v>
    <v>0</v>
    <v>US Treasury 10Y</v>
    <v>2</v>
    <v>3</v>
    <v>Finance</v>
    <v>4</v>
    <v>8.0999999999999996E-3</v>
    <v>1.9950000000000002E-3</v>
    <v>US</v>
    <v>USD</v>
    <v>Bond</v>
    <v>45912.878472222219</v>
    <v>0</v>
    <v>49536</v>
    <v>US Treasury 10Y</v>
    <v>4.0599999999999996</v>
    <v>4.0681000000000003</v>
    <v>US10Y</v>
    <v>US Treasury 10Y</v>
    <v>4.2365000000000007E-2</v>
    <v>4.086E-2</v>
    <v>3.6569999999999998E-2</v>
    <v>4.011E-2</v>
  </rv>
  <rv s="2">
    <v>1</v>
  </rv>
  <rv s="0">
    <v>https://www.bing.com/financeapi/forcetrigger?t=b6m84c&amp;q=XNAS%3aLYFT&amp;form=skydnc</v>
    <v>Learn more on Bing</v>
  </rv>
  <rv s="3">
    <v>en-ZA</v>
    <v>b6m84c</v>
    <v>268435456</v>
    <v>1</v>
    <v>Powered by Refinitiv</v>
    <v>5</v>
    <v>LYFT, INC. (XNAS:LYFT)</v>
    <v>6</v>
    <v>7</v>
    <v>Finance</v>
    <v>8</v>
    <v>19.350000000000001</v>
    <v>9.66</v>
    <v>2.3586</v>
    <v>0.3</v>
    <v>0</v>
    <v>1.6375999999999998E-2</v>
    <v>0</v>
    <v>USD</v>
    <v>Lyft, Inc. is a global mobility platform offering rideshare, taxis, private hire vehicles, car sharing, bikes, and scooters across North America and Europe. It operates across 11 countries and in nearly 1,000 cities, and Lyft Urban Solutions supports bike sharing in 16 countries and more than 86 cities. Its Lyft mobile application (the Lyft App) connects riders with drivers for on-demand ride services and supports a variety of other multimodal mobility solutions. Its offerings on the Lyft App include an expanded set of transportation modes in select cities, such as access to a network of shared bikes and scooters (Light Vehicles) for shorter rides and first-mile and last-mile legs of multimodal trips. FREENOW by Lyft is the European taxi app featuring broad multi-mobility options. Through FREENOW, passengers can access various mobility services within a single app, including taxis, private hire vehicles, car sharing, car rental, e-scooters, e-bikes, e-mopeds, and public transport.</v>
    <v>2934</v>
    <v>Nasdaq Stock Market</v>
    <v>XNAS</v>
    <v>XNAS</v>
    <v>185 Berry Street, Suite 400, SAN FRANCISCO, CA, 94107 US</v>
    <v>18.829999999999998</v>
    <v>Software &amp; IT Services</v>
    <v>Stock</v>
    <v>45912.999653205472</v>
    <v>3</v>
    <v>18.3</v>
    <v>7567940730</v>
    <v>LYFT, INC.</v>
    <v>LYFT, INC.</v>
    <v>18.375</v>
    <v>85.852199999999996</v>
    <v>18.32</v>
    <v>18.62</v>
    <v>18.62</v>
    <v>406441500</v>
    <v>LYFT</v>
    <v>LYFT, INC. (XNAS:LYFT)</v>
    <v>29849275</v>
    <v>21608659</v>
    <v>2007</v>
  </rv>
  <rv s="2">
    <v>4</v>
  </rv>
  <rv s="0">
    <v>https://www.bing.com/financeapi/forcetrigger?t=a1qc1h&amp;q=XNYS%3aCRM&amp;form=skydnc</v>
    <v>Learn more on Bing</v>
  </rv>
  <rv s="3">
    <v>en-ZA</v>
    <v>a1qc1h</v>
    <v>268435456</v>
    <v>1</v>
    <v>Powered by Refinitiv</v>
    <v>5</v>
    <v>SALESFORCE, INC. (XNYS:CRM)</v>
    <v>6</v>
    <v>7</v>
    <v>Finance</v>
    <v>8</v>
    <v>369</v>
    <v>226.48</v>
    <v>1.2113</v>
    <v>-3.52</v>
    <v>9.8860000000000007E-4</v>
    <v>-1.4293E-2</v>
    <v>0.24</v>
    <v>USD</v>
    <v>Salesforce, Inc. is a provider of customer relationship management (CRM) technology. The Company helps organizations of any size reimagine their business for the world of artificial intelligence (AI). With Agentforce, its platform, organizations can bring humans together with AI agents to drive customer success on one deeply unified platform. With the Salesforce platform, it delivers a single source of truth, connecting customer data with integrated AI across systems, apps and devices to help companies sell, service, market and conduct commerce from anywhere. Agentforce is a new layer of the Salesforce platform that enables companies to build and deploy AI agents that can respond to inputs, make decisions and take action autonomously across business functions. Agentforce includes a suite of customizable agents for use across sales, service, marketing and commerce. Datablazer is a data-driven innovator, which leverages the Company’s platform to unlock insights and drive decisions.</v>
    <v>76453</v>
    <v>New York Stock Exchange</v>
    <v>XNYS</v>
    <v>XNYS</v>
    <v>SALESFORCE TOWER, 415 MISSION STREET 3RD FL, SAN FRANCISCO, CA, 94105 US</v>
    <v>247.58879999999999</v>
    <v>Software &amp; IT Services</v>
    <v>Stock</v>
    <v>45912.999707303126</v>
    <v>6</v>
    <v>241.25</v>
    <v>231107520000</v>
    <v>SALESFORCE, INC.</v>
    <v>SALESFORCE, INC.</v>
    <v>246.095</v>
    <v>35.225499999999997</v>
    <v>246.28</v>
    <v>242.76</v>
    <v>243</v>
    <v>952000000</v>
    <v>CRM</v>
    <v>SALESFORCE, INC. (XNYS:CRM)</v>
    <v>8386354</v>
    <v>10404849</v>
    <v>1999</v>
  </rv>
  <rv s="2">
    <v>7</v>
  </rv>
  <rv s="0">
    <v>https://www.bing.com/financeapi/forcetrigger?t=bptw77&amp;q=XNYS%3aUBER&amp;form=skydnc</v>
    <v>Learn more on Bing</v>
  </rv>
  <rv s="3">
    <v>en-ZA</v>
    <v>bptw77</v>
    <v>268435456</v>
    <v>1</v>
    <v>Powered by Refinitiv</v>
    <v>5</v>
    <v>UBER TECHNOLOGIES, INC. (XNYS:UBER)</v>
    <v>6</v>
    <v>7</v>
    <v>Finance</v>
    <v>8</v>
    <v>97.715000000000003</v>
    <v>59.33</v>
    <v>1.4809000000000001</v>
    <v>1.21</v>
    <v>-2.3990000000000001E-3</v>
    <v>1.278E-2</v>
    <v>-0.23</v>
    <v>USD</v>
    <v>Uber Technologies, Inc. operates a technology platform that uses network and technology to power movement from point A to point B. It develops and operates technology applications supporting a variety of offerings on its platform (platform(s)). Its segments include Mobility, Delivery and Freight. Mobility products connect consumers with drivers who provide rides in a variety of vehicles, such as cars, auto rickshaws, motorbikes, minibuses, or taxis. Delivery offerings allow consumers to search for and discover local restaurants, order a meal, and either pick-up at the restaurant or have the meal delivered. In certain markets, the Delivery segment provides offerings for grocery, alcohol, and convenience store delivery as well as select other goods. The Freight segment connects carriers with shippers on its platform, and gives carriers upfront, pricing and the ability to book a shipment. The Freight segment also includes transportation management and other logistics service offerings.</v>
    <v>31100</v>
    <v>New York Stock Exchange</v>
    <v>XNYS</v>
    <v>XNYS</v>
    <v>1725 3Rd Street, SAN FRANCISCO, CA, 94158 US</v>
    <v>96.27</v>
    <v>Software &amp; IT Services</v>
    <v>Stock</v>
    <v>45912.999991307814</v>
    <v>9</v>
    <v>93.71</v>
    <v>199970800000</v>
    <v>UBER TECHNOLOGIES, INC.</v>
    <v>UBER TECHNOLOGIES, INC.</v>
    <v>94.49</v>
    <v>16.049700000000001</v>
    <v>94.68</v>
    <v>95.89</v>
    <v>95.66</v>
    <v>2085419000</v>
    <v>UBER</v>
    <v>UBER TECHNOLOGIES, INC. (XNYS:UBER)</v>
    <v>13659231</v>
    <v>16297277</v>
    <v>2010</v>
  </rv>
  <rv s="2">
    <v>10</v>
  </rv>
  <rv s="0">
    <v>https://www.bing.com/financeapi/forcetrigger?t=a1yoa2&amp;q=XNYS%3aNOW&amp;form=skydnc</v>
    <v>Learn more on Bing</v>
  </rv>
  <rv s="3">
    <v>en-ZA</v>
    <v>a1yoa2</v>
    <v>268435456</v>
    <v>1</v>
    <v>Powered by Refinitiv</v>
    <v>5</v>
    <v>SERVICENOW, INC. (XNYS:NOW)</v>
    <v>6</v>
    <v>7</v>
    <v>Finance</v>
    <v>8</v>
    <v>1198.0899999999999</v>
    <v>678.65880000000004</v>
    <v>0.92849999999999999</v>
    <v>-9.32</v>
    <v>5.3819999999999996E-4</v>
    <v>-9.9329999999999991E-3</v>
    <v>0.5</v>
    <v>USD</v>
    <v>ServiceNow, Inc. provides an artificial intelligence (AI) platform for business transformation. The Company’s AI platform connects people, processes, data, and devices to increase productivity and maximize business outcomes. Its intelligent platform, the Now Platform, is a cloud-based solution that helps enterprises and organizations across public and private sectors digitize workflows. The workflow applications built on the Now Platform are organized in four primary areas: technology, customer and industry, employee and creator. Its technology workflows empower information technology (IT) departments to plan, build, operate and service the IT needs of the business enterprise. Its customer and industry workflows help organizations reimagine their customer experience. Its employee workflows help customers simplify how their employees access services they need. Its creator workflows enable customers to automate processes by creating their own custom workflows on the Now Platform.</v>
    <v>26293</v>
    <v>New York Stock Exchange</v>
    <v>XNYS</v>
    <v>XNYS</v>
    <v>2225 Lawson Lane, SANTA CLARA, CA, 95054 US</v>
    <v>941.85</v>
    <v>Software &amp; IT Services</v>
    <v>Stock</v>
    <v>45912.994574142969</v>
    <v>12</v>
    <v>926.93</v>
    <v>193223680000</v>
    <v>SERVICENOW, INC.</v>
    <v>SERVICENOW, INC.</v>
    <v>941.73</v>
    <v>117.0107</v>
    <v>938.28</v>
    <v>928.96</v>
    <v>929.46</v>
    <v>208000000</v>
    <v>NOW</v>
    <v>SERVICENOW, INC. (XNYS:NOW)</v>
    <v>711217</v>
    <v>1831586</v>
    <v>2012</v>
  </rv>
  <rv s="2">
    <v>13</v>
  </rv>
  <rv s="0">
    <v>https://www.bing.com/financeapi/forcetrigger?t=a1vmtc&amp;q=XNAS%3aINTU&amp;form=skydnc</v>
    <v>Learn more on Bing</v>
  </rv>
  <rv s="3">
    <v>en-ZA</v>
    <v>a1vmtc</v>
    <v>268435456</v>
    <v>1</v>
    <v>Powered by Refinitiv</v>
    <v>5</v>
    <v>INTUIT INC. (XNAS:INTU)</v>
    <v>6</v>
    <v>7</v>
    <v>Finance</v>
    <v>8</v>
    <v>813.7</v>
    <v>532.64499999999998</v>
    <v>1.2544</v>
    <v>-14.49</v>
    <v>1.1919999999999999E-3</v>
    <v>-2.1937000000000002E-2</v>
    <v>0.77</v>
    <v>USD</v>
    <v>Intuit Inc. offers a financial technology platform that helps consumers and small and mid-market businesses prosper by delivering financial management, compliance, and marketing products and services. It also provides specialized tax products to accounting professionals. Its offerings include TurboTax, Credit Karma, QuickBooks, and Mailchimp. Lacerte, ProSeries, and ProConnect Tax Online. Its Global Business Solutions segment serves small and mid-market businesses around the world, and the accounting professionals who assist and advise them. Its Consumer segment serves consumers and includes do-it-yourself and assisted TurboTax income tax preparation products and services sold in the United States and Canada. Its Credit Karma segment serves consumers with a personal finance platform that provides personalized recommendations for credit card, home, auto, and personal loan, and insurance products. Its ProTax segment serves professional accountants in the United States and Canada.</v>
    <v>18200</v>
    <v>Nasdaq Stock Market</v>
    <v>XNAS</v>
    <v>XNAS</v>
    <v>2700 Coast Avenue, MOUNTAIN VIEW, CA, 94043 US</v>
    <v>660.4</v>
    <v>Financial Technology (Fintech) &amp; Infrastructure</v>
    <v>Stock</v>
    <v>45912.999684305469</v>
    <v>15</v>
    <v>645.30999999999995</v>
    <v>180116394150</v>
    <v>INTUIT INC.</v>
    <v>INTUIT INC.</v>
    <v>658.45500000000004</v>
    <v>48.314100000000003</v>
    <v>660.52</v>
    <v>646.03</v>
    <v>646.79999999999995</v>
    <v>278805000</v>
    <v>INTU</v>
    <v>INTUIT INC. (XNAS:INTU)</v>
    <v>2202314</v>
    <v>2174286</v>
    <v>1993</v>
  </rv>
  <rv s="2">
    <v>16</v>
  </rv>
  <rv s="0">
    <v>http://en.wikipedia.org/wiki/Public_domain</v>
    <v>Public domain</v>
  </rv>
  <rv s="0">
    <v>http://es.wikipedia.org/wiki/Adobe_(empresa)</v>
    <v>Wikipedia</v>
  </rv>
  <rv s="4">
    <v>18</v>
    <v>19</v>
  </rv>
  <rv s="5">
    <v>13</v>
    <v>https://www.bing.com/th?id=AMMS_503c684ccc667ad525fe1d703881df2c&amp;qlt=95</v>
    <v>20</v>
    <v>0</v>
    <v>https://www.bing.com/images/search?form=xlimg&amp;q=adobe+systems</v>
    <v>Image of ADOBE INC.</v>
  </rv>
  <rv s="0">
    <v>https://www.bing.com/financeapi/forcetrigger?t=a1mv7w&amp;q=XNAS%3aADBE&amp;form=skydnc</v>
    <v>Learn more on Bing</v>
  </rv>
  <rv s="6">
    <v>en-ZA</v>
    <v>a1mv7w</v>
    <v>268435456</v>
    <v>1</v>
    <v>Powered by Refinitiv</v>
    <v>9</v>
    <v>ADOBE INC. (XNAS:ADBE)</v>
    <v>11</v>
    <v>12</v>
    <v>Finance</v>
    <v>8</v>
    <v>587.75</v>
    <v>330.04</v>
    <v>1.4964</v>
    <v>-1.19</v>
    <v>-2.4620000000000002E-3</v>
    <v>-3.3950000000000004E-3</v>
    <v>-0.86</v>
    <v>USD</v>
    <v>Adobe Inc. is a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 and intelligent automation.</v>
    <v>30709</v>
    <v>Nasdaq Stock Market</v>
    <v>XNAS</v>
    <v>XNAS</v>
    <v>345 Park Avenue, SAN JOSE, CA, 95110-2704 US</v>
    <v>366.5</v>
    <v>21</v>
    <v>Software &amp; IT Services</v>
    <v>Stock</v>
    <v>45912.999994039063</v>
    <v>22</v>
    <v>341.61</v>
    <v>148198500000</v>
    <v>ADOBE INC.</v>
    <v>ADOBE INC.</v>
    <v>361.1</v>
    <v>21.846299999999999</v>
    <v>350.55</v>
    <v>349.36</v>
    <v>348.5</v>
    <v>424200000</v>
    <v>ADBE</v>
    <v>ADOBE INC. (XNAS:ADBE)</v>
    <v>14146624</v>
    <v>4020878</v>
    <v>1997</v>
  </rv>
  <rv s="2">
    <v>23</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4">
    <spb s="0">
      <v>0</v>
      <v>Name</v>
      <v>LearnMoreOnLink</v>
    </spb>
    <spb s="1">
      <v>0</v>
      <v>0</v>
      <v>0</v>
    </spb>
    <spb s="2">
      <v>1</v>
      <v>1</v>
      <v>1</v>
    </spb>
    <spb s="3">
      <v>1</v>
      <v>2</v>
      <v>2</v>
      <v>3</v>
      <v>4</v>
      <v>2</v>
      <v>5</v>
      <v>4</v>
      <v>4</v>
      <v>4</v>
      <v>4</v>
      <v>6</v>
    </spb>
    <spb s="4">
      <v>GMT</v>
    </spb>
    <spb s="0">
      <v>1</v>
      <v>Name</v>
      <v>LearnMoreOnLink</v>
    </spb>
    <spb s="5">
      <v>1</v>
      <v>1</v>
      <v>1</v>
      <v>1</v>
    </spb>
    <spb s="6">
      <v>2</v>
      <v>7</v>
      <v>7</v>
      <v>2</v>
      <v>1</v>
      <v>2</v>
      <v>2</v>
      <v>2</v>
      <v>8</v>
      <v>8</v>
      <v>4</v>
      <v>9</v>
      <v>2</v>
      <v>2</v>
      <v>2</v>
      <v>8</v>
      <v>5</v>
      <v>10</v>
      <v>6</v>
      <v>8</v>
      <v>2</v>
      <v>2</v>
      <v>4</v>
    </spb>
    <spb s="7">
      <v>at close</v>
      <v>from previous close</v>
      <v>from previous close</v>
      <v>Source: Nasdaq</v>
      <v>GMT</v>
      <v>Delayed 15 minutes</v>
      <v>from close</v>
      <v>from close</v>
    </spb>
    <spb s="0">
      <v>2</v>
      <v>Name</v>
      <v>LearnMoreOnLink</v>
    </spb>
    <spb s="8">
      <v>0</v>
      <v>0</v>
    </spb>
    <spb s="9">
      <v>10</v>
      <v>1</v>
      <v>1</v>
      <v>1</v>
      <v>1</v>
    </spb>
    <spb s="10">
      <v>2</v>
      <v>7</v>
      <v>7</v>
      <v>2</v>
      <v>1</v>
      <v>2</v>
      <v>11</v>
      <v>2</v>
      <v>2</v>
      <v>8</v>
      <v>8</v>
      <v>4</v>
      <v>9</v>
      <v>2</v>
      <v>2</v>
      <v>2</v>
      <v>8</v>
      <v>5</v>
      <v>10</v>
      <v>6</v>
      <v>8</v>
      <v>2</v>
      <v>2</v>
      <v>4</v>
    </spb>
    <spb s="11">
      <v>Powered by Refinitiv</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yyyy/mm/dd\ hh:mm"/>
    </x:dxf>
    <x:dxf>
      <x:numFmt numFmtId="14" formatCode="0.00%"/>
    </x:dxf>
    <x:dxf>
      <x:numFmt numFmtId="3" formatCode="#,##0"/>
    </x:dxf>
    <x:dxf>
      <x:numFmt numFmtId="4" formatCode="#,##0.00"/>
    </x:dxf>
    <x:dxf>
      <x:numFmt numFmtId="1" formatCode="0"/>
    </x:dxf>
    <x:dxf>
      <x:numFmt numFmtId="19" formatCode="yyyy/mm/dd"/>
    </x:dxf>
  </dxfs>
  <richProperties>
    <rPr n="IsTitleField" t="b"/>
    <rPr n="NumberFormat" t="s"/>
    <rPr n="IsHeroField" t="b"/>
  </richProperties>
  <richStyles>
    <rSty>
      <rpv i="0">1</rpv>
    </rSty>
    <rSty dxfid="1">
      <rpv i="1">_([$$-en-US]* #,##0.00_);_([$$-en-US]* (#,##0.00);_([$$-en-US]* "-"??_);_(@_)</rpv>
    </rSty>
    <rSty dxfid="7"/>
    <rSty dxfid="3"/>
    <rSty dxfid="2"/>
    <rSty dxfid="0">
      <rpv i="1">0.00</rpv>
    </rSty>
    <rSty dxfid="5">
      <rpv i="1">#,##0.00</rpv>
    </rSty>
    <rSty dxfid="4">
      <rpv i="1">#,##0</rpv>
    </rSty>
    <rSty dxfid="1">
      <rpv i="1">_([$$-en-US]* #,##0_);_([$$-en-US]* (#,##0);_([$$-en-US]* "-"_);_(@_)</rpv>
    </rSty>
    <rSty dxfid="6">
      <rpv i="1">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 dockstate="right" visibility="0" width="0" row="0">
    <wetp:webextensionref xmlns:r="http://schemas.openxmlformats.org/officeDocument/2006/relationships" r:id="rId2"/>
  </wetp:taskpane>
</wetp:taskpanes>
</file>

<file path=xl/webextensions/webextension1.xml><?xml version="1.0" encoding="utf-8"?>
<we:webextension xmlns:we="http://schemas.microsoft.com/office/webextensions/webextension/2010/11" id="{162E2F23-BF1E-4FB9-8171-3193D64ABDD0}">
  <we:reference id="wa200002591" version="3.0.0.6" store="en-US" storeType="OMEX"/>
  <we:alternateReferences>
    <we:reference id="WA200002591" version="3.0.0.6" store="WA20000259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_xldudf_XBRL_SHOWDATA</we:customFunctionIds>
        <we:customFunctionIds>_xldudf_XBRL_SHOWSQL</we:customFunctionIds>
      </we:customFunctionIdList>
    </a:ext>
  </we:extLst>
</we:webextension>
</file>

<file path=xl/webextensions/webextension2.xml><?xml version="1.0" encoding="utf-8"?>
<we:webextension xmlns:we="http://schemas.microsoft.com/office/webextensions/webextension/2010/11" id="{8C8BF964-2D7B-4CD2-8435-5A439ADA4AE5}">
  <we:reference id="wa200003692" version="1.0.0.1" store="en-US" storeType="OMEX"/>
  <we:alternateReferences>
    <we:reference id="wa200003692" version="1.0.0.1" store="WA200003692" storeType="OMEX"/>
  </we:alternateReferences>
  <we:properties/>
  <we:bindings/>
  <we:snapshot xmlns:r="http://schemas.openxmlformats.org/officeDocument/2006/relationships"/>
</we:webextension>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64DB5-3E26-43EE-8548-EE2999D9DD0C}">
  <dimension ref="B2:M67"/>
  <sheetViews>
    <sheetView showGridLines="0" topLeftCell="B4" workbookViewId="0">
      <selection activeCell="J11" sqref="J11"/>
    </sheetView>
  </sheetViews>
  <sheetFormatPr defaultRowHeight="15" x14ac:dyDescent="0.25"/>
  <cols>
    <col min="2" max="2" width="71.140625" bestFit="1" customWidth="1"/>
    <col min="3" max="4" width="10.42578125" bestFit="1" customWidth="1"/>
    <col min="5" max="13" width="11.42578125" bestFit="1" customWidth="1"/>
  </cols>
  <sheetData>
    <row r="2" spans="2:13" x14ac:dyDescent="0.25">
      <c r="B2" s="145"/>
      <c r="C2" s="145">
        <v>2020</v>
      </c>
      <c r="D2" s="145">
        <v>2021</v>
      </c>
      <c r="E2" s="145">
        <v>2022</v>
      </c>
      <c r="F2" s="145">
        <v>2023</v>
      </c>
      <c r="G2" s="145">
        <v>2024</v>
      </c>
      <c r="H2" s="146">
        <v>2025</v>
      </c>
      <c r="I2" s="146">
        <v>2026</v>
      </c>
      <c r="J2" s="146">
        <v>2027</v>
      </c>
      <c r="K2" s="146">
        <v>2028</v>
      </c>
      <c r="L2" s="146">
        <v>2029</v>
      </c>
      <c r="M2" s="146">
        <v>2030</v>
      </c>
    </row>
    <row r="3" spans="2:13" x14ac:dyDescent="0.25">
      <c r="B3" s="147" t="s">
        <v>263</v>
      </c>
      <c r="C3" s="148"/>
      <c r="D3" s="148"/>
      <c r="E3" s="148"/>
      <c r="F3" s="148"/>
      <c r="G3" s="148"/>
      <c r="H3" s="148"/>
      <c r="I3" s="148"/>
      <c r="J3" s="148"/>
      <c r="K3" s="148"/>
      <c r="L3" s="148"/>
      <c r="M3" s="148"/>
    </row>
    <row r="4" spans="2:13" x14ac:dyDescent="0.25">
      <c r="B4" s="149" t="s">
        <v>264</v>
      </c>
      <c r="C4" s="150">
        <v>8398927</v>
      </c>
      <c r="D4" s="150">
        <v>8977061</v>
      </c>
      <c r="E4" s="150">
        <v>9706293</v>
      </c>
      <c r="F4" s="150">
        <v>10335013</v>
      </c>
      <c r="G4" s="150">
        <v>10827378</v>
      </c>
      <c r="H4" s="151">
        <f>G17</f>
        <v>11035246</v>
      </c>
      <c r="I4" s="151">
        <f t="shared" ref="I4:M4" ca="1" si="0">H17</f>
        <v>11286103.396634534</v>
      </c>
      <c r="J4" s="151">
        <f t="shared" ca="1" si="0"/>
        <v>11505395.191450216</v>
      </c>
      <c r="K4" s="151">
        <f t="shared" ca="1" si="0"/>
        <v>11695341.7532214</v>
      </c>
      <c r="L4" s="151">
        <f t="shared" ca="1" si="0"/>
        <v>11858553.350423703</v>
      </c>
      <c r="M4" s="151">
        <f t="shared" ca="1" si="0"/>
        <v>11997369.106863463</v>
      </c>
    </row>
    <row r="5" spans="2:13" x14ac:dyDescent="0.25">
      <c r="B5" s="152" t="s">
        <v>265</v>
      </c>
      <c r="C5" s="150">
        <v>0</v>
      </c>
      <c r="D5" s="150">
        <v>0</v>
      </c>
      <c r="E5" s="150">
        <v>-139958</v>
      </c>
      <c r="F5" s="150">
        <v>0</v>
      </c>
      <c r="G5" s="150">
        <v>0</v>
      </c>
      <c r="H5" s="150">
        <v>0</v>
      </c>
      <c r="I5" s="150">
        <v>0</v>
      </c>
      <c r="J5" s="150">
        <v>0</v>
      </c>
      <c r="K5" s="150">
        <v>0</v>
      </c>
      <c r="L5" s="150">
        <v>0</v>
      </c>
      <c r="M5" s="150">
        <v>0</v>
      </c>
    </row>
    <row r="6" spans="2:13" x14ac:dyDescent="0.25">
      <c r="B6" s="153" t="s">
        <v>266</v>
      </c>
      <c r="C6" s="150">
        <v>4673</v>
      </c>
      <c r="D6" s="150">
        <v>5184</v>
      </c>
      <c r="E6" s="150">
        <v>454</v>
      </c>
      <c r="F6" s="150">
        <v>1204</v>
      </c>
      <c r="G6" s="150">
        <v>3613</v>
      </c>
      <c r="H6" s="154">
        <f ca="1">$H$37*H24</f>
        <v>4152.7819523653307</v>
      </c>
      <c r="I6" s="154">
        <f t="shared" ref="I6:M6" ca="1" si="1">$H$37*I24</f>
        <v>4307.8989753596452</v>
      </c>
      <c r="J6" s="154">
        <f t="shared" ca="1" si="1"/>
        <v>4530.6336862136131</v>
      </c>
      <c r="K6" s="154">
        <f t="shared" ca="1" si="1"/>
        <v>4760.0504383931984</v>
      </c>
      <c r="L6" s="154">
        <f t="shared" ca="1" si="1"/>
        <v>4996.3496931381715</v>
      </c>
      <c r="M6" s="154">
        <f t="shared" ca="1" si="1"/>
        <v>5239.7379255254937</v>
      </c>
    </row>
    <row r="7" spans="2:13" x14ac:dyDescent="0.25">
      <c r="B7" s="155" t="s">
        <v>267</v>
      </c>
      <c r="C7" s="150">
        <v>0</v>
      </c>
      <c r="D7" s="150">
        <v>0</v>
      </c>
      <c r="E7" s="150">
        <v>0</v>
      </c>
      <c r="F7" s="150">
        <v>0</v>
      </c>
      <c r="G7" s="150">
        <v>0</v>
      </c>
      <c r="H7" s="150">
        <v>0</v>
      </c>
      <c r="I7" s="150">
        <v>0</v>
      </c>
      <c r="J7" s="150">
        <v>0</v>
      </c>
      <c r="K7" s="150">
        <v>0</v>
      </c>
      <c r="L7" s="150">
        <v>0</v>
      </c>
      <c r="M7" s="150">
        <v>0</v>
      </c>
    </row>
    <row r="8" spans="2:13" x14ac:dyDescent="0.25">
      <c r="B8" s="156" t="s">
        <v>268</v>
      </c>
      <c r="C8" s="150">
        <v>-20240</v>
      </c>
      <c r="D8" s="150">
        <v>-26298</v>
      </c>
      <c r="E8" s="150">
        <v>-6733</v>
      </c>
      <c r="F8" s="150">
        <v>-3021</v>
      </c>
      <c r="G8" s="150">
        <v>-40328</v>
      </c>
      <c r="H8" s="154">
        <f ca="1">H26*$H$42</f>
        <v>-70223.072029626259</v>
      </c>
      <c r="I8" s="154">
        <f t="shared" ref="I8:M8" ca="1" si="2">I26*$H$42</f>
        <v>-72846.083303441555</v>
      </c>
      <c r="J8" s="154">
        <f t="shared" ca="1" si="2"/>
        <v>-76612.502013407138</v>
      </c>
      <c r="K8" s="154">
        <f t="shared" ca="1" si="2"/>
        <v>-80491.913284671682</v>
      </c>
      <c r="L8" s="154">
        <f t="shared" ca="1" si="2"/>
        <v>-84487.70689407413</v>
      </c>
      <c r="M8" s="154">
        <f t="shared" ca="1" si="2"/>
        <v>-88603.374311758671</v>
      </c>
    </row>
    <row r="9" spans="2:13" x14ac:dyDescent="0.25">
      <c r="B9" s="157" t="s">
        <v>269</v>
      </c>
      <c r="C9" s="150">
        <v>21351</v>
      </c>
      <c r="D9" s="150">
        <v>28637</v>
      </c>
      <c r="E9" s="150">
        <v>21198</v>
      </c>
      <c r="F9" s="150">
        <v>9788</v>
      </c>
      <c r="G9" s="150">
        <v>11438</v>
      </c>
      <c r="H9" s="154">
        <f ca="1">$H$50*H27</f>
        <v>19135.776561973496</v>
      </c>
      <c r="I9" s="154">
        <f t="shared" ref="I9:M9" ca="1" si="3">$H$50*I27</f>
        <v>19850.546739417325</v>
      </c>
      <c r="J9" s="154">
        <f t="shared" ca="1" si="3"/>
        <v>20876.895271169553</v>
      </c>
      <c r="K9" s="154">
        <f t="shared" ca="1" si="3"/>
        <v>21934.034258874344</v>
      </c>
      <c r="L9" s="154">
        <f t="shared" ca="1" si="3"/>
        <v>23022.887416210273</v>
      </c>
      <c r="M9" s="154">
        <f t="shared" ca="1" si="3"/>
        <v>24144.406168266287</v>
      </c>
    </row>
    <row r="10" spans="2:13" x14ac:dyDescent="0.25">
      <c r="B10" s="158" t="s">
        <v>270</v>
      </c>
      <c r="C10" s="150">
        <v>139224</v>
      </c>
      <c r="D10" s="150">
        <v>-1</v>
      </c>
      <c r="E10" s="150">
        <v>0</v>
      </c>
      <c r="F10" s="150">
        <v>0</v>
      </c>
      <c r="G10" s="150">
        <v>0</v>
      </c>
      <c r="H10" s="150">
        <v>0</v>
      </c>
      <c r="I10" s="150">
        <v>0</v>
      </c>
      <c r="J10" s="150">
        <v>0</v>
      </c>
      <c r="K10" s="150">
        <v>0</v>
      </c>
      <c r="L10" s="150">
        <v>0</v>
      </c>
      <c r="M10" s="150">
        <v>0</v>
      </c>
    </row>
    <row r="11" spans="2:13" x14ac:dyDescent="0.25">
      <c r="B11" s="152" t="s">
        <v>271</v>
      </c>
      <c r="C11" s="150">
        <v>0</v>
      </c>
      <c r="D11" s="150">
        <v>0</v>
      </c>
      <c r="E11" s="150">
        <v>0</v>
      </c>
      <c r="F11" s="150">
        <v>0</v>
      </c>
      <c r="G11" s="150">
        <v>-50000</v>
      </c>
      <c r="H11" s="154">
        <v>0</v>
      </c>
      <c r="I11" s="154">
        <v>0</v>
      </c>
      <c r="J11" s="154">
        <v>0</v>
      </c>
      <c r="K11" s="154">
        <v>0</v>
      </c>
      <c r="L11" s="154">
        <v>0</v>
      </c>
      <c r="M11" s="154">
        <v>0</v>
      </c>
    </row>
    <row r="12" spans="2:13" x14ac:dyDescent="0.25">
      <c r="B12" s="152" t="s">
        <v>258</v>
      </c>
      <c r="C12" s="150">
        <v>-132681</v>
      </c>
      <c r="D12" s="150">
        <v>0</v>
      </c>
      <c r="E12" s="150">
        <v>0</v>
      </c>
      <c r="F12" s="150">
        <v>0</v>
      </c>
      <c r="G12" s="150">
        <v>-47886</v>
      </c>
      <c r="H12" s="154">
        <v>0</v>
      </c>
      <c r="I12" s="154">
        <v>0</v>
      </c>
      <c r="J12" s="154">
        <v>0</v>
      </c>
      <c r="K12" s="154">
        <v>0</v>
      </c>
      <c r="L12" s="154">
        <v>0</v>
      </c>
      <c r="M12" s="154">
        <v>0</v>
      </c>
    </row>
    <row r="13" spans="2:13" x14ac:dyDescent="0.25">
      <c r="B13" s="152" t="s">
        <v>59</v>
      </c>
      <c r="C13" s="150">
        <v>565807</v>
      </c>
      <c r="D13" s="150">
        <v>721710</v>
      </c>
      <c r="E13" s="150">
        <v>753619</v>
      </c>
      <c r="F13" s="150">
        <v>484533</v>
      </c>
      <c r="G13" s="150">
        <v>330921</v>
      </c>
      <c r="H13" s="154">
        <f ca="1">SUM('3_Statement_Model'!H24:H28)</f>
        <v>297791.91014982085</v>
      </c>
      <c r="I13" s="154">
        <f ca="1">SUM('3_Statement_Model'!I24:I28)</f>
        <v>267979.43240434729</v>
      </c>
      <c r="J13" s="154">
        <f ca="1">SUM('3_Statement_Model'!J24:J28)</f>
        <v>241151.53482721071</v>
      </c>
      <c r="K13" s="154">
        <f ca="1">SUM('3_Statement_Model'!K24:K28)</f>
        <v>217009.42578970856</v>
      </c>
      <c r="L13" s="154">
        <f ca="1">SUM('3_Statement_Model'!L24:L28)</f>
        <v>195284.22622448596</v>
      </c>
      <c r="M13" s="154">
        <f ca="1">SUM('3_Statement_Model'!M24:M28)</f>
        <v>175733.97502582014</v>
      </c>
    </row>
    <row r="14" spans="2:13" x14ac:dyDescent="0.25">
      <c r="B14" s="152" t="s">
        <v>272</v>
      </c>
      <c r="C14" s="150">
        <v>0</v>
      </c>
      <c r="D14" s="150">
        <v>0</v>
      </c>
      <c r="E14" s="150">
        <v>0</v>
      </c>
      <c r="F14" s="150">
        <v>0</v>
      </c>
      <c r="G14" s="150">
        <v>0</v>
      </c>
      <c r="H14" s="150">
        <v>0</v>
      </c>
      <c r="I14" s="150">
        <v>0</v>
      </c>
      <c r="J14" s="150">
        <v>0</v>
      </c>
      <c r="K14" s="150">
        <v>0</v>
      </c>
      <c r="L14" s="150">
        <v>0</v>
      </c>
      <c r="M14" s="150">
        <v>0</v>
      </c>
    </row>
    <row r="15" spans="2:13" x14ac:dyDescent="0.25">
      <c r="B15" s="152" t="s">
        <v>273</v>
      </c>
      <c r="C15" s="150">
        <v>0</v>
      </c>
      <c r="D15" s="150">
        <v>0</v>
      </c>
      <c r="E15" s="150">
        <v>0</v>
      </c>
      <c r="F15" s="150">
        <v>0</v>
      </c>
      <c r="G15" s="150">
        <v>0</v>
      </c>
      <c r="H15" s="150">
        <v>0</v>
      </c>
      <c r="I15" s="150">
        <v>0</v>
      </c>
      <c r="J15" s="150">
        <v>0</v>
      </c>
      <c r="K15" s="150">
        <v>0</v>
      </c>
      <c r="L15" s="150">
        <v>0</v>
      </c>
      <c r="M15" s="150">
        <v>0</v>
      </c>
    </row>
    <row r="16" spans="2:13" x14ac:dyDescent="0.25">
      <c r="B16" s="152" t="s">
        <v>67</v>
      </c>
      <c r="C16" s="150">
        <v>0</v>
      </c>
      <c r="D16" s="150">
        <v>0</v>
      </c>
      <c r="E16" s="150">
        <v>140</v>
      </c>
      <c r="F16" s="150">
        <v>-139</v>
      </c>
      <c r="G16" s="150">
        <v>110</v>
      </c>
      <c r="H16" s="154">
        <v>0</v>
      </c>
      <c r="I16" s="154">
        <v>0</v>
      </c>
      <c r="J16" s="154">
        <v>0</v>
      </c>
      <c r="K16" s="154">
        <v>0</v>
      </c>
      <c r="L16" s="154">
        <v>0</v>
      </c>
      <c r="M16" s="154">
        <v>0</v>
      </c>
    </row>
    <row r="17" spans="2:13" ht="15.75" thickBot="1" x14ac:dyDescent="0.3">
      <c r="B17" s="159" t="s">
        <v>114</v>
      </c>
      <c r="C17" s="160">
        <f>SUM(C4:C16)</f>
        <v>8977061</v>
      </c>
      <c r="D17" s="160">
        <f t="shared" ref="D17:G17" si="4">SUM(D4:D16)</f>
        <v>9706293</v>
      </c>
      <c r="E17" s="160">
        <f t="shared" si="4"/>
        <v>10335013</v>
      </c>
      <c r="F17" s="160">
        <f t="shared" si="4"/>
        <v>10827378</v>
      </c>
      <c r="G17" s="160">
        <f t="shared" si="4"/>
        <v>11035246</v>
      </c>
      <c r="H17" s="161">
        <f ca="1">SUM(H4:H16)</f>
        <v>11286103.396634534</v>
      </c>
      <c r="I17" s="161">
        <f t="shared" ref="I17:M17" ca="1" si="5">SUM(I4:I16)</f>
        <v>11505395.191450216</v>
      </c>
      <c r="J17" s="161">
        <f t="shared" ca="1" si="5"/>
        <v>11695341.7532214</v>
      </c>
      <c r="K17" s="161">
        <f t="shared" ca="1" si="5"/>
        <v>11858553.350423703</v>
      </c>
      <c r="L17" s="161">
        <f t="shared" ca="1" si="5"/>
        <v>11997369.106863463</v>
      </c>
      <c r="M17" s="161">
        <f t="shared" ca="1" si="5"/>
        <v>12113883.851671318</v>
      </c>
    </row>
    <row r="18" spans="2:13" ht="15.75" thickTop="1" x14ac:dyDescent="0.25">
      <c r="B18" s="152"/>
      <c r="C18" s="152"/>
      <c r="D18" s="152"/>
      <c r="E18" s="172"/>
      <c r="F18" s="172"/>
      <c r="G18" s="172"/>
      <c r="H18" s="154"/>
      <c r="I18" s="154"/>
      <c r="J18" s="154"/>
      <c r="K18" s="154"/>
      <c r="L18" s="154"/>
      <c r="M18" s="154"/>
    </row>
    <row r="19" spans="2:13" x14ac:dyDescent="0.25">
      <c r="B19" s="152"/>
      <c r="C19" s="152"/>
      <c r="D19" s="152"/>
      <c r="E19" s="152"/>
      <c r="F19" s="152"/>
      <c r="G19" s="152"/>
      <c r="H19" s="172"/>
      <c r="I19" s="152"/>
      <c r="J19" s="152"/>
      <c r="K19" s="152"/>
      <c r="L19" s="152"/>
      <c r="M19" s="152"/>
    </row>
    <row r="20" spans="2:13" x14ac:dyDescent="0.25">
      <c r="B20" s="145"/>
      <c r="C20" s="145">
        <v>2020</v>
      </c>
      <c r="D20" s="145">
        <v>2021</v>
      </c>
      <c r="E20" s="145">
        <v>2022</v>
      </c>
      <c r="F20" s="145">
        <v>2023</v>
      </c>
      <c r="G20" s="145">
        <v>2024</v>
      </c>
      <c r="H20" s="146">
        <v>2025</v>
      </c>
      <c r="I20" s="146">
        <v>2026</v>
      </c>
      <c r="J20" s="146">
        <v>2027</v>
      </c>
      <c r="K20" s="146">
        <v>2028</v>
      </c>
      <c r="L20" s="146">
        <v>2029</v>
      </c>
      <c r="M20" s="146">
        <v>2030</v>
      </c>
    </row>
    <row r="21" spans="2:13" x14ac:dyDescent="0.25">
      <c r="B21" s="147" t="s">
        <v>274</v>
      </c>
      <c r="C21" s="148"/>
      <c r="D21" s="148"/>
      <c r="E21" s="148"/>
      <c r="F21" s="148"/>
      <c r="G21" s="148"/>
      <c r="H21" s="148"/>
      <c r="I21" s="148"/>
      <c r="J21" s="148"/>
      <c r="K21" s="148"/>
      <c r="L21" s="148"/>
      <c r="M21" s="148"/>
    </row>
    <row r="22" spans="2:13" x14ac:dyDescent="0.25">
      <c r="B22" s="149" t="s">
        <v>264</v>
      </c>
      <c r="C22" s="150">
        <v>302596</v>
      </c>
      <c r="D22" s="150">
        <v>323737</v>
      </c>
      <c r="E22" s="150">
        <v>344938</v>
      </c>
      <c r="F22" s="150">
        <v>370155</v>
      </c>
      <c r="G22" s="150">
        <v>399806</v>
      </c>
      <c r="H22" s="151">
        <f>G33</f>
        <v>418005</v>
      </c>
      <c r="I22" s="151">
        <f t="shared" ref="I22:M22" si="6">H33</f>
        <v>439936.32917127974</v>
      </c>
      <c r="J22" s="151">
        <f t="shared" si="6"/>
        <v>462506.88376736466</v>
      </c>
      <c r="K22" s="151">
        <f t="shared" si="6"/>
        <v>485867.31250143348</v>
      </c>
      <c r="L22" s="151">
        <f t="shared" si="6"/>
        <v>510366.65524134162</v>
      </c>
      <c r="M22" s="151">
        <f t="shared" si="6"/>
        <v>536725.14304750122</v>
      </c>
    </row>
    <row r="23" spans="2:13" x14ac:dyDescent="0.25">
      <c r="B23" s="152" t="s">
        <v>265</v>
      </c>
      <c r="C23" s="150">
        <v>0</v>
      </c>
      <c r="D23" s="150">
        <v>0</v>
      </c>
      <c r="E23" s="150">
        <v>0</v>
      </c>
      <c r="F23" s="150">
        <v>0</v>
      </c>
      <c r="G23" s="150">
        <v>0</v>
      </c>
      <c r="H23" s="151"/>
      <c r="I23" s="151"/>
      <c r="J23" s="151"/>
      <c r="K23" s="151"/>
      <c r="L23" s="151"/>
      <c r="M23" s="151"/>
    </row>
    <row r="24" spans="2:13" x14ac:dyDescent="0.25">
      <c r="B24" s="153" t="s">
        <v>266</v>
      </c>
      <c r="C24" s="150">
        <v>1039</v>
      </c>
      <c r="D24" s="150">
        <v>812</v>
      </c>
      <c r="E24" s="150">
        <v>112</v>
      </c>
      <c r="F24" s="150">
        <v>201</v>
      </c>
      <c r="G24" s="150">
        <v>780</v>
      </c>
      <c r="H24" s="151">
        <f ca="1">G24*(1+Assumptions!I3)</f>
        <v>812.43891316889983</v>
      </c>
      <c r="I24" s="151">
        <f ca="1">H24*(1+Assumptions!J3)</f>
        <v>842.78558367099924</v>
      </c>
      <c r="J24" s="151">
        <f ca="1">I24*(1+Assumptions!K3)</f>
        <v>886.36079385224104</v>
      </c>
      <c r="K24" s="151">
        <f ca="1">J24*(1+Assumptions!L3)</f>
        <v>931.24326033891987</v>
      </c>
      <c r="L24" s="151">
        <f ca="1">K24*(1+Assumptions!M3)</f>
        <v>977.47220082019885</v>
      </c>
      <c r="M24" s="151">
        <f ca="1">L24*(1+Assumptions!N3)</f>
        <v>1025.0880095159164</v>
      </c>
    </row>
    <row r="25" spans="2:13" x14ac:dyDescent="0.25">
      <c r="B25" s="155" t="s">
        <v>267</v>
      </c>
      <c r="C25" s="150">
        <v>19762</v>
      </c>
      <c r="D25" s="150">
        <v>19926</v>
      </c>
      <c r="E25" s="150">
        <v>23928</v>
      </c>
      <c r="F25" s="150">
        <v>28397</v>
      </c>
      <c r="G25" s="150">
        <v>22011</v>
      </c>
      <c r="H25" s="154">
        <f ca="1">G25*(1+Assumptions!I3)</f>
        <v>22926.401176616222</v>
      </c>
      <c r="I25" s="154">
        <f ca="1">H25*(1+Assumptions!J3)</f>
        <v>23782.760874592776</v>
      </c>
      <c r="J25" s="154">
        <f ca="1">I25*(1+Assumptions!K3)</f>
        <v>25012.419786514973</v>
      </c>
      <c r="K25" s="154">
        <f ca="1">J25*(1+Assumptions!L3)</f>
        <v>26278.968465794831</v>
      </c>
      <c r="L25" s="154">
        <f ca="1">K25*(1+Assumptions!M3)</f>
        <v>27583.513605453078</v>
      </c>
      <c r="M25" s="154">
        <f ca="1">L25*(1+Assumptions!N3)</f>
        <v>28927.195099301076</v>
      </c>
    </row>
    <row r="26" spans="2:13" x14ac:dyDescent="0.25">
      <c r="B26" s="156" t="s">
        <v>268</v>
      </c>
      <c r="C26" s="150">
        <v>-552</v>
      </c>
      <c r="D26" s="150">
        <v>-509</v>
      </c>
      <c r="E26" s="150">
        <v>-358</v>
      </c>
      <c r="F26" s="150">
        <v>-296</v>
      </c>
      <c r="G26" s="150">
        <v>-2529</v>
      </c>
      <c r="H26" s="154">
        <f ca="1">G26*(1+Assumptions!I3)</f>
        <v>-2634.1769376976249</v>
      </c>
      <c r="I26" s="154">
        <f ca="1">H26*(1+Assumptions!J3)</f>
        <v>-2732.570180902509</v>
      </c>
      <c r="J26" s="154">
        <f ca="1">I26*(1+Assumptions!K3)</f>
        <v>-2873.854420067074</v>
      </c>
      <c r="K26" s="154">
        <f ca="1">J26*(1+Assumptions!L3)</f>
        <v>-3019.3771864065752</v>
      </c>
      <c r="L26" s="154">
        <f ca="1">K26*(1+Assumptions!M3)</f>
        <v>-3169.2656357362607</v>
      </c>
      <c r="M26" s="154">
        <f ca="1">L26*(1+Assumptions!N3)</f>
        <v>-3323.6507385458372</v>
      </c>
    </row>
    <row r="27" spans="2:13" x14ac:dyDescent="0.25">
      <c r="B27" s="157" t="s">
        <v>269</v>
      </c>
      <c r="C27" s="150">
        <v>892</v>
      </c>
      <c r="D27" s="150">
        <v>972</v>
      </c>
      <c r="E27" s="150">
        <v>1535</v>
      </c>
      <c r="F27" s="150">
        <v>1349</v>
      </c>
      <c r="G27" s="150">
        <v>1080</v>
      </c>
      <c r="H27" s="154">
        <f ca="1">G27*(1+Assumptions!I3)</f>
        <v>1124.9154182338611</v>
      </c>
      <c r="I27" s="154">
        <f ca="1">H27*(1+Assumptions!J3)</f>
        <v>1166.933885082922</v>
      </c>
      <c r="J27" s="154">
        <f ca="1">I27*(1+Assumptions!K3)</f>
        <v>1227.2687914877183</v>
      </c>
      <c r="K27" s="154">
        <f ca="1">J27*(1+Assumptions!L3)</f>
        <v>1289.4137450846583</v>
      </c>
      <c r="L27" s="154">
        <f ca="1">K27*(1+Assumptions!M3)</f>
        <v>1353.4230472895063</v>
      </c>
      <c r="M27" s="154">
        <f ca="1">L27*(1+Assumptions!N3)</f>
        <v>1419.3526285604999</v>
      </c>
    </row>
    <row r="28" spans="2:13" x14ac:dyDescent="0.25">
      <c r="B28" s="158" t="s">
        <v>270</v>
      </c>
      <c r="C28" s="152"/>
      <c r="D28" s="152"/>
      <c r="E28" s="152"/>
      <c r="F28" s="152"/>
      <c r="G28" s="150">
        <v>-3143</v>
      </c>
      <c r="H28" s="154"/>
      <c r="I28" s="154"/>
      <c r="J28" s="154"/>
      <c r="K28" s="154"/>
      <c r="L28" s="154"/>
      <c r="M28" s="154"/>
    </row>
    <row r="29" spans="2:13" x14ac:dyDescent="0.25">
      <c r="B29" s="152" t="s">
        <v>258</v>
      </c>
      <c r="C29" s="150">
        <v>0</v>
      </c>
      <c r="D29" s="150">
        <v>0</v>
      </c>
      <c r="E29" s="150">
        <v>0</v>
      </c>
      <c r="F29" s="150">
        <v>0</v>
      </c>
      <c r="G29" s="150">
        <v>0</v>
      </c>
      <c r="H29" s="150">
        <v>0</v>
      </c>
      <c r="I29" s="150">
        <v>0</v>
      </c>
      <c r="J29" s="150">
        <v>0</v>
      </c>
      <c r="K29" s="150">
        <v>0</v>
      </c>
      <c r="L29" s="150">
        <v>0</v>
      </c>
      <c r="M29" s="150">
        <v>0</v>
      </c>
    </row>
    <row r="30" spans="2:13" x14ac:dyDescent="0.25">
      <c r="B30" s="152" t="s">
        <v>59</v>
      </c>
      <c r="C30" s="150">
        <v>0</v>
      </c>
      <c r="D30" s="150">
        <v>0</v>
      </c>
      <c r="E30" s="150">
        <v>0</v>
      </c>
      <c r="F30" s="150">
        <v>0</v>
      </c>
      <c r="G30" s="150">
        <v>0</v>
      </c>
      <c r="H30" s="150">
        <v>0</v>
      </c>
      <c r="I30" s="150">
        <v>0</v>
      </c>
      <c r="J30" s="150">
        <v>0</v>
      </c>
      <c r="K30" s="150">
        <v>0</v>
      </c>
      <c r="L30" s="150">
        <v>0</v>
      </c>
      <c r="M30" s="150">
        <v>0</v>
      </c>
    </row>
    <row r="31" spans="2:13" x14ac:dyDescent="0.25">
      <c r="B31" s="152" t="s">
        <v>272</v>
      </c>
      <c r="C31" s="150">
        <v>0</v>
      </c>
      <c r="D31" s="150">
        <v>0</v>
      </c>
      <c r="E31" s="150">
        <v>0</v>
      </c>
      <c r="F31" s="150">
        <v>0</v>
      </c>
      <c r="G31" s="150">
        <v>0</v>
      </c>
      <c r="H31" s="150">
        <v>0</v>
      </c>
      <c r="I31" s="150">
        <v>0</v>
      </c>
      <c r="J31" s="150">
        <v>0</v>
      </c>
      <c r="K31" s="150">
        <v>0</v>
      </c>
      <c r="L31" s="150">
        <v>0</v>
      </c>
      <c r="M31" s="150">
        <v>0</v>
      </c>
    </row>
    <row r="32" spans="2:13" x14ac:dyDescent="0.25">
      <c r="B32" s="152" t="s">
        <v>273</v>
      </c>
      <c r="C32" s="150">
        <v>0</v>
      </c>
      <c r="D32" s="150">
        <v>0</v>
      </c>
      <c r="E32" s="150">
        <v>0</v>
      </c>
      <c r="F32" s="150">
        <v>0</v>
      </c>
      <c r="G32" s="150">
        <v>0</v>
      </c>
      <c r="H32" s="150">
        <v>0</v>
      </c>
      <c r="I32" s="150">
        <v>0</v>
      </c>
      <c r="J32" s="150">
        <v>0</v>
      </c>
      <c r="K32" s="150">
        <v>0</v>
      </c>
      <c r="L32" s="150">
        <v>0</v>
      </c>
      <c r="M32" s="150">
        <v>0</v>
      </c>
    </row>
    <row r="33" spans="2:13" ht="15.75" thickBot="1" x14ac:dyDescent="0.3">
      <c r="B33" s="162" t="s">
        <v>114</v>
      </c>
      <c r="C33" s="161">
        <v>323737</v>
      </c>
      <c r="D33" s="161">
        <v>344938</v>
      </c>
      <c r="E33" s="161">
        <v>370155</v>
      </c>
      <c r="F33" s="161">
        <v>399806</v>
      </c>
      <c r="G33" s="161">
        <v>418005</v>
      </c>
      <c r="H33" s="161">
        <v>439936.32917127974</v>
      </c>
      <c r="I33" s="161">
        <v>462506.88376736466</v>
      </c>
      <c r="J33" s="161">
        <v>485867.31250143348</v>
      </c>
      <c r="K33" s="161">
        <v>510366.65524134162</v>
      </c>
      <c r="L33" s="161">
        <v>536725.14304750122</v>
      </c>
      <c r="M33" s="161">
        <v>566335.13695773971</v>
      </c>
    </row>
    <row r="34" spans="2:13" ht="15.75" thickTop="1" x14ac:dyDescent="0.25">
      <c r="B34" s="152">
        <v>100000</v>
      </c>
      <c r="C34" s="163">
        <f>C33/$B$34</f>
        <v>3.2373699999999999</v>
      </c>
      <c r="D34" s="163">
        <f t="shared" ref="D34:M34" si="7">D33/$B$34</f>
        <v>3.4493800000000001</v>
      </c>
      <c r="E34" s="163">
        <f t="shared" si="7"/>
        <v>3.7015500000000001</v>
      </c>
      <c r="F34" s="163">
        <f t="shared" si="7"/>
        <v>3.9980600000000002</v>
      </c>
      <c r="G34" s="163">
        <f t="shared" si="7"/>
        <v>4.1800499999999996</v>
      </c>
      <c r="H34" s="163">
        <f t="shared" si="7"/>
        <v>4.3993632917127972</v>
      </c>
      <c r="I34" s="163">
        <f t="shared" si="7"/>
        <v>4.6250688376736466</v>
      </c>
      <c r="J34" s="163">
        <f t="shared" si="7"/>
        <v>4.8586731250143345</v>
      </c>
      <c r="K34" s="163">
        <f t="shared" si="7"/>
        <v>5.1036665524134159</v>
      </c>
      <c r="L34" s="163">
        <f t="shared" si="7"/>
        <v>5.3672514304750125</v>
      </c>
      <c r="M34" s="163">
        <f t="shared" si="7"/>
        <v>5.6633513695773967</v>
      </c>
    </row>
    <row r="35" spans="2:13" x14ac:dyDescent="0.25">
      <c r="B35" s="153" t="s">
        <v>280</v>
      </c>
      <c r="C35" s="150">
        <v>4673</v>
      </c>
      <c r="D35" s="150">
        <v>5184</v>
      </c>
      <c r="E35" s="150">
        <v>454</v>
      </c>
      <c r="F35" s="150">
        <v>1204</v>
      </c>
      <c r="G35" s="150">
        <v>3613</v>
      </c>
      <c r="H35" s="164"/>
      <c r="I35" s="152"/>
      <c r="J35" s="152"/>
      <c r="K35" s="152"/>
      <c r="L35" s="152"/>
      <c r="M35" s="152"/>
    </row>
    <row r="36" spans="2:13" x14ac:dyDescent="0.25">
      <c r="B36" s="153" t="s">
        <v>276</v>
      </c>
      <c r="C36" s="150">
        <v>1039</v>
      </c>
      <c r="D36" s="150">
        <v>812</v>
      </c>
      <c r="E36" s="150">
        <v>112</v>
      </c>
      <c r="F36" s="150">
        <v>201</v>
      </c>
      <c r="G36" s="150">
        <v>780</v>
      </c>
      <c r="H36" s="152"/>
      <c r="I36" s="152"/>
      <c r="J36" s="152"/>
      <c r="K36" s="152"/>
      <c r="L36" s="152"/>
      <c r="M36" s="152"/>
    </row>
    <row r="37" spans="2:13" x14ac:dyDescent="0.25">
      <c r="B37" s="165" t="s">
        <v>277</v>
      </c>
      <c r="C37" s="166">
        <f>C35/C36</f>
        <v>4.4975938402309916</v>
      </c>
      <c r="D37" s="166">
        <f t="shared" ref="D37:G37" si="8">D35/D36</f>
        <v>6.3842364532019706</v>
      </c>
      <c r="E37" s="166">
        <f t="shared" si="8"/>
        <v>4.0535714285714288</v>
      </c>
      <c r="F37" s="166">
        <f t="shared" si="8"/>
        <v>5.9900497512437809</v>
      </c>
      <c r="G37" s="166">
        <f t="shared" si="8"/>
        <v>4.6320512820512825</v>
      </c>
      <c r="H37" s="170">
        <f ca="1">OFFSET(H54,MATCH(S,B55:B57,0),0)</f>
        <v>5.1115005510598914</v>
      </c>
      <c r="I37" s="152"/>
      <c r="J37" s="152"/>
      <c r="K37" s="152"/>
      <c r="L37" s="152"/>
      <c r="M37" s="152"/>
    </row>
    <row r="38" spans="2:13" x14ac:dyDescent="0.25">
      <c r="B38" s="167"/>
      <c r="C38" s="152"/>
      <c r="D38" s="168"/>
      <c r="E38" s="168"/>
      <c r="F38" s="168"/>
      <c r="G38" s="168"/>
      <c r="H38" s="171"/>
      <c r="I38" s="152"/>
      <c r="J38" s="152"/>
      <c r="K38" s="152"/>
      <c r="L38" s="152"/>
      <c r="M38" s="152"/>
    </row>
    <row r="39" spans="2:13" x14ac:dyDescent="0.25">
      <c r="B39" s="152"/>
      <c r="C39" s="152"/>
      <c r="D39" s="168"/>
      <c r="E39" s="152"/>
      <c r="F39" s="152"/>
      <c r="G39" s="152"/>
      <c r="H39" s="152"/>
      <c r="I39" s="152"/>
      <c r="J39" s="152"/>
      <c r="K39" s="152"/>
      <c r="L39" s="152"/>
      <c r="M39" s="152"/>
    </row>
    <row r="40" spans="2:13" x14ac:dyDescent="0.25">
      <c r="B40" s="156" t="s">
        <v>278</v>
      </c>
      <c r="C40" s="150">
        <v>-20240</v>
      </c>
      <c r="D40" s="150">
        <v>-26298</v>
      </c>
      <c r="E40" s="150">
        <v>-6733</v>
      </c>
      <c r="F40" s="150">
        <v>-3021</v>
      </c>
      <c r="G40" s="150">
        <v>-40328</v>
      </c>
      <c r="H40" s="152"/>
      <c r="I40" s="152"/>
      <c r="J40" s="152"/>
      <c r="K40" s="152"/>
      <c r="L40" s="152"/>
      <c r="M40" s="152"/>
    </row>
    <row r="41" spans="2:13" x14ac:dyDescent="0.25">
      <c r="B41" s="156" t="s">
        <v>268</v>
      </c>
      <c r="C41" s="150">
        <v>-552</v>
      </c>
      <c r="D41" s="150">
        <v>-509</v>
      </c>
      <c r="E41" s="150">
        <v>-358</v>
      </c>
      <c r="F41" s="150">
        <v>-296</v>
      </c>
      <c r="G41" s="150">
        <v>-2529</v>
      </c>
      <c r="H41" s="154"/>
      <c r="I41" s="154"/>
      <c r="J41" s="154"/>
      <c r="K41" s="154"/>
      <c r="L41" s="154"/>
      <c r="M41" s="154"/>
    </row>
    <row r="42" spans="2:13" x14ac:dyDescent="0.25">
      <c r="B42" s="167" t="s">
        <v>277</v>
      </c>
      <c r="C42" s="154">
        <v>36.666666666666664</v>
      </c>
      <c r="D42" s="154">
        <v>51.666011787819251</v>
      </c>
      <c r="E42" s="154">
        <v>18.807262569832403</v>
      </c>
      <c r="F42" s="154">
        <v>10.206081081081081</v>
      </c>
      <c r="G42" s="154">
        <v>15.94622380387505</v>
      </c>
      <c r="H42" s="154">
        <f ca="1">OFFSET(H59,MATCH(S,B60:B62,0),0)</f>
        <v>26.658449181854888</v>
      </c>
      <c r="I42" s="152"/>
      <c r="J42" s="152"/>
      <c r="K42" s="152"/>
      <c r="L42" s="152"/>
      <c r="M42" s="152"/>
    </row>
    <row r="43" spans="2:13" x14ac:dyDescent="0.25">
      <c r="B43" s="167" t="s">
        <v>279</v>
      </c>
      <c r="C43" s="152"/>
      <c r="D43" s="169"/>
      <c r="E43" s="169"/>
      <c r="F43" s="169"/>
      <c r="G43" s="152"/>
      <c r="H43" s="169">
        <v>0.35581973254335608</v>
      </c>
      <c r="I43" s="169"/>
      <c r="J43" s="152"/>
      <c r="K43" s="152"/>
      <c r="L43" s="152"/>
      <c r="M43" s="152"/>
    </row>
    <row r="44" spans="2:13" x14ac:dyDescent="0.25">
      <c r="B44" s="152"/>
      <c r="C44" s="168"/>
      <c r="D44" s="168"/>
      <c r="E44" s="168"/>
      <c r="F44" s="168"/>
      <c r="G44" s="152"/>
      <c r="H44" s="168"/>
      <c r="I44" s="152"/>
      <c r="J44" s="152"/>
      <c r="K44" s="152"/>
      <c r="L44" s="152"/>
      <c r="M44" s="152"/>
    </row>
    <row r="45" spans="2:13" x14ac:dyDescent="0.25">
      <c r="B45" s="155"/>
      <c r="C45" s="150"/>
      <c r="D45" s="150"/>
      <c r="E45" s="150"/>
      <c r="F45" s="150"/>
      <c r="G45" s="150"/>
      <c r="H45" s="152"/>
      <c r="I45" s="152"/>
      <c r="J45" s="152"/>
      <c r="K45" s="152"/>
      <c r="L45" s="152"/>
      <c r="M45" s="152"/>
    </row>
    <row r="46" spans="2:13" x14ac:dyDescent="0.25">
      <c r="B46" s="152"/>
      <c r="C46" s="152"/>
      <c r="D46" s="168"/>
      <c r="E46" s="168"/>
      <c r="F46" s="168"/>
      <c r="G46" s="168"/>
      <c r="H46" s="168"/>
      <c r="I46" s="152"/>
      <c r="J46" s="152"/>
      <c r="K46" s="152"/>
      <c r="L46" s="152"/>
      <c r="M46" s="152"/>
    </row>
    <row r="47" spans="2:13" x14ac:dyDescent="0.25">
      <c r="B47" s="152"/>
      <c r="C47" s="152"/>
      <c r="D47" s="152"/>
      <c r="E47" s="152"/>
      <c r="F47" s="152"/>
      <c r="G47" s="152"/>
      <c r="H47" s="152"/>
      <c r="I47" s="152"/>
      <c r="J47" s="152"/>
      <c r="K47" s="152"/>
      <c r="L47" s="152"/>
      <c r="M47" s="152"/>
    </row>
    <row r="48" spans="2:13" x14ac:dyDescent="0.25">
      <c r="B48" s="157" t="s">
        <v>269</v>
      </c>
      <c r="C48" s="150">
        <v>21351</v>
      </c>
      <c r="D48" s="150">
        <v>28637</v>
      </c>
      <c r="E48" s="150">
        <v>21198</v>
      </c>
      <c r="F48" s="150">
        <v>9788</v>
      </c>
      <c r="G48" s="150">
        <v>11438</v>
      </c>
      <c r="H48" s="152"/>
      <c r="I48" s="152"/>
      <c r="J48" s="152"/>
      <c r="K48" s="152"/>
      <c r="L48" s="152"/>
      <c r="M48" s="152"/>
    </row>
    <row r="49" spans="2:13" x14ac:dyDescent="0.25">
      <c r="B49" s="157" t="s">
        <v>269</v>
      </c>
      <c r="C49" s="150">
        <v>892</v>
      </c>
      <c r="D49" s="150">
        <v>972</v>
      </c>
      <c r="E49" s="150">
        <v>1535</v>
      </c>
      <c r="F49" s="150">
        <v>1349</v>
      </c>
      <c r="G49" s="150">
        <v>1080</v>
      </c>
      <c r="H49" s="152"/>
      <c r="I49" s="152"/>
      <c r="J49" s="152"/>
      <c r="K49" s="152"/>
      <c r="L49" s="152"/>
      <c r="M49" s="152"/>
    </row>
    <row r="50" spans="2:13" x14ac:dyDescent="0.25">
      <c r="B50" s="167" t="s">
        <v>277</v>
      </c>
      <c r="C50" s="154">
        <v>23.93609865470852</v>
      </c>
      <c r="D50" s="154">
        <v>29.4619341563786</v>
      </c>
      <c r="E50" s="154">
        <v>13.809771986970684</v>
      </c>
      <c r="F50" s="154">
        <v>7.2557449962935507</v>
      </c>
      <c r="G50" s="154">
        <v>10.59074074074074</v>
      </c>
      <c r="H50" s="154">
        <f ca="1">OFFSET(H64,MATCH(S,B65:B67,0),0)</f>
        <v>17.010858107018421</v>
      </c>
      <c r="I50" s="152"/>
      <c r="J50" s="152"/>
      <c r="K50" s="152"/>
      <c r="L50" s="152"/>
      <c r="M50" s="152"/>
    </row>
    <row r="51" spans="2:13" x14ac:dyDescent="0.25">
      <c r="B51" s="167" t="s">
        <v>279</v>
      </c>
      <c r="C51" s="152"/>
      <c r="D51" s="152"/>
      <c r="E51" s="152"/>
      <c r="F51" s="152"/>
      <c r="G51" s="152"/>
      <c r="H51" s="168">
        <v>3.8990987119884357E-2</v>
      </c>
      <c r="I51" s="152"/>
      <c r="J51" s="152"/>
      <c r="K51" s="152"/>
      <c r="L51" s="152"/>
      <c r="M51" s="152"/>
    </row>
    <row r="53" spans="2:13" x14ac:dyDescent="0.25">
      <c r="B53" s="25" t="s">
        <v>244</v>
      </c>
      <c r="C53" s="135">
        <v>2020</v>
      </c>
      <c r="D53" s="135">
        <v>2021</v>
      </c>
      <c r="E53" s="135">
        <v>2022</v>
      </c>
      <c r="F53" s="135">
        <v>2023</v>
      </c>
      <c r="G53" s="135">
        <v>2024</v>
      </c>
    </row>
    <row r="54" spans="2:13" x14ac:dyDescent="0.25">
      <c r="B54" s="153" t="s">
        <v>275</v>
      </c>
      <c r="C54" s="166">
        <v>4.4975938402309916</v>
      </c>
      <c r="D54" s="166">
        <v>6.3842364532019706</v>
      </c>
      <c r="E54" s="166">
        <v>4.0535714285714288</v>
      </c>
      <c r="F54" s="166">
        <v>5.9900497512437809</v>
      </c>
      <c r="G54" s="166">
        <v>4.6320512820512825</v>
      </c>
    </row>
    <row r="55" spans="2:13" x14ac:dyDescent="0.25">
      <c r="B55" t="s">
        <v>143</v>
      </c>
      <c r="G55" t="s">
        <v>154</v>
      </c>
      <c r="H55" s="34">
        <f>AVERAGE(C54:G54)</f>
        <v>5.1115005510598914</v>
      </c>
    </row>
    <row r="56" spans="2:13" x14ac:dyDescent="0.25">
      <c r="B56" t="s">
        <v>145</v>
      </c>
      <c r="G56" t="s">
        <v>156</v>
      </c>
      <c r="H56" s="34">
        <f>MAX(C54:G54)</f>
        <v>6.3842364532019706</v>
      </c>
    </row>
    <row r="57" spans="2:13" x14ac:dyDescent="0.25">
      <c r="B57" t="s">
        <v>148</v>
      </c>
      <c r="G57" t="s">
        <v>155</v>
      </c>
      <c r="H57" s="34">
        <f>MIN(C54:G54)</f>
        <v>4.0535714285714288</v>
      </c>
    </row>
    <row r="59" spans="2:13" x14ac:dyDescent="0.25">
      <c r="B59" s="156" t="s">
        <v>278</v>
      </c>
      <c r="C59" s="166">
        <f>C40/C41</f>
        <v>36.666666666666664</v>
      </c>
      <c r="D59" s="166">
        <f t="shared" ref="D59:G59" si="9">D40/D41</f>
        <v>51.666011787819251</v>
      </c>
      <c r="E59" s="166">
        <f t="shared" si="9"/>
        <v>18.807262569832403</v>
      </c>
      <c r="F59" s="166">
        <f t="shared" si="9"/>
        <v>10.206081081081081</v>
      </c>
      <c r="G59" s="166">
        <f t="shared" si="9"/>
        <v>15.94622380387505</v>
      </c>
    </row>
    <row r="60" spans="2:13" x14ac:dyDescent="0.25">
      <c r="B60" t="s">
        <v>143</v>
      </c>
      <c r="G60" t="s">
        <v>154</v>
      </c>
      <c r="H60" s="34">
        <f>AVERAGE(C59:G59)</f>
        <v>26.658449181854888</v>
      </c>
    </row>
    <row r="61" spans="2:13" x14ac:dyDescent="0.25">
      <c r="B61" t="s">
        <v>145</v>
      </c>
      <c r="G61" t="s">
        <v>156</v>
      </c>
      <c r="H61" s="34">
        <f>MAX(C59:G59)</f>
        <v>51.666011787819251</v>
      </c>
    </row>
    <row r="62" spans="2:13" x14ac:dyDescent="0.25">
      <c r="B62" t="s">
        <v>148</v>
      </c>
      <c r="G62" t="s">
        <v>155</v>
      </c>
      <c r="H62" s="34">
        <f>MIN(C59:G59)</f>
        <v>10.206081081081081</v>
      </c>
    </row>
    <row r="64" spans="2:13" x14ac:dyDescent="0.25">
      <c r="B64" s="157" t="s">
        <v>281</v>
      </c>
      <c r="C64" s="166">
        <f>C48/C49</f>
        <v>23.93609865470852</v>
      </c>
      <c r="D64" s="166">
        <f t="shared" ref="D64:G64" si="10">D48/D49</f>
        <v>29.4619341563786</v>
      </c>
      <c r="E64" s="166">
        <f t="shared" si="10"/>
        <v>13.809771986970684</v>
      </c>
      <c r="F64" s="166">
        <f t="shared" si="10"/>
        <v>7.2557449962935507</v>
      </c>
      <c r="G64" s="166">
        <f t="shared" si="10"/>
        <v>10.59074074074074</v>
      </c>
    </row>
    <row r="65" spans="2:8" x14ac:dyDescent="0.25">
      <c r="B65" t="s">
        <v>143</v>
      </c>
      <c r="G65" t="s">
        <v>154</v>
      </c>
      <c r="H65" s="34">
        <f>AVERAGE(C64:G64)</f>
        <v>17.010858107018421</v>
      </c>
    </row>
    <row r="66" spans="2:8" x14ac:dyDescent="0.25">
      <c r="B66" t="s">
        <v>145</v>
      </c>
      <c r="G66" t="s">
        <v>156</v>
      </c>
      <c r="H66" s="34">
        <f>MAX(C64:G64)</f>
        <v>29.4619341563786</v>
      </c>
    </row>
    <row r="67" spans="2:8" x14ac:dyDescent="0.25">
      <c r="B67" t="s">
        <v>148</v>
      </c>
      <c r="G67" t="s">
        <v>155</v>
      </c>
      <c r="H67" s="34">
        <f>MIN(C64:G64)</f>
        <v>7.2557449962935507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4A128-76D2-4F6A-9B7A-014847B8BB22}">
  <dimension ref="B1:N48"/>
  <sheetViews>
    <sheetView showGridLines="0" topLeftCell="B1" workbookViewId="0">
      <pane ySplit="1" topLeftCell="A2" activePane="bottomLeft" state="frozen"/>
      <selection pane="bottomLeft" activeCell="D14" sqref="D14"/>
    </sheetView>
  </sheetViews>
  <sheetFormatPr defaultRowHeight="15" x14ac:dyDescent="0.25"/>
  <cols>
    <col min="2" max="2" width="55.140625" bestFit="1" customWidth="1"/>
    <col min="3" max="14" width="11.85546875" bestFit="1" customWidth="1"/>
  </cols>
  <sheetData>
    <row r="1" spans="2:14" x14ac:dyDescent="0.25">
      <c r="C1" s="20">
        <v>2019</v>
      </c>
      <c r="D1" s="20">
        <f>C1+1</f>
        <v>2020</v>
      </c>
      <c r="E1" s="20">
        <f t="shared" ref="E1:N1" si="0">D1+1</f>
        <v>2021</v>
      </c>
      <c r="F1" s="20">
        <f t="shared" si="0"/>
        <v>2022</v>
      </c>
      <c r="G1" s="20">
        <f t="shared" si="0"/>
        <v>2023</v>
      </c>
      <c r="H1" s="20">
        <f t="shared" si="0"/>
        <v>2024</v>
      </c>
      <c r="I1" s="27">
        <f t="shared" si="0"/>
        <v>2025</v>
      </c>
      <c r="J1" s="27">
        <f t="shared" si="0"/>
        <v>2026</v>
      </c>
      <c r="K1" s="27">
        <f t="shared" si="0"/>
        <v>2027</v>
      </c>
      <c r="L1" s="27">
        <f t="shared" si="0"/>
        <v>2028</v>
      </c>
      <c r="M1" s="27">
        <f t="shared" si="0"/>
        <v>2029</v>
      </c>
      <c r="N1" s="27">
        <f t="shared" si="0"/>
        <v>2030</v>
      </c>
    </row>
    <row r="2" spans="2:14" x14ac:dyDescent="0.25">
      <c r="B2" s="14" t="s">
        <v>27</v>
      </c>
      <c r="C2" s="6">
        <v>2491805</v>
      </c>
      <c r="D2" s="6">
        <v>1931334</v>
      </c>
      <c r="E2" s="6">
        <v>1796533</v>
      </c>
      <c r="F2" s="6">
        <v>1515702</v>
      </c>
      <c r="G2" s="6">
        <v>1126548</v>
      </c>
      <c r="H2" s="6">
        <v>1225124</v>
      </c>
      <c r="I2" s="34">
        <f ca="1">H2+(-(I11*I7))</f>
        <v>1551357.9897873418</v>
      </c>
      <c r="J2" s="34">
        <f ca="1">I2+(-(J11*J7))</f>
        <v>1884703.0820494178</v>
      </c>
      <c r="K2" s="34">
        <f t="shared" ref="K2:N2" ca="1" si="1">J2+(-(K11*K7))</f>
        <v>2230054.6160919154</v>
      </c>
      <c r="L2" s="34">
        <f t="shared" ca="1" si="1"/>
        <v>2586956.2141525606</v>
      </c>
      <c r="M2" s="34">
        <f t="shared" ca="1" si="1"/>
        <v>2958305.536703038</v>
      </c>
      <c r="N2" s="34">
        <f t="shared" ca="1" si="1"/>
        <v>3346326.3754118118</v>
      </c>
    </row>
    <row r="3" spans="2:14" x14ac:dyDescent="0.25">
      <c r="B3" s="14" t="s">
        <v>30</v>
      </c>
      <c r="C3" s="6">
        <v>1361045</v>
      </c>
      <c r="D3" s="6">
        <v>1101712</v>
      </c>
      <c r="E3" s="6">
        <v>1044855</v>
      </c>
      <c r="F3" s="6">
        <v>1027506</v>
      </c>
      <c r="G3" s="6">
        <v>837291</v>
      </c>
      <c r="H3" s="6">
        <v>1355451</v>
      </c>
      <c r="I3" s="34">
        <f ca="1">H2+(-(I11*I8))</f>
        <v>1448698.6704045588</v>
      </c>
      <c r="J3" s="34">
        <f t="shared" ref="J3:N3" ca="1" si="2">I2+(-(J11*J8))</f>
        <v>1788358.3168255722</v>
      </c>
      <c r="K3" s="34">
        <f t="shared" ca="1" si="2"/>
        <v>2139185.9880064954</v>
      </c>
      <c r="L3" s="34">
        <f t="shared" ca="1" si="2"/>
        <v>2503361.1493510916</v>
      </c>
      <c r="M3" s="34">
        <f t="shared" ca="1" si="2"/>
        <v>2877099.9249817589</v>
      </c>
      <c r="N3" s="34">
        <f t="shared" ca="1" si="2"/>
        <v>3264001.180495589</v>
      </c>
    </row>
    <row r="4" spans="2:14" ht="15.75" thickBot="1" x14ac:dyDescent="0.3">
      <c r="B4" s="14"/>
      <c r="C4" s="176">
        <f>SUM(C2:C3)</f>
        <v>3852850</v>
      </c>
      <c r="D4" s="176">
        <f t="shared" ref="D4:H4" si="3">SUM(D2:D3)</f>
        <v>3033046</v>
      </c>
      <c r="E4" s="176">
        <f t="shared" si="3"/>
        <v>2841388</v>
      </c>
      <c r="F4" s="176">
        <f t="shared" si="3"/>
        <v>2543208</v>
      </c>
      <c r="G4" s="176">
        <f t="shared" si="3"/>
        <v>1963839</v>
      </c>
      <c r="H4" s="176">
        <f t="shared" si="3"/>
        <v>2580575</v>
      </c>
      <c r="I4" s="176">
        <f ca="1">SUM(I2:I3)</f>
        <v>3000056.6601919006</v>
      </c>
      <c r="J4" s="176">
        <f t="shared" ref="J4" ca="1" si="4">SUM(J2:J3)</f>
        <v>3673061.3988749897</v>
      </c>
      <c r="K4" s="176">
        <f t="shared" ref="K4" ca="1" si="5">SUM(K2:K3)</f>
        <v>4369240.6040984113</v>
      </c>
      <c r="L4" s="176">
        <f t="shared" ref="L4" ca="1" si="6">SUM(L2:L3)</f>
        <v>5090317.3635036517</v>
      </c>
      <c r="M4" s="176">
        <f t="shared" ref="M4" ca="1" si="7">SUM(M2:M3)</f>
        <v>5835405.461684797</v>
      </c>
      <c r="N4" s="176">
        <f t="shared" ref="N4" ca="1" si="8">SUM(N2:N3)</f>
        <v>6610327.5559074003</v>
      </c>
    </row>
    <row r="5" spans="2:14" x14ac:dyDescent="0.25">
      <c r="B5" s="14"/>
      <c r="C5" s="6"/>
      <c r="D5" s="6"/>
      <c r="E5" s="6"/>
      <c r="F5" s="6"/>
      <c r="G5" s="6"/>
      <c r="H5" s="6"/>
      <c r="I5" s="42"/>
      <c r="J5" s="42"/>
      <c r="K5" s="42"/>
      <c r="L5" s="42"/>
      <c r="M5" s="42"/>
      <c r="N5" s="42"/>
    </row>
    <row r="6" spans="2:14" x14ac:dyDescent="0.25">
      <c r="B6" s="14"/>
      <c r="C6" s="6"/>
      <c r="D6" s="6"/>
      <c r="E6" s="6"/>
      <c r="F6" s="6"/>
      <c r="G6" s="6"/>
      <c r="H6" s="6"/>
    </row>
    <row r="7" spans="2:14" x14ac:dyDescent="0.25">
      <c r="B7" s="14" t="s">
        <v>27</v>
      </c>
      <c r="C7" s="85">
        <f>C2/C4</f>
        <v>0.64674331988008882</v>
      </c>
      <c r="D7" s="85">
        <f t="shared" ref="D7:H7" si="9">D2/D4</f>
        <v>0.63676383411263793</v>
      </c>
      <c r="E7" s="85">
        <f t="shared" si="9"/>
        <v>0.63227302994170453</v>
      </c>
      <c r="F7" s="85">
        <f t="shared" si="9"/>
        <v>0.59598035237385227</v>
      </c>
      <c r="G7" s="85">
        <f t="shared" si="9"/>
        <v>0.57364580294005774</v>
      </c>
      <c r="H7" s="85">
        <f t="shared" si="9"/>
        <v>0.47474845722368075</v>
      </c>
      <c r="I7" s="71">
        <f>AVERAGE(C7:H7)</f>
        <v>0.59335913274533703</v>
      </c>
      <c r="J7" s="71">
        <f t="shared" ref="J7:N7" si="10">AVERAGE(D7:I7)</f>
        <v>0.58446176822287843</v>
      </c>
      <c r="K7" s="71">
        <f t="shared" si="10"/>
        <v>0.57574475724125174</v>
      </c>
      <c r="L7" s="71">
        <f t="shared" si="10"/>
        <v>0.56632337845784297</v>
      </c>
      <c r="M7" s="71">
        <f t="shared" si="10"/>
        <v>0.56138054947184146</v>
      </c>
      <c r="N7" s="71">
        <f t="shared" si="10"/>
        <v>0.5593363405604721</v>
      </c>
    </row>
    <row r="8" spans="2:14" x14ac:dyDescent="0.25">
      <c r="B8" s="14" t="s">
        <v>30</v>
      </c>
      <c r="C8" s="85">
        <f>C3/C4</f>
        <v>0.35325668011991124</v>
      </c>
      <c r="D8" s="85">
        <f t="shared" ref="D8:H8" si="11">D3/D4</f>
        <v>0.36323616588736207</v>
      </c>
      <c r="E8" s="85">
        <f t="shared" si="11"/>
        <v>0.36772697005829547</v>
      </c>
      <c r="F8" s="85">
        <f t="shared" si="11"/>
        <v>0.40401964762614778</v>
      </c>
      <c r="G8" s="85">
        <f t="shared" si="11"/>
        <v>0.42635419705994226</v>
      </c>
      <c r="H8" s="85">
        <f t="shared" si="11"/>
        <v>0.52525154277631925</v>
      </c>
      <c r="I8" s="85">
        <f>AVERAGE(C8:H8)</f>
        <v>0.40664086725466303</v>
      </c>
      <c r="J8" s="85">
        <f t="shared" ref="J8:N8" si="12">AVERAGE(D8:I8)</f>
        <v>0.41553823177712168</v>
      </c>
      <c r="K8" s="85">
        <f t="shared" si="12"/>
        <v>0.42425524275874826</v>
      </c>
      <c r="L8" s="85">
        <f t="shared" si="12"/>
        <v>0.43367662154215703</v>
      </c>
      <c r="M8" s="85">
        <f t="shared" si="12"/>
        <v>0.43861945052815859</v>
      </c>
      <c r="N8" s="85">
        <f t="shared" si="12"/>
        <v>0.4406636594395279</v>
      </c>
    </row>
    <row r="9" spans="2:14" x14ac:dyDescent="0.25">
      <c r="I9" s="71">
        <f>SUM(I7:I8)</f>
        <v>1</v>
      </c>
      <c r="J9" s="71">
        <f t="shared" ref="J9:N9" si="13">SUM(J7:J8)</f>
        <v>1</v>
      </c>
      <c r="K9" s="71">
        <f t="shared" si="13"/>
        <v>1</v>
      </c>
      <c r="L9" s="71">
        <f t="shared" si="13"/>
        <v>1</v>
      </c>
      <c r="M9" s="71">
        <f t="shared" si="13"/>
        <v>1</v>
      </c>
      <c r="N9" s="71">
        <f t="shared" si="13"/>
        <v>1</v>
      </c>
    </row>
    <row r="10" spans="2:14" x14ac:dyDescent="0.25">
      <c r="I10" s="71"/>
      <c r="J10" s="71"/>
      <c r="K10" s="71"/>
      <c r="L10" s="71"/>
      <c r="M10" s="71"/>
      <c r="N10" s="71"/>
    </row>
    <row r="11" spans="2:14" x14ac:dyDescent="0.25">
      <c r="C11" s="6">
        <f>SUM(C12:C17)</f>
        <v>-1427563</v>
      </c>
      <c r="D11" s="6">
        <f t="shared" ref="D11:I11" si="14">SUM(D12:D17)</f>
        <v>815514</v>
      </c>
      <c r="E11" s="6">
        <f t="shared" si="14"/>
        <v>182954</v>
      </c>
      <c r="F11" s="6">
        <f t="shared" si="14"/>
        <v>317509</v>
      </c>
      <c r="G11" s="6">
        <f t="shared" si="14"/>
        <v>649848</v>
      </c>
      <c r="H11" s="6">
        <f t="shared" si="14"/>
        <v>-527856</v>
      </c>
      <c r="I11" s="34">
        <f t="shared" ca="1" si="14"/>
        <v>-549808.66019190056</v>
      </c>
      <c r="J11" s="34">
        <f t="shared" ref="J11" ca="1" si="15">SUM(J12:J17)</f>
        <v>-570345.41930030636</v>
      </c>
      <c r="K11" s="34">
        <f t="shared" ref="K11" ca="1" si="16">SUM(K12:K17)</f>
        <v>-599834.43999957526</v>
      </c>
      <c r="L11" s="34">
        <f t="shared" ref="L11" ca="1" si="17">SUM(L12:L17)</f>
        <v>-630208.13131982135</v>
      </c>
      <c r="M11" s="34">
        <f t="shared" ref="M11" ca="1" si="18">SUM(M12:M17)</f>
        <v>-661493.0333796757</v>
      </c>
      <c r="N11" s="34">
        <f t="shared" ref="N11" ca="1" si="19">SUM(N12:N17)</f>
        <v>-693716.48250132485</v>
      </c>
    </row>
    <row r="12" spans="2:14" x14ac:dyDescent="0.25">
      <c r="B12" s="173" t="s">
        <v>287</v>
      </c>
      <c r="C12" s="187">
        <v>-6448895</v>
      </c>
      <c r="D12" s="187">
        <v>-4112677</v>
      </c>
      <c r="E12" s="187">
        <v>-3801736</v>
      </c>
      <c r="F12" s="187">
        <v>-4049515</v>
      </c>
      <c r="G12" s="187">
        <v>-3288659</v>
      </c>
      <c r="H12" s="188">
        <v>-4177429</v>
      </c>
      <c r="I12" s="34">
        <f ca="1">H12*(1+Assumptions!I3)</f>
        <v>-4351161.3802567227</v>
      </c>
      <c r="J12" s="34">
        <f ca="1">I12*(1+Assumptions!J3)</f>
        <v>-4513688.3820630237</v>
      </c>
      <c r="K12" s="34">
        <f ca="1">J12*(1+Assumptions!K3)</f>
        <v>-4747063.1855145814</v>
      </c>
      <c r="L12" s="34">
        <f ca="1">K12*(1+Assumptions!L3)</f>
        <v>-4987439.2330696844</v>
      </c>
      <c r="M12" s="34">
        <f ca="1">L12*(1+Assumptions!M3)</f>
        <v>-5235026.5620514397</v>
      </c>
      <c r="N12" s="34">
        <f ca="1">M12*(1+Assumptions!N3)</f>
        <v>-5490041.5109026479</v>
      </c>
    </row>
    <row r="13" spans="2:14" x14ac:dyDescent="0.25">
      <c r="B13" s="174" t="s">
        <v>288</v>
      </c>
      <c r="C13" s="6"/>
      <c r="D13" s="6">
        <v>-10000</v>
      </c>
      <c r="E13" s="6">
        <v>-5000</v>
      </c>
      <c r="F13" s="6">
        <v>0</v>
      </c>
      <c r="G13" s="6">
        <v>0</v>
      </c>
      <c r="H13" s="189">
        <v>0</v>
      </c>
      <c r="I13" s="34"/>
      <c r="J13" s="34"/>
      <c r="K13" s="34"/>
      <c r="L13" s="34"/>
      <c r="M13" s="34"/>
      <c r="N13" s="34"/>
    </row>
    <row r="14" spans="2:14" x14ac:dyDescent="0.25">
      <c r="B14" s="174" t="s">
        <v>289</v>
      </c>
      <c r="C14" s="6">
        <v>-142811</v>
      </c>
      <c r="D14" s="6">
        <v>-1110317</v>
      </c>
      <c r="E14" s="6">
        <v>-458021</v>
      </c>
      <c r="F14" s="6">
        <v>-13586</v>
      </c>
      <c r="G14" s="6">
        <v>-3539</v>
      </c>
      <c r="H14" s="189">
        <v>-4388</v>
      </c>
      <c r="I14" s="34">
        <f ca="1">H14*(1+Assumptions!I3)</f>
        <v>-4570.4896807501691</v>
      </c>
      <c r="J14" s="34">
        <f ca="1">I14*(1+Assumptions!J3)</f>
        <v>-4741.20915531839</v>
      </c>
      <c r="K14" s="34">
        <f ca="1">J14*(1+Assumptions!K3)</f>
        <v>-4986.347645414915</v>
      </c>
      <c r="L14" s="34">
        <f ca="1">K14*(1+Assumptions!L3)</f>
        <v>-5238.8402902143343</v>
      </c>
      <c r="M14" s="34">
        <f ca="1">L14*(1+Assumptions!M3)</f>
        <v>-5498.9077143577351</v>
      </c>
      <c r="N14" s="34">
        <f ca="1">M14*(1+Assumptions!N3)</f>
        <v>-5766.7771612254382</v>
      </c>
    </row>
    <row r="15" spans="2:14" x14ac:dyDescent="0.25">
      <c r="B15" s="174" t="s">
        <v>290</v>
      </c>
      <c r="C15" s="6">
        <v>1092978</v>
      </c>
      <c r="D15" s="6">
        <v>656960</v>
      </c>
      <c r="E15" s="6">
        <v>513009</v>
      </c>
      <c r="F15" s="6">
        <v>676854</v>
      </c>
      <c r="G15" s="6">
        <v>452465</v>
      </c>
      <c r="H15" s="189">
        <v>232910</v>
      </c>
      <c r="I15" s="34">
        <f ca="1">H15*(1+Assumptions!I3)</f>
        <v>242596.3426489339</v>
      </c>
      <c r="J15" s="34">
        <f ca="1">I15*(1+Assumptions!J3)</f>
        <v>251657.93627283644</v>
      </c>
      <c r="K15" s="34">
        <f ca="1">J15*(1+Assumptions!K3)</f>
        <v>264669.60576426343</v>
      </c>
      <c r="L15" s="34">
        <f ca="1">K15*(1+Assumptions!L3)</f>
        <v>278071.62534043315</v>
      </c>
      <c r="M15" s="34">
        <f ca="1">L15*(1+Assumptions!M3)</f>
        <v>291875.7055038879</v>
      </c>
      <c r="N15" s="34">
        <f ca="1">M15*(1+Assumptions!N3)</f>
        <v>306093.90807224636</v>
      </c>
    </row>
    <row r="16" spans="2:14" x14ac:dyDescent="0.25">
      <c r="B16" s="174" t="s">
        <v>291</v>
      </c>
      <c r="C16" s="6">
        <v>4071165</v>
      </c>
      <c r="D16" s="6">
        <v>4745926</v>
      </c>
      <c r="E16" s="6">
        <v>3259221</v>
      </c>
      <c r="F16" s="6">
        <v>3308664</v>
      </c>
      <c r="G16" s="6">
        <v>3481042</v>
      </c>
      <c r="H16" s="189">
        <v>3415318</v>
      </c>
      <c r="I16" s="34">
        <f ca="1">H16*(1+Assumptions!I3)</f>
        <v>3557355.4410848469</v>
      </c>
      <c r="J16" s="34">
        <f ca="1">I16*(1+Assumptions!J3)</f>
        <v>3690231.7616052176</v>
      </c>
      <c r="K16" s="34">
        <f ca="1">J16*(1+Assumptions!K3)</f>
        <v>3881030.7355613438</v>
      </c>
      <c r="L16" s="34">
        <f ca="1">K16*(1+Assumptions!L3)</f>
        <v>4077553.6787361531</v>
      </c>
      <c r="M16" s="34">
        <f ca="1">L16*(1+Assumptions!M3)</f>
        <v>4279972.3102062056</v>
      </c>
      <c r="N16" s="34">
        <f ca="1">M16*(1+Assumptions!N3)</f>
        <v>4488463.5006203605</v>
      </c>
    </row>
    <row r="17" spans="2:14" x14ac:dyDescent="0.25">
      <c r="B17" s="175" t="s">
        <v>292</v>
      </c>
      <c r="C17" s="1">
        <v>0</v>
      </c>
      <c r="D17" s="1">
        <v>645622</v>
      </c>
      <c r="E17" s="1">
        <v>675481</v>
      </c>
      <c r="F17" s="1">
        <v>395092</v>
      </c>
      <c r="G17" s="1">
        <v>8539</v>
      </c>
      <c r="H17" s="190">
        <v>5733</v>
      </c>
      <c r="I17" s="34">
        <f ca="1">H17*(1+Assumptions!I3)</f>
        <v>5971.4260117914137</v>
      </c>
      <c r="J17" s="34">
        <f ca="1">I17*(1+Assumptions!J3)</f>
        <v>6194.4740399818447</v>
      </c>
      <c r="K17" s="34">
        <f ca="1">J17*(1+Assumptions!K3)</f>
        <v>6514.751834813972</v>
      </c>
      <c r="L17" s="34">
        <f ca="1">K17*(1+Assumptions!L3)</f>
        <v>6844.6379634910618</v>
      </c>
      <c r="M17" s="34">
        <f ca="1">L17*(1+Assumptions!M3)</f>
        <v>7184.4206760284624</v>
      </c>
      <c r="N17" s="34">
        <f ca="1">M17*(1+Assumptions!N3)</f>
        <v>7534.3968699419866</v>
      </c>
    </row>
    <row r="18" spans="2:14" x14ac:dyDescent="0.25">
      <c r="C18" s="6"/>
      <c r="D18" s="6"/>
      <c r="E18" s="6"/>
      <c r="F18" s="6"/>
      <c r="G18" s="6"/>
      <c r="H18" s="6"/>
      <c r="I18" s="34"/>
      <c r="J18" s="34"/>
      <c r="K18" s="34"/>
      <c r="L18" s="34"/>
      <c r="M18" s="34"/>
      <c r="N18" s="34"/>
    </row>
    <row r="19" spans="2:14" x14ac:dyDescent="0.25">
      <c r="B19" s="177" t="s">
        <v>178</v>
      </c>
      <c r="C19" s="178">
        <f>SUM(C20:C21)</f>
        <v>-170957</v>
      </c>
      <c r="D19" s="178">
        <f t="shared" ref="D19:H19" si="20">SUM(D20:D21)</f>
        <v>-62745</v>
      </c>
      <c r="E19" s="178">
        <f t="shared" si="20"/>
        <v>-36633</v>
      </c>
      <c r="F19" s="178">
        <f t="shared" si="20"/>
        <v>14870</v>
      </c>
      <c r="G19" s="178">
        <f t="shared" si="20"/>
        <v>-57225</v>
      </c>
      <c r="H19" s="179">
        <f t="shared" si="20"/>
        <v>8575</v>
      </c>
    </row>
    <row r="20" spans="2:14" x14ac:dyDescent="0.25">
      <c r="B20" t="s">
        <v>297</v>
      </c>
      <c r="C20" s="6">
        <v>-178088</v>
      </c>
      <c r="D20" s="6">
        <v>-93639</v>
      </c>
      <c r="E20" s="6">
        <v>-79176</v>
      </c>
      <c r="F20" s="6">
        <v>-114970</v>
      </c>
      <c r="G20" s="6">
        <v>-149819</v>
      </c>
      <c r="H20" s="6">
        <v>-83470</v>
      </c>
    </row>
    <row r="21" spans="2:14" x14ac:dyDescent="0.25">
      <c r="B21" t="s">
        <v>298</v>
      </c>
      <c r="C21" s="6">
        <v>7131</v>
      </c>
      <c r="D21" s="6">
        <v>30894</v>
      </c>
      <c r="E21" s="6">
        <v>42543</v>
      </c>
      <c r="F21" s="6">
        <v>129840</v>
      </c>
      <c r="G21" s="6">
        <v>92594</v>
      </c>
      <c r="H21" s="6">
        <v>92045</v>
      </c>
    </row>
    <row r="22" spans="2:14" x14ac:dyDescent="0.25">
      <c r="C22" s="6"/>
      <c r="D22" s="6"/>
      <c r="E22" s="6"/>
      <c r="F22" s="6"/>
      <c r="G22" s="6"/>
      <c r="H22" s="6"/>
    </row>
    <row r="23" spans="2:14" x14ac:dyDescent="0.25">
      <c r="B23" s="177" t="s">
        <v>301</v>
      </c>
      <c r="C23" s="178">
        <f>SUM(C24:C26)</f>
        <v>-12323</v>
      </c>
      <c r="D23" s="178">
        <f t="shared" ref="D23:H23" si="21">SUM(D24:D26)</f>
        <v>-12342</v>
      </c>
      <c r="E23" s="178">
        <f t="shared" si="21"/>
        <v>120691</v>
      </c>
      <c r="F23" s="178">
        <f t="shared" si="21"/>
        <v>-146334</v>
      </c>
      <c r="G23" s="178">
        <f t="shared" si="21"/>
        <v>7130</v>
      </c>
      <c r="H23" s="179">
        <f t="shared" si="21"/>
        <v>1303</v>
      </c>
    </row>
    <row r="24" spans="2:14" x14ac:dyDescent="0.25">
      <c r="B24" t="s">
        <v>300</v>
      </c>
      <c r="C24" s="6">
        <v>-12323</v>
      </c>
      <c r="D24" s="6">
        <v>-12342</v>
      </c>
      <c r="E24" s="6">
        <v>3</v>
      </c>
      <c r="F24" s="6">
        <v>-146334</v>
      </c>
      <c r="G24" s="6">
        <v>1630</v>
      </c>
      <c r="H24" s="6">
        <v>0</v>
      </c>
    </row>
    <row r="25" spans="2:14" x14ac:dyDescent="0.25">
      <c r="B25" t="s">
        <v>299</v>
      </c>
      <c r="C25" s="6">
        <v>0</v>
      </c>
      <c r="D25" s="6">
        <v>0</v>
      </c>
      <c r="E25" s="6">
        <v>122688</v>
      </c>
      <c r="F25" s="6">
        <v>0</v>
      </c>
      <c r="G25" s="6">
        <v>0</v>
      </c>
      <c r="H25" s="6">
        <v>0</v>
      </c>
    </row>
    <row r="26" spans="2:14" x14ac:dyDescent="0.25">
      <c r="B26" t="s">
        <v>67</v>
      </c>
      <c r="C26" s="6">
        <v>0</v>
      </c>
      <c r="D26" s="6">
        <v>0</v>
      </c>
      <c r="E26" s="6">
        <v>-2000</v>
      </c>
      <c r="F26" s="6">
        <v>0</v>
      </c>
      <c r="G26" s="6">
        <v>5500</v>
      </c>
      <c r="H26" s="6">
        <v>1303</v>
      </c>
    </row>
    <row r="27" spans="2:14" x14ac:dyDescent="0.25">
      <c r="C27" s="6"/>
      <c r="D27" s="6"/>
      <c r="E27" s="6"/>
      <c r="F27" s="6"/>
      <c r="G27" s="6"/>
      <c r="H27" s="6"/>
    </row>
    <row r="28" spans="2:14" x14ac:dyDescent="0.25">
      <c r="C28" s="6"/>
      <c r="D28" s="6"/>
      <c r="E28" s="6"/>
      <c r="F28" s="6"/>
      <c r="G28" s="6"/>
      <c r="H28" s="6"/>
    </row>
    <row r="29" spans="2:14" x14ac:dyDescent="0.25">
      <c r="C29" s="6"/>
      <c r="D29" s="6"/>
      <c r="E29" s="6"/>
      <c r="F29" s="6"/>
      <c r="G29" s="6"/>
      <c r="H29" s="6"/>
    </row>
    <row r="30" spans="2:14" x14ac:dyDescent="0.25">
      <c r="C30" s="6"/>
      <c r="D30" s="6"/>
      <c r="E30" s="6"/>
      <c r="F30" s="6"/>
      <c r="G30" s="6"/>
      <c r="H30" s="6"/>
    </row>
    <row r="31" spans="2:14" x14ac:dyDescent="0.25">
      <c r="B31" s="177" t="s">
        <v>310</v>
      </c>
      <c r="C31" s="178">
        <f>SUM(C32:C33)</f>
        <v>2484029</v>
      </c>
      <c r="D31" s="178">
        <f t="shared" ref="D31:H31" si="22">SUM(D32:D33)</f>
        <v>0</v>
      </c>
      <c r="E31" s="178">
        <f t="shared" si="22"/>
        <v>0</v>
      </c>
      <c r="F31" s="178">
        <f t="shared" si="22"/>
        <v>0</v>
      </c>
      <c r="G31" s="178">
        <f t="shared" si="22"/>
        <v>0</v>
      </c>
      <c r="H31" s="179">
        <f t="shared" si="22"/>
        <v>-50000</v>
      </c>
    </row>
    <row r="32" spans="2:14" x14ac:dyDescent="0.25">
      <c r="B32" t="s">
        <v>302</v>
      </c>
      <c r="C32" s="6">
        <v>2484029</v>
      </c>
      <c r="D32" s="6">
        <v>0</v>
      </c>
      <c r="E32" s="6">
        <v>0</v>
      </c>
      <c r="F32" s="6">
        <v>0</v>
      </c>
      <c r="G32" s="6">
        <v>0</v>
      </c>
      <c r="H32" s="6">
        <v>0</v>
      </c>
    </row>
    <row r="33" spans="2:14" x14ac:dyDescent="0.25">
      <c r="B33" t="s">
        <v>308</v>
      </c>
      <c r="C33" s="6"/>
      <c r="D33" s="6"/>
      <c r="E33" s="6">
        <v>0</v>
      </c>
      <c r="F33" s="6"/>
      <c r="G33" s="6">
        <v>0</v>
      </c>
      <c r="H33" s="6">
        <v>-50000</v>
      </c>
    </row>
    <row r="34" spans="2:14" x14ac:dyDescent="0.25">
      <c r="C34" s="6"/>
      <c r="D34" s="6"/>
      <c r="E34" s="6"/>
      <c r="F34" s="6"/>
      <c r="G34" s="6"/>
      <c r="H34" s="6"/>
    </row>
    <row r="35" spans="2:14" x14ac:dyDescent="0.25">
      <c r="B35" s="177" t="s">
        <v>311</v>
      </c>
      <c r="C35" s="178">
        <f>SUM(C36:C40)</f>
        <v>0</v>
      </c>
      <c r="D35" s="178">
        <f t="shared" ref="D35:H35" si="23">SUM(D36:D40)</f>
        <v>549921</v>
      </c>
      <c r="E35" s="178">
        <f t="shared" si="23"/>
        <v>-44446</v>
      </c>
      <c r="F35" s="178">
        <f t="shared" si="23"/>
        <v>-67639</v>
      </c>
      <c r="G35" s="178">
        <f>SUM(G36:G40)</f>
        <v>-72484</v>
      </c>
      <c r="H35" s="178">
        <f t="shared" si="23"/>
        <v>-33844</v>
      </c>
    </row>
    <row r="36" spans="2:14" x14ac:dyDescent="0.25">
      <c r="B36" t="s">
        <v>303</v>
      </c>
      <c r="C36" s="6">
        <v>0</v>
      </c>
      <c r="D36" s="6">
        <v>-50639</v>
      </c>
      <c r="E36" s="6">
        <v>-44446</v>
      </c>
      <c r="F36" s="6">
        <v>-67639</v>
      </c>
      <c r="G36" s="6">
        <v>-72484</v>
      </c>
      <c r="H36" s="6">
        <v>-84070</v>
      </c>
    </row>
    <row r="37" spans="2:14" x14ac:dyDescent="0.25">
      <c r="B37" t="s">
        <v>304</v>
      </c>
      <c r="C37" s="6">
        <v>0</v>
      </c>
      <c r="D37" s="6">
        <v>734065</v>
      </c>
      <c r="E37" s="6">
        <v>0</v>
      </c>
      <c r="F37" s="6">
        <v>0</v>
      </c>
      <c r="G37" s="6">
        <v>0</v>
      </c>
      <c r="H37" s="6">
        <v>460000</v>
      </c>
    </row>
    <row r="38" spans="2:14" x14ac:dyDescent="0.25">
      <c r="B38" t="s">
        <v>305</v>
      </c>
      <c r="C38" s="6">
        <v>0</v>
      </c>
      <c r="D38" s="6">
        <v>-824</v>
      </c>
      <c r="E38" s="6">
        <v>0</v>
      </c>
      <c r="F38" s="6">
        <v>0</v>
      </c>
      <c r="G38" s="6">
        <v>0</v>
      </c>
      <c r="H38" s="6">
        <v>-11888</v>
      </c>
    </row>
    <row r="39" spans="2:14" x14ac:dyDescent="0.25">
      <c r="B39" t="s">
        <v>258</v>
      </c>
      <c r="C39" s="6">
        <v>0</v>
      </c>
      <c r="D39" s="6">
        <v>-132681</v>
      </c>
      <c r="E39" s="6">
        <v>0</v>
      </c>
      <c r="F39" s="6">
        <v>0</v>
      </c>
      <c r="G39" s="6">
        <v>0</v>
      </c>
      <c r="H39" s="6">
        <v>-47886</v>
      </c>
    </row>
    <row r="40" spans="2:14" x14ac:dyDescent="0.25">
      <c r="B40" t="s">
        <v>309</v>
      </c>
      <c r="C40" s="6">
        <v>0</v>
      </c>
      <c r="D40" s="6">
        <v>0</v>
      </c>
      <c r="E40" s="6">
        <v>0</v>
      </c>
      <c r="F40" s="6">
        <v>0</v>
      </c>
      <c r="G40" s="6">
        <v>0</v>
      </c>
      <c r="H40" s="6">
        <v>-350000</v>
      </c>
    </row>
    <row r="41" spans="2:14" x14ac:dyDescent="0.25">
      <c r="C41" s="6"/>
      <c r="D41" s="6"/>
      <c r="E41" s="6"/>
      <c r="F41" s="6"/>
      <c r="G41" s="6"/>
      <c r="H41" s="6"/>
    </row>
    <row r="42" spans="2:14" x14ac:dyDescent="0.25">
      <c r="B42" s="177" t="s">
        <v>312</v>
      </c>
      <c r="C42" s="178">
        <f>SUM(C43:C46)</f>
        <v>-909833</v>
      </c>
      <c r="D42" s="178">
        <f t="shared" ref="D42:H42" si="24">SUM(D43:D46)</f>
        <v>-37355</v>
      </c>
      <c r="E42" s="178">
        <f t="shared" si="24"/>
        <v>-28024</v>
      </c>
      <c r="F42" s="178">
        <f t="shared" si="24"/>
        <v>-19861</v>
      </c>
      <c r="G42" s="178">
        <f>SUM(G43:G46)</f>
        <v>-49594</v>
      </c>
      <c r="H42" s="179">
        <f t="shared" si="24"/>
        <v>-72025</v>
      </c>
      <c r="I42" s="31">
        <f ca="1">SUM(I43:I45)</f>
        <v>-133005.35890529765</v>
      </c>
      <c r="J42" s="31">
        <f t="shared" ref="J42:N42" ca="1" si="25">SUM(J43:J45)</f>
        <v>-139875.56952975166</v>
      </c>
      <c r="K42" s="31">
        <f t="shared" ca="1" si="25"/>
        <v>-147814.2127354269</v>
      </c>
      <c r="L42" s="31">
        <f t="shared" ca="1" si="25"/>
        <v>-156150.68375975554</v>
      </c>
      <c r="M42" s="31">
        <f t="shared" ca="1" si="25"/>
        <v>-164906.41005521355</v>
      </c>
      <c r="N42" s="31">
        <f t="shared" ca="1" si="25"/>
        <v>-174104.02625326399</v>
      </c>
    </row>
    <row r="43" spans="2:14" x14ac:dyDescent="0.25">
      <c r="B43" t="s">
        <v>306</v>
      </c>
      <c r="C43" s="6">
        <v>33062</v>
      </c>
      <c r="D43" s="6">
        <v>26067</v>
      </c>
      <c r="E43" s="6">
        <v>33822</v>
      </c>
      <c r="F43" s="6">
        <v>21655</v>
      </c>
      <c r="G43" s="6">
        <v>10993</v>
      </c>
      <c r="H43" s="6">
        <v>15051</v>
      </c>
      <c r="I43" s="34">
        <f ca="1">APIC!H6+APIC!H9</f>
        <v>23288.558514338827</v>
      </c>
      <c r="J43" s="34">
        <f ca="1">APIC!I6+APIC!I9</f>
        <v>24158.445714776972</v>
      </c>
      <c r="K43" s="34">
        <f ca="1">APIC!J6+APIC!J9</f>
        <v>25407.528957383165</v>
      </c>
      <c r="L43" s="34">
        <f ca="1">APIC!K6+APIC!K9</f>
        <v>26694.084697267543</v>
      </c>
      <c r="M43" s="34">
        <f ca="1">APIC!L6+APIC!L9</f>
        <v>28019.237109348443</v>
      </c>
      <c r="N43" s="34">
        <f ca="1">APIC!M6+APIC!M9</f>
        <v>29384.14409379178</v>
      </c>
    </row>
    <row r="44" spans="2:14" x14ac:dyDescent="0.25">
      <c r="B44" t="s">
        <v>283</v>
      </c>
      <c r="C44" s="6">
        <v>-942895</v>
      </c>
      <c r="D44" s="6">
        <v>-20240</v>
      </c>
      <c r="E44" s="6">
        <v>-26297</v>
      </c>
      <c r="F44" s="6">
        <v>-6733</v>
      </c>
      <c r="G44" s="6">
        <v>-3021</v>
      </c>
      <c r="H44" s="6">
        <v>-40328</v>
      </c>
      <c r="I44" s="34">
        <f ca="1">APIC!H8</f>
        <v>-70223.072029626259</v>
      </c>
      <c r="J44" s="34">
        <f ca="1">APIC!I8</f>
        <v>-72846.083303441555</v>
      </c>
      <c r="K44" s="34">
        <f ca="1">APIC!J8</f>
        <v>-76612.502013407138</v>
      </c>
      <c r="L44" s="34">
        <f ca="1">APIC!K8</f>
        <v>-80491.913284671682</v>
      </c>
      <c r="M44" s="34">
        <f ca="1">APIC!L8</f>
        <v>-84487.70689407413</v>
      </c>
      <c r="N44" s="34">
        <f ca="1">APIC!M8</f>
        <v>-88603.374311758671</v>
      </c>
    </row>
    <row r="45" spans="2:14" x14ac:dyDescent="0.25">
      <c r="B45" t="s">
        <v>307</v>
      </c>
      <c r="C45" s="6">
        <v>0</v>
      </c>
      <c r="D45" s="6">
        <v>-41682</v>
      </c>
      <c r="E45" s="6">
        <v>-35547</v>
      </c>
      <c r="F45" s="6">
        <v>-34783</v>
      </c>
      <c r="G45" s="6">
        <v>-43466</v>
      </c>
      <c r="H45" s="6">
        <v>-46748</v>
      </c>
      <c r="I45" s="34">
        <f ca="1">Schedules!I50*Assumptions!I128</f>
        <v>-86070.845390010203</v>
      </c>
      <c r="J45" s="34">
        <f ca="1">Schedules!J50*Assumptions!J128</f>
        <v>-91187.931941087081</v>
      </c>
      <c r="K45" s="34">
        <f ca="1">Schedules!K50*Assumptions!K128</f>
        <v>-96609.239679402919</v>
      </c>
      <c r="L45" s="34">
        <f ca="1">Schedules!L50*Assumptions!L128</f>
        <v>-102352.8551723514</v>
      </c>
      <c r="M45" s="34">
        <f ca="1">Schedules!M50*Assumptions!M128</f>
        <v>-108437.94027048786</v>
      </c>
      <c r="N45" s="34">
        <f ca="1">Schedules!N50*Assumptions!N128</f>
        <v>-114884.79603529708</v>
      </c>
    </row>
    <row r="46" spans="2:14" x14ac:dyDescent="0.25">
      <c r="B46" t="s">
        <v>67</v>
      </c>
      <c r="C46" s="6">
        <v>0</v>
      </c>
      <c r="D46" s="6">
        <v>-1500</v>
      </c>
      <c r="E46" s="6">
        <v>-2</v>
      </c>
      <c r="F46" s="6">
        <v>0</v>
      </c>
      <c r="G46" s="6">
        <v>-14100</v>
      </c>
      <c r="H46" s="6">
        <v>0</v>
      </c>
    </row>
    <row r="47" spans="2:14" x14ac:dyDescent="0.25">
      <c r="C47" s="6"/>
      <c r="D47" s="6"/>
      <c r="E47" s="6"/>
      <c r="F47" s="6"/>
      <c r="G47" s="6"/>
      <c r="H47" s="6"/>
    </row>
    <row r="48" spans="2:14" x14ac:dyDescent="0.25">
      <c r="C48" s="6">
        <f>C31+C35+C42</f>
        <v>1574196</v>
      </c>
      <c r="D48" s="6">
        <f t="shared" ref="D48:H48" si="26">D31+D35+D42</f>
        <v>512566</v>
      </c>
      <c r="E48" s="6">
        <f t="shared" si="26"/>
        <v>-72470</v>
      </c>
      <c r="F48" s="6">
        <f t="shared" si="26"/>
        <v>-87500</v>
      </c>
      <c r="G48" s="6">
        <f t="shared" si="26"/>
        <v>-122078</v>
      </c>
      <c r="H48" s="6">
        <f t="shared" si="26"/>
        <v>-155869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63A80-B681-4218-B621-0B781578A5D7}">
  <dimension ref="A1:AC145"/>
  <sheetViews>
    <sheetView showGridLines="0" topLeftCell="A99" workbookViewId="0">
      <selection activeCell="B119" sqref="B119"/>
    </sheetView>
  </sheetViews>
  <sheetFormatPr defaultRowHeight="15" x14ac:dyDescent="0.25"/>
  <cols>
    <col min="2" max="2" width="55.140625" bestFit="1" customWidth="1"/>
    <col min="3" max="9" width="11.85546875" bestFit="1" customWidth="1"/>
    <col min="10" max="14" width="12.7109375" bestFit="1" customWidth="1"/>
    <col min="17" max="17" width="32.85546875" bestFit="1" customWidth="1"/>
    <col min="18" max="18" width="9.42578125" bestFit="1" customWidth="1"/>
    <col min="19" max="29" width="10.42578125" bestFit="1" customWidth="1"/>
  </cols>
  <sheetData>
    <row r="1" spans="1:14" x14ac:dyDescent="0.25">
      <c r="C1" s="83">
        <f>DATE(2019,12,31)</f>
        <v>43830</v>
      </c>
      <c r="D1" s="83">
        <f>EOMONTH(C1,12)</f>
        <v>44196</v>
      </c>
      <c r="E1" s="83">
        <f t="shared" ref="E1:N1" si="0">EOMONTH(D1,12)</f>
        <v>44561</v>
      </c>
      <c r="F1" s="83">
        <f t="shared" si="0"/>
        <v>44926</v>
      </c>
      <c r="G1" s="83">
        <f t="shared" si="0"/>
        <v>45291</v>
      </c>
      <c r="H1" s="83">
        <f t="shared" si="0"/>
        <v>45657</v>
      </c>
      <c r="I1" s="83">
        <f t="shared" si="0"/>
        <v>46022</v>
      </c>
      <c r="J1" s="83">
        <f t="shared" si="0"/>
        <v>46387</v>
      </c>
      <c r="K1" s="83">
        <f t="shared" si="0"/>
        <v>46752</v>
      </c>
      <c r="L1" s="83">
        <f t="shared" si="0"/>
        <v>47118</v>
      </c>
      <c r="M1" s="83">
        <f t="shared" si="0"/>
        <v>47483</v>
      </c>
      <c r="N1" s="83">
        <f t="shared" si="0"/>
        <v>47848</v>
      </c>
    </row>
    <row r="2" spans="1:14" x14ac:dyDescent="0.25">
      <c r="A2" t="s">
        <v>23</v>
      </c>
      <c r="B2" s="84" t="s">
        <v>176</v>
      </c>
      <c r="C2" s="107">
        <v>2019</v>
      </c>
      <c r="D2" s="107">
        <f>C2+1</f>
        <v>2020</v>
      </c>
      <c r="E2" s="107">
        <f t="shared" ref="E2:H2" si="1">D2+1</f>
        <v>2021</v>
      </c>
      <c r="F2" s="107">
        <f t="shared" si="1"/>
        <v>2022</v>
      </c>
      <c r="G2" s="107">
        <f t="shared" si="1"/>
        <v>2023</v>
      </c>
      <c r="H2" s="108">
        <f t="shared" si="1"/>
        <v>2024</v>
      </c>
      <c r="I2" s="109">
        <v>2025</v>
      </c>
      <c r="J2" s="109">
        <v>2026</v>
      </c>
      <c r="K2" s="109">
        <v>2027</v>
      </c>
      <c r="L2" s="109">
        <v>2028</v>
      </c>
      <c r="M2" s="109">
        <v>2029</v>
      </c>
      <c r="N2" s="109">
        <v>2030</v>
      </c>
    </row>
    <row r="3" spans="1:14" x14ac:dyDescent="0.25">
      <c r="B3" t="s">
        <v>165</v>
      </c>
      <c r="C3" s="85">
        <v>0.21</v>
      </c>
      <c r="D3" s="85">
        <v>0.21</v>
      </c>
      <c r="E3" s="85">
        <v>0.21</v>
      </c>
      <c r="F3" s="85">
        <v>0.21</v>
      </c>
      <c r="G3" s="85">
        <v>0.21</v>
      </c>
      <c r="H3" s="85">
        <v>0.21</v>
      </c>
      <c r="I3" s="85">
        <v>0.21</v>
      </c>
      <c r="J3" s="85">
        <v>0.21</v>
      </c>
      <c r="K3" s="85">
        <v>0.21</v>
      </c>
      <c r="L3" s="85">
        <v>0.21</v>
      </c>
      <c r="M3" s="85">
        <v>0.21</v>
      </c>
      <c r="N3" s="85">
        <v>0.21</v>
      </c>
    </row>
    <row r="4" spans="1:14" x14ac:dyDescent="0.25">
      <c r="B4" s="14" t="s">
        <v>166</v>
      </c>
      <c r="C4" s="86">
        <v>7.5999999999999998E-2</v>
      </c>
      <c r="D4" s="86">
        <v>3.2000000000000001E-2</v>
      </c>
      <c r="E4" s="86">
        <v>2.5999999999999999E-2</v>
      </c>
      <c r="F4" s="86">
        <v>2.1000000000000001E-2</v>
      </c>
      <c r="G4" s="86">
        <v>9.7000000000000003E-2</v>
      </c>
      <c r="H4" s="86">
        <v>0.29199999999999998</v>
      </c>
      <c r="I4" s="63">
        <f t="shared" ref="I4:N4" si="2">_xlfn.FORECAST.ETS(I1,$C$4:$H$4,$C$1:$H$1,1)</f>
        <v>0.32107368557933147</v>
      </c>
      <c r="J4" s="63">
        <f t="shared" si="2"/>
        <v>0.3654841482900506</v>
      </c>
      <c r="K4" s="63">
        <f t="shared" si="2"/>
        <v>0.40989461100076968</v>
      </c>
      <c r="L4" s="63">
        <f t="shared" si="2"/>
        <v>0.45430507371148882</v>
      </c>
      <c r="M4" s="63">
        <f t="shared" si="2"/>
        <v>0.49871553642220795</v>
      </c>
      <c r="N4" s="63">
        <f t="shared" si="2"/>
        <v>0.54312599913292703</v>
      </c>
    </row>
    <row r="5" spans="1:14" x14ac:dyDescent="0.25">
      <c r="B5" s="14" t="s">
        <v>167</v>
      </c>
      <c r="C5" s="86">
        <v>-4.0000000000000001E-3</v>
      </c>
      <c r="D5" s="86">
        <v>-4.0000000000000001E-3</v>
      </c>
      <c r="E5" s="86">
        <v>-2E-3</v>
      </c>
      <c r="F5" s="86">
        <v>-4.0000000000000001E-3</v>
      </c>
      <c r="G5" s="86">
        <v>-1.0999999999999999E-2</v>
      </c>
      <c r="H5" s="86">
        <v>0.10299999999999999</v>
      </c>
      <c r="I5" s="63">
        <f t="shared" ref="I5:N5" si="3">_xlfn.FORECAST.ETS(I1,$C$5:$H$5,$C$1:$H$1,1)</f>
        <v>7.6392291269275575E-2</v>
      </c>
      <c r="J5" s="63">
        <f t="shared" si="3"/>
        <v>9.3039391579343739E-2</v>
      </c>
      <c r="K5" s="63">
        <f t="shared" si="3"/>
        <v>0.10968649188941186</v>
      </c>
      <c r="L5" s="63">
        <f t="shared" si="3"/>
        <v>0.12633359219948001</v>
      </c>
      <c r="M5" s="63">
        <f t="shared" si="3"/>
        <v>0.14298069250954815</v>
      </c>
      <c r="N5" s="63">
        <f t="shared" si="3"/>
        <v>0.15962779281961628</v>
      </c>
    </row>
    <row r="6" spans="1:14" x14ac:dyDescent="0.25">
      <c r="B6" s="14" t="s">
        <v>168</v>
      </c>
      <c r="C6" s="86">
        <v>0</v>
      </c>
      <c r="D6" s="86">
        <v>0</v>
      </c>
      <c r="E6" s="86">
        <v>0</v>
      </c>
      <c r="F6" s="86">
        <v>0</v>
      </c>
      <c r="G6" s="86">
        <v>0</v>
      </c>
      <c r="H6" s="86">
        <v>0</v>
      </c>
      <c r="I6" s="88">
        <v>0</v>
      </c>
      <c r="J6" s="88">
        <v>0</v>
      </c>
      <c r="K6" s="88">
        <v>0</v>
      </c>
      <c r="L6" s="88">
        <v>0</v>
      </c>
      <c r="M6" s="88">
        <v>0</v>
      </c>
      <c r="N6" s="88">
        <v>0</v>
      </c>
    </row>
    <row r="7" spans="1:14" x14ac:dyDescent="0.25">
      <c r="B7" s="14" t="s">
        <v>169</v>
      </c>
      <c r="C7" s="86">
        <v>0</v>
      </c>
      <c r="D7" s="86">
        <v>-6.0000000000000001E-3</v>
      </c>
      <c r="E7" s="86">
        <v>-1.0999999999999999E-2</v>
      </c>
      <c r="F7" s="86">
        <v>-7.0000000000000001E-3</v>
      </c>
      <c r="G7" s="86">
        <v>-8.3000000000000004E-2</v>
      </c>
      <c r="H7" s="86">
        <v>0.54400000000000004</v>
      </c>
      <c r="I7" s="63">
        <f t="shared" ref="I7:N7" si="4">_xlfn.FORECAST.ETS(I1,$C$7:$H$7,$C$1:$H$1,1)</f>
        <v>0.38774766919123571</v>
      </c>
      <c r="J7" s="63">
        <f t="shared" si="4"/>
        <v>0.46983035267289613</v>
      </c>
      <c r="K7" s="63">
        <f t="shared" si="4"/>
        <v>0.55191303615455634</v>
      </c>
      <c r="L7" s="63">
        <f t="shared" si="4"/>
        <v>0.63399571963621659</v>
      </c>
      <c r="M7" s="63">
        <f t="shared" si="4"/>
        <v>0.71607840311787685</v>
      </c>
      <c r="N7" s="63">
        <f t="shared" si="4"/>
        <v>0.79816108659953722</v>
      </c>
    </row>
    <row r="8" spans="1:14" x14ac:dyDescent="0.25">
      <c r="B8" s="14" t="s">
        <v>59</v>
      </c>
      <c r="C8" s="86">
        <v>9.9000000000000005E-2</v>
      </c>
      <c r="D8" s="86">
        <v>0.01</v>
      </c>
      <c r="E8" s="86">
        <v>2.5000000000000001E-2</v>
      </c>
      <c r="F8" s="86">
        <v>-4.9000000000000002E-2</v>
      </c>
      <c r="G8" s="86">
        <v>-0.151</v>
      </c>
      <c r="H8" s="86">
        <v>-0.65600000000000003</v>
      </c>
      <c r="I8" s="63">
        <f t="shared" ref="I8:N8" si="5">_xlfn.FORECAST.ETS(I1,$C$8:$H$8,$C$1:$H$1,1)</f>
        <v>-0.60983718180059276</v>
      </c>
      <c r="J8" s="63">
        <f t="shared" si="5"/>
        <v>-0.74290143887819704</v>
      </c>
      <c r="K8" s="63">
        <f t="shared" si="5"/>
        <v>-0.87596569595580132</v>
      </c>
      <c r="L8" s="63">
        <f t="shared" si="5"/>
        <v>-1.0090299530334057</v>
      </c>
      <c r="M8" s="63">
        <f t="shared" si="5"/>
        <v>-1.1420942101110099</v>
      </c>
      <c r="N8" s="63">
        <f t="shared" si="5"/>
        <v>-1.2751584671886143</v>
      </c>
    </row>
    <row r="9" spans="1:14" x14ac:dyDescent="0.25">
      <c r="B9" s="14" t="s">
        <v>170</v>
      </c>
      <c r="C9" s="86">
        <v>0</v>
      </c>
      <c r="D9" s="86">
        <v>2.7E-2</v>
      </c>
      <c r="E9" s="86">
        <v>0</v>
      </c>
      <c r="F9" s="86">
        <v>0</v>
      </c>
      <c r="G9" s="86">
        <v>0</v>
      </c>
      <c r="H9" s="86">
        <v>0</v>
      </c>
      <c r="I9" s="89">
        <f t="shared" ref="I9:N9" si="6">_xlfn.FORECAST.ETS(I1,$C$9:$H$9,$C$1:$H$1,1)</f>
        <v>-8.9833301885121133E-3</v>
      </c>
      <c r="J9" s="89">
        <f t="shared" si="6"/>
        <v>-1.2354300840064673E-2</v>
      </c>
      <c r="K9" s="89">
        <f t="shared" si="6"/>
        <v>-1.5725271491617242E-2</v>
      </c>
      <c r="L9" s="89">
        <f t="shared" si="6"/>
        <v>-1.9096242143169802E-2</v>
      </c>
      <c r="M9" s="89">
        <f t="shared" si="6"/>
        <v>-2.2467212794722375E-2</v>
      </c>
      <c r="N9" s="89">
        <f t="shared" si="6"/>
        <v>-2.5838183446274931E-2</v>
      </c>
    </row>
    <row r="10" spans="1:14" x14ac:dyDescent="0.25">
      <c r="B10" s="14" t="s">
        <v>171</v>
      </c>
      <c r="C10" s="86">
        <v>0</v>
      </c>
      <c r="D10" s="86">
        <v>0</v>
      </c>
      <c r="E10" s="86">
        <v>0</v>
      </c>
      <c r="F10" s="86">
        <v>0</v>
      </c>
      <c r="G10" s="86">
        <v>-2.4E-2</v>
      </c>
      <c r="H10" s="86">
        <v>0.63</v>
      </c>
      <c r="I10" s="63">
        <f t="shared" ref="I10:N10" si="7">_xlfn.FORECAST.ETS(I1,$C$10:$H$10,$C$1:$H$1,1)</f>
        <v>0.48251807603803071</v>
      </c>
      <c r="J10" s="63">
        <f t="shared" si="7"/>
        <v>0.58271812578796167</v>
      </c>
      <c r="K10" s="63">
        <f t="shared" si="7"/>
        <v>0.68291817553789247</v>
      </c>
      <c r="L10" s="63">
        <f t="shared" si="7"/>
        <v>0.78311822528782327</v>
      </c>
      <c r="M10" s="63">
        <f t="shared" si="7"/>
        <v>0.88331827503775406</v>
      </c>
      <c r="N10" s="63">
        <f t="shared" si="7"/>
        <v>0.98351832478768497</v>
      </c>
    </row>
    <row r="11" spans="1:14" x14ac:dyDescent="0.25">
      <c r="B11" s="14" t="s">
        <v>172</v>
      </c>
      <c r="C11" s="86">
        <v>-0.38100000000000001</v>
      </c>
      <c r="D11" s="86">
        <v>-0.24</v>
      </c>
      <c r="E11" s="86">
        <v>-0.252</v>
      </c>
      <c r="F11" s="86">
        <v>-0.17100000000000001</v>
      </c>
      <c r="G11" s="86">
        <v>-2.5000000000000001E-2</v>
      </c>
      <c r="H11" s="86">
        <v>-1.0149999999999999</v>
      </c>
      <c r="I11" s="63">
        <f t="shared" ref="I11:N11" si="8">_xlfn.FORECAST.ETS(I1,$C$11:$H$11,$C$1:$H$1,1)</f>
        <v>-0.71879856750343052</v>
      </c>
      <c r="J11" s="63">
        <f t="shared" si="8"/>
        <v>-0.81009332024318448</v>
      </c>
      <c r="K11" s="63">
        <f t="shared" si="8"/>
        <v>-0.90138807298293788</v>
      </c>
      <c r="L11" s="63">
        <f t="shared" si="8"/>
        <v>-0.99268282572269173</v>
      </c>
      <c r="M11" s="63">
        <f t="shared" si="8"/>
        <v>-1.0839775784624452</v>
      </c>
      <c r="N11" s="63">
        <f t="shared" si="8"/>
        <v>-1.1752723312021991</v>
      </c>
    </row>
    <row r="12" spans="1:14" x14ac:dyDescent="0.25">
      <c r="B12" s="14" t="s">
        <v>173</v>
      </c>
      <c r="C12" s="86">
        <v>0</v>
      </c>
      <c r="D12" s="86">
        <v>0</v>
      </c>
      <c r="E12" s="86">
        <v>0</v>
      </c>
      <c r="F12" s="86">
        <v>0</v>
      </c>
      <c r="G12" s="86">
        <v>-4.0000000000000001E-3</v>
      </c>
      <c r="H12" s="86">
        <v>-4.7E-2</v>
      </c>
      <c r="I12" s="63">
        <f t="shared" ref="I12:N12" si="9">_xlfn.FORECAST.ETS(I1,$C$12:$H$12,$C$1:$H$1,1)</f>
        <v>-4.0272554693470478E-2</v>
      </c>
      <c r="J12" s="63">
        <f t="shared" si="9"/>
        <v>-4.8293639762067547E-2</v>
      </c>
      <c r="K12" s="63">
        <f t="shared" si="9"/>
        <v>-5.6314724830664617E-2</v>
      </c>
      <c r="L12" s="63">
        <f t="shared" si="9"/>
        <v>-6.4335809899261687E-2</v>
      </c>
      <c r="M12" s="63">
        <f t="shared" si="9"/>
        <v>-7.2356894967858756E-2</v>
      </c>
      <c r="N12" s="63">
        <f t="shared" si="9"/>
        <v>-8.0377980036455826E-2</v>
      </c>
    </row>
    <row r="13" spans="1:14" x14ac:dyDescent="0.25">
      <c r="B13" s="14" t="s">
        <v>174</v>
      </c>
      <c r="C13" s="86">
        <v>0</v>
      </c>
      <c r="D13" s="86">
        <v>0</v>
      </c>
      <c r="E13" s="86">
        <v>0</v>
      </c>
      <c r="F13" s="86">
        <v>0</v>
      </c>
      <c r="G13" s="86">
        <v>-3.2000000000000001E-2</v>
      </c>
      <c r="H13" s="86">
        <v>0</v>
      </c>
      <c r="I13" s="89">
        <f t="shared" ref="I13:N13" si="10">_xlfn.FORECAST.ETS(I1,$C$13:$H$13,$C$1:$H$1,1)</f>
        <v>-1.7376349152288792E-2</v>
      </c>
      <c r="J13" s="89">
        <f t="shared" si="10"/>
        <v>-2.0271001224413315E-2</v>
      </c>
      <c r="K13" s="89">
        <f t="shared" si="10"/>
        <v>-2.3165653296537855E-2</v>
      </c>
      <c r="L13" s="89">
        <f t="shared" si="10"/>
        <v>-2.6060305368662381E-2</v>
      </c>
      <c r="M13" s="89">
        <f t="shared" si="10"/>
        <v>-2.8954957440786917E-2</v>
      </c>
      <c r="N13" s="89">
        <f t="shared" si="10"/>
        <v>-3.1849609512911436E-2</v>
      </c>
    </row>
    <row r="14" spans="1:14" x14ac:dyDescent="0.25">
      <c r="B14" s="14" t="s">
        <v>175</v>
      </c>
      <c r="C14" s="86">
        <v>-2E-3</v>
      </c>
      <c r="D14" s="86">
        <v>-3.0000000000000001E-3</v>
      </c>
      <c r="E14" s="86">
        <v>-7.0000000000000001E-3</v>
      </c>
      <c r="F14" s="86">
        <v>-4.0000000000000001E-3</v>
      </c>
      <c r="G14" s="86">
        <v>-3.0000000000000001E-3</v>
      </c>
      <c r="H14" s="86">
        <v>0.04</v>
      </c>
      <c r="I14" s="63">
        <f t="shared" ref="I14:N14" si="11">_xlfn.FORECAST.ETS(I1,$C$14:$H$14,$C$1:$H$1,1)</f>
        <v>3.2133975056143529E-2</v>
      </c>
      <c r="J14" s="63">
        <f t="shared" si="11"/>
        <v>3.9243515986121795E-2</v>
      </c>
      <c r="K14" s="63">
        <f t="shared" si="11"/>
        <v>4.6353056916100026E-2</v>
      </c>
      <c r="L14" s="63">
        <f t="shared" si="11"/>
        <v>5.3462597846078284E-2</v>
      </c>
      <c r="M14" s="63">
        <f t="shared" si="11"/>
        <v>6.0572138776056522E-2</v>
      </c>
      <c r="N14" s="63">
        <f t="shared" si="11"/>
        <v>6.7681679706034781E-2</v>
      </c>
    </row>
    <row r="15" spans="1:14" ht="15.75" thickBot="1" x14ac:dyDescent="0.3">
      <c r="A15" t="s">
        <v>23</v>
      </c>
      <c r="B15" s="53" t="s">
        <v>176</v>
      </c>
      <c r="C15" s="87">
        <f>SUM(C3:C14)</f>
        <v>-2E-3</v>
      </c>
      <c r="D15" s="87">
        <f t="shared" ref="D15:N15" si="12">SUM(D3:D14)</f>
        <v>2.6000000000000027E-2</v>
      </c>
      <c r="E15" s="87">
        <f t="shared" si="12"/>
        <v>-1.1000000000000031E-2</v>
      </c>
      <c r="F15" s="87">
        <f t="shared" si="12"/>
        <v>-4.0000000000000278E-3</v>
      </c>
      <c r="G15" s="87">
        <f t="shared" si="12"/>
        <v>-2.600000000000003E-2</v>
      </c>
      <c r="H15" s="87">
        <f t="shared" si="12"/>
        <v>0.10100000000000009</v>
      </c>
      <c r="I15" s="87">
        <f>SUM(I3:I14)</f>
        <v>0.11459771379572233</v>
      </c>
      <c r="J15" s="87">
        <f t="shared" si="12"/>
        <v>0.12640183336844682</v>
      </c>
      <c r="K15" s="87">
        <f t="shared" si="12"/>
        <v>0.13820595294117138</v>
      </c>
      <c r="L15" s="87">
        <f t="shared" si="12"/>
        <v>0.15001007251389578</v>
      </c>
      <c r="M15" s="87">
        <f t="shared" si="12"/>
        <v>0.16181419208662048</v>
      </c>
      <c r="N15" s="87">
        <f t="shared" si="12"/>
        <v>0.17361831165934463</v>
      </c>
    </row>
    <row r="16" spans="1:14" ht="15.75" thickTop="1" x14ac:dyDescent="0.25"/>
    <row r="17" spans="1:29" x14ac:dyDescent="0.25">
      <c r="B17" s="84" t="s">
        <v>32</v>
      </c>
      <c r="C17" s="107">
        <v>2019</v>
      </c>
      <c r="D17" s="107">
        <f>C17+1</f>
        <v>2020</v>
      </c>
      <c r="E17" s="107">
        <f t="shared" ref="E17:H17" si="13">D17+1</f>
        <v>2021</v>
      </c>
      <c r="F17" s="107">
        <f t="shared" si="13"/>
        <v>2022</v>
      </c>
      <c r="G17" s="107">
        <f t="shared" si="13"/>
        <v>2023</v>
      </c>
      <c r="H17" s="108">
        <f t="shared" si="13"/>
        <v>2024</v>
      </c>
      <c r="I17" s="109">
        <v>2025</v>
      </c>
      <c r="J17" s="109">
        <v>2026</v>
      </c>
      <c r="K17" s="109">
        <v>2027</v>
      </c>
      <c r="L17" s="109">
        <v>2028</v>
      </c>
      <c r="M17" s="109">
        <v>2029</v>
      </c>
      <c r="N17" s="109">
        <v>2030</v>
      </c>
      <c r="Q17" s="84" t="s">
        <v>32</v>
      </c>
      <c r="R17" s="107">
        <v>2019</v>
      </c>
      <c r="S17" s="107">
        <f>R17+1</f>
        <v>2020</v>
      </c>
      <c r="T17" s="107">
        <f t="shared" ref="T17" si="14">S17+1</f>
        <v>2021</v>
      </c>
      <c r="U17" s="107">
        <f t="shared" ref="U17" si="15">T17+1</f>
        <v>2022</v>
      </c>
      <c r="V17" s="107">
        <f t="shared" ref="V17" si="16">U17+1</f>
        <v>2023</v>
      </c>
      <c r="W17" s="108">
        <f t="shared" ref="W17" si="17">V17+1</f>
        <v>2024</v>
      </c>
      <c r="X17" s="109">
        <v>2025</v>
      </c>
      <c r="Y17" s="109">
        <v>2026</v>
      </c>
      <c r="Z17" s="109">
        <v>2027</v>
      </c>
      <c r="AA17" s="109">
        <v>2028</v>
      </c>
      <c r="AB17" s="109">
        <v>2029</v>
      </c>
      <c r="AC17" s="109">
        <v>2030</v>
      </c>
    </row>
    <row r="18" spans="1:29" x14ac:dyDescent="0.25">
      <c r="B18" t="s">
        <v>179</v>
      </c>
      <c r="C18" s="6">
        <v>124380</v>
      </c>
      <c r="D18" s="6">
        <v>140473</v>
      </c>
      <c r="E18" s="6">
        <v>138216</v>
      </c>
      <c r="F18" s="6">
        <v>179330</v>
      </c>
      <c r="G18" s="6">
        <v>240137</v>
      </c>
      <c r="H18" s="6">
        <v>237535</v>
      </c>
      <c r="I18" s="34">
        <f ca="1">H18*(1+Assumptions!I52)</f>
        <v>248605.59082449801</v>
      </c>
      <c r="J18" s="34">
        <f ca="1">I18*(1+Assumptions!J52)</f>
        <v>260192.13921821088</v>
      </c>
      <c r="K18" s="34">
        <f ca="1">J18*(1+Assumptions!K52)</f>
        <v>272318.69197479676</v>
      </c>
      <c r="L18" s="34">
        <f ca="1">K18*(1+Assumptions!L52)</f>
        <v>285010.41661628318</v>
      </c>
      <c r="M18" s="34">
        <f ca="1">L18*(1+Assumptions!M52)</f>
        <v>298293.65362589684</v>
      </c>
      <c r="N18" s="34">
        <f ca="1">M18*(1+Assumptions!N52)</f>
        <v>312195.97111526405</v>
      </c>
      <c r="Q18" t="s">
        <v>179</v>
      </c>
      <c r="R18" s="6">
        <v>124380</v>
      </c>
      <c r="S18" s="6">
        <v>140473</v>
      </c>
      <c r="T18" s="6">
        <v>138216</v>
      </c>
      <c r="U18" s="6">
        <v>179330</v>
      </c>
      <c r="V18" s="6">
        <v>240137</v>
      </c>
      <c r="W18" s="6">
        <v>237535</v>
      </c>
      <c r="X18" s="34">
        <f ca="1">W18*(1+X30)</f>
        <v>304949.5493332257</v>
      </c>
      <c r="Y18" s="34">
        <f t="shared" ref="Y18:AC18" ca="1" si="18">X18*(1+Y30)</f>
        <v>391496.94840144593</v>
      </c>
      <c r="Z18" s="34">
        <f t="shared" ca="1" si="18"/>
        <v>502607.27042479656</v>
      </c>
      <c r="AA18" s="34">
        <f t="shared" ca="1" si="18"/>
        <v>645251.69178287161</v>
      </c>
      <c r="AB18" s="34">
        <f t="shared" ca="1" si="18"/>
        <v>828379.87082193431</v>
      </c>
      <c r="AC18" s="34">
        <f t="shared" ca="1" si="18"/>
        <v>1063481.4586644687</v>
      </c>
    </row>
    <row r="19" spans="1:29" x14ac:dyDescent="0.25">
      <c r="B19" t="s">
        <v>180</v>
      </c>
      <c r="C19" s="6">
        <v>66490</v>
      </c>
      <c r="D19" s="6">
        <v>105169</v>
      </c>
      <c r="E19" s="6">
        <v>100252</v>
      </c>
      <c r="F19" s="6">
        <v>91334</v>
      </c>
      <c r="G19" s="6">
        <v>197703</v>
      </c>
      <c r="H19" s="6">
        <v>211904</v>
      </c>
      <c r="I19" s="34">
        <f ca="1">H19*(1+Assumptions!I52)</f>
        <v>221780.0287034518</v>
      </c>
      <c r="J19" s="34">
        <f ca="1">I19*(1+Assumptions!J52)</f>
        <v>232116.3410398289</v>
      </c>
      <c r="K19" s="34">
        <f ca="1">J19*(1+Assumptions!K52)</f>
        <v>242934.3890552017</v>
      </c>
      <c r="L19" s="34">
        <f ca="1">K19*(1+Assumptions!L52)</f>
        <v>254256.6245928258</v>
      </c>
      <c r="M19" s="34">
        <f ca="1">L19*(1+Assumptions!M52)</f>
        <v>266106.5458898354</v>
      </c>
      <c r="N19" s="34">
        <f ca="1">M19*(1+Assumptions!N52)</f>
        <v>278508.74634562869</v>
      </c>
      <c r="Q19" t="s">
        <v>180</v>
      </c>
      <c r="R19" s="6">
        <v>66490</v>
      </c>
      <c r="S19" s="6">
        <v>105169</v>
      </c>
      <c r="T19" s="6">
        <v>100252</v>
      </c>
      <c r="U19" s="6">
        <v>91334</v>
      </c>
      <c r="V19" s="6">
        <v>197703</v>
      </c>
      <c r="W19" s="6">
        <v>211904</v>
      </c>
      <c r="X19" s="34">
        <f ca="1">W19*(1+X30)</f>
        <v>272044.2431721972</v>
      </c>
      <c r="Y19" s="34">
        <f t="shared" ref="Y19:AC19" ca="1" si="19">X19*(1+Y30)</f>
        <v>349252.82317999454</v>
      </c>
      <c r="Z19" s="34">
        <f t="shared" ca="1" si="19"/>
        <v>448373.88608877046</v>
      </c>
      <c r="AA19" s="34">
        <f t="shared" ca="1" si="19"/>
        <v>575626.38977648609</v>
      </c>
      <c r="AB19" s="34">
        <f t="shared" ca="1" si="19"/>
        <v>738994.28777506959</v>
      </c>
      <c r="AC19" s="34">
        <f t="shared" ca="1" si="19"/>
        <v>948727.45076235326</v>
      </c>
    </row>
    <row r="20" spans="1:29" x14ac:dyDescent="0.25">
      <c r="B20" t="s">
        <v>181</v>
      </c>
      <c r="C20" s="6">
        <v>0</v>
      </c>
      <c r="D20" s="6">
        <v>112498</v>
      </c>
      <c r="E20" s="6">
        <v>150443</v>
      </c>
      <c r="F20" s="6">
        <v>143391</v>
      </c>
      <c r="G20" s="6">
        <v>80934</v>
      </c>
      <c r="H20" s="6">
        <v>79704</v>
      </c>
      <c r="I20" s="34">
        <f ca="1">H20*(1+Assumptions!I52)</f>
        <v>83418.696238768127</v>
      </c>
      <c r="J20" s="34">
        <f ca="1">I20*(1+Assumptions!J52)</f>
        <v>87306.520151759862</v>
      </c>
      <c r="K20" s="34">
        <f ca="1">J20*(1+Assumptions!K52)</f>
        <v>91375.540552588878</v>
      </c>
      <c r="L20" s="34">
        <f ca="1">K20*(1+Assumptions!L52)</f>
        <v>95634.202311171975</v>
      </c>
      <c r="M20" s="34">
        <f ca="1">L20*(1+Assumptions!M52)</f>
        <v>100091.34388026388</v>
      </c>
      <c r="N20" s="34">
        <f ca="1">M20*(1+Assumptions!N52)</f>
        <v>104756.21563883641</v>
      </c>
      <c r="Q20" t="s">
        <v>181</v>
      </c>
      <c r="R20" s="6">
        <v>0</v>
      </c>
      <c r="S20" s="6">
        <v>112498</v>
      </c>
      <c r="T20" s="6">
        <v>150443</v>
      </c>
      <c r="U20" s="6">
        <v>143391</v>
      </c>
      <c r="V20" s="6">
        <v>80934</v>
      </c>
      <c r="W20" s="6">
        <v>79704</v>
      </c>
      <c r="X20" s="34">
        <f ca="1">W20*(1+X30)</f>
        <v>102324.70532786925</v>
      </c>
      <c r="Y20" s="34">
        <f t="shared" ref="Y20:AC20" ca="1" si="20">X20*(1+Y30)</f>
        <v>131365.36836840402</v>
      </c>
      <c r="Z20" s="34">
        <f t="shared" ca="1" si="20"/>
        <v>168648.0303194813</v>
      </c>
      <c r="AA20" s="34">
        <f t="shared" ca="1" si="20"/>
        <v>216511.84390452778</v>
      </c>
      <c r="AB20" s="34">
        <f t="shared" ca="1" si="20"/>
        <v>277959.83423070901</v>
      </c>
      <c r="AC20" s="34">
        <f t="shared" ca="1" si="20"/>
        <v>356847.31168624765</v>
      </c>
    </row>
    <row r="21" spans="1:29" x14ac:dyDescent="0.25">
      <c r="B21" t="s">
        <v>182</v>
      </c>
      <c r="C21" s="6">
        <v>0</v>
      </c>
      <c r="D21" s="6">
        <v>28109</v>
      </c>
      <c r="E21" s="6">
        <v>26802</v>
      </c>
      <c r="F21" s="6">
        <v>32887</v>
      </c>
      <c r="G21" s="6">
        <v>77230</v>
      </c>
      <c r="H21" s="6">
        <v>75480</v>
      </c>
      <c r="I21" s="34">
        <f ca="1">H21*(1+Assumptions!I52)</f>
        <v>78997.831879230886</v>
      </c>
      <c r="J21" s="34">
        <f ca="1">I21*(1+Assumptions!J52)</f>
        <v>82679.616343656962</v>
      </c>
      <c r="K21" s="34">
        <f ca="1">J21*(1+Assumptions!K52)</f>
        <v>86532.994591355629</v>
      </c>
      <c r="L21" s="34">
        <f ca="1">K21*(1+Assumptions!L52)</f>
        <v>90565.963947195385</v>
      </c>
      <c r="M21" s="34">
        <f ca="1">L21*(1+Assumptions!M52)</f>
        <v>94786.894460532945</v>
      </c>
      <c r="N21" s="34">
        <f ca="1">M21*(1+Assumptions!N52)</f>
        <v>99204.546276465058</v>
      </c>
      <c r="Q21" t="s">
        <v>182</v>
      </c>
      <c r="R21" s="6">
        <v>0</v>
      </c>
      <c r="S21" s="6">
        <v>28109</v>
      </c>
      <c r="T21" s="6">
        <v>26802</v>
      </c>
      <c r="U21" s="6">
        <v>32887</v>
      </c>
      <c r="V21" s="6">
        <v>77230</v>
      </c>
      <c r="W21" s="6">
        <v>75480</v>
      </c>
      <c r="X21" s="34">
        <f ca="1">W21*(1+X30)</f>
        <v>96901.896493871958</v>
      </c>
      <c r="Y21" s="34">
        <f t="shared" ref="Y21:AC21" ca="1" si="21">X21*(1+Y30)</f>
        <v>124403.51807245727</v>
      </c>
      <c r="Z21" s="34">
        <f t="shared" ca="1" si="21"/>
        <v>159710.34488249582</v>
      </c>
      <c r="AA21" s="34">
        <f t="shared" ca="1" si="21"/>
        <v>205037.56370964763</v>
      </c>
      <c r="AB21" s="34">
        <f t="shared" ca="1" si="21"/>
        <v>263229.05108569097</v>
      </c>
      <c r="AC21" s="34">
        <f t="shared" ca="1" si="21"/>
        <v>337935.80103982193</v>
      </c>
    </row>
    <row r="22" spans="1:29" x14ac:dyDescent="0.25">
      <c r="B22" t="s">
        <v>183</v>
      </c>
      <c r="C22" s="6">
        <v>14026</v>
      </c>
      <c r="D22" s="6">
        <v>17923</v>
      </c>
      <c r="E22" s="6">
        <v>19103</v>
      </c>
      <c r="F22" s="6">
        <v>36271</v>
      </c>
      <c r="G22" s="6">
        <v>38911</v>
      </c>
      <c r="H22" s="6">
        <v>39018</v>
      </c>
      <c r="I22" s="34">
        <f ca="1">H22*(1+Assumptions!I52)</f>
        <v>40836.478593850436</v>
      </c>
      <c r="J22" s="34">
        <f ca="1">I22*(1+Assumptions!J52)</f>
        <v>42739.709466041437</v>
      </c>
      <c r="K22" s="34">
        <f ca="1">J22*(1+Assumptions!K52)</f>
        <v>44731.642593607765</v>
      </c>
      <c r="L22" s="34">
        <f ca="1">K22*(1+Assumptions!L52)</f>
        <v>46816.412046789475</v>
      </c>
      <c r="M22" s="34">
        <f ca="1">L22*(1+Assumptions!M52)</f>
        <v>48998.344568906658</v>
      </c>
      <c r="N22" s="34">
        <f ca="1">M22*(1+Assumptions!N52)</f>
        <v>51281.968556109088</v>
      </c>
      <c r="Q22" t="s">
        <v>183</v>
      </c>
      <c r="R22" s="6">
        <v>14026</v>
      </c>
      <c r="S22" s="6">
        <v>17923</v>
      </c>
      <c r="T22" s="6">
        <v>19103</v>
      </c>
      <c r="U22" s="6">
        <v>36271</v>
      </c>
      <c r="V22" s="6">
        <v>38911</v>
      </c>
      <c r="W22" s="6">
        <v>39018</v>
      </c>
      <c r="X22" s="34">
        <f ca="1">W22*(1+X30)</f>
        <v>50091.656033358457</v>
      </c>
      <c r="Y22" s="34">
        <f t="shared" ref="Y22:AC22" ca="1" si="22">X22*(1+Y30)</f>
        <v>64308.114310428435</v>
      </c>
      <c r="Z22" s="34">
        <f t="shared" ca="1" si="22"/>
        <v>82559.330108972208</v>
      </c>
      <c r="AA22" s="34">
        <f t="shared" ca="1" si="22"/>
        <v>105990.40356151341</v>
      </c>
      <c r="AB22" s="34">
        <f t="shared" ca="1" si="22"/>
        <v>136071.42442052849</v>
      </c>
      <c r="AC22" s="34">
        <f t="shared" ca="1" si="22"/>
        <v>174689.70700810512</v>
      </c>
    </row>
    <row r="23" spans="1:29" x14ac:dyDescent="0.25">
      <c r="B23" t="s">
        <v>184</v>
      </c>
      <c r="C23" s="6">
        <v>473</v>
      </c>
      <c r="D23" s="6">
        <v>5099</v>
      </c>
      <c r="E23" s="6">
        <v>5110</v>
      </c>
      <c r="F23" s="6">
        <v>5602</v>
      </c>
      <c r="G23" s="6">
        <v>5867</v>
      </c>
      <c r="H23" s="6">
        <v>6046</v>
      </c>
      <c r="I23" s="34">
        <f ca="1">H23*(1+Assumptions!I52)</f>
        <v>6327.7807570459718</v>
      </c>
      <c r="J23" s="34">
        <f ca="1">I23*(1+Assumptions!J52)</f>
        <v>6622.6942291169853</v>
      </c>
      <c r="K23" s="34">
        <f ca="1">J23*(1+Assumptions!K52)</f>
        <v>6931.3524814432458</v>
      </c>
      <c r="L23" s="34">
        <f ca="1">K23*(1+Assumptions!L52)</f>
        <v>7254.3961052562709</v>
      </c>
      <c r="M23" s="34">
        <f ca="1">L23*(1+Assumptions!M52)</f>
        <v>7592.4955472758638</v>
      </c>
      <c r="N23" s="34">
        <f ca="1">M23*(1+Assumptions!N52)</f>
        <v>7946.352501159351</v>
      </c>
      <c r="Q23" t="s">
        <v>184</v>
      </c>
      <c r="R23" s="6">
        <v>473</v>
      </c>
      <c r="S23" s="6">
        <v>5099</v>
      </c>
      <c r="T23" s="6">
        <v>5110</v>
      </c>
      <c r="U23" s="6">
        <v>5602</v>
      </c>
      <c r="V23" s="6">
        <v>5867</v>
      </c>
      <c r="W23" s="6">
        <v>6046</v>
      </c>
      <c r="X23" s="34">
        <f ca="1">W23*(1+X30)</f>
        <v>7761.9086672224412</v>
      </c>
      <c r="Y23" s="34">
        <f t="shared" ref="Y23:AC23" ca="1" si="23">X23*(1+Y30)</f>
        <v>9964.807502200274</v>
      </c>
      <c r="Z23" s="34">
        <f t="shared" ca="1" si="23"/>
        <v>12792.908653412424</v>
      </c>
      <c r="AA23" s="34">
        <f t="shared" ca="1" si="23"/>
        <v>16423.650108486083</v>
      </c>
      <c r="AB23" s="34">
        <f t="shared" ca="1" si="23"/>
        <v>21084.828336832106</v>
      </c>
      <c r="AC23" s="34">
        <f t="shared" ca="1" si="23"/>
        <v>27068.890475447315</v>
      </c>
    </row>
    <row r="24" spans="1:29" x14ac:dyDescent="0.25">
      <c r="B24" t="s">
        <v>186</v>
      </c>
      <c r="C24" s="6">
        <v>25139</v>
      </c>
      <c r="D24" s="6">
        <v>19957</v>
      </c>
      <c r="E24" s="6">
        <v>25270</v>
      </c>
      <c r="F24" s="6">
        <v>48523</v>
      </c>
      <c r="G24" s="6">
        <v>72257</v>
      </c>
      <c r="H24" s="6">
        <v>56998</v>
      </c>
      <c r="I24" s="34">
        <f ca="1">H24*(1+Assumptions!I52)</f>
        <v>59654.457093963989</v>
      </c>
      <c r="J24" s="34">
        <f ca="1">I24*(1+Assumptions!J52)</f>
        <v>62434.721414358231</v>
      </c>
      <c r="K24" s="34">
        <f ca="1">J24*(1+Assumptions!K52)</f>
        <v>65344.563138819394</v>
      </c>
      <c r="L24" s="34">
        <f ca="1">K24*(1+Assumptions!L52)</f>
        <v>68390.021370723931</v>
      </c>
      <c r="M24" s="34">
        <f ca="1">L24*(1+Assumptions!M52)</f>
        <v>71577.416672780295</v>
      </c>
      <c r="N24" s="34">
        <f ca="1">M24*(1+Assumptions!N52)</f>
        <v>74913.364184763588</v>
      </c>
      <c r="Q24" t="s">
        <v>186</v>
      </c>
      <c r="R24" s="6">
        <v>25139</v>
      </c>
      <c r="S24" s="6">
        <v>19957</v>
      </c>
      <c r="T24" s="6">
        <v>25270</v>
      </c>
      <c r="U24" s="6">
        <v>48523</v>
      </c>
      <c r="V24" s="6">
        <v>72257</v>
      </c>
      <c r="W24" s="6">
        <v>56998</v>
      </c>
      <c r="X24" s="34">
        <f ca="1">W24*(1+X30)</f>
        <v>73174.540227314705</v>
      </c>
      <c r="Y24" s="34">
        <f t="shared" ref="Y24:AC24" ca="1" si="24">X24*(1+Y30)</f>
        <v>93942.126697057756</v>
      </c>
      <c r="Z24" s="34">
        <f t="shared" ca="1" si="24"/>
        <v>120603.73923704951</v>
      </c>
      <c r="AA24" s="34">
        <f t="shared" ca="1" si="24"/>
        <v>154832.15495922757</v>
      </c>
      <c r="AB24" s="34">
        <f t="shared" ca="1" si="24"/>
        <v>198774.90002361176</v>
      </c>
      <c r="AC24" s="34">
        <f t="shared" ca="1" si="24"/>
        <v>255188.98764795673</v>
      </c>
    </row>
    <row r="25" spans="1:29" x14ac:dyDescent="0.25">
      <c r="C25" s="7">
        <f>SUM(C18:C24)</f>
        <v>230508</v>
      </c>
      <c r="D25" s="7">
        <f t="shared" ref="D25:H25" si="25">SUM(D18:D24)</f>
        <v>429228</v>
      </c>
      <c r="E25" s="7">
        <f t="shared" si="25"/>
        <v>465196</v>
      </c>
      <c r="F25" s="7">
        <f t="shared" si="25"/>
        <v>537338</v>
      </c>
      <c r="G25" s="7">
        <f t="shared" si="25"/>
        <v>713039</v>
      </c>
      <c r="H25" s="7">
        <f t="shared" si="25"/>
        <v>706685</v>
      </c>
      <c r="I25" s="7">
        <f t="shared" ref="I25" ca="1" si="26">SUM(I18:I24)</f>
        <v>739620.86409080925</v>
      </c>
      <c r="J25" s="7">
        <f t="shared" ref="J25" ca="1" si="27">SUM(J18:J24)</f>
        <v>774091.74186297331</v>
      </c>
      <c r="K25" s="7">
        <f t="shared" ref="K25" ca="1" si="28">SUM(K18:K24)</f>
        <v>810169.17438781343</v>
      </c>
      <c r="L25" s="7">
        <f t="shared" ref="L25" ca="1" si="29">SUM(L18:L24)</f>
        <v>847928.03699024604</v>
      </c>
      <c r="M25" s="7">
        <f t="shared" ref="M25" ca="1" si="30">SUM(M18:M24)</f>
        <v>887446.69464549189</v>
      </c>
      <c r="N25" s="7">
        <f t="shared" ref="N25" ca="1" si="31">SUM(N18:N24)</f>
        <v>928807.16461822623</v>
      </c>
      <c r="R25" s="7">
        <f>SUM(R18:R24)</f>
        <v>230508</v>
      </c>
      <c r="S25" s="7">
        <f t="shared" ref="S25:AC25" si="32">SUM(S18:S24)</f>
        <v>429228</v>
      </c>
      <c r="T25" s="7">
        <f t="shared" si="32"/>
        <v>465196</v>
      </c>
      <c r="U25" s="7">
        <f t="shared" si="32"/>
        <v>537338</v>
      </c>
      <c r="V25" s="7">
        <f t="shared" si="32"/>
        <v>713039</v>
      </c>
      <c r="W25" s="7">
        <f t="shared" si="32"/>
        <v>706685</v>
      </c>
      <c r="X25" s="7">
        <f t="shared" ca="1" si="32"/>
        <v>907248.49925505964</v>
      </c>
      <c r="Y25" s="7">
        <f t="shared" ca="1" si="32"/>
        <v>1164733.7065319885</v>
      </c>
      <c r="Z25" s="7">
        <f t="shared" ca="1" si="32"/>
        <v>1495295.5097149787</v>
      </c>
      <c r="AA25" s="7">
        <f t="shared" ca="1" si="32"/>
        <v>1919673.6978027604</v>
      </c>
      <c r="AB25" s="7">
        <f t="shared" ca="1" si="32"/>
        <v>2464494.1966943764</v>
      </c>
      <c r="AC25" s="7">
        <f t="shared" ca="1" si="32"/>
        <v>3163939.6072844006</v>
      </c>
    </row>
    <row r="26" spans="1:29" x14ac:dyDescent="0.25">
      <c r="B26" t="s">
        <v>185</v>
      </c>
      <c r="C26" s="6">
        <f>-41905</f>
        <v>-41905</v>
      </c>
      <c r="D26" s="6">
        <v>-115931</v>
      </c>
      <c r="E26" s="6">
        <v>-167001</v>
      </c>
      <c r="F26" s="6">
        <v>-223936</v>
      </c>
      <c r="G26" s="6">
        <v>-247195</v>
      </c>
      <c r="H26" s="6">
        <v>-261821</v>
      </c>
      <c r="I26" s="34">
        <f ca="1">I25*(-Assumptions!I57)</f>
        <v>-239735.43676925346</v>
      </c>
      <c r="J26" s="34">
        <f ca="1">J25*(-Assumptions!J57)</f>
        <v>-250908.58147047524</v>
      </c>
      <c r="K26" s="34">
        <f ca="1">K25*(-Assumptions!K57)</f>
        <v>-262602.46338183503</v>
      </c>
      <c r="L26" s="34">
        <f ca="1">L25*(-Assumptions!L57)</f>
        <v>-274841.35205763229</v>
      </c>
      <c r="M26" s="34">
        <f ca="1">M25*(-Assumptions!M57)</f>
        <v>-287650.64816255093</v>
      </c>
      <c r="N26" s="34">
        <f ca="1">N25*(-Assumptions!N57)</f>
        <v>-301056.93618835445</v>
      </c>
      <c r="Q26" t="s">
        <v>185</v>
      </c>
      <c r="R26" s="6">
        <f>-41905</f>
        <v>-41905</v>
      </c>
      <c r="S26" s="6">
        <v>-115931</v>
      </c>
      <c r="T26" s="6">
        <v>-167001</v>
      </c>
      <c r="U26" s="6">
        <v>-223936</v>
      </c>
      <c r="V26" s="6">
        <v>-247195</v>
      </c>
      <c r="W26" s="6">
        <v>-261821</v>
      </c>
      <c r="X26" s="34">
        <f ca="1">X25*(-Assumptions!I57)</f>
        <v>-294069.06401231163</v>
      </c>
      <c r="Y26" s="34">
        <f ca="1">Y25*(-Assumptions!J57)</f>
        <v>-377528.48440607893</v>
      </c>
      <c r="Z26" s="34">
        <f ca="1">Z25*(-Assumptions!K57)</f>
        <v>-484674.43189462402</v>
      </c>
      <c r="AA26" s="34">
        <f ca="1">AA25*(-Assumptions!L57)</f>
        <v>-622229.35390406789</v>
      </c>
      <c r="AB26" s="34">
        <f ca="1">AB25*(-Assumptions!M57)</f>
        <v>-798823.58833413897</v>
      </c>
      <c r="AC26" s="34">
        <f ca="1">AC25*(-Assumptions!N57)</f>
        <v>-1025536.8398730538</v>
      </c>
    </row>
    <row r="27" spans="1:29" ht="15.75" thickBot="1" x14ac:dyDescent="0.3">
      <c r="B27" s="96" t="s">
        <v>178</v>
      </c>
      <c r="C27" s="105">
        <f>SUM(C25:C26)</f>
        <v>188603</v>
      </c>
      <c r="D27" s="105">
        <f t="shared" ref="D27:N27" si="33">SUM(D25:D26)</f>
        <v>313297</v>
      </c>
      <c r="E27" s="105">
        <f t="shared" si="33"/>
        <v>298195</v>
      </c>
      <c r="F27" s="105">
        <f t="shared" si="33"/>
        <v>313402</v>
      </c>
      <c r="G27" s="105">
        <f t="shared" si="33"/>
        <v>465844</v>
      </c>
      <c r="H27" s="105">
        <f t="shared" si="33"/>
        <v>444864</v>
      </c>
      <c r="I27" s="105">
        <f t="shared" ca="1" si="33"/>
        <v>499885.42732155579</v>
      </c>
      <c r="J27" s="105">
        <f t="shared" ca="1" si="33"/>
        <v>523183.16039249807</v>
      </c>
      <c r="K27" s="105">
        <f t="shared" ca="1" si="33"/>
        <v>547566.7110059784</v>
      </c>
      <c r="L27" s="105">
        <f t="shared" ca="1" si="33"/>
        <v>573086.68493261375</v>
      </c>
      <c r="M27" s="105">
        <f t="shared" ca="1" si="33"/>
        <v>599796.0464829409</v>
      </c>
      <c r="N27" s="105">
        <f t="shared" ca="1" si="33"/>
        <v>627750.22842987184</v>
      </c>
      <c r="Q27" s="96" t="s">
        <v>178</v>
      </c>
      <c r="R27" s="105">
        <f>SUM(R25:R26)</f>
        <v>188603</v>
      </c>
      <c r="S27" s="105">
        <f t="shared" ref="S27:AC27" si="34">SUM(S25:S26)</f>
        <v>313297</v>
      </c>
      <c r="T27" s="105">
        <f t="shared" si="34"/>
        <v>298195</v>
      </c>
      <c r="U27" s="105">
        <f t="shared" si="34"/>
        <v>313402</v>
      </c>
      <c r="V27" s="105">
        <f t="shared" si="34"/>
        <v>465844</v>
      </c>
      <c r="W27" s="105">
        <f t="shared" si="34"/>
        <v>444864</v>
      </c>
      <c r="X27" s="105">
        <f t="shared" ca="1" si="34"/>
        <v>613179.435242748</v>
      </c>
      <c r="Y27" s="105">
        <f t="shared" ca="1" si="34"/>
        <v>787205.22212590952</v>
      </c>
      <c r="Z27" s="105">
        <f t="shared" ca="1" si="34"/>
        <v>1010621.0778203547</v>
      </c>
      <c r="AA27" s="105">
        <f t="shared" ca="1" si="34"/>
        <v>1297444.3438986926</v>
      </c>
      <c r="AB27" s="105">
        <f t="shared" ca="1" si="34"/>
        <v>1665670.6083602374</v>
      </c>
      <c r="AC27" s="105">
        <f t="shared" ca="1" si="34"/>
        <v>2138402.7674113465</v>
      </c>
    </row>
    <row r="28" spans="1:29" ht="15.75" thickTop="1" x14ac:dyDescent="0.25">
      <c r="I28" s="42">
        <f ca="1">I26-H26</f>
        <v>22085.563230746542</v>
      </c>
      <c r="J28" s="42">
        <f t="shared" ref="J28:N28" ca="1" si="35">J26-I26</f>
        <v>-11173.144701221783</v>
      </c>
      <c r="K28" s="42">
        <f t="shared" ca="1" si="35"/>
        <v>-11693.881911359786</v>
      </c>
      <c r="L28" s="42">
        <f t="shared" ca="1" si="35"/>
        <v>-12238.888675797265</v>
      </c>
      <c r="M28" s="42">
        <f t="shared" ca="1" si="35"/>
        <v>-12809.296104918642</v>
      </c>
      <c r="N28" s="42">
        <f t="shared" ca="1" si="35"/>
        <v>-13406.288025803515</v>
      </c>
    </row>
    <row r="30" spans="1:29" x14ac:dyDescent="0.25">
      <c r="A30" t="s">
        <v>23</v>
      </c>
      <c r="B30" s="84" t="s">
        <v>190</v>
      </c>
      <c r="C30" s="107">
        <v>2019</v>
      </c>
      <c r="D30" s="107">
        <f>C30+1</f>
        <v>2020</v>
      </c>
      <c r="E30" s="107">
        <f t="shared" ref="E30" si="36">D30+1</f>
        <v>2021</v>
      </c>
      <c r="F30" s="107">
        <f t="shared" ref="F30" si="37">E30+1</f>
        <v>2022</v>
      </c>
      <c r="G30" s="107">
        <f t="shared" ref="G30" si="38">F30+1</f>
        <v>2023</v>
      </c>
      <c r="H30" s="107">
        <f t="shared" ref="H30" si="39">G30+1</f>
        <v>2024</v>
      </c>
      <c r="I30" s="109">
        <v>2025</v>
      </c>
      <c r="J30" s="109">
        <v>2026</v>
      </c>
      <c r="K30" s="109">
        <v>2027</v>
      </c>
      <c r="L30" s="109">
        <v>2028</v>
      </c>
      <c r="M30" s="109">
        <v>2029</v>
      </c>
      <c r="N30" s="109">
        <v>2030</v>
      </c>
      <c r="Q30" t="s">
        <v>286</v>
      </c>
      <c r="S30" s="63">
        <f>(S25/R25)-1</f>
        <v>0.862095892550367</v>
      </c>
      <c r="T30" s="63">
        <f t="shared" ref="T30:W30" si="40">(T25/S25)-1</f>
        <v>8.3796956396134492E-2</v>
      </c>
      <c r="U30" s="63">
        <f t="shared" si="40"/>
        <v>0.15507871950747631</v>
      </c>
      <c r="V30" s="63">
        <f t="shared" si="40"/>
        <v>0.32698413289214612</v>
      </c>
      <c r="W30" s="63">
        <f t="shared" si="40"/>
        <v>-8.9111535273667108E-3</v>
      </c>
      <c r="X30" s="91">
        <f t="shared" ref="X30:AC30" ca="1" si="41">OFFSET(X30,MATCH(S,$W$31:$W$33,0),0)</f>
        <v>0.28380890956375143</v>
      </c>
      <c r="Y30" s="92">
        <f t="shared" ca="1" si="41"/>
        <v>0.28380890956375143</v>
      </c>
      <c r="Z30" s="92">
        <f t="shared" ca="1" si="41"/>
        <v>0.28380890956375143</v>
      </c>
      <c r="AA30" s="92">
        <f t="shared" ca="1" si="41"/>
        <v>0.28380890956375143</v>
      </c>
      <c r="AB30" s="92">
        <f t="shared" ca="1" si="41"/>
        <v>0.28380890956375143</v>
      </c>
      <c r="AC30" s="93">
        <f t="shared" ca="1" si="41"/>
        <v>0.28380890956375143</v>
      </c>
    </row>
    <row r="31" spans="1:29" x14ac:dyDescent="0.25">
      <c r="B31" s="2" t="s">
        <v>25</v>
      </c>
      <c r="C31" s="21"/>
      <c r="D31" s="21"/>
      <c r="E31" s="21"/>
      <c r="F31" s="21"/>
      <c r="G31" s="21"/>
      <c r="H31" s="21"/>
      <c r="W31" t="s">
        <v>143</v>
      </c>
      <c r="X31" s="63">
        <f>AVERAGE($S$30:$W$30)</f>
        <v>0.28380890956375143</v>
      </c>
      <c r="Y31" s="63">
        <f t="shared" ref="Y31:AC31" si="42">AVERAGE($S$30:$W$30)</f>
        <v>0.28380890956375143</v>
      </c>
      <c r="Z31" s="63">
        <f t="shared" si="42"/>
        <v>0.28380890956375143</v>
      </c>
      <c r="AA31" s="63">
        <f t="shared" si="42"/>
        <v>0.28380890956375143</v>
      </c>
      <c r="AB31" s="63">
        <f t="shared" si="42"/>
        <v>0.28380890956375143</v>
      </c>
      <c r="AC31" s="63">
        <f t="shared" si="42"/>
        <v>0.28380890956375143</v>
      </c>
    </row>
    <row r="32" spans="1:29" x14ac:dyDescent="0.25">
      <c r="B32" t="s">
        <v>69</v>
      </c>
      <c r="C32" s="52">
        <v>275756</v>
      </c>
      <c r="D32" s="52">
        <v>275756</v>
      </c>
      <c r="E32" s="52">
        <v>223412</v>
      </c>
      <c r="F32" s="52">
        <v>135213</v>
      </c>
      <c r="G32" s="52">
        <v>98202</v>
      </c>
      <c r="H32" s="52">
        <v>148397</v>
      </c>
      <c r="I32" s="34">
        <f ca="1">H32*(1+Assumptions!I62)</f>
        <v>155313.21220697172</v>
      </c>
      <c r="J32" s="34">
        <f ca="1">I32*(1+Assumptions!J62)</f>
        <v>162551.76240791814</v>
      </c>
      <c r="K32" s="34">
        <f ca="1">J32*(1+Assumptions!K62)</f>
        <v>170127.67353435876</v>
      </c>
      <c r="L32" s="34">
        <f ca="1">K32*(1+Assumptions!L62)</f>
        <v>178056.66867874868</v>
      </c>
      <c r="M32" s="34">
        <f ca="1">L32*(1+Assumptions!M62)</f>
        <v>186355.20372628118</v>
      </c>
      <c r="N32" s="34">
        <f ca="1">M32*(1+Assumptions!N62)</f>
        <v>195040.50150753287</v>
      </c>
      <c r="W32" t="s">
        <v>145</v>
      </c>
      <c r="X32">
        <f>MAX($S$30:$W$30)/2</f>
        <v>0.4310479462751835</v>
      </c>
      <c r="Y32">
        <f t="shared" ref="Y32:AC32" si="43">MAX($S$30:$W$30)/2</f>
        <v>0.4310479462751835</v>
      </c>
      <c r="Z32">
        <f t="shared" si="43"/>
        <v>0.4310479462751835</v>
      </c>
      <c r="AA32">
        <f t="shared" si="43"/>
        <v>0.4310479462751835</v>
      </c>
      <c r="AB32">
        <f t="shared" si="43"/>
        <v>0.4310479462751835</v>
      </c>
      <c r="AC32">
        <f t="shared" si="43"/>
        <v>0.4310479462751835</v>
      </c>
    </row>
    <row r="33" spans="1:29" x14ac:dyDescent="0.25">
      <c r="C33" s="52"/>
      <c r="D33" s="52"/>
      <c r="E33" s="52"/>
      <c r="F33" s="52"/>
      <c r="G33" s="52"/>
      <c r="H33" s="52"/>
      <c r="I33" s="34"/>
      <c r="J33" s="34"/>
      <c r="K33" s="34"/>
      <c r="L33" s="34"/>
      <c r="M33" s="34"/>
      <c r="N33" s="34"/>
      <c r="W33" t="s">
        <v>148</v>
      </c>
      <c r="X33" s="63" cm="1">
        <f t="array" ref="X33">MIN(IF($S$30:$W$30&gt;0.1,$S$30:$W$30))</f>
        <v>0.15507871950747631</v>
      </c>
      <c r="Y33" s="63" cm="1">
        <f t="array" ref="Y33">MIN(IF($S$30:$W$30&gt;0.1,$S$30:$W$30))</f>
        <v>0.15507871950747631</v>
      </c>
      <c r="Z33" s="63" cm="1">
        <f t="array" ref="Z33">MIN(IF($S$30:$W$30&gt;0.1,$S$30:$W$30))</f>
        <v>0.15507871950747631</v>
      </c>
      <c r="AA33" s="63" cm="1">
        <f t="array" ref="AA33">MIN(IF($S$30:$W$30&gt;0.1,$S$30:$W$30))</f>
        <v>0.15507871950747631</v>
      </c>
      <c r="AB33" s="63" cm="1">
        <f t="array" ref="AB33">MIN(IF($S$30:$W$30&gt;0.1,$S$30:$W$30))</f>
        <v>0.15507871950747631</v>
      </c>
      <c r="AC33" s="63" cm="1">
        <f t="array" ref="AC33">MIN(IF($S$30:$W$30&gt;0.1,$S$30:$W$30))</f>
        <v>0.15507871950747631</v>
      </c>
    </row>
    <row r="34" spans="1:29" x14ac:dyDescent="0.25">
      <c r="B34" s="2" t="s">
        <v>191</v>
      </c>
      <c r="C34" s="52"/>
      <c r="D34" s="52"/>
      <c r="E34" s="52"/>
      <c r="F34" s="52"/>
      <c r="G34" s="52"/>
      <c r="H34" s="52"/>
      <c r="I34" s="34"/>
      <c r="J34" s="34"/>
      <c r="K34" s="34"/>
      <c r="L34" s="34"/>
      <c r="M34" s="34"/>
      <c r="N34" s="34"/>
    </row>
    <row r="35" spans="1:29" x14ac:dyDescent="0.25">
      <c r="B35" t="s">
        <v>192</v>
      </c>
      <c r="C35" s="52">
        <v>94199</v>
      </c>
      <c r="D35" s="52">
        <v>49291</v>
      </c>
      <c r="E35" s="52">
        <v>53765</v>
      </c>
      <c r="F35" s="52">
        <v>45803</v>
      </c>
      <c r="G35" s="52">
        <v>45556</v>
      </c>
      <c r="H35" s="6">
        <v>25192</v>
      </c>
      <c r="I35" s="34">
        <f ca="1">H35*(1+Assumptions!I62)</f>
        <v>26366.102023073458</v>
      </c>
      <c r="J35" s="34">
        <f ca="1">I35*(1+Assumptions!J62)</f>
        <v>27594.924416128859</v>
      </c>
      <c r="K35" s="34">
        <f ca="1">J35*(1+Assumptions!K62)</f>
        <v>28881.017484703647</v>
      </c>
      <c r="L35" s="34">
        <f ca="1">K35*(1+Assumptions!L62)</f>
        <v>30227.050394246773</v>
      </c>
      <c r="M35" s="34">
        <f ca="1">L35*(1+Assumptions!M62)</f>
        <v>31635.816709721068</v>
      </c>
      <c r="N35" s="34">
        <f ca="1">M35*(1+Assumptions!N62)</f>
        <v>33110.240193385114</v>
      </c>
      <c r="X35" s="111">
        <f ca="1">X27-W27</f>
        <v>168315.435242748</v>
      </c>
    </row>
    <row r="36" spans="1:29" x14ac:dyDescent="0.25">
      <c r="B36" t="s">
        <v>193</v>
      </c>
      <c r="C36" s="52">
        <v>382077</v>
      </c>
      <c r="D36" s="52">
        <v>265803</v>
      </c>
      <c r="E36" s="52">
        <v>210232</v>
      </c>
      <c r="F36" s="52">
        <v>176356</v>
      </c>
      <c r="G36" s="52">
        <v>134102</v>
      </c>
      <c r="H36" s="52">
        <v>152074</v>
      </c>
      <c r="I36" s="34">
        <f ca="1">H36*(1+Assumptions!I62)</f>
        <v>159161.58300479807</v>
      </c>
      <c r="J36" s="34">
        <f ca="1">I36*(1+Assumptions!J62)</f>
        <v>166579.49093594713</v>
      </c>
      <c r="K36" s="34">
        <f ca="1">J36*(1+Assumptions!K62)</f>
        <v>174343.1189651009</v>
      </c>
      <c r="L36" s="34">
        <f ca="1">K36*(1+Assumptions!L62)</f>
        <v>182468.57977352664</v>
      </c>
      <c r="M36" s="34">
        <f ca="1">L36*(1+Assumptions!M62)</f>
        <v>190972.73699246274</v>
      </c>
      <c r="N36" s="34">
        <f ca="1">M36*(1+Assumptions!N62)</f>
        <v>199873.24020200249</v>
      </c>
    </row>
    <row r="37" spans="1:29" x14ac:dyDescent="0.25">
      <c r="B37" s="106" t="s">
        <v>194</v>
      </c>
      <c r="C37" s="110">
        <f>SUM(C35:C36)</f>
        <v>476276</v>
      </c>
      <c r="D37" s="110">
        <f t="shared" ref="D37:H37" si="44">SUM(D35:D36)</f>
        <v>315094</v>
      </c>
      <c r="E37" s="110">
        <f t="shared" si="44"/>
        <v>263997</v>
      </c>
      <c r="F37" s="110">
        <f t="shared" si="44"/>
        <v>222159</v>
      </c>
      <c r="G37" s="110">
        <f t="shared" si="44"/>
        <v>179658</v>
      </c>
      <c r="H37" s="110">
        <f t="shared" si="44"/>
        <v>177266</v>
      </c>
      <c r="I37" s="110">
        <f t="shared" ref="I37:N37" ca="1" si="45">SUM(I35:I36)</f>
        <v>185527.68502787151</v>
      </c>
      <c r="J37" s="110">
        <f t="shared" ca="1" si="45"/>
        <v>194174.415352076</v>
      </c>
      <c r="K37" s="110">
        <f t="shared" ca="1" si="45"/>
        <v>203224.13644980456</v>
      </c>
      <c r="L37" s="110">
        <f t="shared" ca="1" si="45"/>
        <v>212695.6301677734</v>
      </c>
      <c r="M37" s="110">
        <f t="shared" ca="1" si="45"/>
        <v>222608.55370218382</v>
      </c>
      <c r="N37" s="110">
        <f t="shared" ca="1" si="45"/>
        <v>232983.4803953876</v>
      </c>
    </row>
    <row r="38" spans="1:29" ht="15.75" thickBot="1" x14ac:dyDescent="0.3">
      <c r="B38" s="53" t="s">
        <v>195</v>
      </c>
      <c r="C38" s="105">
        <f>SUM(C37,C32)</f>
        <v>752032</v>
      </c>
      <c r="D38" s="105">
        <f t="shared" ref="D38:H38" si="46">SUM(D37,D32)</f>
        <v>590850</v>
      </c>
      <c r="E38" s="105">
        <f t="shared" si="46"/>
        <v>487409</v>
      </c>
      <c r="F38" s="105">
        <f t="shared" si="46"/>
        <v>357372</v>
      </c>
      <c r="G38" s="105">
        <f t="shared" si="46"/>
        <v>277860</v>
      </c>
      <c r="H38" s="105">
        <f t="shared" si="46"/>
        <v>325663</v>
      </c>
      <c r="I38" s="105">
        <f t="shared" ref="I38:N38" ca="1" si="47">SUM(I37,I32)</f>
        <v>340840.89723484323</v>
      </c>
      <c r="J38" s="105">
        <f t="shared" ca="1" si="47"/>
        <v>356726.17775999417</v>
      </c>
      <c r="K38" s="105">
        <f t="shared" ca="1" si="47"/>
        <v>373351.80998416332</v>
      </c>
      <c r="L38" s="105">
        <f t="shared" ca="1" si="47"/>
        <v>390752.29884652211</v>
      </c>
      <c r="M38" s="105">
        <f t="shared" ca="1" si="47"/>
        <v>408963.757428465</v>
      </c>
      <c r="N38" s="105">
        <f t="shared" ca="1" si="47"/>
        <v>428023.98190292047</v>
      </c>
    </row>
    <row r="39" spans="1:29" ht="15.75" thickTop="1" x14ac:dyDescent="0.25">
      <c r="B39" s="2"/>
      <c r="C39" s="117"/>
      <c r="D39" s="117"/>
      <c r="E39" s="117"/>
      <c r="F39" s="117"/>
      <c r="G39" s="117"/>
      <c r="H39" s="117"/>
      <c r="I39" s="117"/>
      <c r="J39" s="117"/>
      <c r="K39" s="117"/>
      <c r="L39" s="117"/>
      <c r="M39" s="117"/>
      <c r="N39" s="117"/>
    </row>
    <row r="40" spans="1:29" x14ac:dyDescent="0.25">
      <c r="B40" s="14"/>
      <c r="C40" s="6"/>
      <c r="D40" s="6"/>
      <c r="E40" s="6"/>
      <c r="F40" s="6"/>
      <c r="G40" s="6"/>
      <c r="H40" s="6"/>
      <c r="I40" s="117"/>
      <c r="J40" s="117"/>
      <c r="K40" s="117"/>
      <c r="L40" s="117"/>
      <c r="M40" s="117"/>
      <c r="N40" s="117"/>
    </row>
    <row r="41" spans="1:29" x14ac:dyDescent="0.25">
      <c r="I41" s="111"/>
    </row>
    <row r="42" spans="1:29" x14ac:dyDescent="0.25">
      <c r="A42" t="s">
        <v>23</v>
      </c>
      <c r="B42" s="84" t="s">
        <v>196</v>
      </c>
      <c r="C42" s="107">
        <v>2019</v>
      </c>
      <c r="D42" s="107">
        <f>C42+1</f>
        <v>2020</v>
      </c>
      <c r="E42" s="107">
        <f t="shared" ref="E42" si="48">D42+1</f>
        <v>2021</v>
      </c>
      <c r="F42" s="107">
        <f t="shared" ref="F42" si="49">E42+1</f>
        <v>2022</v>
      </c>
      <c r="G42" s="107">
        <f t="shared" ref="G42" si="50">F42+1</f>
        <v>2023</v>
      </c>
      <c r="H42" s="108">
        <f t="shared" ref="H42" si="51">G42+1</f>
        <v>2024</v>
      </c>
      <c r="I42" s="109">
        <v>2025</v>
      </c>
      <c r="J42" s="109">
        <v>2026</v>
      </c>
      <c r="K42" s="109">
        <v>2027</v>
      </c>
      <c r="L42" s="109">
        <v>2028</v>
      </c>
      <c r="M42" s="109">
        <v>2029</v>
      </c>
      <c r="N42" s="109">
        <v>2030</v>
      </c>
    </row>
    <row r="43" spans="1:29" x14ac:dyDescent="0.25">
      <c r="B43" s="2" t="s">
        <v>25</v>
      </c>
      <c r="C43" s="21"/>
      <c r="D43" s="21"/>
      <c r="E43" s="21"/>
      <c r="F43" s="21"/>
      <c r="G43" s="21"/>
      <c r="H43" s="21"/>
    </row>
    <row r="44" spans="1:29" x14ac:dyDescent="0.25">
      <c r="B44" t="s">
        <v>197</v>
      </c>
      <c r="C44" s="21">
        <v>0</v>
      </c>
      <c r="D44" s="21">
        <v>28108</v>
      </c>
      <c r="E44" s="21">
        <v>26802</v>
      </c>
      <c r="F44" s="21">
        <v>32887</v>
      </c>
      <c r="G44" s="21">
        <v>80933</v>
      </c>
      <c r="H44" s="34">
        <v>79704</v>
      </c>
      <c r="I44" s="34">
        <f ca="1">H44*(1+Assumptions!I92)</f>
        <v>84442.564662853518</v>
      </c>
      <c r="J44" s="34">
        <f ca="1">I44*(1+Assumptions!J92)</f>
        <v>89462.846617989024</v>
      </c>
      <c r="K44" s="34">
        <f ca="1">J44*(1+Assumptions!K92)</f>
        <v>94781.594530544069</v>
      </c>
      <c r="L44" s="34">
        <f ca="1">K44*(1+Assumptions!L92)</f>
        <v>100416.55280781179</v>
      </c>
      <c r="M44" s="34">
        <f ca="1">L44*(1+Assumptions!M92)</f>
        <v>106386.52079813425</v>
      </c>
      <c r="N44" s="34">
        <f ca="1">M44*(1+Assumptions!N92)</f>
        <v>112711.41550929015</v>
      </c>
    </row>
    <row r="45" spans="1:29" x14ac:dyDescent="0.25">
      <c r="C45" s="21"/>
      <c r="D45" s="21"/>
      <c r="E45" s="21"/>
      <c r="F45" s="21"/>
      <c r="G45" s="21"/>
      <c r="H45" s="21"/>
      <c r="I45" s="34"/>
      <c r="J45" s="34"/>
      <c r="K45" s="34"/>
      <c r="L45" s="34"/>
      <c r="M45" s="34"/>
      <c r="N45" s="34"/>
    </row>
    <row r="46" spans="1:29" x14ac:dyDescent="0.25">
      <c r="B46" s="2" t="s">
        <v>198</v>
      </c>
      <c r="C46" s="21"/>
      <c r="D46" s="21"/>
      <c r="E46" s="21"/>
      <c r="F46" s="21"/>
      <c r="G46" s="21"/>
      <c r="H46" s="21"/>
      <c r="I46" s="34"/>
      <c r="J46" s="34"/>
      <c r="K46" s="34"/>
      <c r="L46" s="34"/>
      <c r="M46" s="34"/>
      <c r="N46" s="34"/>
    </row>
    <row r="47" spans="1:29" x14ac:dyDescent="0.25">
      <c r="B47" t="s">
        <v>199</v>
      </c>
      <c r="C47" s="21">
        <v>0</v>
      </c>
      <c r="D47" s="21">
        <v>20795</v>
      </c>
      <c r="E47" s="21">
        <v>13556</v>
      </c>
      <c r="F47" s="21">
        <v>15053</v>
      </c>
      <c r="G47" s="21">
        <v>25193</v>
      </c>
      <c r="H47" s="34">
        <v>31268</v>
      </c>
      <c r="I47" s="34">
        <f ca="1">H47*(1+Assumptions!I92)</f>
        <v>33126.946099042754</v>
      </c>
      <c r="J47" s="34">
        <f ca="1">I47*(1+Assumptions!J92)</f>
        <v>35096.41031882065</v>
      </c>
      <c r="K47" s="34">
        <f ca="1">J47*(1+Assumptions!K92)</f>
        <v>37182.963186051544</v>
      </c>
      <c r="L47" s="34">
        <f ca="1">K47*(1+Assumptions!L92)</f>
        <v>39393.565858610098</v>
      </c>
      <c r="M47" s="34">
        <f ca="1">L47*(1+Assumptions!M92)</f>
        <v>41735.59334934334</v>
      </c>
      <c r="N47" s="34">
        <f ca="1">M47*(1+Assumptions!N92)</f>
        <v>44216.859130589233</v>
      </c>
    </row>
    <row r="48" spans="1:29" x14ac:dyDescent="0.25">
      <c r="B48" t="s">
        <v>200</v>
      </c>
      <c r="C48" s="21">
        <v>0</v>
      </c>
      <c r="D48" s="21">
        <v>6593</v>
      </c>
      <c r="E48" s="21">
        <v>14242</v>
      </c>
      <c r="F48" s="21">
        <v>19921</v>
      </c>
      <c r="G48" s="21">
        <v>61321</v>
      </c>
      <c r="H48" s="21">
        <v>54351</v>
      </c>
      <c r="I48" s="34">
        <f ca="1">H48*(1+Assumptions!I92)</f>
        <v>57582.277325990559</v>
      </c>
      <c r="J48" s="34">
        <f ca="1">I48*(1+Assumptions!J92)</f>
        <v>61005.660651088045</v>
      </c>
      <c r="K48" s="34">
        <f ca="1">J48*(1+Assumptions!K92)</f>
        <v>64632.571067068158</v>
      </c>
      <c r="L48" s="34">
        <f ca="1">K48*(1+Assumptions!L92)</f>
        <v>68475.108672806615</v>
      </c>
      <c r="M48" s="34">
        <f ca="1">L48*(1+Assumptions!M92)</f>
        <v>72546.092942630159</v>
      </c>
      <c r="N48" s="34">
        <f ca="1">M48*(1+Assumptions!N92)</f>
        <v>76859.105494648058</v>
      </c>
    </row>
    <row r="49" spans="1:14" x14ac:dyDescent="0.25">
      <c r="B49" s="106" t="s">
        <v>201</v>
      </c>
      <c r="C49" s="110">
        <f>SUM(C47:C48)</f>
        <v>0</v>
      </c>
      <c r="D49" s="110">
        <f t="shared" ref="D49:H49" si="52">SUM(D47:D48)</f>
        <v>27388</v>
      </c>
      <c r="E49" s="110">
        <f t="shared" si="52"/>
        <v>27798</v>
      </c>
      <c r="F49" s="110">
        <f t="shared" si="52"/>
        <v>34974</v>
      </c>
      <c r="G49" s="110">
        <f t="shared" si="52"/>
        <v>86514</v>
      </c>
      <c r="H49" s="110">
        <f t="shared" si="52"/>
        <v>85619</v>
      </c>
      <c r="I49" s="110">
        <f t="shared" ref="I49:N49" ca="1" si="53">SUM(I47:I48)</f>
        <v>90709.223425033313</v>
      </c>
      <c r="J49" s="110">
        <f t="shared" ca="1" si="53"/>
        <v>96102.070969908702</v>
      </c>
      <c r="K49" s="110">
        <f t="shared" ca="1" si="53"/>
        <v>101815.53425311969</v>
      </c>
      <c r="L49" s="110">
        <f t="shared" ca="1" si="53"/>
        <v>107868.67453141671</v>
      </c>
      <c r="M49" s="110">
        <f t="shared" ca="1" si="53"/>
        <v>114281.6862919735</v>
      </c>
      <c r="N49" s="110">
        <f t="shared" ca="1" si="53"/>
        <v>121075.96462523729</v>
      </c>
    </row>
    <row r="50" spans="1:14" ht="15.75" thickBot="1" x14ac:dyDescent="0.3">
      <c r="B50" s="53" t="s">
        <v>202</v>
      </c>
      <c r="C50" s="105">
        <f>SUM(C49,C44)</f>
        <v>0</v>
      </c>
      <c r="D50" s="105">
        <f t="shared" ref="D50:H50" si="54">SUM(D49,D44)</f>
        <v>55496</v>
      </c>
      <c r="E50" s="105">
        <f t="shared" si="54"/>
        <v>54600</v>
      </c>
      <c r="F50" s="105">
        <f t="shared" si="54"/>
        <v>67861</v>
      </c>
      <c r="G50" s="105">
        <f t="shared" si="54"/>
        <v>167447</v>
      </c>
      <c r="H50" s="105">
        <f t="shared" si="54"/>
        <v>165323</v>
      </c>
      <c r="I50" s="105">
        <f t="shared" ref="I50:N50" ca="1" si="55">SUM(I49,I44)</f>
        <v>175151.78808788682</v>
      </c>
      <c r="J50" s="105">
        <f t="shared" ca="1" si="55"/>
        <v>185564.91758789774</v>
      </c>
      <c r="K50" s="105">
        <f t="shared" ca="1" si="55"/>
        <v>196597.12878366376</v>
      </c>
      <c r="L50" s="105">
        <f t="shared" ca="1" si="55"/>
        <v>208285.2273392285</v>
      </c>
      <c r="M50" s="105">
        <f t="shared" ca="1" si="55"/>
        <v>220668.20709010775</v>
      </c>
      <c r="N50" s="105">
        <f t="shared" ca="1" si="55"/>
        <v>233787.38013452746</v>
      </c>
    </row>
    <row r="51" spans="1:14" ht="15.75" thickTop="1" x14ac:dyDescent="0.25">
      <c r="B51" s="2"/>
      <c r="C51" s="117"/>
      <c r="D51" s="117"/>
      <c r="E51" s="117"/>
      <c r="F51" s="117"/>
      <c r="G51" s="117"/>
      <c r="H51" s="117"/>
      <c r="I51" s="117"/>
      <c r="J51" s="117"/>
      <c r="K51" s="117"/>
      <c r="L51" s="117"/>
      <c r="M51" s="117"/>
      <c r="N51" s="117"/>
    </row>
    <row r="52" spans="1:14" x14ac:dyDescent="0.25">
      <c r="B52" s="2" t="s">
        <v>214</v>
      </c>
      <c r="C52" s="117"/>
      <c r="D52" s="117">
        <f>'3_Statement_Model'!B70</f>
        <v>3857</v>
      </c>
      <c r="E52" s="117">
        <f>'3_Statement_Model'!C70</f>
        <v>18291</v>
      </c>
      <c r="F52" s="117">
        <f>'3_Statement_Model'!D70</f>
        <v>50905</v>
      </c>
      <c r="G52" s="117">
        <f>'3_Statement_Model'!E70</f>
        <v>55637</v>
      </c>
      <c r="H52" s="117">
        <f>'3_Statement_Model'!F70</f>
        <v>87924</v>
      </c>
      <c r="I52" s="117">
        <f ca="1">SUM(I53:I54)</f>
        <v>73312.777325990552</v>
      </c>
      <c r="J52" s="117">
        <f t="shared" ref="J52:N52" ca="1" si="56">SUM(J53:J54)</f>
        <v>76736.160651088052</v>
      </c>
      <c r="K52" s="117">
        <f t="shared" ca="1" si="56"/>
        <v>82699.371067068161</v>
      </c>
      <c r="L52" s="117">
        <f t="shared" ca="1" si="56"/>
        <v>83958.468672806615</v>
      </c>
      <c r="M52" s="117">
        <f t="shared" ca="1" si="56"/>
        <v>92262.924942630169</v>
      </c>
      <c r="N52" s="117">
        <f t="shared" ca="1" si="56"/>
        <v>93804.703894648061</v>
      </c>
    </row>
    <row r="53" spans="1:14" x14ac:dyDescent="0.25">
      <c r="B53" t="s">
        <v>200</v>
      </c>
      <c r="C53" s="117"/>
      <c r="D53" s="117"/>
      <c r="E53" s="21">
        <f>E48</f>
        <v>14242</v>
      </c>
      <c r="F53" s="21">
        <f t="shared" ref="F53:N53" si="57">F48</f>
        <v>19921</v>
      </c>
      <c r="G53" s="21">
        <f t="shared" si="57"/>
        <v>61321</v>
      </c>
      <c r="H53" s="21">
        <f t="shared" si="57"/>
        <v>54351</v>
      </c>
      <c r="I53" s="21">
        <f t="shared" ca="1" si="57"/>
        <v>57582.277325990559</v>
      </c>
      <c r="J53" s="21">
        <f t="shared" ca="1" si="57"/>
        <v>61005.660651088045</v>
      </c>
      <c r="K53" s="21">
        <f t="shared" ca="1" si="57"/>
        <v>64632.571067068158</v>
      </c>
      <c r="L53" s="21">
        <f t="shared" ca="1" si="57"/>
        <v>68475.108672806615</v>
      </c>
      <c r="M53" s="21">
        <f t="shared" ca="1" si="57"/>
        <v>72546.092942630159</v>
      </c>
      <c r="N53" s="21">
        <f t="shared" ca="1" si="57"/>
        <v>76859.105494648058</v>
      </c>
    </row>
    <row r="54" spans="1:14" x14ac:dyDescent="0.25">
      <c r="B54" t="s">
        <v>215</v>
      </c>
      <c r="C54" s="117"/>
      <c r="D54" s="117"/>
      <c r="E54" s="21">
        <f>E52-E48</f>
        <v>4049</v>
      </c>
      <c r="F54" s="21">
        <f t="shared" ref="F54:H54" si="58">F52-F48</f>
        <v>30984</v>
      </c>
      <c r="G54" s="21">
        <f t="shared" si="58"/>
        <v>-5684</v>
      </c>
      <c r="H54" s="21">
        <f t="shared" si="58"/>
        <v>33573</v>
      </c>
      <c r="I54" s="117">
        <f>AVERAGE(D54:H54)</f>
        <v>15730.5</v>
      </c>
      <c r="J54" s="117">
        <f t="shared" ref="J54:N54" si="59">AVERAGE(E54:I54)</f>
        <v>15730.5</v>
      </c>
      <c r="K54" s="117">
        <f t="shared" si="59"/>
        <v>18066.8</v>
      </c>
      <c r="L54" s="117">
        <f t="shared" si="59"/>
        <v>15483.36</v>
      </c>
      <c r="M54" s="117">
        <f t="shared" si="59"/>
        <v>19716.832000000002</v>
      </c>
      <c r="N54" s="117">
        <f t="shared" si="59"/>
        <v>16945.598399999999</v>
      </c>
    </row>
    <row r="55" spans="1:14" x14ac:dyDescent="0.25">
      <c r="H55" s="21"/>
    </row>
    <row r="56" spans="1:14" x14ac:dyDescent="0.25">
      <c r="A56" t="s">
        <v>23</v>
      </c>
      <c r="B56" s="107" t="s">
        <v>34</v>
      </c>
      <c r="C56" s="107">
        <v>2019</v>
      </c>
      <c r="D56" s="107">
        <f>C56+1</f>
        <v>2020</v>
      </c>
      <c r="E56" s="107">
        <f t="shared" ref="E56" si="60">D56+1</f>
        <v>2021</v>
      </c>
      <c r="F56" s="107">
        <f t="shared" ref="F56" si="61">E56+1</f>
        <v>2022</v>
      </c>
      <c r="G56" s="107">
        <f t="shared" ref="G56" si="62">F56+1</f>
        <v>2023</v>
      </c>
      <c r="H56" s="109">
        <f t="shared" ref="H56" si="63">G56+1</f>
        <v>2024</v>
      </c>
      <c r="I56" s="109">
        <v>2025</v>
      </c>
      <c r="J56" s="109">
        <v>2026</v>
      </c>
      <c r="K56" s="109">
        <v>2027</v>
      </c>
      <c r="L56" s="109">
        <v>2028</v>
      </c>
      <c r="M56" s="109">
        <v>2029</v>
      </c>
      <c r="N56" s="109">
        <v>2030</v>
      </c>
    </row>
    <row r="57" spans="1:14" x14ac:dyDescent="0.25">
      <c r="B57" s="2" t="s">
        <v>204</v>
      </c>
      <c r="C57" s="6"/>
      <c r="D57" s="6"/>
      <c r="E57" s="6"/>
      <c r="F57" s="6"/>
      <c r="G57" s="6"/>
      <c r="H57" s="6"/>
    </row>
    <row r="58" spans="1:14" x14ac:dyDescent="0.25">
      <c r="B58" s="112" t="s">
        <v>205</v>
      </c>
      <c r="C58" s="6">
        <v>42887</v>
      </c>
      <c r="D58" s="6">
        <v>56086</v>
      </c>
      <c r="E58" s="6">
        <v>22151</v>
      </c>
      <c r="F58" s="6">
        <v>41262</v>
      </c>
      <c r="G58" s="6">
        <v>41568</v>
      </c>
      <c r="H58" s="6">
        <v>40477</v>
      </c>
      <c r="I58" s="34">
        <f ca="1">H58*(1+Assumptions!I67)</f>
        <v>42363.476960461427</v>
      </c>
      <c r="J58" s="34">
        <f ca="1">I58*(1+Assumptions!J67)</f>
        <v>44337.875341046674</v>
      </c>
      <c r="K58" s="34">
        <f ca="1">J58*(1+Assumptions!K67)</f>
        <v>46404.29282027427</v>
      </c>
      <c r="L58" s="34">
        <f ca="1">K58*(1+Assumptions!L67)</f>
        <v>48567.018053664913</v>
      </c>
      <c r="M58" s="34">
        <f ca="1">L58*(1+Assumptions!M67)</f>
        <v>50830.539574443457</v>
      </c>
      <c r="N58" s="34">
        <f ca="1">M58*(1+Assumptions!N67)</f>
        <v>53199.555109068315</v>
      </c>
    </row>
    <row r="59" spans="1:14" x14ac:dyDescent="0.25">
      <c r="B59" s="112" t="s">
        <v>206</v>
      </c>
      <c r="C59" s="6">
        <v>26309</v>
      </c>
      <c r="D59" s="6">
        <v>43434</v>
      </c>
      <c r="E59" s="6">
        <v>12643</v>
      </c>
      <c r="F59" s="6">
        <v>20424</v>
      </c>
      <c r="G59" s="6">
        <v>29540</v>
      </c>
      <c r="H59" s="6">
        <v>36683</v>
      </c>
      <c r="I59" s="34">
        <f ca="1">I61*I58</f>
        <v>28740.26740130872</v>
      </c>
      <c r="J59" s="34">
        <f t="shared" ref="J59:N59" ca="1" si="64">J61*J58</f>
        <v>30559.857497616111</v>
      </c>
      <c r="K59" s="34">
        <f t="shared" ca="1" si="64"/>
        <v>31325.438270806764</v>
      </c>
      <c r="L59" s="34">
        <f t="shared" ca="1" si="64"/>
        <v>33629.575573320668</v>
      </c>
      <c r="M59" s="34">
        <f t="shared" ca="1" si="64"/>
        <v>36869.696038585236</v>
      </c>
      <c r="N59" s="34">
        <f t="shared" ca="1" si="64"/>
        <v>38718.41205642042</v>
      </c>
    </row>
    <row r="60" spans="1:14" x14ac:dyDescent="0.25">
      <c r="B60" s="113" t="s">
        <v>207</v>
      </c>
      <c r="C60" s="8">
        <f>C58-C59</f>
        <v>16578</v>
      </c>
      <c r="D60" s="8">
        <f t="shared" ref="D60:N60" si="65">D58-D59</f>
        <v>12652</v>
      </c>
      <c r="E60" s="8">
        <f t="shared" si="65"/>
        <v>9508</v>
      </c>
      <c r="F60" s="8">
        <f t="shared" si="65"/>
        <v>20838</v>
      </c>
      <c r="G60" s="8">
        <f t="shared" si="65"/>
        <v>12028</v>
      </c>
      <c r="H60" s="8">
        <f t="shared" si="65"/>
        <v>3794</v>
      </c>
      <c r="I60" s="8">
        <f t="shared" ca="1" si="65"/>
        <v>13623.209559152707</v>
      </c>
      <c r="J60" s="8">
        <f t="shared" ca="1" si="65"/>
        <v>13778.017843430564</v>
      </c>
      <c r="K60" s="8">
        <f t="shared" ca="1" si="65"/>
        <v>15078.854549467505</v>
      </c>
      <c r="L60" s="8">
        <f t="shared" ca="1" si="65"/>
        <v>14937.442480344245</v>
      </c>
      <c r="M60" s="8">
        <f t="shared" ca="1" si="65"/>
        <v>13960.843535858221</v>
      </c>
      <c r="N60" s="8">
        <f t="shared" ca="1" si="65"/>
        <v>14481.143052647894</v>
      </c>
    </row>
    <row r="61" spans="1:14" x14ac:dyDescent="0.25">
      <c r="B61" s="36" t="s">
        <v>211</v>
      </c>
      <c r="C61" s="116">
        <f>C59/C58</f>
        <v>0.6134492969897638</v>
      </c>
      <c r="D61" s="116">
        <f t="shared" ref="D61:H61" si="66">D59/D58</f>
        <v>0.77441785828905607</v>
      </c>
      <c r="E61" s="116">
        <f t="shared" si="66"/>
        <v>0.5707642995801544</v>
      </c>
      <c r="F61" s="116">
        <f t="shared" si="66"/>
        <v>0.49498327759197325</v>
      </c>
      <c r="G61" s="116">
        <f t="shared" si="66"/>
        <v>0.71064280215550424</v>
      </c>
      <c r="H61" s="116">
        <f t="shared" si="66"/>
        <v>0.90626775699780127</v>
      </c>
      <c r="I61" s="116">
        <f>AVERAGE(C61:H61)</f>
        <v>0.67842088193404226</v>
      </c>
      <c r="J61" s="116">
        <f t="shared" ref="J61:N61" si="67">AVERAGE(D61:I61)</f>
        <v>0.68924947942475523</v>
      </c>
      <c r="K61" s="116">
        <f t="shared" si="67"/>
        <v>0.67505474961403833</v>
      </c>
      <c r="L61" s="116">
        <f t="shared" si="67"/>
        <v>0.69243649128635243</v>
      </c>
      <c r="M61" s="116">
        <f t="shared" si="67"/>
        <v>0.72534536023541563</v>
      </c>
      <c r="N61" s="116">
        <f t="shared" si="67"/>
        <v>0.72779578658206745</v>
      </c>
    </row>
    <row r="62" spans="1:14" x14ac:dyDescent="0.25">
      <c r="B62" s="44" t="s">
        <v>242</v>
      </c>
      <c r="C62" s="116"/>
      <c r="D62" s="116"/>
      <c r="E62" s="116"/>
      <c r="F62" s="116"/>
      <c r="G62" s="116"/>
      <c r="H62" s="116"/>
      <c r="I62" s="181">
        <f ca="1">I59-H59</f>
        <v>-7942.7325986912801</v>
      </c>
      <c r="J62" s="181">
        <f t="shared" ref="J62:N62" ca="1" si="68">J59-I59</f>
        <v>1819.5900963073909</v>
      </c>
      <c r="K62" s="181">
        <f t="shared" ca="1" si="68"/>
        <v>765.58077319065342</v>
      </c>
      <c r="L62" s="181">
        <f t="shared" ca="1" si="68"/>
        <v>2304.1373025139037</v>
      </c>
      <c r="M62" s="181">
        <f t="shared" ca="1" si="68"/>
        <v>3240.1204652645683</v>
      </c>
      <c r="N62" s="181">
        <f t="shared" ca="1" si="68"/>
        <v>1848.7160178351842</v>
      </c>
    </row>
    <row r="63" spans="1:14" x14ac:dyDescent="0.25">
      <c r="B63" s="114"/>
      <c r="C63" s="10"/>
      <c r="D63" s="10"/>
      <c r="E63" s="10"/>
      <c r="F63" s="10"/>
      <c r="G63" s="10"/>
      <c r="H63" s="10"/>
    </row>
    <row r="64" spans="1:14" x14ac:dyDescent="0.25">
      <c r="B64" s="2" t="s">
        <v>208</v>
      </c>
      <c r="C64" s="6"/>
      <c r="D64" s="6"/>
      <c r="E64" s="6"/>
      <c r="F64" s="6"/>
      <c r="G64" s="6"/>
      <c r="H64" s="6"/>
    </row>
    <row r="65" spans="1:14" x14ac:dyDescent="0.25">
      <c r="B65" s="112" t="s">
        <v>205</v>
      </c>
      <c r="C65" s="6">
        <v>79800</v>
      </c>
      <c r="D65" s="6">
        <v>79800</v>
      </c>
      <c r="E65" s="6">
        <v>79800</v>
      </c>
      <c r="F65" s="6">
        <v>100429</v>
      </c>
      <c r="G65" s="6">
        <v>100725</v>
      </c>
      <c r="H65" s="6">
        <v>99669</v>
      </c>
      <c r="I65" s="34">
        <f ca="1">H65*(1+Assumptions!I67)</f>
        <v>104314.1879381434</v>
      </c>
      <c r="J65" s="34">
        <f ca="1">I65*(1+Assumptions!J67)</f>
        <v>109175.87018224625</v>
      </c>
      <c r="K65" s="34">
        <f ca="1">J65*(1+Assumptions!K67)</f>
        <v>114264.13669748047</v>
      </c>
      <c r="L65" s="34">
        <f ca="1">K65*(1+Assumptions!L67)</f>
        <v>119589.54770340511</v>
      </c>
      <c r="M65" s="34">
        <f ca="1">L65*(1+Assumptions!M67)</f>
        <v>125163.15559071091</v>
      </c>
      <c r="N65" s="34">
        <f ca="1">M65*(1+Assumptions!N67)</f>
        <v>130996.52785941969</v>
      </c>
    </row>
    <row r="66" spans="1:14" x14ac:dyDescent="0.25">
      <c r="B66" s="112" t="s">
        <v>206</v>
      </c>
      <c r="C66" s="6">
        <v>13459</v>
      </c>
      <c r="D66" s="6">
        <v>26607</v>
      </c>
      <c r="E66" s="6">
        <v>38543</v>
      </c>
      <c r="F66" s="6">
        <v>45059</v>
      </c>
      <c r="G66" s="6">
        <v>53238</v>
      </c>
      <c r="H66" s="6">
        <v>60687</v>
      </c>
      <c r="I66" s="34">
        <f ca="1">I68*I65</f>
        <v>44701.652064032285</v>
      </c>
      <c r="J66" s="34">
        <f t="shared" ref="J66:N66" ca="1" si="69">J68*J65</f>
        <v>51513.609531114678</v>
      </c>
      <c r="K66" s="34">
        <f t="shared" ca="1" si="69"/>
        <v>56550.525588340897</v>
      </c>
      <c r="L66" s="34">
        <f t="shared" ca="1" si="69"/>
        <v>59423.623546380295</v>
      </c>
      <c r="M66" s="34">
        <f t="shared" ca="1" si="69"/>
        <v>63199.25862020925</v>
      </c>
      <c r="N66" s="34">
        <f t="shared" ca="1" si="69"/>
        <v>65629.195170199018</v>
      </c>
    </row>
    <row r="67" spans="1:14" x14ac:dyDescent="0.25">
      <c r="B67" s="113" t="s">
        <v>207</v>
      </c>
      <c r="C67" s="8">
        <f>C65-C66</f>
        <v>66341</v>
      </c>
      <c r="D67" s="8">
        <f t="shared" ref="D67:G67" si="70">D65-D66</f>
        <v>53193</v>
      </c>
      <c r="E67" s="8">
        <f t="shared" si="70"/>
        <v>41257</v>
      </c>
      <c r="F67" s="8">
        <f t="shared" si="70"/>
        <v>55370</v>
      </c>
      <c r="G67" s="8">
        <f t="shared" si="70"/>
        <v>47487</v>
      </c>
      <c r="H67" s="8">
        <f>H65-H66</f>
        <v>38982</v>
      </c>
      <c r="I67" s="8">
        <f t="shared" ref="I67:N67" ca="1" si="71">I65-I66</f>
        <v>59612.535874111112</v>
      </c>
      <c r="J67" s="8">
        <f t="shared" ca="1" si="71"/>
        <v>57662.260651131568</v>
      </c>
      <c r="K67" s="8">
        <f t="shared" ca="1" si="71"/>
        <v>57713.611109139572</v>
      </c>
      <c r="L67" s="8">
        <f t="shared" ca="1" si="71"/>
        <v>60165.92415702482</v>
      </c>
      <c r="M67" s="8">
        <f t="shared" ca="1" si="71"/>
        <v>61963.896970501664</v>
      </c>
      <c r="N67" s="8">
        <f t="shared" ca="1" si="71"/>
        <v>65367.332689220668</v>
      </c>
    </row>
    <row r="68" spans="1:14" x14ac:dyDescent="0.25">
      <c r="B68" s="36" t="s">
        <v>211</v>
      </c>
      <c r="C68" s="116">
        <f>C66/C65</f>
        <v>0.16865914786967418</v>
      </c>
      <c r="D68" s="116">
        <f t="shared" ref="D68:H68" si="72">D66/D65</f>
        <v>0.33342105263157895</v>
      </c>
      <c r="E68" s="116">
        <f t="shared" si="72"/>
        <v>0.4829949874686717</v>
      </c>
      <c r="F68" s="116">
        <f t="shared" si="72"/>
        <v>0.44866522617968913</v>
      </c>
      <c r="G68" s="116">
        <f t="shared" si="72"/>
        <v>0.52854802680565893</v>
      </c>
      <c r="H68" s="116">
        <f t="shared" si="72"/>
        <v>0.60888541070944824</v>
      </c>
      <c r="I68" s="116">
        <f>AVERAGE(C68:H68)</f>
        <v>0.42852897527745348</v>
      </c>
      <c r="J68" s="116">
        <f t="shared" ref="J68:N68" si="73">AVERAGE(D68:I68)</f>
        <v>0.47184061317875003</v>
      </c>
      <c r="K68" s="116">
        <f t="shared" si="73"/>
        <v>0.49491053993661199</v>
      </c>
      <c r="L68" s="116">
        <f t="shared" si="73"/>
        <v>0.4968964653479353</v>
      </c>
      <c r="M68" s="116">
        <f t="shared" si="73"/>
        <v>0.50493500520930967</v>
      </c>
      <c r="N68" s="116">
        <f t="shared" si="73"/>
        <v>0.50099950160991813</v>
      </c>
    </row>
    <row r="69" spans="1:14" x14ac:dyDescent="0.25">
      <c r="B69" s="36"/>
      <c r="C69" s="116"/>
      <c r="D69" s="116"/>
      <c r="E69" s="116"/>
      <c r="F69" s="116"/>
      <c r="G69" s="116"/>
      <c r="H69" s="116"/>
      <c r="I69" s="181">
        <f ca="1">I66-H66</f>
        <v>-15985.347935967715</v>
      </c>
      <c r="J69" s="181">
        <f t="shared" ref="J69:N69" ca="1" si="74">J66-I66</f>
        <v>6811.9574670823931</v>
      </c>
      <c r="K69" s="181">
        <f t="shared" ca="1" si="74"/>
        <v>5036.916057226219</v>
      </c>
      <c r="L69" s="181">
        <f t="shared" ca="1" si="74"/>
        <v>2873.0979580393978</v>
      </c>
      <c r="M69" s="181">
        <f t="shared" ca="1" si="74"/>
        <v>3775.6350738289548</v>
      </c>
      <c r="N69" s="181">
        <f t="shared" ca="1" si="74"/>
        <v>2429.9365499897685</v>
      </c>
    </row>
    <row r="70" spans="1:14" x14ac:dyDescent="0.25">
      <c r="C70" s="6"/>
      <c r="D70" s="6"/>
      <c r="E70" s="6"/>
      <c r="F70" s="6"/>
      <c r="G70" s="6"/>
      <c r="H70" s="6"/>
    </row>
    <row r="71" spans="1:14" ht="15.75" thickBot="1" x14ac:dyDescent="0.3">
      <c r="A71" t="s">
        <v>23</v>
      </c>
      <c r="B71" s="96" t="s">
        <v>209</v>
      </c>
      <c r="C71" s="115">
        <f>SUM(C67,C60)</f>
        <v>82919</v>
      </c>
      <c r="D71" s="115">
        <f t="shared" ref="D71:N71" si="75">SUM(D67,D60)</f>
        <v>65845</v>
      </c>
      <c r="E71" s="115">
        <f>SUM(E67,E60)</f>
        <v>50765</v>
      </c>
      <c r="F71" s="115">
        <f t="shared" si="75"/>
        <v>76208</v>
      </c>
      <c r="G71" s="115">
        <f t="shared" si="75"/>
        <v>59515</v>
      </c>
      <c r="H71" s="115">
        <f t="shared" si="75"/>
        <v>42776</v>
      </c>
      <c r="I71" s="115">
        <f t="shared" ca="1" si="75"/>
        <v>73235.745433263815</v>
      </c>
      <c r="J71" s="115">
        <f t="shared" ca="1" si="75"/>
        <v>71440.278494562139</v>
      </c>
      <c r="K71" s="115">
        <f t="shared" ca="1" si="75"/>
        <v>72792.465658607078</v>
      </c>
      <c r="L71" s="115">
        <f t="shared" ca="1" si="75"/>
        <v>75103.366637369065</v>
      </c>
      <c r="M71" s="115">
        <f t="shared" ca="1" si="75"/>
        <v>75924.740506359885</v>
      </c>
      <c r="N71" s="115">
        <f t="shared" ca="1" si="75"/>
        <v>79848.475741868562</v>
      </c>
    </row>
    <row r="72" spans="1:14" ht="15.75" thickTop="1" x14ac:dyDescent="0.25"/>
    <row r="74" spans="1:14" x14ac:dyDescent="0.25">
      <c r="A74" t="s">
        <v>23</v>
      </c>
      <c r="B74" s="107" t="s">
        <v>11</v>
      </c>
      <c r="C74" s="107">
        <v>2019</v>
      </c>
      <c r="D74" s="107">
        <f>C74+1</f>
        <v>2020</v>
      </c>
      <c r="E74" s="107">
        <f t="shared" ref="E74" si="76">D74+1</f>
        <v>2021</v>
      </c>
      <c r="F74" s="107">
        <f t="shared" ref="F74" si="77">E74+1</f>
        <v>2022</v>
      </c>
      <c r="G74" s="107">
        <f t="shared" ref="G74" si="78">F74+1</f>
        <v>2023</v>
      </c>
      <c r="H74" s="107">
        <f t="shared" ref="H74" si="79">G74+1</f>
        <v>2024</v>
      </c>
      <c r="I74" s="109">
        <v>2025</v>
      </c>
      <c r="J74" s="109">
        <v>2026</v>
      </c>
      <c r="K74" s="109">
        <v>2027</v>
      </c>
      <c r="L74" s="109">
        <v>2028</v>
      </c>
      <c r="M74" s="109">
        <v>2029</v>
      </c>
      <c r="N74" s="109">
        <v>2030</v>
      </c>
    </row>
    <row r="75" spans="1:14" x14ac:dyDescent="0.25">
      <c r="B75" t="s">
        <v>248</v>
      </c>
      <c r="C75" s="21">
        <v>102506</v>
      </c>
      <c r="D75" s="21">
        <v>43654</v>
      </c>
      <c r="E75" s="21">
        <v>9074</v>
      </c>
      <c r="F75" s="21">
        <v>47142</v>
      </c>
      <c r="G75" s="21">
        <v>145728</v>
      </c>
      <c r="H75" s="21">
        <v>166304</v>
      </c>
      <c r="I75" s="34">
        <f ca="1">H75*(1+Assumptions!I3)</f>
        <v>173220.30899441117</v>
      </c>
      <c r="J75" s="34">
        <f ca="1">I75*(1+Assumptions!J3)</f>
        <v>179690.53039336135</v>
      </c>
      <c r="K75" s="34">
        <f ca="1">J75*(1+Assumptions!K3)</f>
        <v>188981.21212923474</v>
      </c>
      <c r="L75" s="34">
        <f ca="1">K75*(1+Assumptions!L3)</f>
        <v>198550.61431718429</v>
      </c>
      <c r="M75" s="34">
        <f ca="1">L75*(1+Assumptions!M3)</f>
        <v>208407.09857077227</v>
      </c>
      <c r="N75" s="34">
        <f ca="1">M75*(1+Assumptions!N3)</f>
        <v>218559.27735196793</v>
      </c>
    </row>
    <row r="76" spans="1:14" x14ac:dyDescent="0.25">
      <c r="B76" t="s">
        <v>249</v>
      </c>
      <c r="C76" s="21">
        <v>246</v>
      </c>
      <c r="D76" s="21">
        <v>-868</v>
      </c>
      <c r="E76" s="21">
        <v>687</v>
      </c>
      <c r="F76" s="21">
        <v>-287</v>
      </c>
      <c r="G76" s="21">
        <v>-243</v>
      </c>
      <c r="H76" s="21">
        <v>-140</v>
      </c>
      <c r="I76" s="34">
        <f>AVERAGE(C76:H76)</f>
        <v>-100.83333333333333</v>
      </c>
      <c r="J76" s="34">
        <f t="shared" ref="J76:N76" si="80">AVERAGE(D76:I76)</f>
        <v>-158.63888888888889</v>
      </c>
      <c r="K76" s="34">
        <f t="shared" si="80"/>
        <v>-40.412037037037038</v>
      </c>
      <c r="L76" s="34">
        <f t="shared" si="80"/>
        <v>-161.6473765432099</v>
      </c>
      <c r="M76" s="34">
        <f t="shared" si="80"/>
        <v>-140.75527263374485</v>
      </c>
      <c r="N76" s="34">
        <f t="shared" si="80"/>
        <v>-123.71448473936901</v>
      </c>
    </row>
    <row r="77" spans="1:14" x14ac:dyDescent="0.25">
      <c r="B77" t="s">
        <v>250</v>
      </c>
      <c r="C77" s="21">
        <v>-523</v>
      </c>
      <c r="D77" s="21">
        <v>1818</v>
      </c>
      <c r="E77" s="21">
        <v>788</v>
      </c>
      <c r="F77" s="21">
        <v>-4387</v>
      </c>
      <c r="G77" s="21">
        <v>3657</v>
      </c>
      <c r="H77" s="21">
        <v>-7244</v>
      </c>
      <c r="I77" s="34">
        <f>AVERAGE(C77:H77)</f>
        <v>-981.83333333333337</v>
      </c>
      <c r="J77" s="34">
        <f t="shared" ref="J77:N77" si="81">AVERAGE(D77:I77)</f>
        <v>-1058.3055555555554</v>
      </c>
      <c r="K77" s="34">
        <f t="shared" si="81"/>
        <v>-1537.6898148148148</v>
      </c>
      <c r="L77" s="34">
        <f t="shared" si="81"/>
        <v>-1925.3047839506173</v>
      </c>
      <c r="M77" s="34">
        <f t="shared" si="81"/>
        <v>-1515.0222479423867</v>
      </c>
      <c r="N77" s="34">
        <f t="shared" si="81"/>
        <v>-2377.0259559327847</v>
      </c>
    </row>
    <row r="78" spans="1:14" x14ac:dyDescent="0.25">
      <c r="B78" t="s">
        <v>251</v>
      </c>
      <c r="C78" s="21">
        <v>0</v>
      </c>
      <c r="D78" s="21">
        <v>0</v>
      </c>
      <c r="E78" s="21">
        <v>6624</v>
      </c>
      <c r="F78" s="21">
        <v>11591</v>
      </c>
      <c r="G78" s="21">
        <v>4849</v>
      </c>
      <c r="H78" s="21">
        <v>3527</v>
      </c>
      <c r="I78" s="34">
        <f ca="1">Assumptions!I102*Schedules!I38</f>
        <v>4221.068424699617</v>
      </c>
      <c r="J78" s="34">
        <f ca="1">Assumptions!J102*Schedules!J38</f>
        <v>4417.7961548112125</v>
      </c>
      <c r="K78" s="34">
        <f ca="1">Assumptions!K102*Schedules!K38</f>
        <v>4623.6926061802969</v>
      </c>
      <c r="L78" s="34">
        <f ca="1">Assumptions!L102*Schedules!L38</f>
        <v>4839.1850975658981</v>
      </c>
      <c r="M78" s="34">
        <f ca="1">Assumptions!M102*Schedules!M38</f>
        <v>5064.7208634073968</v>
      </c>
      <c r="N78" s="34">
        <f ca="1">Assumptions!N102*Schedules!N38</f>
        <v>5300.7679820176281</v>
      </c>
    </row>
    <row r="79" spans="1:14" x14ac:dyDescent="0.25">
      <c r="B79" t="s">
        <v>252</v>
      </c>
      <c r="C79" s="21">
        <v>0</v>
      </c>
      <c r="D79" s="21">
        <v>0</v>
      </c>
      <c r="E79" s="21">
        <v>119284</v>
      </c>
      <c r="F79" s="21">
        <v>0</v>
      </c>
      <c r="G79" s="21">
        <v>12926</v>
      </c>
      <c r="H79" s="21">
        <v>0</v>
      </c>
      <c r="I79" s="34">
        <f>AVERAGE(C79:H79)</f>
        <v>22035</v>
      </c>
      <c r="J79" s="34">
        <f t="shared" ref="J79:N79" si="82">AVERAGE(D79:I79)</f>
        <v>25707.5</v>
      </c>
      <c r="K79" s="34">
        <f t="shared" si="82"/>
        <v>29992.083333333332</v>
      </c>
      <c r="L79" s="34">
        <f t="shared" si="82"/>
        <v>15110.097222222221</v>
      </c>
      <c r="M79" s="34">
        <f t="shared" si="82"/>
        <v>17628.446759259259</v>
      </c>
      <c r="N79" s="34">
        <f t="shared" si="82"/>
        <v>18412.187885802468</v>
      </c>
    </row>
    <row r="80" spans="1:14" x14ac:dyDescent="0.25">
      <c r="B80" t="s">
        <v>253</v>
      </c>
      <c r="C80" s="21">
        <v>0</v>
      </c>
      <c r="D80" s="21">
        <v>0</v>
      </c>
      <c r="E80" s="21">
        <v>0</v>
      </c>
      <c r="F80" s="21">
        <v>-135714</v>
      </c>
      <c r="G80" s="21">
        <v>0</v>
      </c>
      <c r="H80" s="21">
        <v>0</v>
      </c>
      <c r="I80" s="21">
        <v>0</v>
      </c>
      <c r="J80" s="21">
        <v>0</v>
      </c>
      <c r="K80" s="21">
        <v>0</v>
      </c>
      <c r="L80" s="21">
        <v>0</v>
      </c>
      <c r="M80" s="21">
        <v>0</v>
      </c>
      <c r="N80" s="21">
        <v>0</v>
      </c>
    </row>
    <row r="81" spans="2:14" x14ac:dyDescent="0.25">
      <c r="B81" s="124" t="s">
        <v>254</v>
      </c>
      <c r="C81" s="21">
        <v>366</v>
      </c>
      <c r="D81" s="21">
        <v>-935</v>
      </c>
      <c r="E81" s="21">
        <v>-524</v>
      </c>
      <c r="F81" s="21">
        <v>-18333</v>
      </c>
      <c r="G81" s="21">
        <v>3206</v>
      </c>
      <c r="H81" s="21">
        <v>10736</v>
      </c>
      <c r="I81" s="34">
        <f>AVERAGE(C81:H81)</f>
        <v>-914</v>
      </c>
      <c r="J81" s="34">
        <f t="shared" ref="J81:N81" si="83">AVERAGE(D81:I81)</f>
        <v>-1127.3333333333333</v>
      </c>
      <c r="K81" s="34">
        <f t="shared" si="83"/>
        <v>-1159.3888888888889</v>
      </c>
      <c r="L81" s="34">
        <f t="shared" si="83"/>
        <v>-1265.287037037037</v>
      </c>
      <c r="M81" s="34">
        <f t="shared" si="83"/>
        <v>1579.3317901234568</v>
      </c>
      <c r="N81" s="34">
        <f t="shared" si="83"/>
        <v>1308.2204218106997</v>
      </c>
    </row>
    <row r="82" spans="2:14" ht="15.75" thickBot="1" x14ac:dyDescent="0.3">
      <c r="B82" s="53" t="s">
        <v>255</v>
      </c>
      <c r="C82" s="105">
        <f>SUM(C75:C81)</f>
        <v>102595</v>
      </c>
      <c r="D82" s="105">
        <f t="shared" ref="D82:N82" si="84">SUM(D75:D81)</f>
        <v>43669</v>
      </c>
      <c r="E82" s="105">
        <f t="shared" si="84"/>
        <v>135933</v>
      </c>
      <c r="F82" s="105">
        <f t="shared" si="84"/>
        <v>-99988</v>
      </c>
      <c r="G82" s="105">
        <f t="shared" si="84"/>
        <v>170123</v>
      </c>
      <c r="H82" s="105">
        <f t="shared" si="84"/>
        <v>173183</v>
      </c>
      <c r="I82" s="105">
        <f t="shared" ca="1" si="84"/>
        <v>197479.71075244411</v>
      </c>
      <c r="J82" s="105">
        <f t="shared" ca="1" si="84"/>
        <v>207471.54877039479</v>
      </c>
      <c r="K82" s="105">
        <f t="shared" ca="1" si="84"/>
        <v>220859.49732800765</v>
      </c>
      <c r="L82" s="105">
        <f t="shared" ca="1" si="84"/>
        <v>215147.65743944154</v>
      </c>
      <c r="M82" s="105">
        <f t="shared" ca="1" si="84"/>
        <v>231023.82046298624</v>
      </c>
      <c r="N82" s="105">
        <f t="shared" ca="1" si="84"/>
        <v>241079.71320092655</v>
      </c>
    </row>
    <row r="83" spans="2:14" ht="15.75" thickTop="1" x14ac:dyDescent="0.25">
      <c r="C83" s="7"/>
      <c r="D83" s="7"/>
      <c r="E83" s="7"/>
      <c r="F83" s="7"/>
      <c r="G83" s="7"/>
      <c r="H83" s="7"/>
    </row>
    <row r="84" spans="2:14" x14ac:dyDescent="0.25">
      <c r="H84" s="21"/>
      <c r="I84" s="21"/>
      <c r="J84" s="21"/>
      <c r="K84" s="21"/>
      <c r="L84" s="21"/>
      <c r="M84" s="21"/>
      <c r="N84" s="21"/>
    </row>
    <row r="85" spans="2:14" x14ac:dyDescent="0.25">
      <c r="D85" s="6"/>
      <c r="E85" s="6"/>
      <c r="F85" s="6"/>
      <c r="G85" s="6"/>
      <c r="H85" s="6"/>
    </row>
    <row r="86" spans="2:14" x14ac:dyDescent="0.25">
      <c r="B86" t="s">
        <v>283</v>
      </c>
      <c r="D86" s="6">
        <v>-20240</v>
      </c>
      <c r="E86" s="6">
        <v>-26297</v>
      </c>
      <c r="F86" s="6">
        <v>-6733</v>
      </c>
      <c r="G86" s="6">
        <v>-3021</v>
      </c>
      <c r="H86" s="6">
        <v>-40328</v>
      </c>
    </row>
    <row r="87" spans="2:14" x14ac:dyDescent="0.25">
      <c r="B87" t="s">
        <v>284</v>
      </c>
      <c r="D87" s="6">
        <v>-41682</v>
      </c>
      <c r="E87" s="6">
        <v>-35547</v>
      </c>
      <c r="F87" s="6">
        <v>-34783</v>
      </c>
      <c r="G87" s="6">
        <v>-43466</v>
      </c>
      <c r="H87" s="6">
        <v>-46748</v>
      </c>
    </row>
    <row r="88" spans="2:14" x14ac:dyDescent="0.25">
      <c r="B88" s="186" t="s">
        <v>317</v>
      </c>
      <c r="D88">
        <f>D87/D50</f>
        <v>-0.75108115900245065</v>
      </c>
    </row>
    <row r="90" spans="2:14" x14ac:dyDescent="0.25">
      <c r="B90" t="s">
        <v>319</v>
      </c>
      <c r="I90" s="34">
        <f ca="1">'3_Statement_Model'!H59-(('3_Statement_Model'!H71+'3_Statement_Model'!H74+'3_Statement_Model'!H75+APIC!H17+'3_Statement_Model'!H77+'3_Statement_Model'!H78))</f>
        <v>251334.59014785197</v>
      </c>
      <c r="J90" s="34">
        <f ca="1">'3_Statement_Model'!I59-(('3_Statement_Model'!I71+'3_Statement_Model'!I74+'3_Statement_Model'!I75+APIC!I17+'3_Statement_Model'!I77+'3_Statement_Model'!I78))</f>
        <v>114851.96279891115</v>
      </c>
      <c r="K90" s="34">
        <f ca="1">'3_Statement_Model'!J59-(('3_Statement_Model'!J71+'3_Statement_Model'!J74+'3_Statement_Model'!J75+APIC!J17+'3_Statement_Model'!J77+'3_Statement_Model'!J78))</f>
        <v>-31557.408065394498</v>
      </c>
      <c r="L90" s="34">
        <f ca="1">'3_Statement_Model'!K59-(('3_Statement_Model'!K71+'3_Statement_Model'!K74+'3_Statement_Model'!K75+APIC!K17+'3_Statement_Model'!K77+'3_Statement_Model'!K78))</f>
        <v>-186101.1339356117</v>
      </c>
      <c r="M90" s="34">
        <f ca="1">'3_Statement_Model'!L59-(('3_Statement_Model'!L71+'3_Statement_Model'!L74+'3_Statement_Model'!L75+APIC!L17+'3_Statement_Model'!L77+'3_Statement_Model'!L78))</f>
        <v>-1197765.5066209845</v>
      </c>
      <c r="N90" s="34">
        <f ca="1">'3_Statement_Model'!M59-(('3_Statement_Model'!M71+'3_Statement_Model'!M74+'3_Statement_Model'!M75+APIC!M17+'3_Statement_Model'!M77+'3_Statement_Model'!M78))</f>
        <v>-915140.96057285741</v>
      </c>
    </row>
    <row r="92" spans="2:14" x14ac:dyDescent="0.25">
      <c r="B92" s="107" t="s">
        <v>365</v>
      </c>
      <c r="C92" s="107">
        <v>2024</v>
      </c>
      <c r="D92" s="109">
        <v>2025</v>
      </c>
      <c r="E92" s="109">
        <v>2026</v>
      </c>
      <c r="F92" s="109">
        <v>2027</v>
      </c>
      <c r="G92" s="109">
        <v>2028</v>
      </c>
      <c r="H92" s="109">
        <v>2029</v>
      </c>
      <c r="I92" s="109">
        <v>2030</v>
      </c>
    </row>
    <row r="93" spans="2:14" x14ac:dyDescent="0.25">
      <c r="B93" s="249" t="s">
        <v>366</v>
      </c>
    </row>
    <row r="94" spans="2:14" x14ac:dyDescent="0.25">
      <c r="B94" t="s">
        <v>68</v>
      </c>
      <c r="C94" s="34">
        <f>'3_Statement_Model'!G50</f>
        <v>966090</v>
      </c>
      <c r="D94" s="34">
        <f ca="1">'3_Statement_Model'!H50</f>
        <v>1011115.7313222863</v>
      </c>
      <c r="E94" s="34">
        <f ca="1">'3_Statement_Model'!I50</f>
        <v>1058239.9384398989</v>
      </c>
      <c r="F94" s="34">
        <f ca="1">'3_Statement_Model'!J50</f>
        <v>1107560.4232215525</v>
      </c>
      <c r="G94" s="34">
        <f ca="1">'3_Statement_Model'!K50</f>
        <v>1159179.5457041073</v>
      </c>
      <c r="H94" s="34">
        <f ca="1">'3_Statement_Model'!L50</f>
        <v>1213204.4365312175</v>
      </c>
      <c r="I94" s="34">
        <f ca="1">'3_Statement_Model'!M50</f>
        <v>1269747.2192929275</v>
      </c>
    </row>
    <row r="95" spans="2:14" x14ac:dyDescent="0.25">
      <c r="B95" t="s">
        <v>367</v>
      </c>
      <c r="C95" s="34">
        <f>'3_Statement_Model'!G55</f>
        <v>148397</v>
      </c>
      <c r="D95" s="34">
        <f ca="1">'3_Statement_Model'!H55</f>
        <v>155313.21220697172</v>
      </c>
      <c r="E95" s="34">
        <f ca="1">'3_Statement_Model'!I55</f>
        <v>162551.76240791814</v>
      </c>
      <c r="F95" s="34">
        <f ca="1">'3_Statement_Model'!J55</f>
        <v>170127.67353435876</v>
      </c>
      <c r="G95" s="34">
        <f ca="1">'3_Statement_Model'!K55</f>
        <v>178056.66867874868</v>
      </c>
      <c r="H95" s="34">
        <f ca="1">'3_Statement_Model'!L55</f>
        <v>186355.20372628118</v>
      </c>
      <c r="I95" s="34">
        <f ca="1">'3_Statement_Model'!M55</f>
        <v>195040.50150753287</v>
      </c>
    </row>
    <row r="96" spans="2:14" x14ac:dyDescent="0.25">
      <c r="C96" s="34"/>
      <c r="D96" s="34"/>
      <c r="E96" s="34"/>
      <c r="F96" s="34"/>
      <c r="G96" s="34"/>
      <c r="H96" s="34"/>
      <c r="I96" s="34"/>
    </row>
    <row r="97" spans="2:9" x14ac:dyDescent="0.25">
      <c r="B97" s="78" t="s">
        <v>368</v>
      </c>
      <c r="C97" s="34"/>
      <c r="D97" s="34"/>
      <c r="E97" s="34"/>
      <c r="F97" s="34"/>
      <c r="G97" s="34"/>
      <c r="H97" s="34"/>
      <c r="I97" s="34"/>
    </row>
    <row r="98" spans="2:9" x14ac:dyDescent="0.25">
      <c r="B98" t="s">
        <v>39</v>
      </c>
      <c r="C98" s="34">
        <f>'3_Statement_Model'!G63</f>
        <v>97704</v>
      </c>
      <c r="D98" s="34">
        <f ca="1">'3_Statement_Model'!H63</f>
        <v>102418.51057791305</v>
      </c>
      <c r="E98" s="34">
        <f ca="1">'3_Statement_Model'!I63</f>
        <v>107360.51040897085</v>
      </c>
      <c r="F98" s="34">
        <f ca="1">'3_Statement_Model'!J63</f>
        <v>112540.97653086184</v>
      </c>
      <c r="G98" s="34">
        <f ca="1">'3_Statement_Model'!K63</f>
        <v>117971.41565621406</v>
      </c>
      <c r="H98" s="34">
        <f ca="1">'3_Statement_Model'!L63</f>
        <v>123663.88973099706</v>
      </c>
      <c r="I98" s="34">
        <f ca="1">'3_Statement_Model'!M63</f>
        <v>129631.04272619337</v>
      </c>
    </row>
    <row r="99" spans="2:9" x14ac:dyDescent="0.25">
      <c r="B99" t="s">
        <v>40</v>
      </c>
      <c r="C99" s="34">
        <f>'3_Statement_Model'!G64</f>
        <v>1701393</v>
      </c>
      <c r="D99" s="34">
        <f ca="1">'3_Statement_Model'!H64</f>
        <v>2041671.5999999999</v>
      </c>
      <c r="E99" s="34">
        <f ca="1">'3_Statement_Model'!I64</f>
        <v>2450005.92</v>
      </c>
      <c r="F99" s="34">
        <f ca="1">'3_Statement_Model'!J64</f>
        <v>2940007.1039999998</v>
      </c>
      <c r="G99" s="34">
        <f ca="1">'3_Statement_Model'!K64</f>
        <v>3528008.5247999998</v>
      </c>
      <c r="H99" s="34">
        <f ca="1">'3_Statement_Model'!L64</f>
        <v>4233610.2297599996</v>
      </c>
      <c r="I99" s="34">
        <f ca="1">'3_Statement_Model'!M64</f>
        <v>5080332.2757119993</v>
      </c>
    </row>
    <row r="100" spans="2:9" x14ac:dyDescent="0.25">
      <c r="B100" t="s">
        <v>70</v>
      </c>
      <c r="C100" s="34">
        <f>'3_Statement_Model'!G65</f>
        <v>1666278</v>
      </c>
      <c r="D100" s="34">
        <f ca="1">'3_Statement_Model'!H65</f>
        <v>1746680.9032254955</v>
      </c>
      <c r="E100" s="34">
        <f ca="1">'3_Statement_Model'!I65</f>
        <v>1830963.4873008181</v>
      </c>
      <c r="F100" s="34">
        <f ca="1">'3_Statement_Model'!J65</f>
        <v>1919312.958444807</v>
      </c>
      <c r="G100" s="34">
        <f ca="1">'3_Statement_Model'!K65</f>
        <v>2011925.556136955</v>
      </c>
      <c r="H100" s="34">
        <f ca="1">'3_Statement_Model'!L65</f>
        <v>2109006.9889992871</v>
      </c>
      <c r="I100" s="34">
        <f ca="1">'3_Statement_Model'!M65</f>
        <v>2210772.8917108416</v>
      </c>
    </row>
    <row r="101" spans="2:9" x14ac:dyDescent="0.25">
      <c r="B101" t="s">
        <v>369</v>
      </c>
      <c r="C101" s="34">
        <f>'3_Statement_Model'!G68+'3_Statement_Model'!G70</f>
        <v>221343</v>
      </c>
      <c r="D101" s="34">
        <f ca="1">'3_Statement_Model'!H68+'3_Statement_Model'!H70</f>
        <v>232474.36033078862</v>
      </c>
      <c r="E101" s="34">
        <f ca="1">'3_Statement_Model'!I68+'3_Statement_Model'!I70</f>
        <v>243315.65158703519</v>
      </c>
      <c r="F101" s="34">
        <f ca="1">'3_Statement_Model'!J68+'3_Statement_Model'!J70</f>
        <v>257042.49003216907</v>
      </c>
      <c r="G101" s="34">
        <f ca="1">'3_Statement_Model'!K68+'3_Statement_Model'!K70</f>
        <v>266427.04844633327</v>
      </c>
      <c r="H101" s="34">
        <f ca="1">'3_Statement_Model'!L68+'3_Statement_Model'!L70</f>
        <v>283235.66193509288</v>
      </c>
      <c r="I101" s="34">
        <f ca="1">'3_Statement_Model'!M68+'3_Statement_Model'!M70</f>
        <v>293677.94409665058</v>
      </c>
    </row>
    <row r="102" spans="2:9" ht="15.75" thickBot="1" x14ac:dyDescent="0.3">
      <c r="C102" s="17">
        <f>SUM(C94:C95)-SUM(C98:C101)</f>
        <v>-2572231</v>
      </c>
      <c r="D102" s="17">
        <f t="shared" ref="D102:I102" ca="1" si="85">SUM(D94:D95)-SUM(D98:D101)</f>
        <v>-2956816.4306049389</v>
      </c>
      <c r="E102" s="17">
        <f t="shared" ca="1" si="85"/>
        <v>-3410853.8684490076</v>
      </c>
      <c r="F102" s="17">
        <f t="shared" ca="1" si="85"/>
        <v>-3951215.4322519265</v>
      </c>
      <c r="G102" s="17">
        <f t="shared" ca="1" si="85"/>
        <v>-4587096.3306566458</v>
      </c>
      <c r="H102" s="17">
        <f t="shared" ca="1" si="85"/>
        <v>-5349957.1301678792</v>
      </c>
      <c r="I102" s="17">
        <f t="shared" ca="1" si="85"/>
        <v>-6249626.4334452255</v>
      </c>
    </row>
    <row r="104" spans="2:9" x14ac:dyDescent="0.25">
      <c r="B104" t="s">
        <v>370</v>
      </c>
      <c r="D104" s="34">
        <f ca="1">D102-C102</f>
        <v>-384585.43060493888</v>
      </c>
      <c r="E104" s="34">
        <f t="shared" ref="E104:I104" ca="1" si="86">E102-D102</f>
        <v>-454037.43784406874</v>
      </c>
      <c r="F104" s="34">
        <f t="shared" ca="1" si="86"/>
        <v>-540361.56380291888</v>
      </c>
      <c r="G104" s="34">
        <f t="shared" ca="1" si="86"/>
        <v>-635880.89840471931</v>
      </c>
      <c r="H104" s="34">
        <f t="shared" ca="1" si="86"/>
        <v>-762860.79951123334</v>
      </c>
      <c r="I104" s="34">
        <f t="shared" ca="1" si="86"/>
        <v>-899669.30327734631</v>
      </c>
    </row>
    <row r="107" spans="2:9" x14ac:dyDescent="0.25">
      <c r="B107" s="107" t="s">
        <v>371</v>
      </c>
    </row>
    <row r="108" spans="2:9" x14ac:dyDescent="0.25">
      <c r="B108" t="s">
        <v>372</v>
      </c>
      <c r="C108" s="34">
        <f>'3_Statement_Model'!G79</f>
        <v>767016</v>
      </c>
      <c r="D108">
        <f>C108/C110</f>
        <v>0.57541275814263337</v>
      </c>
    </row>
    <row r="109" spans="2:9" x14ac:dyDescent="0.25">
      <c r="B109" t="s">
        <v>329</v>
      </c>
      <c r="C109" s="34">
        <f>Debt_Schedule!G29</f>
        <v>565968</v>
      </c>
      <c r="D109">
        <f>C109/C110</f>
        <v>0.42458724185736663</v>
      </c>
    </row>
    <row r="110" spans="2:9" ht="15.75" thickBot="1" x14ac:dyDescent="0.3">
      <c r="B110" s="255" t="s">
        <v>373</v>
      </c>
      <c r="C110" s="38">
        <f>SUM(C108:C109)</f>
        <v>1332984</v>
      </c>
    </row>
    <row r="112" spans="2:9" x14ac:dyDescent="0.25">
      <c r="B112" t="s">
        <v>10</v>
      </c>
      <c r="C112" s="34">
        <f>-'3_Statement_Model'!G15</f>
        <v>28921</v>
      </c>
    </row>
    <row r="113" spans="2:8" ht="15.75" thickBot="1" x14ac:dyDescent="0.3">
      <c r="B113" s="255" t="s">
        <v>374</v>
      </c>
      <c r="C113" s="257">
        <f>(C112/C109)*(1-H15)</f>
        <v>4.5938955912701772E-2</v>
      </c>
    </row>
    <row r="115" spans="2:8" x14ac:dyDescent="0.25">
      <c r="B115" t="s">
        <v>375</v>
      </c>
      <c r="C115" s="63" cm="1">
        <f t="array" aca="1" ref="C115" ca="1">_FV(D115,"Yield yesterday",TRUE)</f>
        <v>4.011E-2</v>
      </c>
      <c r="D115" t="e" vm="1">
        <v>#VALUE!</v>
      </c>
    </row>
    <row r="116" spans="2:8" x14ac:dyDescent="0.25">
      <c r="B116" t="s">
        <v>376</v>
      </c>
      <c r="C116" s="258" cm="1">
        <f t="array" aca="1" ref="C116" ca="1">_FV(D116,"Beta")</f>
        <v>2.3586</v>
      </c>
      <c r="D116" t="e" vm="2">
        <v>#VALUE!</v>
      </c>
    </row>
    <row r="117" spans="2:8" x14ac:dyDescent="0.25">
      <c r="B117" t="s">
        <v>377</v>
      </c>
      <c r="C117" s="63">
        <v>8.8099999999999998E-2</v>
      </c>
    </row>
    <row r="118" spans="2:8" ht="15.75" thickBot="1" x14ac:dyDescent="0.3">
      <c r="B118" s="255" t="s">
        <v>378</v>
      </c>
      <c r="C118" s="256">
        <f ca="1">C115+(C116*C117)</f>
        <v>0.24790266</v>
      </c>
    </row>
    <row r="120" spans="2:8" ht="15.75" thickBot="1" x14ac:dyDescent="0.3">
      <c r="B120" s="96" t="s">
        <v>371</v>
      </c>
      <c r="C120" s="259">
        <f ca="1">(D109*C118)+(D108*C113)</f>
        <v>0.13169016798642508</v>
      </c>
    </row>
    <row r="121" spans="2:8" ht="15.75" thickTop="1" x14ac:dyDescent="0.25">
      <c r="C121" s="63"/>
    </row>
    <row r="122" spans="2:8" x14ac:dyDescent="0.25">
      <c r="C122" s="109">
        <v>2025</v>
      </c>
      <c r="D122" s="109">
        <v>2026</v>
      </c>
      <c r="E122" s="109">
        <v>2027</v>
      </c>
      <c r="F122" s="109">
        <v>2028</v>
      </c>
      <c r="G122" s="109">
        <v>2029</v>
      </c>
      <c r="H122" s="109">
        <v>2030</v>
      </c>
    </row>
    <row r="123" spans="2:8" x14ac:dyDescent="0.25">
      <c r="B123" s="29" t="s">
        <v>379</v>
      </c>
      <c r="C123" s="34">
        <f ca="1">'3_Statement_Model'!H14+'3_Statement_Model'!H90</f>
        <v>209882.92361751961</v>
      </c>
      <c r="D123" s="34">
        <f ca="1">'3_Statement_Model'!I14+'3_Statement_Model'!I90</f>
        <v>316825.55930107704</v>
      </c>
      <c r="E123" s="34">
        <f ca="1">'3_Statement_Model'!J14+'3_Statement_Model'!J90</f>
        <v>429525.64155270229</v>
      </c>
      <c r="F123" s="34">
        <f ca="1">'3_Statement_Model'!K14+'3_Statement_Model'!K90</f>
        <v>539596.84428179963</v>
      </c>
      <c r="G123" s="34">
        <f ca="1">'3_Statement_Model'!L14+'3_Statement_Model'!L90</f>
        <v>633505.01533280604</v>
      </c>
      <c r="H123" s="34">
        <f ca="1">'3_Statement_Model'!M14+'3_Statement_Model'!M90</f>
        <v>726266.7782314053</v>
      </c>
    </row>
    <row r="124" spans="2:8" x14ac:dyDescent="0.25">
      <c r="C124" s="34">
        <f ca="1">AVERAGE(C123:H123)</f>
        <v>475933.79371955158</v>
      </c>
    </row>
    <row r="125" spans="2:8" x14ac:dyDescent="0.25">
      <c r="C125">
        <f ca="1">DCF!D33/Schedules!H123</f>
        <v>15.361553499065563</v>
      </c>
    </row>
    <row r="127" spans="2:8" x14ac:dyDescent="0.25">
      <c r="C127" s="34">
        <f>'3_Statement_Model'!G14+'3_Statement_Model'!G90</f>
        <v>256187</v>
      </c>
    </row>
    <row r="129" spans="2:9" x14ac:dyDescent="0.25">
      <c r="B129" s="107" t="s">
        <v>406</v>
      </c>
      <c r="C129" s="107">
        <v>2024</v>
      </c>
      <c r="D129" s="109">
        <v>2025</v>
      </c>
      <c r="E129" s="109">
        <v>2026</v>
      </c>
      <c r="F129" s="109">
        <v>2027</v>
      </c>
      <c r="G129" s="109">
        <v>2028</v>
      </c>
      <c r="H129" s="109">
        <v>2029</v>
      </c>
      <c r="I129" s="109">
        <v>2030</v>
      </c>
    </row>
    <row r="130" spans="2:9" x14ac:dyDescent="0.25">
      <c r="B130" t="s">
        <v>14</v>
      </c>
      <c r="C130" s="34">
        <f>'3_Statement_Model'!G30</f>
        <v>22784</v>
      </c>
      <c r="D130" s="34">
        <f ca="1">'3_Statement_Model'!H30</f>
        <v>51715.465332438987</v>
      </c>
      <c r="E130" s="34">
        <f ca="1">'3_Statement_Model'!I30</f>
        <v>175600.66601498588</v>
      </c>
      <c r="F130" s="34">
        <f ca="1">'3_Statement_Model'!J30</f>
        <v>303527.63101752754</v>
      </c>
      <c r="G130" s="34">
        <f ca="1">'3_Statement_Model'!K30</f>
        <v>405081.8909238163</v>
      </c>
      <c r="H130" s="34">
        <f ca="1">'3_Statement_Model'!L30</f>
        <v>503972.58992626052</v>
      </c>
      <c r="I130" s="34">
        <f ca="1">'3_Statement_Model'!M30</f>
        <v>595956.78054809687</v>
      </c>
    </row>
    <row r="131" spans="2:9" x14ac:dyDescent="0.25">
      <c r="B131" s="78" t="s">
        <v>412</v>
      </c>
      <c r="C131" s="34"/>
      <c r="D131" s="34"/>
      <c r="E131" s="34"/>
      <c r="F131" s="34"/>
      <c r="G131" s="34"/>
      <c r="H131" s="34"/>
      <c r="I131" s="34"/>
    </row>
    <row r="132" spans="2:9" x14ac:dyDescent="0.25">
      <c r="B132" s="14" t="s">
        <v>10</v>
      </c>
      <c r="C132" s="34">
        <v>34700</v>
      </c>
      <c r="D132" s="34">
        <f ca="1">-'3_Statement_Model'!H15</f>
        <v>53004.237912664932</v>
      </c>
      <c r="E132" s="34">
        <f ca="1">-'3_Statement_Model'!I15</f>
        <v>57850.762574134598</v>
      </c>
      <c r="F132" s="34">
        <f ca="1">-'3_Statement_Model'!J15</f>
        <v>62920.617273878677</v>
      </c>
      <c r="G132" s="34">
        <f ca="1">-'3_Statement_Model'!K15</f>
        <v>68224.15145533008</v>
      </c>
      <c r="H132" s="34">
        <f ca="1">-'3_Statement_Model'!L15</f>
        <v>73772.195538264685</v>
      </c>
      <c r="I132" s="34">
        <f ca="1">-'3_Statement_Model'!M15</f>
        <v>79576.083303439984</v>
      </c>
    </row>
    <row r="133" spans="2:9" x14ac:dyDescent="0.25">
      <c r="B133" s="14" t="s">
        <v>413</v>
      </c>
      <c r="C133" s="34">
        <v>-173200</v>
      </c>
      <c r="D133" s="34">
        <f ca="1">-'3_Statement_Model'!H16</f>
        <v>-197479.71075244411</v>
      </c>
      <c r="E133" s="34">
        <f ca="1">-'3_Statement_Model'!I16</f>
        <v>-207471.54877039479</v>
      </c>
      <c r="F133" s="34">
        <f ca="1">-'3_Statement_Model'!J16</f>
        <v>-220859.49732800765</v>
      </c>
      <c r="G133" s="34">
        <f ca="1">-'3_Statement_Model'!K16</f>
        <v>-215147.65743944154</v>
      </c>
      <c r="H133" s="34">
        <f ca="1">-'3_Statement_Model'!L16</f>
        <v>-231023.82046298624</v>
      </c>
      <c r="I133" s="34">
        <f ca="1">-'3_Statement_Model'!M16</f>
        <v>-241079.71320092655</v>
      </c>
    </row>
    <row r="134" spans="2:9" x14ac:dyDescent="0.25">
      <c r="B134" s="14" t="s">
        <v>13</v>
      </c>
      <c r="C134" s="34">
        <v>2600</v>
      </c>
      <c r="D134" s="34">
        <f ca="1">'3_Statement_Model'!H18</f>
        <v>6693.5382789514315</v>
      </c>
      <c r="E134" s="34">
        <f ca="1">'3_Statement_Model'!I18</f>
        <v>25407.844215836096</v>
      </c>
      <c r="F134" s="34">
        <f ca="1">'3_Statement_Model'!J18</f>
        <v>48676.740843035856</v>
      </c>
      <c r="G134" s="34">
        <f ca="1">'3_Statement_Model'!K18</f>
        <v>71490.686967630128</v>
      </c>
      <c r="H134" s="34">
        <f ca="1">'3_Statement_Model'!L18</f>
        <v>97293.364672606258</v>
      </c>
      <c r="I134" s="34">
        <f ca="1">'3_Statement_Model'!M18</f>
        <v>125207.2880129534</v>
      </c>
    </row>
    <row r="135" spans="2:9" x14ac:dyDescent="0.25">
      <c r="B135" s="14" t="s">
        <v>417</v>
      </c>
      <c r="C135" s="34">
        <v>479800</v>
      </c>
      <c r="D135" s="34">
        <f ca="1">'3_Statement_Model'!H90</f>
        <v>295949.39284590835</v>
      </c>
      <c r="E135" s="34">
        <f ca="1">'3_Statement_Model'!I90</f>
        <v>265437.83526651526</v>
      </c>
      <c r="F135" s="34">
        <f ca="1">'3_Statement_Model'!J90</f>
        <v>235260.14974626779</v>
      </c>
      <c r="G135" s="34">
        <f ca="1">'3_Statement_Model'!K90</f>
        <v>209947.77237446461</v>
      </c>
      <c r="H135" s="34">
        <f ca="1">'3_Statement_Model'!L90</f>
        <v>189490.68565866083</v>
      </c>
      <c r="I135" s="34">
        <f ca="1">'3_Statement_Model'!M90</f>
        <v>166606.33956784158</v>
      </c>
    </row>
    <row r="136" spans="2:9" x14ac:dyDescent="0.25">
      <c r="B136" s="14" t="s">
        <v>414</v>
      </c>
      <c r="C136" s="34">
        <v>14800</v>
      </c>
      <c r="D136" s="34">
        <f>AVERAGE(C136)</f>
        <v>14800</v>
      </c>
      <c r="E136" s="34">
        <f t="shared" ref="E136:I136" si="87">AVERAGE(D136)</f>
        <v>14800</v>
      </c>
      <c r="F136" s="34">
        <f t="shared" si="87"/>
        <v>14800</v>
      </c>
      <c r="G136" s="34">
        <f t="shared" si="87"/>
        <v>14800</v>
      </c>
      <c r="H136" s="34">
        <f t="shared" si="87"/>
        <v>14800</v>
      </c>
      <c r="I136" s="34">
        <f t="shared" si="87"/>
        <v>14800</v>
      </c>
    </row>
    <row r="137" spans="2:9" x14ac:dyDescent="0.25">
      <c r="B137" s="14" t="s">
        <v>251</v>
      </c>
      <c r="C137" s="34">
        <v>3500</v>
      </c>
      <c r="D137" s="34">
        <f t="shared" ref="D137:I137" ca="1" si="88">I78</f>
        <v>4221.068424699617</v>
      </c>
      <c r="E137" s="34">
        <f t="shared" ca="1" si="88"/>
        <v>4417.7961548112125</v>
      </c>
      <c r="F137" s="34">
        <f t="shared" ca="1" si="88"/>
        <v>4623.6926061802969</v>
      </c>
      <c r="G137" s="34">
        <f t="shared" ca="1" si="88"/>
        <v>4839.1850975658981</v>
      </c>
      <c r="H137" s="34">
        <f t="shared" ca="1" si="88"/>
        <v>5064.7208634073968</v>
      </c>
      <c r="I137" s="34">
        <f t="shared" ca="1" si="88"/>
        <v>5300.7679820176281</v>
      </c>
    </row>
    <row r="138" spans="2:9" x14ac:dyDescent="0.25">
      <c r="B138" s="14" t="s">
        <v>415</v>
      </c>
      <c r="C138" s="34">
        <v>-29600</v>
      </c>
      <c r="D138" s="34">
        <f>AVERAGE(C138)</f>
        <v>-29600</v>
      </c>
      <c r="E138" s="34">
        <f t="shared" ref="E138:I138" si="89">AVERAGE(D138)</f>
        <v>-29600</v>
      </c>
      <c r="F138" s="34">
        <f t="shared" si="89"/>
        <v>-29600</v>
      </c>
      <c r="G138" s="34">
        <f t="shared" si="89"/>
        <v>-29600</v>
      </c>
      <c r="H138" s="34">
        <f t="shared" si="89"/>
        <v>-29600</v>
      </c>
      <c r="I138" s="34">
        <f t="shared" si="89"/>
        <v>-29600</v>
      </c>
    </row>
    <row r="139" spans="2:9" x14ac:dyDescent="0.25">
      <c r="B139" s="14" t="s">
        <v>416</v>
      </c>
      <c r="C139" s="34">
        <v>26900</v>
      </c>
      <c r="D139" s="34">
        <f>AVERAGE(C139)</f>
        <v>26900</v>
      </c>
      <c r="E139" s="34">
        <f t="shared" ref="E139:I139" si="90">AVERAGE(D139)</f>
        <v>26900</v>
      </c>
      <c r="F139" s="34">
        <f t="shared" si="90"/>
        <v>26900</v>
      </c>
      <c r="G139" s="34">
        <f t="shared" si="90"/>
        <v>26900</v>
      </c>
      <c r="H139" s="34">
        <f t="shared" si="90"/>
        <v>26900</v>
      </c>
      <c r="I139" s="34">
        <f t="shared" si="90"/>
        <v>26900</v>
      </c>
    </row>
    <row r="140" spans="2:9" ht="15.75" thickBot="1" x14ac:dyDescent="0.3">
      <c r="B140" s="96" t="s">
        <v>406</v>
      </c>
      <c r="C140" s="294">
        <f t="shared" ref="C140:I140" si="91">SUM(C132:C139,C130)</f>
        <v>382284</v>
      </c>
      <c r="D140" s="294">
        <f t="shared" ca="1" si="91"/>
        <v>226203.99204221924</v>
      </c>
      <c r="E140" s="294">
        <f t="shared" ca="1" si="91"/>
        <v>333343.35545588826</v>
      </c>
      <c r="F140" s="294">
        <f t="shared" ca="1" si="91"/>
        <v>446249.3341588825</v>
      </c>
      <c r="G140" s="294">
        <f t="shared" ca="1" si="91"/>
        <v>556536.0293793655</v>
      </c>
      <c r="H140" s="294">
        <f t="shared" ca="1" si="91"/>
        <v>650669.7361962134</v>
      </c>
      <c r="I140" s="294">
        <f t="shared" ca="1" si="91"/>
        <v>743667.5462134229</v>
      </c>
    </row>
    <row r="141" spans="2:9" ht="15.75" thickTop="1" x14ac:dyDescent="0.25"/>
    <row r="142" spans="2:9" x14ac:dyDescent="0.25">
      <c r="C142" s="34"/>
    </row>
    <row r="143" spans="2:9" x14ac:dyDescent="0.25">
      <c r="C143" s="34"/>
      <c r="D143" s="34"/>
      <c r="E143" s="34"/>
      <c r="F143" s="34"/>
      <c r="G143" s="34"/>
      <c r="H143" s="34"/>
      <c r="I143" s="34"/>
    </row>
    <row r="144" spans="2:9" x14ac:dyDescent="0.25">
      <c r="B144" s="14"/>
      <c r="C144" s="34"/>
      <c r="D144" s="34"/>
      <c r="E144" s="34"/>
      <c r="F144" s="34"/>
      <c r="G144" s="34"/>
      <c r="H144" s="34"/>
      <c r="I144" s="34"/>
    </row>
    <row r="145" spans="2:9" x14ac:dyDescent="0.25">
      <c r="B145" s="14"/>
      <c r="C145" s="34"/>
      <c r="D145" s="34"/>
      <c r="E145" s="34"/>
      <c r="F145" s="34"/>
      <c r="G145" s="34"/>
      <c r="H145" s="34"/>
      <c r="I145" s="34"/>
    </row>
  </sheetData>
  <pageMargins left="0.7" right="0.7" top="0.75" bottom="0.75" header="0.3" footer="0.3"/>
  <ignoredErrors>
    <ignoredError sqref="C25:H25" formulaRange="1"/>
  </ignoredError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A79A8-4199-48D3-8B12-68E428EB3C36}">
  <dimension ref="A1:M73"/>
  <sheetViews>
    <sheetView showGridLines="0" topLeftCell="A23" workbookViewId="0">
      <selection activeCell="B73" sqref="B73"/>
    </sheetView>
  </sheetViews>
  <sheetFormatPr defaultRowHeight="15" x14ac:dyDescent="0.25"/>
  <cols>
    <col min="2" max="2" width="46.42578125" bestFit="1" customWidth="1"/>
    <col min="3" max="6" width="9.42578125" bestFit="1" customWidth="1"/>
    <col min="7" max="7" width="10.42578125" bestFit="1" customWidth="1"/>
    <col min="8" max="11" width="9.42578125" bestFit="1" customWidth="1"/>
    <col min="12" max="13" width="10.42578125" bestFit="1" customWidth="1"/>
  </cols>
  <sheetData>
    <row r="1" spans="2:9" x14ac:dyDescent="0.25">
      <c r="B1" s="297" t="s">
        <v>233</v>
      </c>
      <c r="C1" s="297"/>
    </row>
    <row r="2" spans="2:9" x14ac:dyDescent="0.25">
      <c r="B2" t="s">
        <v>234</v>
      </c>
      <c r="C2" s="21">
        <v>460000</v>
      </c>
    </row>
    <row r="3" spans="2:9" x14ac:dyDescent="0.25">
      <c r="B3" t="s">
        <v>235</v>
      </c>
      <c r="C3" s="63">
        <v>6.2500000000000003E-3</v>
      </c>
    </row>
    <row r="4" spans="2:9" x14ac:dyDescent="0.25">
      <c r="B4" t="s">
        <v>236</v>
      </c>
      <c r="C4" s="63">
        <v>1.1599999999999999E-2</v>
      </c>
    </row>
    <row r="5" spans="2:9" x14ac:dyDescent="0.25">
      <c r="B5" t="s">
        <v>237</v>
      </c>
      <c r="C5" s="120">
        <v>0.5</v>
      </c>
    </row>
    <row r="6" spans="2:9" x14ac:dyDescent="0.25">
      <c r="B6" t="s">
        <v>238</v>
      </c>
      <c r="C6" s="21">
        <v>11800</v>
      </c>
      <c r="D6" s="21"/>
    </row>
    <row r="7" spans="2:9" x14ac:dyDescent="0.25">
      <c r="B7" t="s">
        <v>239</v>
      </c>
      <c r="C7" s="21">
        <v>9919</v>
      </c>
      <c r="D7" s="111"/>
    </row>
    <row r="8" spans="2:9" x14ac:dyDescent="0.25">
      <c r="B8" t="s">
        <v>240</v>
      </c>
      <c r="C8" s="21">
        <v>450081</v>
      </c>
    </row>
    <row r="10" spans="2:9" x14ac:dyDescent="0.25">
      <c r="D10">
        <v>2025</v>
      </c>
      <c r="E10">
        <f>D10+1</f>
        <v>2026</v>
      </c>
      <c r="F10">
        <f t="shared" ref="F10:I10" si="0">E10+1</f>
        <v>2027</v>
      </c>
      <c r="G10">
        <f t="shared" si="0"/>
        <v>2028</v>
      </c>
      <c r="H10">
        <f t="shared" si="0"/>
        <v>2029</v>
      </c>
      <c r="I10">
        <f t="shared" si="0"/>
        <v>2030</v>
      </c>
    </row>
    <row r="11" spans="2:9" x14ac:dyDescent="0.25">
      <c r="B11" t="s">
        <v>10</v>
      </c>
      <c r="D11" s="21">
        <f>(C$14*$C$4)/$C$5</f>
        <v>10441.879199999999</v>
      </c>
      <c r="E11" s="21">
        <f>(D$14*$C$4)/$C$5</f>
        <v>10550.730797439999</v>
      </c>
      <c r="F11" s="21">
        <f t="shared" ref="F11:I11" si="1">(E$14*$C$4)/$C$5</f>
        <v>10662.107751940608</v>
      </c>
      <c r="G11" s="21">
        <f t="shared" si="1"/>
        <v>10776.06865178563</v>
      </c>
      <c r="H11" s="21">
        <f t="shared" si="1"/>
        <v>10892.673444507056</v>
      </c>
      <c r="I11" s="21">
        <f t="shared" si="1"/>
        <v>11011.983468419619</v>
      </c>
    </row>
    <row r="12" spans="2:9" x14ac:dyDescent="0.25">
      <c r="B12" t="s">
        <v>241</v>
      </c>
      <c r="D12" s="111">
        <f>($C$2*$C$3)/$C$5</f>
        <v>5750</v>
      </c>
      <c r="E12" s="111">
        <f t="shared" ref="E12:I12" si="2">($C$2*$C$3)/$C$5</f>
        <v>5750</v>
      </c>
      <c r="F12" s="111">
        <f t="shared" si="2"/>
        <v>5750</v>
      </c>
      <c r="G12" s="111">
        <f t="shared" si="2"/>
        <v>5750</v>
      </c>
      <c r="H12" s="111">
        <f t="shared" si="2"/>
        <v>5750</v>
      </c>
      <c r="I12" s="111">
        <f t="shared" si="2"/>
        <v>5750</v>
      </c>
    </row>
    <row r="13" spans="2:9" x14ac:dyDescent="0.25">
      <c r="B13" t="s">
        <v>242</v>
      </c>
      <c r="D13" s="21">
        <f>D11-D12</f>
        <v>4691.8791999999994</v>
      </c>
      <c r="E13" s="21">
        <f t="shared" ref="E13:I13" si="3">E11-E12</f>
        <v>4800.7307974399992</v>
      </c>
      <c r="F13" s="21">
        <f t="shared" si="3"/>
        <v>4912.1077519406081</v>
      </c>
      <c r="G13" s="21">
        <f t="shared" si="3"/>
        <v>5026.0686517856302</v>
      </c>
      <c r="H13" s="21">
        <f t="shared" si="3"/>
        <v>5142.673444507056</v>
      </c>
      <c r="I13" s="21">
        <f t="shared" si="3"/>
        <v>5261.9834684196194</v>
      </c>
    </row>
    <row r="14" spans="2:9" x14ac:dyDescent="0.25">
      <c r="B14" t="s">
        <v>243</v>
      </c>
      <c r="C14">
        <v>450081</v>
      </c>
      <c r="D14" s="21">
        <f>C14+D13</f>
        <v>454772.87920000002</v>
      </c>
      <c r="E14" s="21">
        <f t="shared" ref="E14:I14" si="4">D14+E13</f>
        <v>459573.60999744001</v>
      </c>
      <c r="F14" s="21">
        <f t="shared" si="4"/>
        <v>464485.71774938062</v>
      </c>
      <c r="G14" s="21">
        <f t="shared" si="4"/>
        <v>469511.78640116623</v>
      </c>
      <c r="H14" s="21">
        <f t="shared" si="4"/>
        <v>474654.45984567329</v>
      </c>
      <c r="I14" s="21">
        <f t="shared" si="4"/>
        <v>479916.44331409293</v>
      </c>
    </row>
    <row r="15" spans="2:9" x14ac:dyDescent="0.25">
      <c r="D15" s="21"/>
    </row>
    <row r="16" spans="2:9" x14ac:dyDescent="0.25">
      <c r="C16" s="21"/>
      <c r="D16">
        <f>((C$14*$C$4)/$C$5)-(($C$2*$C$3)/$C$5)</f>
        <v>4691.8791999999994</v>
      </c>
    </row>
    <row r="17" spans="1:13" x14ac:dyDescent="0.25">
      <c r="C17" s="21"/>
      <c r="D17" s="21"/>
      <c r="E17" s="21"/>
    </row>
    <row r="18" spans="1:13" x14ac:dyDescent="0.25">
      <c r="C18" s="111"/>
    </row>
    <row r="19" spans="1:13" x14ac:dyDescent="0.25">
      <c r="C19" s="111"/>
      <c r="D19" s="111"/>
      <c r="E19" s="111">
        <f ca="1">(-Debt_Schedule!H70*Debt_Schedule!H26)+(Debt_Schedule!H27)+H28</f>
        <v>-76958.964468063466</v>
      </c>
      <c r="F19" s="117"/>
    </row>
    <row r="20" spans="1:13" x14ac:dyDescent="0.25">
      <c r="C20" s="111"/>
      <c r="D20" s="111"/>
      <c r="E20" s="111"/>
    </row>
    <row r="21" spans="1:13" x14ac:dyDescent="0.25">
      <c r="A21" t="s">
        <v>23</v>
      </c>
      <c r="B21" s="107" t="s">
        <v>216</v>
      </c>
      <c r="C21" s="107">
        <v>2020</v>
      </c>
      <c r="D21" s="107">
        <f t="shared" ref="D21" si="5">C21+1</f>
        <v>2021</v>
      </c>
      <c r="E21" s="107">
        <f t="shared" ref="E21" si="6">D21+1</f>
        <v>2022</v>
      </c>
      <c r="F21" s="109">
        <f t="shared" ref="F21" si="7">E21+1</f>
        <v>2023</v>
      </c>
      <c r="G21" s="109">
        <f t="shared" ref="G21" si="8">F21+1</f>
        <v>2024</v>
      </c>
      <c r="H21" s="109">
        <v>2025</v>
      </c>
      <c r="I21" s="109">
        <v>2026</v>
      </c>
      <c r="J21" s="109">
        <v>2027</v>
      </c>
      <c r="K21" s="109">
        <v>2028</v>
      </c>
      <c r="L21" s="109">
        <v>2029</v>
      </c>
      <c r="M21" s="109">
        <v>2030</v>
      </c>
    </row>
    <row r="22" spans="1:13" x14ac:dyDescent="0.25">
      <c r="B22" t="s">
        <v>217</v>
      </c>
      <c r="C22" s="21">
        <v>568744</v>
      </c>
      <c r="D22" s="21">
        <v>604317</v>
      </c>
      <c r="E22" s="21">
        <v>740609</v>
      </c>
      <c r="F22" s="21">
        <v>743486</v>
      </c>
      <c r="G22" s="21">
        <v>390175</v>
      </c>
      <c r="H22" s="21">
        <v>0</v>
      </c>
      <c r="I22" s="21">
        <v>0</v>
      </c>
      <c r="J22" s="21">
        <v>0</v>
      </c>
      <c r="K22" s="21">
        <v>0</v>
      </c>
      <c r="L22" s="21">
        <v>0</v>
      </c>
      <c r="M22" s="21">
        <v>0</v>
      </c>
    </row>
    <row r="23" spans="1:13" x14ac:dyDescent="0.25">
      <c r="B23" t="s">
        <v>218</v>
      </c>
      <c r="C23" s="21">
        <v>0</v>
      </c>
      <c r="D23" s="21">
        <v>0</v>
      </c>
      <c r="F23" s="21">
        <v>0</v>
      </c>
      <c r="G23" s="21">
        <v>450081</v>
      </c>
      <c r="H23" s="34">
        <f t="shared" ref="H23:L23" si="9">H44</f>
        <v>445389.12079999998</v>
      </c>
      <c r="I23" s="21">
        <f t="shared" si="9"/>
        <v>440588.39000255999</v>
      </c>
      <c r="J23" s="21">
        <f t="shared" si="9"/>
        <v>435676.28225061938</v>
      </c>
      <c r="K23" s="21">
        <f t="shared" si="9"/>
        <v>430650.21359883377</v>
      </c>
      <c r="L23" s="21">
        <f t="shared" si="9"/>
        <v>425507.54015432671</v>
      </c>
      <c r="M23" s="21">
        <v>0</v>
      </c>
    </row>
    <row r="24" spans="1:13" x14ac:dyDescent="0.25">
      <c r="B24" t="s">
        <v>219</v>
      </c>
      <c r="C24" s="21">
        <v>103305</v>
      </c>
      <c r="D24" s="21">
        <v>75680</v>
      </c>
      <c r="E24" s="21">
        <v>24429</v>
      </c>
      <c r="F24" s="21">
        <v>3115</v>
      </c>
      <c r="G24" s="21">
        <v>510</v>
      </c>
      <c r="H24" s="21"/>
      <c r="I24" s="21"/>
      <c r="J24" s="21"/>
      <c r="K24" s="21"/>
      <c r="L24" s="21"/>
      <c r="M24" s="21"/>
    </row>
    <row r="25" spans="1:13" x14ac:dyDescent="0.25">
      <c r="B25" t="s">
        <v>220</v>
      </c>
      <c r="C25" s="21">
        <v>7947</v>
      </c>
      <c r="D25" s="21">
        <v>31440</v>
      </c>
      <c r="E25" s="21">
        <v>74456</v>
      </c>
      <c r="F25" s="21">
        <v>118559</v>
      </c>
      <c r="G25" s="21">
        <v>154281</v>
      </c>
      <c r="H25" s="21">
        <f ca="1">G25+('3_Statement_Model'!H54-'3_Statement_Model'!G54)</f>
        <v>209302.42732155579</v>
      </c>
      <c r="I25" s="21">
        <f ca="1">H25+('3_Statement_Model'!I54-'3_Statement_Model'!H54)</f>
        <v>232600.16039249807</v>
      </c>
      <c r="J25" s="21">
        <f ca="1">I25+('3_Statement_Model'!J54-'3_Statement_Model'!I54)</f>
        <v>256983.7110059784</v>
      </c>
      <c r="K25" s="21">
        <f ca="1">J25+('3_Statement_Model'!K54-'3_Statement_Model'!J54)</f>
        <v>282503.68493261375</v>
      </c>
      <c r="L25" s="21">
        <f ca="1">K25+('3_Statement_Model'!L54-'3_Statement_Model'!K54)</f>
        <v>309213.0464829409</v>
      </c>
      <c r="M25" s="21">
        <f ca="1">L25+('3_Statement_Model'!M54-'3_Statement_Model'!L54)</f>
        <v>337167.22842987184</v>
      </c>
    </row>
    <row r="26" spans="1:13" x14ac:dyDescent="0.25">
      <c r="B26" s="119" t="s">
        <v>221</v>
      </c>
      <c r="C26" s="95">
        <f>SUM(C22:C25)</f>
        <v>679996</v>
      </c>
      <c r="D26" s="95">
        <f t="shared" ref="D26:M26" si="10">SUM(D22:D25)</f>
        <v>711437</v>
      </c>
      <c r="E26" s="95">
        <f>SUM(E22:E25)</f>
        <v>839494</v>
      </c>
      <c r="F26" s="95">
        <f t="shared" si="10"/>
        <v>865160</v>
      </c>
      <c r="G26" s="95">
        <f t="shared" si="10"/>
        <v>995047</v>
      </c>
      <c r="H26" s="95">
        <f t="shared" ca="1" si="10"/>
        <v>654691.54812155571</v>
      </c>
      <c r="I26" s="95">
        <f t="shared" ca="1" si="10"/>
        <v>673188.550395058</v>
      </c>
      <c r="J26" s="95">
        <f t="shared" ca="1" si="10"/>
        <v>692659.99325659778</v>
      </c>
      <c r="K26" s="95">
        <f t="shared" ca="1" si="10"/>
        <v>713153.89853144751</v>
      </c>
      <c r="L26" s="95">
        <f t="shared" ca="1" si="10"/>
        <v>734720.58663726761</v>
      </c>
      <c r="M26" s="95">
        <f t="shared" ca="1" si="10"/>
        <v>337167.22842987184</v>
      </c>
    </row>
    <row r="27" spans="1:13" x14ac:dyDescent="0.25">
      <c r="B27" t="s">
        <v>222</v>
      </c>
      <c r="C27" s="21">
        <v>0</v>
      </c>
      <c r="D27" s="21">
        <v>0</v>
      </c>
      <c r="E27" s="21">
        <v>0</v>
      </c>
      <c r="F27" s="21">
        <v>0</v>
      </c>
      <c r="G27" s="21">
        <v>-390175</v>
      </c>
      <c r="H27" s="21">
        <v>0</v>
      </c>
      <c r="I27" s="21">
        <v>0</v>
      </c>
      <c r="J27" s="21">
        <v>0</v>
      </c>
      <c r="K27" s="21">
        <v>0</v>
      </c>
      <c r="L27" s="21">
        <f>-L23</f>
        <v>-425507.54015432671</v>
      </c>
      <c r="M27" s="21">
        <v>0</v>
      </c>
    </row>
    <row r="28" spans="1:13" x14ac:dyDescent="0.25">
      <c r="B28" t="s">
        <v>223</v>
      </c>
      <c r="C28" s="21">
        <v>-35760</v>
      </c>
      <c r="D28" s="21">
        <v>-56264</v>
      </c>
      <c r="E28" s="21">
        <v>-36287</v>
      </c>
      <c r="F28" s="21">
        <v>-25798</v>
      </c>
      <c r="G28" s="21">
        <v>-38904</v>
      </c>
      <c r="H28" s="34">
        <f ca="1">-(C55)*H26</f>
        <v>-31924.699255937598</v>
      </c>
      <c r="I28" s="34">
        <f t="shared" ref="I28:M28" ca="1" si="11">-(D55)*I26</f>
        <v>-32826.667879806737</v>
      </c>
      <c r="J28" s="34">
        <f t="shared" ca="1" si="11"/>
        <v>-33776.15311329934</v>
      </c>
      <c r="K28" s="34">
        <f t="shared" ca="1" si="11"/>
        <v>-34775.496642869046</v>
      </c>
      <c r="L28" s="34">
        <f t="shared" ca="1" si="11"/>
        <v>-35827.152241143362</v>
      </c>
      <c r="M28" s="34">
        <f t="shared" ca="1" si="11"/>
        <v>-16441.272836751425</v>
      </c>
    </row>
    <row r="29" spans="1:13" ht="15.75" thickBot="1" x14ac:dyDescent="0.3">
      <c r="B29" s="96" t="s">
        <v>224</v>
      </c>
      <c r="C29" s="54">
        <f t="shared" ref="C29:M29" si="12">SUM(C26:C28)</f>
        <v>644236</v>
      </c>
      <c r="D29" s="54">
        <f t="shared" si="12"/>
        <v>655173</v>
      </c>
      <c r="E29" s="54">
        <f t="shared" si="12"/>
        <v>803207</v>
      </c>
      <c r="F29" s="54">
        <f t="shared" si="12"/>
        <v>839362</v>
      </c>
      <c r="G29" s="54">
        <f>SUM(G26:G28)</f>
        <v>565968</v>
      </c>
      <c r="H29" s="54">
        <f t="shared" ca="1" si="12"/>
        <v>622766.84886561811</v>
      </c>
      <c r="I29" s="54">
        <f t="shared" ca="1" si="12"/>
        <v>640361.88251525129</v>
      </c>
      <c r="J29" s="54">
        <f t="shared" ca="1" si="12"/>
        <v>658883.8401432985</v>
      </c>
      <c r="K29" s="54">
        <f t="shared" ca="1" si="12"/>
        <v>678378.40188857843</v>
      </c>
      <c r="L29" s="54">
        <f t="shared" ca="1" si="12"/>
        <v>273385.89424179756</v>
      </c>
      <c r="M29" s="54">
        <f t="shared" ca="1" si="12"/>
        <v>320725.95559312042</v>
      </c>
    </row>
    <row r="30" spans="1:13" ht="15.75" thickTop="1" x14ac:dyDescent="0.25">
      <c r="C30" s="21"/>
      <c r="D30" s="21"/>
      <c r="E30" s="21"/>
      <c r="F30" s="21"/>
      <c r="G30" s="21"/>
      <c r="H30" s="21"/>
      <c r="I30" s="21"/>
      <c r="J30" s="21"/>
      <c r="K30" s="21"/>
      <c r="L30" s="21"/>
      <c r="M30" s="21"/>
    </row>
    <row r="31" spans="1:13" x14ac:dyDescent="0.25">
      <c r="B31" t="s">
        <v>246</v>
      </c>
      <c r="C31">
        <f>-(C28)/C26</f>
        <v>5.2588544638497874E-2</v>
      </c>
      <c r="D31">
        <f t="shared" ref="D31:G31" si="13">-(D28)/D26</f>
        <v>7.9085006824216333E-2</v>
      </c>
      <c r="E31">
        <f t="shared" si="13"/>
        <v>4.3224847348521847E-2</v>
      </c>
      <c r="F31">
        <f t="shared" si="13"/>
        <v>2.9818761847519533E-2</v>
      </c>
      <c r="G31">
        <f t="shared" si="13"/>
        <v>3.9097650663737493E-2</v>
      </c>
      <c r="I31" s="111">
        <f ca="1">(-Debt_Schedule!H70*Debt_Schedule!H26)+(Debt_Schedule!H27)+(H29-G29)</f>
        <v>11764.583653492249</v>
      </c>
    </row>
    <row r="33" spans="1:13" x14ac:dyDescent="0.25">
      <c r="A33" t="s">
        <v>23</v>
      </c>
      <c r="B33" s="107" t="s">
        <v>225</v>
      </c>
      <c r="C33" s="107">
        <v>2020</v>
      </c>
      <c r="D33" s="107">
        <f t="shared" ref="D33" si="14">C33+1</f>
        <v>2021</v>
      </c>
      <c r="E33" s="107">
        <f t="shared" ref="E33" si="15">D33+1</f>
        <v>2022</v>
      </c>
      <c r="F33" s="107">
        <f t="shared" ref="F33" si="16">E33+1</f>
        <v>2023</v>
      </c>
      <c r="G33" s="107">
        <f t="shared" ref="G33" si="17">F33+1</f>
        <v>2024</v>
      </c>
      <c r="H33" s="109">
        <v>2025</v>
      </c>
      <c r="I33" s="109">
        <v>2026</v>
      </c>
      <c r="J33" s="109">
        <v>2027</v>
      </c>
      <c r="K33" s="109">
        <v>2028</v>
      </c>
      <c r="L33" s="109">
        <v>2029</v>
      </c>
      <c r="M33" s="109">
        <v>2030</v>
      </c>
    </row>
    <row r="34" spans="1:13" x14ac:dyDescent="0.25">
      <c r="B34" t="s">
        <v>226</v>
      </c>
      <c r="C34" s="21">
        <v>7008</v>
      </c>
      <c r="D34" s="21">
        <v>11212</v>
      </c>
      <c r="E34" s="21">
        <v>11212</v>
      </c>
      <c r="F34" s="21">
        <v>11212</v>
      </c>
      <c r="G34" s="21">
        <v>9181</v>
      </c>
      <c r="H34" s="21">
        <f>($C$2*$C$3)/$C$5</f>
        <v>5750</v>
      </c>
      <c r="I34" s="21">
        <f t="shared" ref="I34:M34" si="18">($C$2*$C$3)/$C$5</f>
        <v>5750</v>
      </c>
      <c r="J34" s="21">
        <f t="shared" si="18"/>
        <v>5750</v>
      </c>
      <c r="K34" s="21">
        <f t="shared" si="18"/>
        <v>5750</v>
      </c>
      <c r="L34" s="21">
        <f t="shared" si="18"/>
        <v>5750</v>
      </c>
      <c r="M34" s="21">
        <f t="shared" si="18"/>
        <v>5750</v>
      </c>
    </row>
    <row r="35" spans="1:13" x14ac:dyDescent="0.25">
      <c r="B35" t="s">
        <v>62</v>
      </c>
      <c r="C35" s="21">
        <v>21050</v>
      </c>
      <c r="D35" s="21">
        <v>35575</v>
      </c>
      <c r="E35" s="21">
        <v>2928</v>
      </c>
      <c r="F35" s="21">
        <v>2877</v>
      </c>
      <c r="G35" s="21">
        <v>3737</v>
      </c>
      <c r="H35" s="21">
        <f>((C$14*$C$4)/$C$5)-(($C$2*$C$3)/$C$5)</f>
        <v>4691.8791999999994</v>
      </c>
      <c r="I35" s="21">
        <f t="shared" ref="I35:M35" si="19">((D$14*$C$4)/$C$5)-(($C$2*$C$3)/$C$5)</f>
        <v>4800.7307974399992</v>
      </c>
      <c r="J35" s="21">
        <f t="shared" si="19"/>
        <v>4912.1077519406081</v>
      </c>
      <c r="K35" s="21">
        <f t="shared" si="19"/>
        <v>5026.0686517856302</v>
      </c>
      <c r="L35" s="21">
        <f t="shared" si="19"/>
        <v>5142.673444507056</v>
      </c>
      <c r="M35" s="21">
        <f t="shared" si="19"/>
        <v>5261.9834684196194</v>
      </c>
    </row>
    <row r="36" spans="1:13" x14ac:dyDescent="0.25">
      <c r="B36" t="s">
        <v>227</v>
      </c>
      <c r="C36" s="21">
        <v>4620</v>
      </c>
      <c r="D36" s="21">
        <v>4848</v>
      </c>
      <c r="E36" s="21">
        <v>5595</v>
      </c>
      <c r="F36" s="21">
        <v>12134</v>
      </c>
      <c r="G36" s="21">
        <v>16003</v>
      </c>
      <c r="H36" s="21">
        <f ca="1">H25*H64</f>
        <v>42562.358712664936</v>
      </c>
      <c r="I36" s="21">
        <f t="shared" ref="I36:M36" ca="1" si="20">I25*I64</f>
        <v>47300.031776694603</v>
      </c>
      <c r="J36" s="21">
        <f t="shared" ca="1" si="20"/>
        <v>52258.509521938067</v>
      </c>
      <c r="K36" s="21">
        <f t="shared" ca="1" si="20"/>
        <v>57448.082803544457</v>
      </c>
      <c r="L36" s="21">
        <f t="shared" ca="1" si="20"/>
        <v>62879.522093757631</v>
      </c>
      <c r="M36" s="21">
        <f t="shared" ca="1" si="20"/>
        <v>68564.099835020359</v>
      </c>
    </row>
    <row r="37" spans="1:13" ht="15.75" thickBot="1" x14ac:dyDescent="0.3">
      <c r="B37" s="96" t="s">
        <v>228</v>
      </c>
      <c r="C37" s="54">
        <f>SUM(C34:C36)</f>
        <v>32678</v>
      </c>
      <c r="D37" s="54">
        <f>SUM(D34:D36)</f>
        <v>51635</v>
      </c>
      <c r="E37" s="54">
        <f>SUM(E34:E36)</f>
        <v>19735</v>
      </c>
      <c r="F37" s="54">
        <f>SUM(F34:F36)</f>
        <v>26223</v>
      </c>
      <c r="G37" s="54">
        <f>SUM(G34:G36)</f>
        <v>28921</v>
      </c>
      <c r="H37" s="54">
        <f t="shared" ref="H37:M37" ca="1" si="21">SUM(H34:H36)</f>
        <v>53004.237912664932</v>
      </c>
      <c r="I37" s="54">
        <f t="shared" ca="1" si="21"/>
        <v>57850.762574134598</v>
      </c>
      <c r="J37" s="54">
        <f t="shared" ca="1" si="21"/>
        <v>62920.617273878677</v>
      </c>
      <c r="K37" s="54">
        <f t="shared" ca="1" si="21"/>
        <v>68224.15145533008</v>
      </c>
      <c r="L37" s="54">
        <f t="shared" ca="1" si="21"/>
        <v>73772.195538264685</v>
      </c>
      <c r="M37" s="54">
        <f t="shared" ca="1" si="21"/>
        <v>79576.083303439984</v>
      </c>
    </row>
    <row r="38" spans="1:13" ht="15.75" thickTop="1" x14ac:dyDescent="0.25">
      <c r="C38" s="21"/>
      <c r="D38" s="63"/>
      <c r="E38" s="63"/>
      <c r="F38" s="63"/>
      <c r="G38" s="63"/>
      <c r="H38" s="63"/>
      <c r="I38" s="63"/>
      <c r="J38" s="63"/>
      <c r="K38" s="63"/>
      <c r="L38" s="63"/>
      <c r="M38" s="63"/>
    </row>
    <row r="39" spans="1:13" x14ac:dyDescent="0.25">
      <c r="C39" s="111"/>
      <c r="D39" s="111"/>
      <c r="G39" s="111">
        <f>G37+-G28</f>
        <v>67825</v>
      </c>
    </row>
    <row r="41" spans="1:13" x14ac:dyDescent="0.25">
      <c r="A41" t="s">
        <v>23</v>
      </c>
      <c r="B41" s="107" t="s">
        <v>229</v>
      </c>
      <c r="C41" s="107">
        <v>2020</v>
      </c>
      <c r="D41" s="107">
        <f t="shared" ref="D41:G41" si="22">C41+1</f>
        <v>2021</v>
      </c>
      <c r="E41" s="107">
        <f t="shared" si="22"/>
        <v>2022</v>
      </c>
      <c r="F41" s="107">
        <f t="shared" si="22"/>
        <v>2023</v>
      </c>
      <c r="G41" s="107">
        <f t="shared" si="22"/>
        <v>2024</v>
      </c>
      <c r="H41" s="109">
        <v>2025</v>
      </c>
      <c r="I41" s="109">
        <v>2026</v>
      </c>
      <c r="J41" s="109">
        <v>2027</v>
      </c>
      <c r="K41" s="109">
        <v>2028</v>
      </c>
      <c r="L41" s="109">
        <v>2029</v>
      </c>
      <c r="M41" s="109">
        <v>2030</v>
      </c>
    </row>
    <row r="42" spans="1:13" x14ac:dyDescent="0.25">
      <c r="B42" t="s">
        <v>230</v>
      </c>
      <c r="C42" s="21">
        <v>0</v>
      </c>
      <c r="D42" s="21">
        <v>0</v>
      </c>
      <c r="E42" s="21">
        <v>0</v>
      </c>
      <c r="F42" s="21">
        <v>0</v>
      </c>
      <c r="G42" s="21">
        <v>460000</v>
      </c>
      <c r="H42" s="21">
        <v>460000</v>
      </c>
      <c r="I42" s="21">
        <v>460000</v>
      </c>
      <c r="J42" s="21">
        <v>460000</v>
      </c>
      <c r="K42" s="21">
        <v>460000</v>
      </c>
      <c r="L42" s="21">
        <v>460000</v>
      </c>
      <c r="M42" s="21">
        <v>460000</v>
      </c>
    </row>
    <row r="43" spans="1:13" x14ac:dyDescent="0.25">
      <c r="B43" t="s">
        <v>231</v>
      </c>
      <c r="C43" s="21">
        <v>0</v>
      </c>
      <c r="D43" s="21">
        <v>0</v>
      </c>
      <c r="E43" s="21">
        <v>0</v>
      </c>
      <c r="F43" s="21">
        <v>0</v>
      </c>
      <c r="G43" s="21">
        <v>-9919</v>
      </c>
      <c r="H43" s="111">
        <f t="shared" ref="H43:M43" si="23">G43-H35</f>
        <v>-14610.879199999999</v>
      </c>
      <c r="I43" s="111">
        <f t="shared" si="23"/>
        <v>-19411.609997439999</v>
      </c>
      <c r="J43" s="111">
        <f t="shared" si="23"/>
        <v>-24323.717749380608</v>
      </c>
      <c r="K43" s="111">
        <f t="shared" si="23"/>
        <v>-29349.786401166239</v>
      </c>
      <c r="L43" s="111">
        <f t="shared" si="23"/>
        <v>-34492.459845673293</v>
      </c>
      <c r="M43" s="111">
        <f t="shared" si="23"/>
        <v>-39754.44331409291</v>
      </c>
    </row>
    <row r="44" spans="1:13" ht="15.75" thickBot="1" x14ac:dyDescent="0.3">
      <c r="B44" s="96" t="s">
        <v>232</v>
      </c>
      <c r="C44" s="54">
        <v>0</v>
      </c>
      <c r="D44" s="54">
        <f t="shared" ref="D44:M44" si="24">SUM(D42:D43)</f>
        <v>0</v>
      </c>
      <c r="E44" s="54">
        <f t="shared" si="24"/>
        <v>0</v>
      </c>
      <c r="F44" s="54">
        <f t="shared" si="24"/>
        <v>0</v>
      </c>
      <c r="G44" s="54">
        <f t="shared" si="24"/>
        <v>450081</v>
      </c>
      <c r="H44" s="54">
        <f t="shared" si="24"/>
        <v>445389.12079999998</v>
      </c>
      <c r="I44" s="54">
        <f t="shared" si="24"/>
        <v>440588.39000255999</v>
      </c>
      <c r="J44" s="54">
        <f t="shared" si="24"/>
        <v>435676.28225061938</v>
      </c>
      <c r="K44" s="54">
        <f t="shared" si="24"/>
        <v>430650.21359883377</v>
      </c>
      <c r="L44" s="54">
        <f t="shared" si="24"/>
        <v>425507.54015432671</v>
      </c>
      <c r="M44" s="54">
        <f t="shared" si="24"/>
        <v>420245.55668590707</v>
      </c>
    </row>
    <row r="45" spans="1:13" ht="15.75" thickTop="1" x14ac:dyDescent="0.25">
      <c r="C45" s="111"/>
    </row>
    <row r="46" spans="1:13" x14ac:dyDescent="0.25">
      <c r="G46" s="21"/>
    </row>
    <row r="47" spans="1:13" x14ac:dyDescent="0.25">
      <c r="A47" t="s">
        <v>23</v>
      </c>
      <c r="B47" s="118" t="s">
        <v>244</v>
      </c>
      <c r="C47" s="109">
        <v>2025</v>
      </c>
      <c r="D47" s="109">
        <v>2026</v>
      </c>
      <c r="E47" s="109">
        <v>2027</v>
      </c>
      <c r="F47" s="109">
        <v>2028</v>
      </c>
      <c r="G47" s="109">
        <v>2029</v>
      </c>
      <c r="H47" s="109">
        <v>2030</v>
      </c>
    </row>
    <row r="48" spans="1:13" x14ac:dyDescent="0.25">
      <c r="B48" s="43"/>
      <c r="C48" s="103"/>
      <c r="D48" s="103"/>
      <c r="E48" s="103"/>
      <c r="F48" s="103"/>
      <c r="G48" s="103"/>
    </row>
    <row r="49" spans="2:13" x14ac:dyDescent="0.25">
      <c r="F49" s="111"/>
    </row>
    <row r="50" spans="2:13" x14ac:dyDescent="0.25">
      <c r="B50" s="2" t="s">
        <v>245</v>
      </c>
      <c r="C50" s="79">
        <f t="shared" ref="C50:H50" ca="1" si="25">OFFSET(C50,MATCH(S,$B$51:$B$53,0),0)</f>
        <v>5.9452030799627686E-2</v>
      </c>
      <c r="D50" s="80">
        <f t="shared" ca="1" si="25"/>
        <v>5.9452030799627686E-2</v>
      </c>
      <c r="E50" s="80">
        <f t="shared" ca="1" si="25"/>
        <v>5.9452030799627686E-2</v>
      </c>
      <c r="F50" s="80">
        <f t="shared" ca="1" si="25"/>
        <v>5.9452030799627686E-2</v>
      </c>
      <c r="G50" s="80">
        <f t="shared" ca="1" si="25"/>
        <v>5.9452030799627686E-2</v>
      </c>
      <c r="H50" s="81">
        <f t="shared" ca="1" si="25"/>
        <v>5.9452030799627686E-2</v>
      </c>
    </row>
    <row r="51" spans="2:13" x14ac:dyDescent="0.25">
      <c r="B51" t="s">
        <v>143</v>
      </c>
      <c r="C51" s="63">
        <f ca="1">AVERAGE(Assumptions!$I$5:$N$5)</f>
        <v>5.9452030799627686E-2</v>
      </c>
      <c r="D51" s="63">
        <f ca="1">AVERAGE(Assumptions!$I$5:$N$5)</f>
        <v>5.9452030799627686E-2</v>
      </c>
      <c r="E51" s="63">
        <f ca="1">AVERAGE(Assumptions!$I$5:$N$5)</f>
        <v>5.9452030799627686E-2</v>
      </c>
      <c r="F51" s="63">
        <f ca="1">AVERAGE(Assumptions!$I$5:$N$5)</f>
        <v>5.9452030799627686E-2</v>
      </c>
      <c r="G51" s="63">
        <f ca="1">AVERAGE(Assumptions!$I$5:$N$5)</f>
        <v>5.9452030799627686E-2</v>
      </c>
      <c r="H51" s="63">
        <f ca="1">AVERAGE(Assumptions!$I$5:$N$5)</f>
        <v>5.9452030799627686E-2</v>
      </c>
      <c r="I51" t="s">
        <v>154</v>
      </c>
    </row>
    <row r="52" spans="2:13" x14ac:dyDescent="0.25">
      <c r="B52" t="s">
        <v>145</v>
      </c>
      <c r="C52" s="63">
        <f ca="1">MIN(Assumptions!$I$5:$N$5)</f>
        <v>4.6606145723779635E-2</v>
      </c>
      <c r="D52" s="63">
        <f ca="1">MIN(Assumptions!$I$5:$N$5)</f>
        <v>4.6606145723779635E-2</v>
      </c>
      <c r="E52" s="63">
        <f ca="1">MIN(Assumptions!$I$5:$N$5)</f>
        <v>4.6606145723779635E-2</v>
      </c>
      <c r="F52" s="63">
        <f ca="1">MIN(Assumptions!$I$5:$N$5)</f>
        <v>4.6606145723779635E-2</v>
      </c>
      <c r="G52" s="63">
        <f ca="1">MIN(Assumptions!$I$5:$N$5)</f>
        <v>4.6606145723779635E-2</v>
      </c>
      <c r="H52" s="63">
        <f ca="1">MIN(Assumptions!$I$5:$N$5)</f>
        <v>4.6606145723779635E-2</v>
      </c>
      <c r="I52" t="s">
        <v>155</v>
      </c>
    </row>
    <row r="53" spans="2:13" x14ac:dyDescent="0.25">
      <c r="B53" t="s">
        <v>148</v>
      </c>
      <c r="C53" s="63">
        <f ca="1">MAX(Assumptions!$I$5:$N$5)</f>
        <v>0.12368145617886772</v>
      </c>
      <c r="D53" s="63">
        <f ca="1">MAX(Assumptions!$I$5:$N$5)</f>
        <v>0.12368145617886772</v>
      </c>
      <c r="E53" s="63">
        <f ca="1">MAX(Assumptions!$I$5:$N$5)</f>
        <v>0.12368145617886772</v>
      </c>
      <c r="F53" s="63">
        <f ca="1">MAX(Assumptions!$I$5:$N$5)</f>
        <v>0.12368145617886772</v>
      </c>
      <c r="G53" s="63">
        <f ca="1">MAX(Assumptions!$I$5:$N$5)</f>
        <v>0.12368145617886772</v>
      </c>
      <c r="H53" s="63">
        <f ca="1">MAX(Assumptions!$I$5:$N$5)</f>
        <v>0.12368145617886772</v>
      </c>
      <c r="I53" t="s">
        <v>156</v>
      </c>
    </row>
    <row r="55" spans="2:13" x14ac:dyDescent="0.25">
      <c r="B55" s="2" t="s">
        <v>246</v>
      </c>
      <c r="C55" s="91">
        <f t="shared" ref="C55:H55" ca="1" si="26">OFFSET(C55,MATCH(S,$B$56:$B$58,0),0)</f>
        <v>4.876296226449861E-2</v>
      </c>
      <c r="D55" s="92">
        <f t="shared" ca="1" si="26"/>
        <v>4.876296226449861E-2</v>
      </c>
      <c r="E55" s="92">
        <f t="shared" ca="1" si="26"/>
        <v>4.876296226449861E-2</v>
      </c>
      <c r="F55" s="92">
        <f t="shared" ca="1" si="26"/>
        <v>4.876296226449861E-2</v>
      </c>
      <c r="G55" s="92">
        <f t="shared" ca="1" si="26"/>
        <v>4.876296226449861E-2</v>
      </c>
      <c r="H55" s="93">
        <f t="shared" ca="1" si="26"/>
        <v>4.876296226449861E-2</v>
      </c>
    </row>
    <row r="56" spans="2:13" x14ac:dyDescent="0.25">
      <c r="B56" t="s">
        <v>143</v>
      </c>
      <c r="C56" s="63">
        <f>AVERAGE($C$31:$G$31)</f>
        <v>4.876296226449861E-2</v>
      </c>
      <c r="D56" s="63">
        <f t="shared" ref="D56:H56" si="27">AVERAGE($C$31:$G$31)</f>
        <v>4.876296226449861E-2</v>
      </c>
      <c r="E56" s="63">
        <f t="shared" si="27"/>
        <v>4.876296226449861E-2</v>
      </c>
      <c r="F56" s="63">
        <f t="shared" si="27"/>
        <v>4.876296226449861E-2</v>
      </c>
      <c r="G56" s="63">
        <f t="shared" si="27"/>
        <v>4.876296226449861E-2</v>
      </c>
      <c r="H56" s="63">
        <f t="shared" si="27"/>
        <v>4.876296226449861E-2</v>
      </c>
      <c r="I56" t="s">
        <v>154</v>
      </c>
    </row>
    <row r="57" spans="2:13" x14ac:dyDescent="0.25">
      <c r="B57" t="s">
        <v>145</v>
      </c>
      <c r="C57" s="63">
        <f>MIN($C$31:$G$31)</f>
        <v>2.9818761847519533E-2</v>
      </c>
      <c r="D57" s="63">
        <f t="shared" ref="D57:H57" si="28">MIN($C$31:$G$31)</f>
        <v>2.9818761847519533E-2</v>
      </c>
      <c r="E57" s="63">
        <f t="shared" si="28"/>
        <v>2.9818761847519533E-2</v>
      </c>
      <c r="F57" s="63">
        <f t="shared" si="28"/>
        <v>2.9818761847519533E-2</v>
      </c>
      <c r="G57" s="63">
        <f t="shared" si="28"/>
        <v>2.9818761847519533E-2</v>
      </c>
      <c r="H57" s="63">
        <f t="shared" si="28"/>
        <v>2.9818761847519533E-2</v>
      </c>
      <c r="I57" t="s">
        <v>155</v>
      </c>
    </row>
    <row r="58" spans="2:13" x14ac:dyDescent="0.25">
      <c r="B58" t="s">
        <v>148</v>
      </c>
      <c r="C58" s="63">
        <f>MAX($C$31:$G$31)</f>
        <v>7.9085006824216333E-2</v>
      </c>
      <c r="D58" s="63">
        <f t="shared" ref="D58:H58" si="29">MAX($C$31:$G$31)</f>
        <v>7.9085006824216333E-2</v>
      </c>
      <c r="E58" s="63">
        <f t="shared" si="29"/>
        <v>7.9085006824216333E-2</v>
      </c>
      <c r="F58" s="63">
        <f t="shared" si="29"/>
        <v>7.9085006824216333E-2</v>
      </c>
      <c r="G58" s="63">
        <f t="shared" si="29"/>
        <v>7.9085006824216333E-2</v>
      </c>
      <c r="H58" s="63">
        <f t="shared" si="29"/>
        <v>7.9085006824216333E-2</v>
      </c>
      <c r="I58" t="s">
        <v>156</v>
      </c>
    </row>
    <row r="59" spans="2:13" x14ac:dyDescent="0.25">
      <c r="C59" s="63"/>
      <c r="D59" s="63"/>
      <c r="E59" s="63"/>
      <c r="F59" s="63"/>
      <c r="G59" s="63"/>
      <c r="H59" s="63"/>
    </row>
    <row r="60" spans="2:13" x14ac:dyDescent="0.25">
      <c r="C60" s="63"/>
      <c r="D60" s="63"/>
      <c r="E60" s="63"/>
      <c r="F60" s="63"/>
      <c r="G60" s="63"/>
      <c r="H60" s="63"/>
    </row>
    <row r="62" spans="2:13" x14ac:dyDescent="0.25">
      <c r="C62" s="107">
        <v>2020</v>
      </c>
      <c r="D62" s="107">
        <f t="shared" ref="D62" si="30">C62+1</f>
        <v>2021</v>
      </c>
      <c r="E62" s="107">
        <f t="shared" ref="E62" si="31">D62+1</f>
        <v>2022</v>
      </c>
      <c r="F62" s="107">
        <f t="shared" ref="F62" si="32">E62+1</f>
        <v>2023</v>
      </c>
      <c r="G62" s="107">
        <f t="shared" ref="G62" si="33">F62+1</f>
        <v>2024</v>
      </c>
      <c r="H62" s="109">
        <v>2025</v>
      </c>
      <c r="I62" s="109">
        <v>2026</v>
      </c>
      <c r="J62" s="109">
        <v>2027</v>
      </c>
      <c r="K62" s="109">
        <v>2028</v>
      </c>
      <c r="L62" s="109">
        <v>2029</v>
      </c>
      <c r="M62" s="109">
        <v>2030</v>
      </c>
    </row>
    <row r="63" spans="2:13" x14ac:dyDescent="0.25">
      <c r="C63" s="102"/>
      <c r="D63" s="102"/>
      <c r="E63" s="102"/>
      <c r="F63" s="102"/>
      <c r="G63" s="102"/>
      <c r="H63" s="103"/>
      <c r="I63" s="103"/>
      <c r="J63" s="103"/>
      <c r="K63" s="103"/>
      <c r="L63" s="103"/>
      <c r="M63" s="103"/>
    </row>
    <row r="64" spans="2:13" x14ac:dyDescent="0.25">
      <c r="B64" s="2" t="s">
        <v>247</v>
      </c>
      <c r="C64" s="71">
        <f>C36/C25</f>
        <v>0.58135145337863348</v>
      </c>
      <c r="D64" s="71">
        <f t="shared" ref="D64:G64" si="34">D36/D25</f>
        <v>0.15419847328244274</v>
      </c>
      <c r="E64" s="71">
        <f t="shared" si="34"/>
        <v>7.5145052111314059E-2</v>
      </c>
      <c r="F64" s="71">
        <f t="shared" si="34"/>
        <v>0.10234566755792475</v>
      </c>
      <c r="G64" s="71">
        <f t="shared" si="34"/>
        <v>0.10372631756340703</v>
      </c>
      <c r="H64" s="121">
        <f t="shared" ref="H64:M64" ca="1" si="35">OFFSET(H64,MATCH(S,$B$65:$B$67,0),0)</f>
        <v>0.2033533927787444</v>
      </c>
      <c r="I64" s="122">
        <f t="shared" ca="1" si="35"/>
        <v>0.2033533927787444</v>
      </c>
      <c r="J64" s="122">
        <f t="shared" ca="1" si="35"/>
        <v>0.2033533927787444</v>
      </c>
      <c r="K64" s="122">
        <f t="shared" ca="1" si="35"/>
        <v>0.2033533927787444</v>
      </c>
      <c r="L64" s="122">
        <f t="shared" ca="1" si="35"/>
        <v>0.2033533927787444</v>
      </c>
      <c r="M64" s="123">
        <f t="shared" ca="1" si="35"/>
        <v>0.2033533927787444</v>
      </c>
    </row>
    <row r="65" spans="2:13" x14ac:dyDescent="0.25">
      <c r="B65" t="s">
        <v>143</v>
      </c>
      <c r="G65" t="s">
        <v>154</v>
      </c>
      <c r="H65" s="71">
        <f>AVERAGE($C$64:$G$64)</f>
        <v>0.2033533927787444</v>
      </c>
      <c r="I65" s="71">
        <f t="shared" ref="I65:M65" si="36">AVERAGE($C$64:$G$64)</f>
        <v>0.2033533927787444</v>
      </c>
      <c r="J65" s="71">
        <f t="shared" si="36"/>
        <v>0.2033533927787444</v>
      </c>
      <c r="K65" s="71">
        <f t="shared" si="36"/>
        <v>0.2033533927787444</v>
      </c>
      <c r="L65" s="71">
        <f t="shared" si="36"/>
        <v>0.2033533927787444</v>
      </c>
      <c r="M65" s="71">
        <f t="shared" si="36"/>
        <v>0.2033533927787444</v>
      </c>
    </row>
    <row r="66" spans="2:13" x14ac:dyDescent="0.25">
      <c r="B66" t="s">
        <v>145</v>
      </c>
      <c r="G66" t="s">
        <v>155</v>
      </c>
      <c r="H66" s="71">
        <f>MIN($C$64:$G$64)</f>
        <v>7.5145052111314059E-2</v>
      </c>
      <c r="I66" s="71">
        <f t="shared" ref="I66:M66" si="37">MIN($C$64:$G$64)</f>
        <v>7.5145052111314059E-2</v>
      </c>
      <c r="J66" s="71">
        <f t="shared" si="37"/>
        <v>7.5145052111314059E-2</v>
      </c>
      <c r="K66" s="71">
        <f t="shared" si="37"/>
        <v>7.5145052111314059E-2</v>
      </c>
      <c r="L66" s="71">
        <f t="shared" si="37"/>
        <v>7.5145052111314059E-2</v>
      </c>
      <c r="M66" s="71">
        <f t="shared" si="37"/>
        <v>7.5145052111314059E-2</v>
      </c>
    </row>
    <row r="67" spans="2:13" x14ac:dyDescent="0.25">
      <c r="B67" t="s">
        <v>148</v>
      </c>
      <c r="G67" t="s">
        <v>156</v>
      </c>
      <c r="H67" s="71">
        <f>MAX($C$64:$G$64)</f>
        <v>0.58135145337863348</v>
      </c>
      <c r="I67" s="71">
        <f t="shared" ref="I67:M67" si="38">MAX($C$64:$G$64)</f>
        <v>0.58135145337863348</v>
      </c>
      <c r="J67" s="71">
        <f t="shared" si="38"/>
        <v>0.58135145337863348</v>
      </c>
      <c r="K67" s="71">
        <f t="shared" si="38"/>
        <v>0.58135145337863348</v>
      </c>
      <c r="L67" s="71">
        <f t="shared" si="38"/>
        <v>0.58135145337863348</v>
      </c>
      <c r="M67" s="71">
        <f t="shared" si="38"/>
        <v>0.58135145337863348</v>
      </c>
    </row>
    <row r="70" spans="2:13" x14ac:dyDescent="0.25">
      <c r="B70" s="2" t="s">
        <v>313</v>
      </c>
      <c r="C70" s="21"/>
      <c r="D70" s="71">
        <f>-(Mark_Secs!D36/Debt_Schedule!D26)</f>
        <v>7.1178473989966781E-2</v>
      </c>
      <c r="E70" s="71">
        <f>-(Mark_Secs!E36/Debt_Schedule!E26)</f>
        <v>5.2943797096822613E-2</v>
      </c>
      <c r="F70" s="71">
        <f>-(Mark_Secs!F36/Debt_Schedule!F26)</f>
        <v>7.8180914512922459E-2</v>
      </c>
      <c r="G70" s="71">
        <f>-(Mark_Secs!G36/Debt_Schedule!G26)</f>
        <v>7.2844800295865417E-2</v>
      </c>
      <c r="H70" s="182">
        <f t="shared" ref="H70:M70" ca="1" si="39">OFFSET(H70,MATCH(S,$B$71:$B$73,0),0)</f>
        <v>6.8786996473894316E-2</v>
      </c>
      <c r="I70" s="183">
        <f t="shared" ca="1" si="39"/>
        <v>6.8786996473894316E-2</v>
      </c>
      <c r="J70" s="183">
        <f t="shared" ca="1" si="39"/>
        <v>6.8786996473894316E-2</v>
      </c>
      <c r="K70" s="183">
        <f t="shared" ca="1" si="39"/>
        <v>6.8786996473894316E-2</v>
      </c>
      <c r="L70" s="183">
        <f t="shared" ca="1" si="39"/>
        <v>6.8786996473894316E-2</v>
      </c>
      <c r="M70" s="184">
        <f t="shared" ca="1" si="39"/>
        <v>6.8786996473894316E-2</v>
      </c>
    </row>
    <row r="71" spans="2:13" x14ac:dyDescent="0.25">
      <c r="B71" t="s">
        <v>143</v>
      </c>
      <c r="G71" t="s">
        <v>154</v>
      </c>
      <c r="H71" s="71">
        <f>AVERAGE($D$70:$G$70)</f>
        <v>6.8786996473894316E-2</v>
      </c>
      <c r="I71" s="71">
        <f t="shared" ref="I71:M71" si="40">AVERAGE($D$70:$G$70)</f>
        <v>6.8786996473894316E-2</v>
      </c>
      <c r="J71" s="71">
        <f t="shared" si="40"/>
        <v>6.8786996473894316E-2</v>
      </c>
      <c r="K71" s="71">
        <f t="shared" si="40"/>
        <v>6.8786996473894316E-2</v>
      </c>
      <c r="L71" s="71">
        <f t="shared" si="40"/>
        <v>6.8786996473894316E-2</v>
      </c>
      <c r="M71" s="71">
        <f t="shared" si="40"/>
        <v>6.8786996473894316E-2</v>
      </c>
    </row>
    <row r="72" spans="2:13" x14ac:dyDescent="0.25">
      <c r="B72" t="s">
        <v>145</v>
      </c>
      <c r="G72" t="s">
        <v>156</v>
      </c>
      <c r="H72" s="71">
        <f>MAX($D$70:$G$70)</f>
        <v>7.8180914512922459E-2</v>
      </c>
      <c r="I72" s="71">
        <f t="shared" ref="I72:M72" si="41">MAX($D$70:$G$70)</f>
        <v>7.8180914512922459E-2</v>
      </c>
      <c r="J72" s="71">
        <f t="shared" si="41"/>
        <v>7.8180914512922459E-2</v>
      </c>
      <c r="K72" s="71">
        <f t="shared" si="41"/>
        <v>7.8180914512922459E-2</v>
      </c>
      <c r="L72" s="71">
        <f t="shared" si="41"/>
        <v>7.8180914512922459E-2</v>
      </c>
      <c r="M72" s="71">
        <f t="shared" si="41"/>
        <v>7.8180914512922459E-2</v>
      </c>
    </row>
    <row r="73" spans="2:13" x14ac:dyDescent="0.25">
      <c r="B73" t="s">
        <v>148</v>
      </c>
      <c r="G73" t="s">
        <v>155</v>
      </c>
      <c r="H73" s="71">
        <f>MIN($D$70:$G$70)</f>
        <v>5.2943797096822613E-2</v>
      </c>
      <c r="I73" s="71">
        <f t="shared" ref="I73:M73" si="42">MIN($D$70:$G$70)</f>
        <v>5.2943797096822613E-2</v>
      </c>
      <c r="J73" s="71">
        <f t="shared" si="42"/>
        <v>5.2943797096822613E-2</v>
      </c>
      <c r="K73" s="71">
        <f t="shared" si="42"/>
        <v>5.2943797096822613E-2</v>
      </c>
      <c r="L73" s="71">
        <f t="shared" si="42"/>
        <v>5.2943797096822613E-2</v>
      </c>
      <c r="M73" s="71">
        <f t="shared" si="42"/>
        <v>5.2943797096822613E-2</v>
      </c>
    </row>
  </sheetData>
  <mergeCells count="1">
    <mergeCell ref="B1:C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B4462-BF58-485E-9433-FEEA22F38AD2}">
  <dimension ref="B3:I11"/>
  <sheetViews>
    <sheetView showGridLines="0" workbookViewId="0">
      <selection activeCell="C7" sqref="C4:I7"/>
    </sheetView>
  </sheetViews>
  <sheetFormatPr defaultRowHeight="15" x14ac:dyDescent="0.25"/>
  <cols>
    <col min="2" max="2" width="20.85546875" bestFit="1" customWidth="1"/>
    <col min="3" max="9" width="11.42578125" bestFit="1" customWidth="1"/>
  </cols>
  <sheetData>
    <row r="3" spans="2:9" ht="16.5" x14ac:dyDescent="0.25">
      <c r="B3" s="289" t="s">
        <v>397</v>
      </c>
      <c r="C3" s="290" t="s">
        <v>398</v>
      </c>
      <c r="D3" s="291" t="s">
        <v>399</v>
      </c>
      <c r="E3" s="291" t="s">
        <v>400</v>
      </c>
      <c r="F3" s="291" t="s">
        <v>401</v>
      </c>
      <c r="G3" s="291" t="s">
        <v>402</v>
      </c>
      <c r="H3" s="291" t="s">
        <v>403</v>
      </c>
      <c r="I3" s="291" t="s">
        <v>404</v>
      </c>
    </row>
    <row r="4" spans="2:9" x14ac:dyDescent="0.25">
      <c r="B4" s="292" t="s">
        <v>1</v>
      </c>
      <c r="C4" s="293">
        <v>5786016</v>
      </c>
      <c r="D4" s="293">
        <v>5988679.4000000004</v>
      </c>
      <c r="E4" s="293">
        <v>6148195.2999999998</v>
      </c>
      <c r="F4" s="293">
        <v>6468328</v>
      </c>
      <c r="G4" s="293">
        <v>6798064.7000000002</v>
      </c>
      <c r="H4" s="293">
        <v>7137693.5</v>
      </c>
      <c r="I4" s="293">
        <v>7487511.2000000002</v>
      </c>
    </row>
    <row r="5" spans="2:9" x14ac:dyDescent="0.25">
      <c r="B5" s="292" t="s">
        <v>405</v>
      </c>
      <c r="C5" s="293">
        <v>22784</v>
      </c>
      <c r="D5" s="293">
        <v>35400</v>
      </c>
      <c r="E5" s="293">
        <v>52244.7</v>
      </c>
      <c r="F5" s="293">
        <v>122885.5</v>
      </c>
      <c r="G5" s="293">
        <v>191149.2</v>
      </c>
      <c r="H5" s="293">
        <v>246148.6</v>
      </c>
      <c r="I5" s="293">
        <v>251153.4</v>
      </c>
    </row>
    <row r="6" spans="2:9" x14ac:dyDescent="0.25">
      <c r="B6" s="292" t="s">
        <v>379</v>
      </c>
      <c r="C6" s="293">
        <f>Schedules!C140</f>
        <v>382284</v>
      </c>
      <c r="D6" s="293">
        <f ca="1">Schedules!D140</f>
        <v>226203.99204221924</v>
      </c>
      <c r="E6" s="293">
        <f ca="1">Schedules!E140</f>
        <v>333343.35545588826</v>
      </c>
      <c r="F6" s="293">
        <f ca="1">Schedules!F140</f>
        <v>446249.3341588825</v>
      </c>
      <c r="G6" s="293">
        <f ca="1">Schedules!G140</f>
        <v>556536.0293793655</v>
      </c>
      <c r="H6" s="293">
        <f ca="1">Schedules!H140</f>
        <v>650669.7361962134</v>
      </c>
      <c r="I6" s="293">
        <f ca="1">Schedules!I140</f>
        <v>743667.5462134229</v>
      </c>
    </row>
    <row r="7" spans="2:9" x14ac:dyDescent="0.25">
      <c r="B7" s="292" t="s">
        <v>407</v>
      </c>
      <c r="C7" s="293">
        <v>766300</v>
      </c>
      <c r="D7" s="293">
        <f ca="1">'3_Statement_Model'!H98+'3_Statement_Model'!H103</f>
        <v>670336.96348480403</v>
      </c>
      <c r="E7" s="293">
        <f ca="1">'3_Statement_Model'!I98+'3_Statement_Model'!I103</f>
        <v>873007.02844768227</v>
      </c>
      <c r="F7" s="293">
        <f ca="1">'3_Statement_Model'!J98+'3_Statement_Model'!J103</f>
        <v>1056051.8870218091</v>
      </c>
      <c r="G7" s="293">
        <f ca="1">'3_Statement_Model'!K98+'3_Statement_Model'!K103</f>
        <v>1226736.6206859085</v>
      </c>
      <c r="H7" s="293">
        <f ca="1">'3_Statement_Model'!L98+'3_Statement_Model'!L103</f>
        <v>1431023.4798613002</v>
      </c>
      <c r="I7" s="293">
        <f ca="1">'3_Statement_Model'!M98+'3_Statement_Model'!M103</f>
        <v>1635752.6649300181</v>
      </c>
    </row>
    <row r="8" spans="2:9" x14ac:dyDescent="0.25">
      <c r="B8" s="292" t="s">
        <v>408</v>
      </c>
      <c r="C8" s="295">
        <f>'3_Statement_Model'!G19/(AVERAGE('3_Statement_Model'!F79:G79))</f>
        <v>3.4823703472741253E-2</v>
      </c>
      <c r="D8" s="295">
        <f ca="1">'3_Statement_Model'!H19/(AVERAGE('3_Statement_Model'!G79:H79))</f>
        <v>4.9659320452678145E-2</v>
      </c>
      <c r="E8" s="295">
        <f ca="1">'3_Statement_Model'!I19/(AVERAGE('3_Statement_Model'!H79:I79))</f>
        <v>0.12174720799299629</v>
      </c>
      <c r="F8" s="295">
        <f ca="1">'3_Statement_Model'!J19/(AVERAGE('3_Statement_Model'!I79:J79))</f>
        <v>0.17447958337299119</v>
      </c>
      <c r="G8" s="295">
        <f ca="1">'3_Statement_Model'!K19/(AVERAGE('3_Statement_Model'!J79:K79))</f>
        <v>0.19159274613984645</v>
      </c>
      <c r="H8" s="295">
        <f ca="1">'3_Statement_Model'!L19/(AVERAGE('3_Statement_Model'!K79:L79))</f>
        <v>0.23652940949641246</v>
      </c>
      <c r="I8" s="295">
        <f ca="1">'3_Statement_Model'!M19/(AVERAGE('3_Statement_Model'!L79:M79))</f>
        <v>0.24449654553582342</v>
      </c>
    </row>
    <row r="9" spans="2:9" x14ac:dyDescent="0.25">
      <c r="B9" s="292" t="s">
        <v>409</v>
      </c>
      <c r="C9" s="295">
        <f>'3_Statement_Model'!G19/(AVERAGE('3_Statement_Model'!F59:G59))</f>
        <v>4.5570114453310634E-3</v>
      </c>
      <c r="D9" s="295">
        <f ca="1">'3_Statement_Model'!H19/(AVERAGE('3_Statement_Model'!G59:H59))</f>
        <v>8.9758538842099177E-3</v>
      </c>
      <c r="E9" s="295">
        <f ca="1">'3_Statement_Model'!I19/(AVERAGE('3_Statement_Model'!H59:I59))</f>
        <v>2.7105859299513618E-2</v>
      </c>
      <c r="F9" s="295">
        <f ca="1">'3_Statement_Model'!J19/(AVERAGE('3_Statement_Model'!I59:J59))</f>
        <v>4.1308909120833577E-2</v>
      </c>
      <c r="G9" s="295">
        <f ca="1">'3_Statement_Model'!K19/(AVERAGE('3_Statement_Model'!J59:K59))</f>
        <v>4.8286753672313103E-2</v>
      </c>
      <c r="H9" s="295">
        <f ca="1">'3_Statement_Model'!L19/(AVERAGE('3_Statement_Model'!K59:L59))</f>
        <v>5.4856014097623064E-2</v>
      </c>
      <c r="I9" s="295">
        <f ca="1">'3_Statement_Model'!M19/(AVERAGE('3_Statement_Model'!L59:M59))</f>
        <v>5.8360571857528833E-2</v>
      </c>
    </row>
    <row r="10" spans="2:9" x14ac:dyDescent="0.25">
      <c r="B10" s="292" t="s">
        <v>410</v>
      </c>
      <c r="C10" s="296">
        <f>'3_Statement_Model'!G69/'3_Statement_Model'!G79</f>
        <v>0.73788291248161708</v>
      </c>
      <c r="D10" s="296">
        <f ca="1">'3_Statement_Model'!H69/'3_Statement_Model'!H79</f>
        <v>0.4733011666030672</v>
      </c>
      <c r="E10" s="296">
        <f ca="1">'3_Statement_Model'!I69/'3_Statement_Model'!I79</f>
        <v>0.40816429521799547</v>
      </c>
      <c r="F10" s="296">
        <f ca="1">'3_Statement_Model'!J69/'3_Statement_Model'!J79</f>
        <v>0.34490195426859466</v>
      </c>
      <c r="G10" s="296">
        <f ca="1">'3_Statement_Model'!K69/'3_Statement_Model'!K79</f>
        <v>0.29262885197902067</v>
      </c>
      <c r="H10" s="296">
        <f ca="1">'3_Statement_Model'!L69/'3_Statement_Model'!L79</f>
        <v>0.14069041516813222</v>
      </c>
      <c r="I10" s="296">
        <f ca="1">'3_Statement_Model'!M69/'3_Statement_Model'!M79</f>
        <v>0.10939567457181072</v>
      </c>
    </row>
    <row r="11" spans="2:9" x14ac:dyDescent="0.25">
      <c r="B11" s="292" t="s">
        <v>411</v>
      </c>
      <c r="C11" s="296">
        <f>Debt_Schedule!G29/Schedules!C140</f>
        <v>1.480490943905578</v>
      </c>
      <c r="D11" s="296">
        <f ca="1">Debt_Schedule!H29/Schedules!D140</f>
        <v>2.7531205052711161</v>
      </c>
      <c r="E11" s="296">
        <f ca="1">Debt_Schedule!I29/Schedules!E140</f>
        <v>1.9210278892149424</v>
      </c>
      <c r="F11" s="296">
        <f ca="1">Debt_Schedule!J29/Schedules!F140</f>
        <v>1.4764926011266823</v>
      </c>
      <c r="G11" s="296">
        <f ca="1">Debt_Schedule!K29/Schedules!G140</f>
        <v>1.2189298914664848</v>
      </c>
      <c r="H11" s="296">
        <f ca="1">Debt_Schedule!L29/Schedules!H140</f>
        <v>0.42016076518327017</v>
      </c>
      <c r="I11" s="296">
        <f ca="1">Debt_Schedule!M29/Schedules!I140</f>
        <v>0.43127598780689058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0"/>
  <sheetViews>
    <sheetView showGridLines="0" workbookViewId="0">
      <pane ySplit="1" topLeftCell="A80" activePane="bottomLeft" state="frozen"/>
      <selection pane="bottomLeft" activeCell="E93" sqref="E93"/>
    </sheetView>
  </sheetViews>
  <sheetFormatPr defaultRowHeight="15" x14ac:dyDescent="0.25"/>
  <cols>
    <col min="1" max="1" width="106.85546875" bestFit="1" customWidth="1"/>
    <col min="2" max="13" width="15.7109375" bestFit="1" customWidth="1"/>
    <col min="14" max="14" width="35.85546875" bestFit="1" customWidth="1"/>
    <col min="16" max="18" width="10.42578125" bestFit="1" customWidth="1"/>
  </cols>
  <sheetData>
    <row r="1" spans="1:13" x14ac:dyDescent="0.25">
      <c r="A1" s="55" t="s">
        <v>152</v>
      </c>
      <c r="B1" s="20">
        <v>2019</v>
      </c>
      <c r="C1" s="20">
        <f>B1+1</f>
        <v>2020</v>
      </c>
      <c r="D1" s="20">
        <f t="shared" ref="D1" si="0">C1+1</f>
        <v>2021</v>
      </c>
      <c r="E1" s="20">
        <f t="shared" ref="E1" si="1">D1+1</f>
        <v>2022</v>
      </c>
      <c r="F1" s="20">
        <f t="shared" ref="F1" si="2">E1+1</f>
        <v>2023</v>
      </c>
      <c r="G1" s="20">
        <f t="shared" ref="G1" si="3">F1+1</f>
        <v>2024</v>
      </c>
      <c r="H1" s="27">
        <f t="shared" ref="H1" si="4">G1+1</f>
        <v>2025</v>
      </c>
      <c r="I1" s="27">
        <f t="shared" ref="I1" si="5">H1+1</f>
        <v>2026</v>
      </c>
      <c r="J1" s="27">
        <f t="shared" ref="J1" si="6">I1+1</f>
        <v>2027</v>
      </c>
      <c r="K1" s="27">
        <f t="shared" ref="K1" si="7">J1+1</f>
        <v>2028</v>
      </c>
      <c r="L1" s="27">
        <f t="shared" ref="L1" si="8">K1+1</f>
        <v>2029</v>
      </c>
      <c r="M1" s="27">
        <f t="shared" ref="M1" si="9">L1+1</f>
        <v>2030</v>
      </c>
    </row>
    <row r="2" spans="1:13" x14ac:dyDescent="0.25">
      <c r="A2" s="137" t="s">
        <v>143</v>
      </c>
    </row>
    <row r="3" spans="1:13" x14ac:dyDescent="0.25">
      <c r="A3" s="2"/>
    </row>
    <row r="4" spans="1:13" x14ac:dyDescent="0.25">
      <c r="A4" s="25" t="s">
        <v>364</v>
      </c>
      <c r="B4" s="25"/>
      <c r="C4" s="25"/>
      <c r="D4" s="25"/>
      <c r="E4" s="25"/>
      <c r="F4" s="25"/>
      <c r="G4" s="25"/>
      <c r="H4" s="25"/>
      <c r="I4" s="25"/>
      <c r="J4" s="25"/>
      <c r="K4" s="25"/>
      <c r="L4" s="25"/>
      <c r="M4" s="25"/>
    </row>
    <row r="5" spans="1:13" x14ac:dyDescent="0.25">
      <c r="A5" s="24"/>
      <c r="B5" s="20">
        <v>2019</v>
      </c>
      <c r="C5" s="20">
        <f>B5+1</f>
        <v>2020</v>
      </c>
      <c r="D5" s="20">
        <f t="shared" ref="D5:G5" si="10">C5+1</f>
        <v>2021</v>
      </c>
      <c r="E5" s="20">
        <f t="shared" si="10"/>
        <v>2022</v>
      </c>
      <c r="F5" s="20">
        <f t="shared" si="10"/>
        <v>2023</v>
      </c>
      <c r="G5" s="20">
        <f t="shared" si="10"/>
        <v>2024</v>
      </c>
      <c r="H5" s="27">
        <f t="shared" ref="H5" si="11">G5+1</f>
        <v>2025</v>
      </c>
      <c r="I5" s="27">
        <f t="shared" ref="I5" si="12">H5+1</f>
        <v>2026</v>
      </c>
      <c r="J5" s="27">
        <f t="shared" ref="J5" si="13">I5+1</f>
        <v>2027</v>
      </c>
      <c r="K5" s="27">
        <f t="shared" ref="K5" si="14">J5+1</f>
        <v>2028</v>
      </c>
      <c r="L5" s="27">
        <f t="shared" ref="L5" si="15">K5+1</f>
        <v>2029</v>
      </c>
      <c r="M5" s="27">
        <f t="shared" ref="M5" si="16">L5+1</f>
        <v>2030</v>
      </c>
    </row>
    <row r="6" spans="1:13" x14ac:dyDescent="0.25">
      <c r="A6" s="21" t="s">
        <v>1</v>
      </c>
      <c r="B6" s="6">
        <v>3615960</v>
      </c>
      <c r="C6" s="6">
        <v>2364681</v>
      </c>
      <c r="D6" s="6">
        <v>3208323</v>
      </c>
      <c r="E6" s="6">
        <v>4095135</v>
      </c>
      <c r="F6" s="6">
        <v>4403589</v>
      </c>
      <c r="G6" s="6">
        <v>5786016</v>
      </c>
      <c r="H6" s="28">
        <f ca="1">(SUM(Revenue_Regression!C28:C31))*1000000</f>
        <v>6026646.8597664936</v>
      </c>
      <c r="I6" s="28">
        <f ca="1">(SUM(Revenue_Regression!C32:C35))*1000000</f>
        <v>6251757.5278073596</v>
      </c>
      <c r="J6" s="28">
        <f ca="1">(SUM(Revenue_Regression!C36:C39))*1000000</f>
        <v>6574997.0961561138</v>
      </c>
      <c r="K6" s="28">
        <f ca="1">(SUM(Revenue_Regression!C40:C43))*1000000</f>
        <v>6907933.8515553288</v>
      </c>
      <c r="L6" s="28">
        <f ca="1">(SUM(Revenue_Regression!C44:C47))*1000000</f>
        <v>7250858.7096165195</v>
      </c>
      <c r="M6" s="28">
        <f ca="1">(SUM(Revenue_Regression!C48:C51))*1000000</f>
        <v>7604071.313419546</v>
      </c>
    </row>
    <row r="7" spans="1:13" x14ac:dyDescent="0.25">
      <c r="A7" s="2" t="s">
        <v>2</v>
      </c>
      <c r="B7" s="3"/>
      <c r="C7" s="4"/>
      <c r="D7" s="4"/>
      <c r="E7" s="4"/>
      <c r="F7" s="4"/>
      <c r="G7" s="4"/>
      <c r="H7" s="71"/>
    </row>
    <row r="8" spans="1:13" x14ac:dyDescent="0.25">
      <c r="A8" s="5" t="s">
        <v>3</v>
      </c>
      <c r="B8" s="6">
        <v>2176469</v>
      </c>
      <c r="C8" s="6">
        <v>1447516</v>
      </c>
      <c r="D8" s="6">
        <v>1702317</v>
      </c>
      <c r="E8" s="6">
        <v>2435736</v>
      </c>
      <c r="F8" s="6">
        <v>2543954</v>
      </c>
      <c r="G8" s="6">
        <v>3337714</v>
      </c>
      <c r="H8" s="28">
        <f ca="1">H6*Assumptions!I7</f>
        <v>3509504.280725617</v>
      </c>
      <c r="I8" s="28">
        <f ca="1">I6*Assumptions!J7</f>
        <v>3640593.2380694742</v>
      </c>
      <c r="J8" s="28">
        <f ca="1">J6*Assumptions!K7</f>
        <v>3828825.7121493989</v>
      </c>
      <c r="K8" s="28">
        <f ca="1">K6*Assumptions!L7</f>
        <v>4022705.1604517195</v>
      </c>
      <c r="L8" s="28">
        <f ca="1">L6*Assumptions!M7</f>
        <v>4222400.9922031099</v>
      </c>
      <c r="M8" s="28">
        <f ca="1">M6*Assumptions!N7</f>
        <v>4428087.6989070419</v>
      </c>
    </row>
    <row r="9" spans="1:13" x14ac:dyDescent="0.25">
      <c r="A9" s="5" t="s">
        <v>4</v>
      </c>
      <c r="B9" s="6">
        <v>636116</v>
      </c>
      <c r="C9" s="6">
        <v>453963</v>
      </c>
      <c r="D9" s="6">
        <v>402233</v>
      </c>
      <c r="E9" s="6">
        <v>443846</v>
      </c>
      <c r="F9" s="6">
        <v>427239</v>
      </c>
      <c r="G9" s="6">
        <v>443821</v>
      </c>
      <c r="H9" s="28">
        <f ca="1">G9*(1+Assumptions!I12)</f>
        <v>417595.34666528151</v>
      </c>
      <c r="I9" s="28">
        <f ca="1">H9*(1+Assumptions!J12)</f>
        <v>392919.38316685474</v>
      </c>
      <c r="J9" s="28">
        <f ca="1">I9*(1+Assumptions!K12)</f>
        <v>384584.0958145677</v>
      </c>
      <c r="K9" s="28">
        <f ca="1">J9*(1+Assumptions!L12)</f>
        <v>382369.90921112726</v>
      </c>
      <c r="L9" s="28">
        <f ca="1">K9*(1+Assumptions!M12)</f>
        <v>373208.55322404118</v>
      </c>
      <c r="M9" s="28">
        <f ca="1">L9*(1+Assumptions!N12)</f>
        <v>365103.72533893719</v>
      </c>
    </row>
    <row r="10" spans="1:13" x14ac:dyDescent="0.25">
      <c r="A10" s="5" t="s">
        <v>5</v>
      </c>
      <c r="B10" s="6">
        <v>1505640</v>
      </c>
      <c r="C10" s="6">
        <v>909126</v>
      </c>
      <c r="D10" s="6">
        <v>911946</v>
      </c>
      <c r="E10" s="6">
        <v>856777</v>
      </c>
      <c r="F10" s="6">
        <v>555916</v>
      </c>
      <c r="G10" s="6">
        <v>397073</v>
      </c>
      <c r="H10" s="28">
        <f ca="1">MAX(G10*(1+Assumptions!I17),250000)</f>
        <v>353773.50893808797</v>
      </c>
      <c r="I10" s="28">
        <f ca="1">MAX(H10*(1+Assumptions!J17),250000)</f>
        <v>315195.68347978179</v>
      </c>
      <c r="J10" s="28">
        <f ca="1">MAX(I10*(1+Assumptions!K17),250000)</f>
        <v>280824.64168246475</v>
      </c>
      <c r="K10" s="28">
        <f ca="1">MAX(J10*(1+Assumptions!L17),250000)</f>
        <v>250201.64776826123</v>
      </c>
      <c r="L10" s="28">
        <f ca="1">MAX(K10*(1+Assumptions!M17),250000)</f>
        <v>250000</v>
      </c>
      <c r="M10" s="28">
        <f ca="1">MAX(L10*(1+Assumptions!N17),250000)</f>
        <v>250000</v>
      </c>
    </row>
    <row r="11" spans="1:13" x14ac:dyDescent="0.25">
      <c r="A11" s="5" t="s">
        <v>6</v>
      </c>
      <c r="B11" s="6">
        <v>814122</v>
      </c>
      <c r="C11" s="6">
        <v>416331</v>
      </c>
      <c r="D11" s="6">
        <v>411406</v>
      </c>
      <c r="E11" s="6">
        <v>531512</v>
      </c>
      <c r="F11" s="6">
        <v>481004</v>
      </c>
      <c r="G11" s="6">
        <v>788972</v>
      </c>
      <c r="H11" s="28">
        <f ca="1">Assumptions!I22*'3_Statement_Model'!H6</f>
        <v>908837.85736368794</v>
      </c>
      <c r="I11" s="28">
        <f ca="1">Assumptions!J22*'3_Statement_Model'!I6</f>
        <v>942785.27488665457</v>
      </c>
      <c r="J11" s="28">
        <f ca="1">Assumptions!K22*'3_Statement_Model'!J6</f>
        <v>991530.84826253145</v>
      </c>
      <c r="K11" s="28">
        <f ca="1">Assumptions!L22*'3_Statement_Model'!K6</f>
        <v>1041738.7888396842</v>
      </c>
      <c r="L11" s="28">
        <f ca="1">Assumptions!M22*'3_Statement_Model'!L6</f>
        <v>1093452.9676341515</v>
      </c>
      <c r="M11" s="28">
        <f ca="1">Assumptions!N22*'3_Statement_Model'!M6</f>
        <v>1146718.5717924528</v>
      </c>
    </row>
    <row r="12" spans="1:13" x14ac:dyDescent="0.25">
      <c r="A12" s="5" t="s">
        <v>7</v>
      </c>
      <c r="B12" s="6">
        <v>1186093</v>
      </c>
      <c r="C12" s="6">
        <v>946127</v>
      </c>
      <c r="D12" s="6">
        <v>915638</v>
      </c>
      <c r="E12" s="6">
        <v>1286180</v>
      </c>
      <c r="F12" s="6">
        <v>871080</v>
      </c>
      <c r="G12" s="6">
        <v>937348</v>
      </c>
      <c r="H12" s="34">
        <f ca="1">G12*(1+Assumptions!I27)</f>
        <v>923002.33530220867</v>
      </c>
      <c r="I12" s="34">
        <f ca="1">H12*(1+Assumptions!J27)</f>
        <v>908876.22417003172</v>
      </c>
      <c r="J12" s="34">
        <f ca="1">I12*(1+Assumptions!K27)</f>
        <v>894966.30644071684</v>
      </c>
      <c r="K12" s="34">
        <f ca="1">J12*(1+Assumptions!L27)</f>
        <v>881269.27337720222</v>
      </c>
      <c r="L12" s="34">
        <f ca="1">K12*(1+Assumptions!M27)</f>
        <v>867781.86688107112</v>
      </c>
      <c r="M12" s="34">
        <f ca="1">L12*(1+Assumptions!N27)</f>
        <v>854500.87871755101</v>
      </c>
    </row>
    <row r="13" spans="1:13" x14ac:dyDescent="0.25">
      <c r="A13" s="7" t="s">
        <v>8</v>
      </c>
      <c r="B13" s="8">
        <v>6318440</v>
      </c>
      <c r="C13" s="8">
        <f t="shared" ref="C13:D13" si="17">SUM(C8:C12)</f>
        <v>4173063</v>
      </c>
      <c r="D13" s="8">
        <f t="shared" si="17"/>
        <v>4343540</v>
      </c>
      <c r="E13" s="8">
        <f t="shared" ref="E13:G13" si="18">SUM(E8:E12)</f>
        <v>5554051</v>
      </c>
      <c r="F13" s="8">
        <f t="shared" si="18"/>
        <v>4879193</v>
      </c>
      <c r="G13" s="8">
        <f t="shared" si="18"/>
        <v>5904928</v>
      </c>
      <c r="H13" s="8">
        <f t="shared" ref="H13:M13" ca="1" si="19">SUM(H8:H12)</f>
        <v>6112713.3289948823</v>
      </c>
      <c r="I13" s="8">
        <f t="shared" ca="1" si="19"/>
        <v>6200369.8037727978</v>
      </c>
      <c r="J13" s="8">
        <f t="shared" ca="1" si="19"/>
        <v>6380731.6043496793</v>
      </c>
      <c r="K13" s="8">
        <f t="shared" ca="1" si="19"/>
        <v>6578284.7796479939</v>
      </c>
      <c r="L13" s="8">
        <f t="shared" ca="1" si="19"/>
        <v>6806844.3799423743</v>
      </c>
      <c r="M13" s="8">
        <f t="shared" ca="1" si="19"/>
        <v>7044410.8747559823</v>
      </c>
    </row>
    <row r="14" spans="1:13" x14ac:dyDescent="0.25">
      <c r="A14" s="9" t="s">
        <v>9</v>
      </c>
      <c r="B14" s="10">
        <f>B6-B13</f>
        <v>-2702480</v>
      </c>
      <c r="C14" s="10">
        <f t="shared" ref="C14:G14" si="20">C6-C13</f>
        <v>-1808382</v>
      </c>
      <c r="D14" s="10">
        <f t="shared" si="20"/>
        <v>-1135217</v>
      </c>
      <c r="E14" s="10">
        <f t="shared" si="20"/>
        <v>-1458916</v>
      </c>
      <c r="F14" s="10">
        <f t="shared" si="20"/>
        <v>-475604</v>
      </c>
      <c r="G14" s="10">
        <f t="shared" si="20"/>
        <v>-118912</v>
      </c>
      <c r="H14" s="10">
        <f t="shared" ref="H14:M14" ca="1" si="21">H6-H13</f>
        <v>-86066.469228388742</v>
      </c>
      <c r="I14" s="10">
        <f t="shared" ca="1" si="21"/>
        <v>51387.724034561776</v>
      </c>
      <c r="J14" s="10">
        <f t="shared" ca="1" si="21"/>
        <v>194265.49180643447</v>
      </c>
      <c r="K14" s="10">
        <f t="shared" ca="1" si="21"/>
        <v>329649.07190733496</v>
      </c>
      <c r="L14" s="10">
        <f t="shared" ca="1" si="21"/>
        <v>444014.32967414521</v>
      </c>
      <c r="M14" s="10">
        <f t="shared" ca="1" si="21"/>
        <v>559660.43866356369</v>
      </c>
    </row>
    <row r="15" spans="1:13" x14ac:dyDescent="0.25">
      <c r="A15" t="s">
        <v>10</v>
      </c>
      <c r="B15" s="6">
        <v>0</v>
      </c>
      <c r="C15" s="6">
        <v>-32678</v>
      </c>
      <c r="D15" s="6">
        <v>-51635</v>
      </c>
      <c r="E15" s="6">
        <v>-19735</v>
      </c>
      <c r="F15" s="6">
        <v>-26223</v>
      </c>
      <c r="G15" s="6">
        <v>-28921</v>
      </c>
      <c r="H15" s="34">
        <f ca="1">-Debt_Schedule!H37</f>
        <v>-53004.237912664932</v>
      </c>
      <c r="I15" s="34">
        <f ca="1">-Debt_Schedule!I37</f>
        <v>-57850.762574134598</v>
      </c>
      <c r="J15" s="34">
        <f ca="1">-Debt_Schedule!J37</f>
        <v>-62920.617273878677</v>
      </c>
      <c r="K15" s="34">
        <f ca="1">-Debt_Schedule!K37</f>
        <v>-68224.15145533008</v>
      </c>
      <c r="L15" s="34">
        <f ca="1">-Debt_Schedule!L37</f>
        <v>-73772.195538264685</v>
      </c>
      <c r="M15" s="34">
        <f ca="1">-Debt_Schedule!M37</f>
        <v>-79576.083303439984</v>
      </c>
    </row>
    <row r="16" spans="1:13" x14ac:dyDescent="0.25">
      <c r="A16" t="s">
        <v>11</v>
      </c>
      <c r="B16" s="1">
        <v>102595</v>
      </c>
      <c r="C16" s="1">
        <v>43669</v>
      </c>
      <c r="D16" s="1">
        <v>135933</v>
      </c>
      <c r="E16" s="1">
        <v>-99988</v>
      </c>
      <c r="F16" s="1">
        <v>170123</v>
      </c>
      <c r="G16" s="1">
        <v>173183</v>
      </c>
      <c r="H16" s="90">
        <f ca="1">Schedules!I82</f>
        <v>197479.71075244411</v>
      </c>
      <c r="I16" s="90">
        <f ca="1">Schedules!J82</f>
        <v>207471.54877039479</v>
      </c>
      <c r="J16" s="90">
        <f ca="1">Schedules!K82</f>
        <v>220859.49732800765</v>
      </c>
      <c r="K16" s="90">
        <f ca="1">Schedules!L82</f>
        <v>215147.65743944154</v>
      </c>
      <c r="L16" s="90">
        <f ca="1">Schedules!M82</f>
        <v>231023.82046298624</v>
      </c>
      <c r="M16" s="90">
        <f ca="1">Schedules!N82</f>
        <v>241079.71320092655</v>
      </c>
    </row>
    <row r="17" spans="1:14" x14ac:dyDescent="0.25">
      <c r="A17" s="7" t="s">
        <v>12</v>
      </c>
      <c r="B17" s="8">
        <f>SUM(B14,B15,B16)</f>
        <v>-2599885</v>
      </c>
      <c r="C17" s="8">
        <f t="shared" ref="C17:G17" si="22">SUM(C14,C15,C16)</f>
        <v>-1797391</v>
      </c>
      <c r="D17" s="8">
        <f t="shared" si="22"/>
        <v>-1050919</v>
      </c>
      <c r="E17" s="8">
        <f t="shared" si="22"/>
        <v>-1578639</v>
      </c>
      <c r="F17" s="8">
        <f t="shared" si="22"/>
        <v>-331704</v>
      </c>
      <c r="G17" s="8">
        <f t="shared" si="22"/>
        <v>25350</v>
      </c>
      <c r="H17" s="8">
        <f t="shared" ref="H17:M17" ca="1" si="23">SUM(H14,H15,H16)</f>
        <v>58409.003611390421</v>
      </c>
      <c r="I17" s="8">
        <f t="shared" ca="1" si="23"/>
        <v>201008.51023082196</v>
      </c>
      <c r="J17" s="8">
        <f t="shared" ca="1" si="23"/>
        <v>352204.37186056341</v>
      </c>
      <c r="K17" s="8">
        <f t="shared" ca="1" si="23"/>
        <v>476572.57789144642</v>
      </c>
      <c r="L17" s="8">
        <f t="shared" ca="1" si="23"/>
        <v>601265.95459886675</v>
      </c>
      <c r="M17" s="8">
        <f t="shared" ca="1" si="23"/>
        <v>721164.06856105023</v>
      </c>
    </row>
    <row r="18" spans="1:14" x14ac:dyDescent="0.25">
      <c r="A18" t="s">
        <v>13</v>
      </c>
      <c r="B18" s="1">
        <v>2356</v>
      </c>
      <c r="C18" s="1">
        <v>-44534</v>
      </c>
      <c r="D18" s="1">
        <v>11225</v>
      </c>
      <c r="E18" s="6">
        <v>5872</v>
      </c>
      <c r="F18" s="6">
        <v>8616</v>
      </c>
      <c r="G18" s="6">
        <v>2566</v>
      </c>
      <c r="H18" s="34">
        <f ca="1">H17*Schedules!I15</f>
        <v>6693.5382789514315</v>
      </c>
      <c r="I18" s="34">
        <f ca="1">I17*Schedules!J15</f>
        <v>25407.844215836096</v>
      </c>
      <c r="J18" s="34">
        <f ca="1">J17*Schedules!K15</f>
        <v>48676.740843035856</v>
      </c>
      <c r="K18" s="34">
        <f ca="1">K17*Schedules!L15</f>
        <v>71490.686967630128</v>
      </c>
      <c r="L18" s="34">
        <f ca="1">L17*Schedules!M15</f>
        <v>97293.364672606258</v>
      </c>
      <c r="M18" s="34">
        <f ca="1">M17*Schedules!N15</f>
        <v>125207.2880129534</v>
      </c>
    </row>
    <row r="19" spans="1:14" ht="15.75" thickBot="1" x14ac:dyDescent="0.3">
      <c r="A19" s="11" t="s">
        <v>14</v>
      </c>
      <c r="B19" s="12">
        <f>B17-B18</f>
        <v>-2602241</v>
      </c>
      <c r="C19" s="12">
        <f t="shared" ref="C19:F19" si="24">C17-C18</f>
        <v>-1752857</v>
      </c>
      <c r="D19" s="12">
        <f t="shared" si="24"/>
        <v>-1062144</v>
      </c>
      <c r="E19" s="12">
        <f t="shared" si="24"/>
        <v>-1584511</v>
      </c>
      <c r="F19" s="12">
        <f t="shared" si="24"/>
        <v>-340320</v>
      </c>
      <c r="G19" s="12">
        <f t="shared" ref="G19:M19" si="25">G17-G18</f>
        <v>22784</v>
      </c>
      <c r="H19" s="12">
        <f t="shared" ca="1" si="25"/>
        <v>51715.465332438987</v>
      </c>
      <c r="I19" s="12">
        <f t="shared" ca="1" si="25"/>
        <v>175600.66601498588</v>
      </c>
      <c r="J19" s="12">
        <f t="shared" ca="1" si="25"/>
        <v>303527.63101752754</v>
      </c>
      <c r="K19" s="12">
        <f t="shared" ca="1" si="25"/>
        <v>405081.8909238163</v>
      </c>
      <c r="L19" s="12">
        <f t="shared" ca="1" si="25"/>
        <v>503972.58992626052</v>
      </c>
      <c r="M19" s="12">
        <f t="shared" ca="1" si="25"/>
        <v>595956.78054809687</v>
      </c>
    </row>
    <row r="20" spans="1:14" ht="16.5" thickTop="1" thickBot="1" x14ac:dyDescent="0.3">
      <c r="A20" s="22" t="s">
        <v>15</v>
      </c>
      <c r="B20" s="23">
        <f>B19/B22</f>
        <v>-11.438522536461859</v>
      </c>
      <c r="C20" s="23">
        <f t="shared" ref="C20:G20" si="26">C19/C22</f>
        <v>-5.6149819812605113</v>
      </c>
      <c r="D20" s="23">
        <f t="shared" si="26"/>
        <v>-3.1731934369809158</v>
      </c>
      <c r="E20" s="23">
        <f t="shared" si="26"/>
        <v>-4.4667959665211106</v>
      </c>
      <c r="F20" s="23">
        <f t="shared" si="26"/>
        <v>-0.88317957102261668</v>
      </c>
      <c r="G20" s="23">
        <f t="shared" si="26"/>
        <v>5.5681959817293569E-2</v>
      </c>
      <c r="H20" s="23">
        <f t="shared" ref="H20:M20" ca="1" si="27">H19/H22</f>
        <v>0.1175521590359606</v>
      </c>
      <c r="I20" s="23">
        <f t="shared" ca="1" si="27"/>
        <v>0.37967146474583258</v>
      </c>
      <c r="J20" s="23">
        <f t="shared" ca="1" si="27"/>
        <v>0.62471300951457198</v>
      </c>
      <c r="K20" s="23">
        <f t="shared" ca="1" si="27"/>
        <v>0.79370759583080841</v>
      </c>
      <c r="L20" s="23">
        <f t="shared" ca="1" si="27"/>
        <v>0.93897704710594854</v>
      </c>
      <c r="M20" s="23">
        <f t="shared" ca="1" si="27"/>
        <v>1.0523040893232933</v>
      </c>
    </row>
    <row r="21" spans="1:14" ht="15.75" thickTop="1" x14ac:dyDescent="0.25">
      <c r="A21" s="21"/>
      <c r="B21" s="6"/>
      <c r="C21" s="6"/>
      <c r="D21" s="6"/>
      <c r="E21" s="6"/>
      <c r="F21" s="6"/>
      <c r="G21" s="6"/>
    </row>
    <row r="22" spans="1:14" x14ac:dyDescent="0.25">
      <c r="A22" s="13" t="s">
        <v>22</v>
      </c>
      <c r="B22" s="6">
        <v>227498</v>
      </c>
      <c r="C22" s="6">
        <v>312175</v>
      </c>
      <c r="D22" s="6">
        <v>334724</v>
      </c>
      <c r="E22" s="6">
        <v>354731</v>
      </c>
      <c r="F22" s="6">
        <v>385335</v>
      </c>
      <c r="G22" s="6">
        <v>409181</v>
      </c>
      <c r="H22" s="6">
        <f>APIC!H33</f>
        <v>439936.32917127974</v>
      </c>
      <c r="I22" s="6">
        <f>APIC!I33</f>
        <v>462506.88376736466</v>
      </c>
      <c r="J22" s="6">
        <f>APIC!J33</f>
        <v>485867.31250143348</v>
      </c>
      <c r="K22" s="6">
        <f>APIC!K33</f>
        <v>510366.65524134162</v>
      </c>
      <c r="L22" s="6">
        <f>APIC!L33</f>
        <v>536725.14304750122</v>
      </c>
      <c r="M22" s="6">
        <f>APIC!M33</f>
        <v>566335.13695773971</v>
      </c>
    </row>
    <row r="23" spans="1:14" x14ac:dyDescent="0.25">
      <c r="A23" s="2" t="s">
        <v>16</v>
      </c>
      <c r="B23" s="6"/>
      <c r="C23" s="6"/>
      <c r="D23" s="6"/>
      <c r="E23" s="6"/>
      <c r="F23" s="6"/>
      <c r="G23" s="6"/>
    </row>
    <row r="24" spans="1:14" x14ac:dyDescent="0.25">
      <c r="A24" s="14" t="s">
        <v>3</v>
      </c>
      <c r="B24" s="6">
        <v>81321</v>
      </c>
      <c r="C24" s="6">
        <v>28743</v>
      </c>
      <c r="D24" s="6">
        <v>39491</v>
      </c>
      <c r="E24" s="6">
        <v>44132</v>
      </c>
      <c r="F24" s="6">
        <v>30170</v>
      </c>
      <c r="G24" s="6">
        <v>24895</v>
      </c>
      <c r="H24" s="34">
        <f ca="1">G24*(1+Assumptions!I32)</f>
        <v>22402.717274454604</v>
      </c>
      <c r="I24" s="34">
        <f ca="1">H24*(1+Assumptions!J32)</f>
        <v>20159.941405067151</v>
      </c>
      <c r="J24" s="34">
        <f ca="1">I24*(1+Assumptions!K32)</f>
        <v>18141.69381672185</v>
      </c>
      <c r="K24" s="34">
        <f ca="1">J24*(1+Assumptions!L32)</f>
        <v>16325.496583881939</v>
      </c>
      <c r="L24" s="34">
        <f ca="1">K24*(1+Assumptions!M32)</f>
        <v>14691.122086112935</v>
      </c>
      <c r="M24" s="34">
        <f ca="1">L24*(1+Assumptions!N32)</f>
        <v>13220.367726036706</v>
      </c>
    </row>
    <row r="25" spans="1:14" x14ac:dyDescent="0.25">
      <c r="A25" s="14" t="s">
        <v>4</v>
      </c>
      <c r="B25" s="6">
        <v>75212</v>
      </c>
      <c r="C25" s="6">
        <v>15829</v>
      </c>
      <c r="D25" s="6">
        <v>24083</v>
      </c>
      <c r="E25" s="6">
        <v>25442</v>
      </c>
      <c r="F25" s="6">
        <v>15468</v>
      </c>
      <c r="G25" s="6">
        <v>8397</v>
      </c>
      <c r="H25" s="34">
        <f ca="1">G25*(1+Assumptions!I32)</f>
        <v>7556.3613960070415</v>
      </c>
      <c r="I25" s="34">
        <f ca="1">H25*(1+Assumptions!J32)</f>
        <v>6799.8806177284132</v>
      </c>
      <c r="J25" s="34">
        <f ca="1">I25*(1+Assumptions!K32)</f>
        <v>6119.1324755578771</v>
      </c>
      <c r="K25" s="34">
        <f ca="1">J25*(1+Assumptions!L32)</f>
        <v>5506.5352406048041</v>
      </c>
      <c r="L25" s="34">
        <f ca="1">K25*(1+Assumptions!M32)</f>
        <v>4955.2662043418468</v>
      </c>
      <c r="M25" s="34">
        <f ca="1">L25*(1+Assumptions!N32)</f>
        <v>4459.1856917264586</v>
      </c>
    </row>
    <row r="26" spans="1:14" x14ac:dyDescent="0.25">
      <c r="A26" s="14" t="s">
        <v>5</v>
      </c>
      <c r="B26" s="6">
        <v>971941</v>
      </c>
      <c r="C26" s="6">
        <v>325624</v>
      </c>
      <c r="D26" s="6">
        <v>414324</v>
      </c>
      <c r="E26" s="6">
        <v>391983</v>
      </c>
      <c r="F26" s="6">
        <v>214160</v>
      </c>
      <c r="G26" s="6">
        <v>117833</v>
      </c>
      <c r="H26" s="34">
        <f ca="1">G26*(1+Assumptions!I32)</f>
        <v>106036.52880501343</v>
      </c>
      <c r="I26" s="34">
        <f ca="1">H26*(1+Assumptions!J32)</f>
        <v>95421.023321280474</v>
      </c>
      <c r="J26" s="34">
        <f ca="1">I26*(1+Assumptions!K32)</f>
        <v>85868.254971110087</v>
      </c>
      <c r="K26" s="34">
        <f ca="1">J26*(1+Assumptions!L32)</f>
        <v>77271.831249992378</v>
      </c>
      <c r="L26" s="34">
        <f ca="1">K26*(1+Assumptions!M32)</f>
        <v>69536.010796262111</v>
      </c>
      <c r="M26" s="34">
        <f ca="1">L26*(1+Assumptions!N32)</f>
        <v>62574.637086245551</v>
      </c>
    </row>
    <row r="27" spans="1:14" x14ac:dyDescent="0.25">
      <c r="A27" s="14" t="s">
        <v>6</v>
      </c>
      <c r="B27" s="6">
        <v>72046</v>
      </c>
      <c r="C27" s="6">
        <v>23385</v>
      </c>
      <c r="D27" s="6">
        <v>38243</v>
      </c>
      <c r="E27" s="6">
        <v>49867</v>
      </c>
      <c r="F27" s="6">
        <v>29682</v>
      </c>
      <c r="G27" s="6">
        <v>17286</v>
      </c>
      <c r="H27" s="34">
        <f ca="1">G27*(1+Assumptions!I32)</f>
        <v>15555.467796996274</v>
      </c>
      <c r="I27" s="34">
        <f ca="1">H27*(1+Assumptions!J32)</f>
        <v>13998.18225057203</v>
      </c>
      <c r="J27" s="34">
        <f ca="1">I27*(1+Assumptions!K32)</f>
        <v>12596.799329819394</v>
      </c>
      <c r="K27" s="34">
        <f ca="1">J27*(1+Assumptions!L32)</f>
        <v>11335.711345610889</v>
      </c>
      <c r="L27" s="34">
        <f ca="1">K27*(1+Assumptions!M32)</f>
        <v>10200.873122335734</v>
      </c>
      <c r="M27" s="34">
        <f ca="1">L27*(1+Assumptions!N32)</f>
        <v>9179.6455718927646</v>
      </c>
    </row>
    <row r="28" spans="1:14" x14ac:dyDescent="0.25">
      <c r="A28" s="14" t="s">
        <v>7</v>
      </c>
      <c r="B28" s="6">
        <v>398791</v>
      </c>
      <c r="C28" s="6">
        <v>172226</v>
      </c>
      <c r="D28" s="6">
        <v>208419</v>
      </c>
      <c r="E28" s="6">
        <v>239343</v>
      </c>
      <c r="F28" s="6">
        <v>195053</v>
      </c>
      <c r="G28" s="6">
        <v>162510</v>
      </c>
      <c r="H28" s="34">
        <f ca="1">G28*(1+Assumptions!I32)</f>
        <v>146240.83487734955</v>
      </c>
      <c r="I28" s="34">
        <f ca="1">H28*(1+Assumptions!J32)</f>
        <v>131600.40480969922</v>
      </c>
      <c r="J28" s="34">
        <f ca="1">I28*(1+Assumptions!K32)</f>
        <v>118425.6542340015</v>
      </c>
      <c r="K28" s="34">
        <f ca="1">J28*(1+Assumptions!L32)</f>
        <v>106569.85136961853</v>
      </c>
      <c r="L28" s="34">
        <f ca="1">K28*(1+Assumptions!M32)</f>
        <v>95900.954015433323</v>
      </c>
      <c r="M28" s="34">
        <f ca="1">L28*(1+Assumptions!N32)</f>
        <v>86300.138949918648</v>
      </c>
    </row>
    <row r="29" spans="1:14" x14ac:dyDescent="0.25">
      <c r="A29" s="14"/>
      <c r="B29" s="6">
        <f>SUM(B24:B28)</f>
        <v>1599311</v>
      </c>
      <c r="C29" s="6">
        <f t="shared" ref="C29:G29" si="28">SUM(C24:C28)</f>
        <v>565807</v>
      </c>
      <c r="D29" s="6">
        <f t="shared" si="28"/>
        <v>724560</v>
      </c>
      <c r="E29" s="6">
        <f t="shared" si="28"/>
        <v>750767</v>
      </c>
      <c r="F29" s="6">
        <f t="shared" si="28"/>
        <v>484533</v>
      </c>
      <c r="G29" s="6">
        <f t="shared" si="28"/>
        <v>330921</v>
      </c>
      <c r="H29" s="6"/>
      <c r="I29" s="6"/>
      <c r="J29" s="6"/>
      <c r="K29" s="6"/>
      <c r="L29" s="6"/>
      <c r="M29" s="6"/>
    </row>
    <row r="30" spans="1:14" x14ac:dyDescent="0.25">
      <c r="A30" s="2" t="s">
        <v>14</v>
      </c>
      <c r="B30" s="15">
        <f t="shared" ref="B30:G30" si="29">B19</f>
        <v>-2602241</v>
      </c>
      <c r="C30" s="15">
        <f t="shared" si="29"/>
        <v>-1752857</v>
      </c>
      <c r="D30" s="15">
        <f t="shared" si="29"/>
        <v>-1062144</v>
      </c>
      <c r="E30" s="15">
        <f t="shared" si="29"/>
        <v>-1584511</v>
      </c>
      <c r="F30" s="15">
        <f t="shared" si="29"/>
        <v>-340320</v>
      </c>
      <c r="G30" s="15">
        <f t="shared" si="29"/>
        <v>22784</v>
      </c>
      <c r="H30" s="15">
        <f t="shared" ref="H30:M30" ca="1" si="30">H19</f>
        <v>51715.465332438987</v>
      </c>
      <c r="I30" s="15">
        <f t="shared" ca="1" si="30"/>
        <v>175600.66601498588</v>
      </c>
      <c r="J30" s="15">
        <f t="shared" ca="1" si="30"/>
        <v>303527.63101752754</v>
      </c>
      <c r="K30" s="15">
        <f t="shared" ca="1" si="30"/>
        <v>405081.8909238163</v>
      </c>
      <c r="L30" s="15">
        <f t="shared" ca="1" si="30"/>
        <v>503972.58992626052</v>
      </c>
      <c r="M30" s="15">
        <f t="shared" ca="1" si="30"/>
        <v>595956.78054809687</v>
      </c>
    </row>
    <row r="32" spans="1:14" x14ac:dyDescent="0.25">
      <c r="A32" s="20" t="s">
        <v>17</v>
      </c>
      <c r="B32" s="20">
        <v>2019</v>
      </c>
      <c r="C32" s="20">
        <f>B32+1</f>
        <v>2020</v>
      </c>
      <c r="D32" s="20">
        <f t="shared" ref="D32:G32" si="31">C32+1</f>
        <v>2021</v>
      </c>
      <c r="E32" s="20">
        <f t="shared" si="31"/>
        <v>2022</v>
      </c>
      <c r="F32" s="20">
        <f t="shared" si="31"/>
        <v>2023</v>
      </c>
      <c r="G32" s="26">
        <f t="shared" si="31"/>
        <v>2024</v>
      </c>
      <c r="H32" s="27">
        <f t="shared" ref="H32:M32" si="32">H5</f>
        <v>2025</v>
      </c>
      <c r="I32" s="27">
        <f t="shared" si="32"/>
        <v>2026</v>
      </c>
      <c r="J32" s="27">
        <f t="shared" si="32"/>
        <v>2027</v>
      </c>
      <c r="K32" s="27">
        <f t="shared" si="32"/>
        <v>2028</v>
      </c>
      <c r="L32" s="27">
        <f t="shared" si="32"/>
        <v>2029</v>
      </c>
      <c r="M32" s="27">
        <f t="shared" si="32"/>
        <v>2030</v>
      </c>
      <c r="N32" s="193"/>
    </row>
    <row r="33" spans="1:13" x14ac:dyDescent="0.25">
      <c r="A33" t="s">
        <v>18</v>
      </c>
      <c r="B33" s="6">
        <f>B30</f>
        <v>-2602241</v>
      </c>
      <c r="C33" s="6">
        <f t="shared" ref="C33:G33" si="33">C30</f>
        <v>-1752857</v>
      </c>
      <c r="D33" s="6">
        <f t="shared" si="33"/>
        <v>-1062144</v>
      </c>
      <c r="E33" s="6">
        <f t="shared" si="33"/>
        <v>-1584511</v>
      </c>
      <c r="F33" s="6">
        <f t="shared" si="33"/>
        <v>-340320</v>
      </c>
      <c r="G33" s="6">
        <f t="shared" si="33"/>
        <v>22784</v>
      </c>
      <c r="H33" s="28">
        <f t="shared" ref="H33:M33" ca="1" si="34">H30</f>
        <v>51715.465332438987</v>
      </c>
      <c r="I33" s="28">
        <f t="shared" ca="1" si="34"/>
        <v>175600.66601498588</v>
      </c>
      <c r="J33" s="28">
        <f t="shared" ca="1" si="34"/>
        <v>303527.63101752754</v>
      </c>
      <c r="K33" s="28">
        <f t="shared" ca="1" si="34"/>
        <v>405081.8909238163</v>
      </c>
      <c r="L33" s="28">
        <f t="shared" ca="1" si="34"/>
        <v>503972.58992626052</v>
      </c>
      <c r="M33" s="28">
        <f t="shared" ca="1" si="34"/>
        <v>595956.78054809687</v>
      </c>
    </row>
    <row r="34" spans="1:13" x14ac:dyDescent="0.25">
      <c r="A34" s="2" t="s">
        <v>19</v>
      </c>
      <c r="B34" s="6"/>
      <c r="C34" s="6"/>
      <c r="D34" s="6"/>
      <c r="E34" s="6"/>
      <c r="F34" s="6"/>
      <c r="G34" s="6"/>
      <c r="H34" s="29"/>
      <c r="I34" s="29"/>
      <c r="J34" s="29"/>
      <c r="K34" s="29"/>
      <c r="L34" s="29"/>
      <c r="M34" s="29"/>
    </row>
    <row r="35" spans="1:13" x14ac:dyDescent="0.25">
      <c r="A35" s="14" t="s">
        <v>20</v>
      </c>
      <c r="B35" s="6">
        <v>162</v>
      </c>
      <c r="C35" s="6">
        <v>-2187</v>
      </c>
      <c r="D35" s="6">
        <v>-931</v>
      </c>
      <c r="E35" s="6">
        <v>-1154</v>
      </c>
      <c r="F35" s="6">
        <v>-2851</v>
      </c>
      <c r="G35" s="6">
        <v>-4925</v>
      </c>
      <c r="H35" s="28">
        <f ca="1">G35*(1+Assumptions!I3)</f>
        <v>-5129.8226248164501</v>
      </c>
      <c r="I35" s="28">
        <f ca="1">H35*(1+Assumptions!J3)</f>
        <v>-5321.4346148457316</v>
      </c>
      <c r="J35" s="28">
        <f ca="1">I35*(1+Assumptions!K3)</f>
        <v>-5596.572961182419</v>
      </c>
      <c r="K35" s="28">
        <f ca="1">J35*(1+Assumptions!L3)</f>
        <v>-5879.9654579092057</v>
      </c>
      <c r="L35" s="28">
        <f ca="1">K35*(1+Assumptions!M3)</f>
        <v>-6171.859729537794</v>
      </c>
      <c r="M35" s="28">
        <f ca="1">L35*(1+Assumptions!N3)</f>
        <v>-6472.5108293152416</v>
      </c>
    </row>
    <row r="36" spans="1:13" x14ac:dyDescent="0.25">
      <c r="A36" s="14" t="s">
        <v>21</v>
      </c>
      <c r="B36" s="6">
        <v>2430</v>
      </c>
      <c r="C36" s="6">
        <v>-1011</v>
      </c>
      <c r="D36" s="6">
        <v>-1107</v>
      </c>
      <c r="E36" s="6">
        <v>-2089</v>
      </c>
      <c r="F36" s="6">
        <v>3656</v>
      </c>
      <c r="G36" s="6">
        <v>-229</v>
      </c>
      <c r="H36" s="28">
        <f ca="1">G36*(1+Assumptions!I3)</f>
        <v>-238.52373219958724</v>
      </c>
      <c r="I36" s="28">
        <f ca="1">H36*(1+Assumptions!J3)</f>
        <v>-247.43320341110106</v>
      </c>
      <c r="J36" s="28">
        <f ca="1">I36*(1+Assumptions!K3)</f>
        <v>-260.22643819508102</v>
      </c>
      <c r="K36" s="28">
        <f ca="1">J36*(1+Assumptions!L3)</f>
        <v>-273.40347002258034</v>
      </c>
      <c r="L36" s="28">
        <f ca="1">K36*(1+Assumptions!M3)</f>
        <v>-286.97581280490454</v>
      </c>
      <c r="M36" s="28">
        <f ca="1">L36*(1+Assumptions!N3)</f>
        <v>-300.95532587069852</v>
      </c>
    </row>
    <row r="37" spans="1:13" ht="15.75" thickBot="1" x14ac:dyDescent="0.3">
      <c r="A37" s="16" t="s">
        <v>19</v>
      </c>
      <c r="B37" s="17">
        <f>SUM(B35:B36)</f>
        <v>2592</v>
      </c>
      <c r="C37" s="17">
        <f t="shared" ref="C37:F37" si="35">SUM(C35:C36)</f>
        <v>-3198</v>
      </c>
      <c r="D37" s="17">
        <f t="shared" si="35"/>
        <v>-2038</v>
      </c>
      <c r="E37" s="17">
        <f t="shared" si="35"/>
        <v>-3243</v>
      </c>
      <c r="F37" s="17">
        <f t="shared" si="35"/>
        <v>805</v>
      </c>
      <c r="G37" s="17">
        <f t="shared" ref="G37:M37" si="36">SUM(G35:G36)</f>
        <v>-5154</v>
      </c>
      <c r="H37" s="17">
        <f t="shared" ca="1" si="36"/>
        <v>-5368.3463570160375</v>
      </c>
      <c r="I37" s="17">
        <f t="shared" ca="1" si="36"/>
        <v>-5568.8678182568328</v>
      </c>
      <c r="J37" s="17">
        <f t="shared" ca="1" si="36"/>
        <v>-5856.7993993774999</v>
      </c>
      <c r="K37" s="17">
        <f t="shared" ca="1" si="36"/>
        <v>-6153.3689279317859</v>
      </c>
      <c r="L37" s="17">
        <f t="shared" ca="1" si="36"/>
        <v>-6458.8355423426983</v>
      </c>
      <c r="M37" s="17">
        <f t="shared" ca="1" si="36"/>
        <v>-6773.4661551859399</v>
      </c>
    </row>
    <row r="38" spans="1:13" ht="15.75" thickBot="1" x14ac:dyDescent="0.3">
      <c r="A38" s="18" t="s">
        <v>17</v>
      </c>
      <c r="B38" s="19">
        <f>SUM(B37,B33)</f>
        <v>-2599649</v>
      </c>
      <c r="C38" s="19">
        <f t="shared" ref="C38:G38" si="37">SUM(C37,C33)</f>
        <v>-1756055</v>
      </c>
      <c r="D38" s="19">
        <f t="shared" si="37"/>
        <v>-1064182</v>
      </c>
      <c r="E38" s="19">
        <f t="shared" si="37"/>
        <v>-1587754</v>
      </c>
      <c r="F38" s="19">
        <f t="shared" si="37"/>
        <v>-339515</v>
      </c>
      <c r="G38" s="19">
        <f t="shared" si="37"/>
        <v>17630</v>
      </c>
      <c r="H38" s="19">
        <f t="shared" ref="H38:M38" ca="1" si="38">SUM(H37,H33)</f>
        <v>46347.118975422949</v>
      </c>
      <c r="I38" s="19">
        <f t="shared" ca="1" si="38"/>
        <v>170031.79819672904</v>
      </c>
      <c r="J38" s="19">
        <f t="shared" ca="1" si="38"/>
        <v>297670.83161815006</v>
      </c>
      <c r="K38" s="19">
        <f t="shared" ca="1" si="38"/>
        <v>398928.52199588454</v>
      </c>
      <c r="L38" s="19">
        <f t="shared" ca="1" si="38"/>
        <v>497513.75438391784</v>
      </c>
      <c r="M38" s="19">
        <f t="shared" ca="1" si="38"/>
        <v>589183.31439291092</v>
      </c>
    </row>
    <row r="39" spans="1:13" ht="15.75" thickTop="1" x14ac:dyDescent="0.25"/>
    <row r="44" spans="1:13" x14ac:dyDescent="0.25">
      <c r="A44" s="25" t="s">
        <v>24</v>
      </c>
      <c r="B44" s="25"/>
      <c r="C44" s="25"/>
      <c r="D44" s="25"/>
      <c r="E44" s="25"/>
      <c r="F44" s="25"/>
      <c r="G44" s="25"/>
      <c r="H44" s="25"/>
      <c r="I44" s="25"/>
      <c r="J44" s="25"/>
      <c r="K44" s="25"/>
      <c r="L44" s="25"/>
      <c r="M44" s="25"/>
    </row>
    <row r="45" spans="1:13" x14ac:dyDescent="0.25">
      <c r="A45" s="24"/>
      <c r="B45" s="20">
        <v>2019</v>
      </c>
      <c r="C45" s="20">
        <f>B45+1</f>
        <v>2020</v>
      </c>
      <c r="D45" s="20">
        <f t="shared" ref="D45" si="39">C45+1</f>
        <v>2021</v>
      </c>
      <c r="E45" s="20">
        <f t="shared" ref="E45" si="40">D45+1</f>
        <v>2022</v>
      </c>
      <c r="F45" s="20">
        <f t="shared" ref="F45" si="41">E45+1</f>
        <v>2023</v>
      </c>
      <c r="G45" s="20">
        <f t="shared" ref="G45" si="42">F45+1</f>
        <v>2024</v>
      </c>
      <c r="H45" s="27">
        <v>2025</v>
      </c>
      <c r="I45" s="27">
        <v>2026</v>
      </c>
      <c r="J45" s="27">
        <v>2027</v>
      </c>
      <c r="K45" s="27">
        <v>2028</v>
      </c>
      <c r="L45" s="27">
        <v>2029</v>
      </c>
      <c r="M45" s="27">
        <v>2030</v>
      </c>
    </row>
    <row r="46" spans="1:13" x14ac:dyDescent="0.25">
      <c r="A46" s="24" t="s">
        <v>25</v>
      </c>
      <c r="B46" s="24"/>
      <c r="C46" s="24"/>
      <c r="D46" s="24"/>
      <c r="E46" s="24"/>
      <c r="F46" s="24"/>
      <c r="G46" s="24"/>
      <c r="H46" s="24"/>
      <c r="I46" s="24"/>
      <c r="J46" s="24"/>
      <c r="K46" s="24"/>
      <c r="L46" s="24"/>
      <c r="M46" s="24"/>
    </row>
    <row r="47" spans="1:13" x14ac:dyDescent="0.25">
      <c r="A47" s="2"/>
      <c r="B47" s="31"/>
      <c r="C47" s="31"/>
      <c r="D47" s="31"/>
      <c r="E47" s="31"/>
      <c r="F47" s="31"/>
      <c r="G47" s="31"/>
    </row>
    <row r="48" spans="1:13" x14ac:dyDescent="0.25">
      <c r="A48" s="14" t="s">
        <v>26</v>
      </c>
      <c r="B48" s="6">
        <v>358319</v>
      </c>
      <c r="C48" s="6">
        <v>319734</v>
      </c>
      <c r="D48" s="6">
        <v>457325</v>
      </c>
      <c r="E48" s="6">
        <v>281090</v>
      </c>
      <c r="F48" s="6">
        <v>558636</v>
      </c>
      <c r="G48" s="6">
        <v>759319</v>
      </c>
      <c r="H48" s="90">
        <f t="shared" ref="H48:M48" ca="1" si="43">H123</f>
        <v>768458.45279941487</v>
      </c>
      <c r="I48" s="90">
        <f t="shared" ca="1" si="43"/>
        <v>802011.77472920378</v>
      </c>
      <c r="J48" s="90">
        <f t="shared" ca="1" si="43"/>
        <v>936260.15847229806</v>
      </c>
      <c r="K48" s="90">
        <f t="shared" ca="1" si="43"/>
        <v>1145279.3187718673</v>
      </c>
      <c r="L48" s="90">
        <f t="shared" ca="1" si="43"/>
        <v>868149.35834779835</v>
      </c>
      <c r="M48" s="90">
        <f t="shared" ca="1" si="43"/>
        <v>1403101.7975730509</v>
      </c>
    </row>
    <row r="49" spans="1:18" x14ac:dyDescent="0.25">
      <c r="A49" s="14" t="s">
        <v>27</v>
      </c>
      <c r="B49" s="6">
        <v>2491805</v>
      </c>
      <c r="C49" s="6">
        <v>1931334</v>
      </c>
      <c r="D49" s="6">
        <v>1796533</v>
      </c>
      <c r="E49" s="6">
        <v>1515702</v>
      </c>
      <c r="F49" s="6">
        <v>1126548</v>
      </c>
      <c r="G49" s="6">
        <v>1225124</v>
      </c>
      <c r="H49" s="34">
        <f ca="1">Mark_Secs!I2</f>
        <v>1551357.9897873418</v>
      </c>
      <c r="I49" s="34">
        <f ca="1">Mark_Secs!J2</f>
        <v>1884703.0820494178</v>
      </c>
      <c r="J49" s="34">
        <f ca="1">Mark_Secs!K2</f>
        <v>2230054.6160919154</v>
      </c>
      <c r="K49" s="34">
        <f ca="1">Mark_Secs!L2</f>
        <v>2586956.2141525606</v>
      </c>
      <c r="L49" s="34">
        <f ca="1">Mark_Secs!M2</f>
        <v>2958305.536703038</v>
      </c>
      <c r="M49" s="34">
        <f ca="1">Mark_Secs!N2</f>
        <v>3346326.3754118118</v>
      </c>
      <c r="P49" s="34"/>
      <c r="Q49" s="34"/>
      <c r="R49" s="34"/>
    </row>
    <row r="50" spans="1:18" x14ac:dyDescent="0.25">
      <c r="A50" s="14" t="s">
        <v>28</v>
      </c>
      <c r="B50" s="6">
        <v>397239</v>
      </c>
      <c r="C50" s="6">
        <v>343070</v>
      </c>
      <c r="D50" s="6">
        <v>522212</v>
      </c>
      <c r="E50" s="6">
        <v>786067</v>
      </c>
      <c r="F50" s="6">
        <v>892235</v>
      </c>
      <c r="G50" s="6">
        <v>966090</v>
      </c>
      <c r="H50" s="34">
        <f ca="1">G50*(1+Assumptions!I42)</f>
        <v>1011115.7313222863</v>
      </c>
      <c r="I50" s="34">
        <f ca="1">H50*(1+Assumptions!J42)</f>
        <v>1058239.9384398989</v>
      </c>
      <c r="J50" s="34">
        <f ca="1">I50*(1+Assumptions!K42)</f>
        <v>1107560.4232215525</v>
      </c>
      <c r="K50" s="34">
        <f ca="1">J50*(1+Assumptions!L42)</f>
        <v>1159179.5457041073</v>
      </c>
      <c r="L50" s="34">
        <f ca="1">K50*(1+Assumptions!M42)</f>
        <v>1213204.4365312175</v>
      </c>
      <c r="M50" s="34">
        <f ca="1">L50*(1+Assumptions!N42)</f>
        <v>1269747.2192929275</v>
      </c>
      <c r="P50" s="34"/>
      <c r="Q50" s="34"/>
      <c r="R50" s="34"/>
    </row>
    <row r="51" spans="1:18" x14ac:dyDescent="0.25">
      <c r="A51" s="14" t="s">
        <v>29</v>
      </c>
      <c r="B51" s="6">
        <v>204976</v>
      </c>
      <c r="C51" s="6">
        <v>118559</v>
      </c>
      <c r="D51" s="6">
        <v>73205</v>
      </c>
      <c r="E51" s="6">
        <v>109368</v>
      </c>
      <c r="F51" s="6">
        <v>211786</v>
      </c>
      <c r="G51" s="6">
        <v>186721</v>
      </c>
      <c r="H51" s="90">
        <f t="shared" ref="H51:M51" ca="1" si="44">H124+H125</f>
        <v>263316.6247800042</v>
      </c>
      <c r="I51" s="90">
        <f t="shared" ca="1" si="44"/>
        <v>248944.52794704083</v>
      </c>
      <c r="J51" s="90">
        <f t="shared" ca="1" si="44"/>
        <v>281586.13967978652</v>
      </c>
      <c r="K51" s="90">
        <f t="shared" ca="1" si="44"/>
        <v>374819.61727091687</v>
      </c>
      <c r="L51" s="90">
        <f t="shared" ca="1" si="44"/>
        <v>275010.47793084179</v>
      </c>
      <c r="M51" s="90">
        <f t="shared" ca="1" si="44"/>
        <v>430145.73602861207</v>
      </c>
      <c r="P51" s="34"/>
      <c r="Q51" s="34"/>
      <c r="R51" s="34"/>
    </row>
    <row r="52" spans="1:18" x14ac:dyDescent="0.25">
      <c r="A52" s="14" t="s">
        <v>30</v>
      </c>
      <c r="B52" s="6">
        <v>1361045</v>
      </c>
      <c r="C52" s="6">
        <v>1101712</v>
      </c>
      <c r="D52" s="6">
        <v>1044855</v>
      </c>
      <c r="E52" s="6">
        <v>1027506</v>
      </c>
      <c r="F52" s="6">
        <v>837291</v>
      </c>
      <c r="G52" s="6">
        <v>1355451</v>
      </c>
      <c r="H52" s="34">
        <f ca="1">Mark_Secs!I3</f>
        <v>1448698.6704045588</v>
      </c>
      <c r="I52" s="34">
        <f ca="1">Mark_Secs!J3</f>
        <v>1788358.3168255722</v>
      </c>
      <c r="J52" s="34">
        <f ca="1">Mark_Secs!K3</f>
        <v>2139185.9880064954</v>
      </c>
      <c r="K52" s="34">
        <f ca="1">Mark_Secs!L3</f>
        <v>2503361.1493510916</v>
      </c>
      <c r="L52" s="34">
        <f ca="1">Mark_Secs!M3</f>
        <v>2877099.9249817589</v>
      </c>
      <c r="M52" s="34">
        <f ca="1">Mark_Secs!N3</f>
        <v>3264001.180495589</v>
      </c>
      <c r="P52" s="34"/>
      <c r="Q52" s="34"/>
      <c r="R52" s="34"/>
    </row>
    <row r="53" spans="1:18" x14ac:dyDescent="0.25">
      <c r="A53" s="14" t="s">
        <v>31</v>
      </c>
      <c r="B53" s="6">
        <v>0</v>
      </c>
      <c r="C53" s="6">
        <v>10000</v>
      </c>
      <c r="D53" s="6">
        <v>80411</v>
      </c>
      <c r="E53" s="6">
        <v>26390</v>
      </c>
      <c r="F53" s="6">
        <v>39870</v>
      </c>
      <c r="G53" s="6">
        <v>42516</v>
      </c>
      <c r="H53" s="34">
        <f ca="1">Assumptions!I47</f>
        <v>33197.833333333336</v>
      </c>
      <c r="I53" s="34">
        <f ca="1">Assumptions!J47</f>
        <v>33197.833333333336</v>
      </c>
      <c r="J53" s="34">
        <f ca="1">Assumptions!K47</f>
        <v>33197.833333333336</v>
      </c>
      <c r="K53" s="34">
        <f ca="1">Assumptions!L47</f>
        <v>33197.833333333336</v>
      </c>
      <c r="L53" s="34">
        <f ca="1">Assumptions!M47</f>
        <v>33197.833333333336</v>
      </c>
      <c r="M53" s="34">
        <f ca="1">Assumptions!N47</f>
        <v>33197.833333333336</v>
      </c>
      <c r="P53" s="34"/>
      <c r="Q53" s="34"/>
      <c r="R53" s="34"/>
    </row>
    <row r="54" spans="1:18" x14ac:dyDescent="0.25">
      <c r="A54" s="14" t="s">
        <v>32</v>
      </c>
      <c r="B54" s="6">
        <v>188603</v>
      </c>
      <c r="C54" s="6">
        <v>313297</v>
      </c>
      <c r="D54" s="6">
        <v>298195</v>
      </c>
      <c r="E54" s="6">
        <v>313402</v>
      </c>
      <c r="F54" s="6">
        <v>465844</v>
      </c>
      <c r="G54" s="6">
        <v>444864</v>
      </c>
      <c r="H54" s="34">
        <f ca="1">Schedules!I27</f>
        <v>499885.42732155579</v>
      </c>
      <c r="I54" s="34">
        <f ca="1">Schedules!J27</f>
        <v>523183.16039249807</v>
      </c>
      <c r="J54" s="34">
        <f ca="1">Schedules!K27</f>
        <v>547566.7110059784</v>
      </c>
      <c r="K54" s="34">
        <f ca="1">Schedules!L27</f>
        <v>573086.68493261375</v>
      </c>
      <c r="L54" s="34">
        <f ca="1">Schedules!M27</f>
        <v>599796.0464829409</v>
      </c>
      <c r="M54" s="34">
        <f ca="1">Schedules!N27</f>
        <v>627750.22842987184</v>
      </c>
      <c r="P54" s="34"/>
      <c r="Q54" s="34"/>
      <c r="R54" s="34"/>
    </row>
    <row r="55" spans="1:18" x14ac:dyDescent="0.25">
      <c r="A55" s="14" t="s">
        <v>33</v>
      </c>
      <c r="B55" s="6">
        <v>441258</v>
      </c>
      <c r="C55" s="6">
        <v>275756</v>
      </c>
      <c r="D55" s="6">
        <v>223412</v>
      </c>
      <c r="E55" s="6">
        <v>135213</v>
      </c>
      <c r="F55" s="6">
        <v>98202</v>
      </c>
      <c r="G55" s="6">
        <v>148397</v>
      </c>
      <c r="H55" s="34">
        <f ca="1">Schedules!I32</f>
        <v>155313.21220697172</v>
      </c>
      <c r="I55" s="34">
        <f ca="1">Schedules!J32</f>
        <v>162551.76240791814</v>
      </c>
      <c r="J55" s="34">
        <f ca="1">Schedules!K32</f>
        <v>170127.67353435876</v>
      </c>
      <c r="K55" s="34">
        <f ca="1">Schedules!L32</f>
        <v>178056.66867874868</v>
      </c>
      <c r="L55" s="34">
        <f ca="1">Schedules!M32</f>
        <v>186355.20372628118</v>
      </c>
      <c r="M55" s="34">
        <f ca="1">Schedules!N32</f>
        <v>195040.50150753287</v>
      </c>
      <c r="P55" s="34"/>
      <c r="Q55" s="34"/>
      <c r="R55" s="34"/>
    </row>
    <row r="56" spans="1:18" x14ac:dyDescent="0.25">
      <c r="A56" s="14" t="s">
        <v>34</v>
      </c>
      <c r="B56" s="6">
        <v>82919</v>
      </c>
      <c r="C56" s="6">
        <v>65845</v>
      </c>
      <c r="D56" s="6">
        <v>50765</v>
      </c>
      <c r="E56" s="6">
        <v>76208</v>
      </c>
      <c r="F56" s="6">
        <v>59515</v>
      </c>
      <c r="G56" s="6">
        <v>42776</v>
      </c>
      <c r="H56" s="34">
        <f ca="1">Schedules!I71</f>
        <v>73235.745433263815</v>
      </c>
      <c r="I56" s="34">
        <f ca="1">Schedules!J71</f>
        <v>71440.278494562139</v>
      </c>
      <c r="J56" s="34">
        <f ca="1">Schedules!K71</f>
        <v>72792.465658607078</v>
      </c>
      <c r="K56" s="34">
        <f ca="1">Schedules!L71</f>
        <v>75103.366637369065</v>
      </c>
      <c r="L56" s="34">
        <f ca="1">Schedules!M71</f>
        <v>75924.740506359885</v>
      </c>
      <c r="M56" s="34">
        <f ca="1">Schedules!N71</f>
        <v>79848.475741868562</v>
      </c>
      <c r="P56" s="34"/>
      <c r="Q56" s="34"/>
      <c r="R56" s="34"/>
    </row>
    <row r="57" spans="1:18" x14ac:dyDescent="0.25">
      <c r="A57" s="14" t="s">
        <v>35</v>
      </c>
      <c r="B57" s="6">
        <v>158725</v>
      </c>
      <c r="C57" s="6">
        <v>182687</v>
      </c>
      <c r="D57" s="6">
        <v>180516</v>
      </c>
      <c r="E57" s="6">
        <v>261582</v>
      </c>
      <c r="F57" s="6">
        <v>257791</v>
      </c>
      <c r="G57" s="6">
        <v>251376</v>
      </c>
      <c r="H57" s="34">
        <f ca="1">G57*(1+Assumptions!I72)</f>
        <v>263091.66648746084</v>
      </c>
      <c r="I57" s="34">
        <f ca="1">H57*(1+Assumptions!J72)</f>
        <v>275353.3550344875</v>
      </c>
      <c r="J57" s="34">
        <f ca="1">I57*(1+Assumptions!K72)</f>
        <v>288186.51362475648</v>
      </c>
      <c r="K57" s="34">
        <f ca="1">J57*(1+Assumptions!L72)</f>
        <v>301617.77627437987</v>
      </c>
      <c r="L57" s="34">
        <f ca="1">K57*(1+Assumptions!M72)</f>
        <v>315675.018308306</v>
      </c>
      <c r="M57" s="34">
        <f ca="1">L57*(1+Assumptions!N72)</f>
        <v>330387.41421293974</v>
      </c>
      <c r="P57" s="34"/>
      <c r="Q57" s="34"/>
      <c r="R57" s="34"/>
    </row>
    <row r="58" spans="1:18" x14ac:dyDescent="0.25">
      <c r="A58" s="14" t="s">
        <v>36</v>
      </c>
      <c r="B58" s="6">
        <v>6494</v>
      </c>
      <c r="C58" s="6">
        <v>16970</v>
      </c>
      <c r="D58" s="6">
        <v>46455</v>
      </c>
      <c r="E58" s="6">
        <v>23903</v>
      </c>
      <c r="F58" s="6">
        <v>16749</v>
      </c>
      <c r="G58" s="6">
        <v>12435</v>
      </c>
      <c r="H58" s="34">
        <f ca="1">Assumptions!I97</f>
        <v>20501</v>
      </c>
      <c r="I58" s="34">
        <f ca="1">Assumptions!J97</f>
        <v>20501</v>
      </c>
      <c r="J58" s="34">
        <f ca="1">Assumptions!K97</f>
        <v>20501</v>
      </c>
      <c r="K58" s="34">
        <f ca="1">Assumptions!L97</f>
        <v>20501</v>
      </c>
      <c r="L58" s="34">
        <f ca="1">Assumptions!M97</f>
        <v>20501</v>
      </c>
      <c r="M58" s="34">
        <f ca="1">Assumptions!N97</f>
        <v>20501</v>
      </c>
      <c r="P58" s="34"/>
      <c r="Q58" s="34"/>
      <c r="R58" s="34"/>
    </row>
    <row r="59" spans="1:18" ht="15.75" thickBot="1" x14ac:dyDescent="0.3">
      <c r="A59" s="32" t="s">
        <v>37</v>
      </c>
      <c r="B59" s="41">
        <f>SUM(B48:B58)</f>
        <v>5691383</v>
      </c>
      <c r="C59" s="41">
        <f>SUM(C48:C58)</f>
        <v>4678964</v>
      </c>
      <c r="D59" s="41">
        <f t="shared" ref="D59:G59" si="45">SUM(D48:D58)</f>
        <v>4773884</v>
      </c>
      <c r="E59" s="41">
        <f t="shared" si="45"/>
        <v>4556431</v>
      </c>
      <c r="F59" s="41">
        <f t="shared" si="45"/>
        <v>4564467</v>
      </c>
      <c r="G59" s="41">
        <f t="shared" si="45"/>
        <v>5435069</v>
      </c>
      <c r="H59" s="41">
        <f t="shared" ref="H59:M59" ca="1" si="46">SUM(H48:H58)</f>
        <v>6088172.3538761912</v>
      </c>
      <c r="I59" s="41">
        <f t="shared" ca="1" si="46"/>
        <v>6868485.029653932</v>
      </c>
      <c r="J59" s="41">
        <f t="shared" ca="1" si="46"/>
        <v>7827019.5226290813</v>
      </c>
      <c r="K59" s="41">
        <f t="shared" ca="1" si="46"/>
        <v>8951159.1751069874</v>
      </c>
      <c r="L59" s="41">
        <f t="shared" ca="1" si="46"/>
        <v>9423219.5768518746</v>
      </c>
      <c r="M59" s="41">
        <f t="shared" ca="1" si="46"/>
        <v>11000047.762027539</v>
      </c>
    </row>
    <row r="60" spans="1:18" ht="15.75" thickTop="1" x14ac:dyDescent="0.25">
      <c r="B60" s="21"/>
      <c r="C60" s="21"/>
      <c r="D60" s="21"/>
      <c r="E60" s="21"/>
      <c r="F60" s="21"/>
      <c r="G60" s="21"/>
      <c r="H60" s="34"/>
    </row>
    <row r="61" spans="1:18" x14ac:dyDescent="0.25">
      <c r="A61" s="30" t="s">
        <v>38</v>
      </c>
      <c r="B61" s="35"/>
      <c r="C61" s="35"/>
      <c r="D61" s="35"/>
      <c r="E61" s="35"/>
      <c r="F61" s="35"/>
      <c r="G61" s="35"/>
      <c r="H61" s="35"/>
      <c r="I61" s="35"/>
      <c r="J61" s="35"/>
      <c r="K61" s="35"/>
      <c r="L61" s="35"/>
      <c r="M61" s="35"/>
    </row>
    <row r="62" spans="1:18" x14ac:dyDescent="0.25">
      <c r="A62" s="2"/>
      <c r="B62" s="34"/>
      <c r="C62" s="34"/>
      <c r="D62" s="34"/>
      <c r="E62" s="34"/>
      <c r="F62" s="34"/>
      <c r="G62" s="34"/>
      <c r="H62" s="42"/>
    </row>
    <row r="63" spans="1:18" x14ac:dyDescent="0.25">
      <c r="A63" s="36" t="s">
        <v>39</v>
      </c>
      <c r="B63" s="6">
        <v>38839</v>
      </c>
      <c r="C63" s="6">
        <v>84108</v>
      </c>
      <c r="D63" s="6">
        <v>129542</v>
      </c>
      <c r="E63" s="6">
        <v>107801</v>
      </c>
      <c r="F63" s="6">
        <v>72282</v>
      </c>
      <c r="G63" s="6">
        <v>97704</v>
      </c>
      <c r="H63" s="34">
        <f ca="1">G63*(1+Assumptions!I77)</f>
        <v>102418.51057791305</v>
      </c>
      <c r="I63" s="34">
        <f ca="1">H63*(1+Assumptions!J77)</f>
        <v>107360.51040897085</v>
      </c>
      <c r="J63" s="34">
        <f ca="1">I63*(1+Assumptions!K77)</f>
        <v>112540.97653086184</v>
      </c>
      <c r="K63" s="34">
        <f ca="1">J63*(1+Assumptions!L77)</f>
        <v>117971.41565621406</v>
      </c>
      <c r="L63" s="34">
        <f ca="1">K63*(1+Assumptions!M77)</f>
        <v>123663.88973099706</v>
      </c>
      <c r="M63" s="34">
        <f ca="1">L63*(1+Assumptions!N77)</f>
        <v>129631.04272619337</v>
      </c>
      <c r="P63" s="34"/>
      <c r="Q63" s="34"/>
      <c r="R63" s="34"/>
    </row>
    <row r="64" spans="1:18" x14ac:dyDescent="0.25">
      <c r="A64" s="36" t="s">
        <v>40</v>
      </c>
      <c r="B64" s="6">
        <v>1378462</v>
      </c>
      <c r="C64" s="6">
        <v>987064</v>
      </c>
      <c r="D64" s="6">
        <v>1068628</v>
      </c>
      <c r="E64" s="6">
        <v>1417350</v>
      </c>
      <c r="F64" s="6">
        <v>1337868</v>
      </c>
      <c r="G64" s="6">
        <v>1701393</v>
      </c>
      <c r="H64" s="34">
        <f ca="1">G64*(1+Sheet1!I64)</f>
        <v>2041671.5999999999</v>
      </c>
      <c r="I64" s="34">
        <f ca="1">H64*(1+Sheet1!J64)</f>
        <v>2450005.92</v>
      </c>
      <c r="J64" s="34">
        <f ca="1">I64*(1+Sheet1!K64)</f>
        <v>2940007.1039999998</v>
      </c>
      <c r="K64" s="34">
        <f ca="1">J64*(1+Sheet1!L64)</f>
        <v>3528008.5247999998</v>
      </c>
      <c r="L64" s="34">
        <f ca="1">K64*(1+Sheet1!M64)</f>
        <v>4233610.2297599996</v>
      </c>
      <c r="M64" s="34">
        <f ca="1">L64*(1+Sheet1!N64)</f>
        <v>5080332.2757119993</v>
      </c>
      <c r="P64" s="34"/>
      <c r="Q64" s="34"/>
      <c r="R64" s="34"/>
    </row>
    <row r="65" spans="1:18" x14ac:dyDescent="0.25">
      <c r="A65" s="36" t="s">
        <v>41</v>
      </c>
      <c r="B65" s="6">
        <v>939865</v>
      </c>
      <c r="C65" s="6">
        <v>954008</v>
      </c>
      <c r="D65" s="6">
        <v>1264426</v>
      </c>
      <c r="E65" s="6">
        <v>1561609</v>
      </c>
      <c r="F65" s="6">
        <v>1508855</v>
      </c>
      <c r="G65" s="6">
        <v>1666278</v>
      </c>
      <c r="H65" s="34">
        <f ca="1">G65*(1+Assumptions!I87)</f>
        <v>1746680.9032254955</v>
      </c>
      <c r="I65" s="34">
        <f ca="1">H65*(1+Assumptions!J87)</f>
        <v>1830963.4873008181</v>
      </c>
      <c r="J65" s="34">
        <f ca="1">I65*(1+Assumptions!K87)</f>
        <v>1919312.958444807</v>
      </c>
      <c r="K65" s="34">
        <f ca="1">J65*(1+Assumptions!L87)</f>
        <v>2011925.556136955</v>
      </c>
      <c r="L65" s="34">
        <f ca="1">K65*(1+Assumptions!M87)</f>
        <v>2109006.9889992871</v>
      </c>
      <c r="M65" s="34">
        <f ca="1">L65*(1+Assumptions!N87)</f>
        <v>2210772.8917108416</v>
      </c>
      <c r="P65" s="34"/>
      <c r="Q65" s="34"/>
      <c r="R65" s="34"/>
    </row>
    <row r="66" spans="1:18" x14ac:dyDescent="0.25">
      <c r="A66" s="36" t="s">
        <v>42</v>
      </c>
      <c r="B66" s="6">
        <v>94199</v>
      </c>
      <c r="C66" s="6">
        <v>49291</v>
      </c>
      <c r="D66" s="6">
        <v>53765</v>
      </c>
      <c r="E66" s="6">
        <v>45803</v>
      </c>
      <c r="F66" s="6">
        <v>42556</v>
      </c>
      <c r="G66" s="6">
        <v>25192</v>
      </c>
      <c r="H66" s="34">
        <f ca="1">Schedules!I35</f>
        <v>26366.102023073458</v>
      </c>
      <c r="I66" s="34">
        <f ca="1">Schedules!J35</f>
        <v>27594.924416128859</v>
      </c>
      <c r="J66" s="34">
        <f ca="1">Schedules!K35</f>
        <v>28881.017484703647</v>
      </c>
      <c r="K66" s="34">
        <f ca="1">Schedules!L35</f>
        <v>30227.050394246773</v>
      </c>
      <c r="L66" s="34">
        <f ca="1">Schedules!M35</f>
        <v>31635.816709721068</v>
      </c>
      <c r="M66" s="34">
        <f ca="1">Schedules!N35</f>
        <v>33110.240193385114</v>
      </c>
      <c r="P66" s="34"/>
      <c r="Q66" s="34"/>
      <c r="R66" s="34"/>
    </row>
    <row r="67" spans="1:18" x14ac:dyDescent="0.25">
      <c r="A67" s="36" t="s">
        <v>43</v>
      </c>
      <c r="B67" s="6">
        <v>0</v>
      </c>
      <c r="C67" s="6">
        <v>0</v>
      </c>
      <c r="D67" s="6">
        <v>0</v>
      </c>
      <c r="E67" s="6">
        <v>0</v>
      </c>
      <c r="F67" s="6">
        <v>0</v>
      </c>
      <c r="G67" s="6">
        <v>390175</v>
      </c>
      <c r="H67" s="6">
        <v>0</v>
      </c>
      <c r="I67" s="6">
        <v>0</v>
      </c>
      <c r="J67" s="6">
        <v>0</v>
      </c>
      <c r="K67" s="6">
        <v>0</v>
      </c>
      <c r="L67" s="34">
        <f>-Debt_Schedule!L27</f>
        <v>425507.54015432671</v>
      </c>
      <c r="M67" s="6">
        <v>0</v>
      </c>
      <c r="P67" s="34"/>
      <c r="Q67" s="34"/>
      <c r="R67" s="34"/>
    </row>
    <row r="68" spans="1:18" x14ac:dyDescent="0.25">
      <c r="A68" t="s">
        <v>44</v>
      </c>
      <c r="B68" s="6">
        <v>382077</v>
      </c>
      <c r="C68" s="6">
        <v>265803</v>
      </c>
      <c r="D68" s="6">
        <v>210232</v>
      </c>
      <c r="E68" s="6">
        <v>176356</v>
      </c>
      <c r="F68" s="6">
        <v>134102</v>
      </c>
      <c r="G68" s="6">
        <v>152074</v>
      </c>
      <c r="H68" s="34">
        <f ca="1">Schedules!I36</f>
        <v>159161.58300479807</v>
      </c>
      <c r="I68" s="34">
        <f ca="1">Schedules!J36</f>
        <v>166579.49093594713</v>
      </c>
      <c r="J68" s="34">
        <f ca="1">Schedules!K36</f>
        <v>174343.1189651009</v>
      </c>
      <c r="K68" s="34">
        <f ca="1">Schedules!L36</f>
        <v>182468.57977352664</v>
      </c>
      <c r="L68" s="34">
        <f ca="1">Schedules!M36</f>
        <v>190972.73699246274</v>
      </c>
      <c r="M68" s="34">
        <f ca="1">Schedules!N36</f>
        <v>199873.24020200249</v>
      </c>
      <c r="P68" s="34"/>
      <c r="Q68" s="34"/>
      <c r="R68" s="34"/>
    </row>
    <row r="69" spans="1:18" x14ac:dyDescent="0.25">
      <c r="A69" t="s">
        <v>45</v>
      </c>
      <c r="B69" s="6">
        <v>0</v>
      </c>
      <c r="C69" s="6">
        <v>644236</v>
      </c>
      <c r="D69" s="6">
        <v>655173</v>
      </c>
      <c r="E69" s="6">
        <v>803207</v>
      </c>
      <c r="F69" s="6">
        <v>839362</v>
      </c>
      <c r="G69" s="6">
        <v>565968</v>
      </c>
      <c r="H69" s="34">
        <f ca="1">Debt_Schedule!H29</f>
        <v>622766.84886561811</v>
      </c>
      <c r="I69" s="34">
        <f ca="1">Debt_Schedule!I29</f>
        <v>640361.88251525129</v>
      </c>
      <c r="J69" s="34">
        <f ca="1">Debt_Schedule!J29</f>
        <v>658883.8401432985</v>
      </c>
      <c r="K69" s="34">
        <f ca="1">Debt_Schedule!K29</f>
        <v>678378.40188857843</v>
      </c>
      <c r="L69" s="34">
        <f ca="1">Debt_Schedule!L29</f>
        <v>273385.89424179756</v>
      </c>
      <c r="M69" s="34">
        <f ca="1">Debt_Schedule!M29</f>
        <v>320725.95559312042</v>
      </c>
      <c r="P69" s="34"/>
      <c r="Q69" s="34"/>
      <c r="R69" s="34"/>
    </row>
    <row r="70" spans="1:18" x14ac:dyDescent="0.25">
      <c r="A70" t="s">
        <v>46</v>
      </c>
      <c r="B70" s="6">
        <v>3857</v>
      </c>
      <c r="C70" s="6">
        <v>18291</v>
      </c>
      <c r="D70" s="6">
        <v>50905</v>
      </c>
      <c r="E70" s="6">
        <v>55637</v>
      </c>
      <c r="F70" s="6">
        <v>87924</v>
      </c>
      <c r="G70" s="6">
        <v>69269</v>
      </c>
      <c r="H70" s="34">
        <f ca="1">Schedules!I52</f>
        <v>73312.777325990552</v>
      </c>
      <c r="I70" s="34">
        <f ca="1">Schedules!J52</f>
        <v>76736.160651088052</v>
      </c>
      <c r="J70" s="34">
        <f ca="1">Schedules!K52</f>
        <v>82699.371067068161</v>
      </c>
      <c r="K70" s="34">
        <f ca="1">Schedules!L52</f>
        <v>83958.468672806615</v>
      </c>
      <c r="L70" s="34">
        <f ca="1">Schedules!M52</f>
        <v>92262.924942630169</v>
      </c>
      <c r="M70" s="34">
        <f ca="1">Schedules!N52</f>
        <v>93804.703894648061</v>
      </c>
      <c r="P70" s="34"/>
      <c r="Q70" s="34"/>
      <c r="R70" s="34"/>
    </row>
    <row r="71" spans="1:18" ht="15.75" thickBot="1" x14ac:dyDescent="0.3">
      <c r="A71" s="32" t="s">
        <v>47</v>
      </c>
      <c r="B71" s="33">
        <f>SUM(B63:B70)</f>
        <v>2837299</v>
      </c>
      <c r="C71" s="33">
        <f t="shared" ref="C71:G71" si="47">SUM(C63:C70)</f>
        <v>3002801</v>
      </c>
      <c r="D71" s="33">
        <f t="shared" si="47"/>
        <v>3432671</v>
      </c>
      <c r="E71" s="33">
        <f t="shared" si="47"/>
        <v>4167763</v>
      </c>
      <c r="F71" s="33">
        <f t="shared" si="47"/>
        <v>4022949</v>
      </c>
      <c r="G71" s="33">
        <f t="shared" si="47"/>
        <v>4668053</v>
      </c>
      <c r="H71" s="33">
        <f t="shared" ref="H71:M71" ca="1" si="48">SUM(H63:H70)</f>
        <v>4772378.3250228893</v>
      </c>
      <c r="I71" s="33">
        <f t="shared" ca="1" si="48"/>
        <v>5299602.376228204</v>
      </c>
      <c r="J71" s="33">
        <f t="shared" ca="1" si="48"/>
        <v>5916668.3866358409</v>
      </c>
      <c r="K71" s="33">
        <f t="shared" ca="1" si="48"/>
        <v>6632937.9973223265</v>
      </c>
      <c r="L71" s="33">
        <f t="shared" ca="1" si="48"/>
        <v>7480046.0215312233</v>
      </c>
      <c r="M71" s="33">
        <f t="shared" ca="1" si="48"/>
        <v>8068250.3500321899</v>
      </c>
    </row>
    <row r="72" spans="1:18" ht="15.75" thickTop="1" x14ac:dyDescent="0.25">
      <c r="B72" s="34"/>
      <c r="C72" s="34"/>
      <c r="D72" s="34"/>
      <c r="E72" s="34"/>
      <c r="F72" s="34"/>
      <c r="G72" s="34"/>
    </row>
    <row r="73" spans="1:18" x14ac:dyDescent="0.25">
      <c r="A73" s="30" t="s">
        <v>48</v>
      </c>
      <c r="B73" s="35"/>
      <c r="C73" s="35"/>
      <c r="D73" s="35"/>
      <c r="E73" s="35"/>
      <c r="F73" s="35"/>
      <c r="G73" s="35"/>
      <c r="H73" s="35"/>
      <c r="I73" s="35"/>
      <c r="J73" s="35"/>
      <c r="K73" s="35"/>
      <c r="L73" s="35"/>
      <c r="M73" s="35"/>
    </row>
    <row r="74" spans="1:18" x14ac:dyDescent="0.25">
      <c r="A74" s="36" t="s">
        <v>49</v>
      </c>
      <c r="B74" s="6">
        <v>0</v>
      </c>
      <c r="C74" s="6">
        <v>0</v>
      </c>
      <c r="D74" s="6">
        <v>0</v>
      </c>
      <c r="E74" s="6">
        <v>0</v>
      </c>
      <c r="F74" s="6">
        <v>0</v>
      </c>
      <c r="G74" s="6">
        <v>0</v>
      </c>
      <c r="H74" s="6">
        <v>0</v>
      </c>
      <c r="I74" s="6">
        <v>0</v>
      </c>
      <c r="J74" s="6">
        <v>0</v>
      </c>
      <c r="K74" s="6">
        <v>0</v>
      </c>
      <c r="L74" s="6">
        <v>0</v>
      </c>
      <c r="M74" s="6">
        <v>0</v>
      </c>
    </row>
    <row r="75" spans="1:18" x14ac:dyDescent="0.25">
      <c r="A75" s="36" t="s">
        <v>50</v>
      </c>
      <c r="B75" s="6">
        <v>3</v>
      </c>
      <c r="C75" s="6">
        <v>3</v>
      </c>
      <c r="D75" s="6">
        <v>3</v>
      </c>
      <c r="E75" s="6">
        <v>4</v>
      </c>
      <c r="F75" s="6">
        <v>4</v>
      </c>
      <c r="G75" s="6">
        <v>4</v>
      </c>
      <c r="H75" s="34">
        <f>APIC!H34</f>
        <v>4.3993632917127972</v>
      </c>
      <c r="I75" s="34">
        <f>APIC!I34</f>
        <v>4.6250688376736466</v>
      </c>
      <c r="J75" s="34">
        <f>APIC!J34</f>
        <v>4.8586731250143345</v>
      </c>
      <c r="K75" s="34">
        <f>APIC!K34</f>
        <v>5.1036665524134159</v>
      </c>
      <c r="L75" s="34">
        <f>APIC!L34</f>
        <v>5.3672514304750125</v>
      </c>
      <c r="M75" s="34">
        <f>APIC!M34</f>
        <v>5.6633513695773967</v>
      </c>
    </row>
    <row r="76" spans="1:18" x14ac:dyDescent="0.25">
      <c r="A76" s="36" t="s">
        <v>51</v>
      </c>
      <c r="B76" s="6">
        <v>8398927</v>
      </c>
      <c r="C76" s="6">
        <v>8977061</v>
      </c>
      <c r="D76" s="6">
        <v>9706293</v>
      </c>
      <c r="E76" s="6">
        <v>10335013</v>
      </c>
      <c r="F76" s="6">
        <v>10827378</v>
      </c>
      <c r="G76" s="6">
        <v>11035246</v>
      </c>
      <c r="H76" s="34">
        <f ca="1">APIC!H17+Schedules!I90</f>
        <v>11537437.986782387</v>
      </c>
      <c r="I76" s="34">
        <f ca="1">APIC!I17+Schedules!J90</f>
        <v>11620247.154249128</v>
      </c>
      <c r="J76" s="34">
        <f ca="1">APIC!J17+Schedules!K90</f>
        <v>11663784.345156007</v>
      </c>
      <c r="K76" s="34">
        <f ca="1">APIC!K17+Schedules!L90</f>
        <v>11672452.216488091</v>
      </c>
      <c r="L76" s="34">
        <f ca="1">APIC!L17+Schedules!M90</f>
        <v>10799603.600242479</v>
      </c>
      <c r="M76" s="34">
        <f ca="1">APIC!M17+Schedules!N90</f>
        <v>11198742.89109846</v>
      </c>
    </row>
    <row r="77" spans="1:18" x14ac:dyDescent="0.25">
      <c r="A77" s="36" t="s">
        <v>52</v>
      </c>
      <c r="B77" s="28">
        <v>2725</v>
      </c>
      <c r="C77" s="28">
        <f>B77+C37</f>
        <v>-473</v>
      </c>
      <c r="D77" s="28">
        <f t="shared" ref="D77:G77" si="49">C77+D37</f>
        <v>-2511</v>
      </c>
      <c r="E77" s="28">
        <f t="shared" si="49"/>
        <v>-5754</v>
      </c>
      <c r="F77" s="28">
        <f t="shared" si="49"/>
        <v>-4949</v>
      </c>
      <c r="G77" s="28">
        <f t="shared" si="49"/>
        <v>-10103</v>
      </c>
      <c r="H77" s="90">
        <f t="shared" ref="H77:M77" ca="1" si="50">G77+H35</f>
        <v>-15232.82262481645</v>
      </c>
      <c r="I77" s="90">
        <f t="shared" ca="1" si="50"/>
        <v>-20554.257239662184</v>
      </c>
      <c r="J77" s="90">
        <f t="shared" ca="1" si="50"/>
        <v>-26150.830200844604</v>
      </c>
      <c r="K77" s="90">
        <f t="shared" ca="1" si="50"/>
        <v>-32030.79565875381</v>
      </c>
      <c r="L77" s="90">
        <f t="shared" ca="1" si="50"/>
        <v>-38202.655388291605</v>
      </c>
      <c r="M77" s="90">
        <f t="shared" ca="1" si="50"/>
        <v>-44675.166217606849</v>
      </c>
    </row>
    <row r="78" spans="1:18" x14ac:dyDescent="0.25">
      <c r="A78" s="36" t="s">
        <v>53</v>
      </c>
      <c r="B78" s="6">
        <v>-5547571</v>
      </c>
      <c r="C78" s="6">
        <v>-7300428</v>
      </c>
      <c r="D78" s="6">
        <v>-8362572</v>
      </c>
      <c r="E78" s="6">
        <v>-9940595</v>
      </c>
      <c r="F78" s="6">
        <v>-10280915</v>
      </c>
      <c r="G78" s="6">
        <v>-10258131</v>
      </c>
      <c r="H78" s="34">
        <f t="shared" ref="H78:M78" ca="1" si="51">G78+H19</f>
        <v>-10206415.534667561</v>
      </c>
      <c r="I78" s="34">
        <f t="shared" ca="1" si="51"/>
        <v>-10030814.868652575</v>
      </c>
      <c r="J78" s="34">
        <f t="shared" ca="1" si="51"/>
        <v>-9727287.2376350462</v>
      </c>
      <c r="K78" s="34">
        <f t="shared" ca="1" si="51"/>
        <v>-9322205.3467112295</v>
      </c>
      <c r="L78" s="34">
        <f t="shared" ca="1" si="51"/>
        <v>-8818232.7567849681</v>
      </c>
      <c r="M78" s="34">
        <f t="shared" ca="1" si="51"/>
        <v>-8222275.9762368714</v>
      </c>
    </row>
    <row r="79" spans="1:18" ht="15.75" thickBot="1" x14ac:dyDescent="0.3">
      <c r="A79" s="37" t="s">
        <v>54</v>
      </c>
      <c r="B79" s="38">
        <f>SUM(B74:B78)</f>
        <v>2854084</v>
      </c>
      <c r="C79" s="38">
        <f>SUM(C74:C78)</f>
        <v>1676163</v>
      </c>
      <c r="D79" s="38">
        <f t="shared" ref="D79:F79" si="52">SUM(D74:D78)</f>
        <v>1341213</v>
      </c>
      <c r="E79" s="38">
        <f t="shared" si="52"/>
        <v>388668</v>
      </c>
      <c r="F79" s="38">
        <f t="shared" si="52"/>
        <v>541518</v>
      </c>
      <c r="G79" s="38">
        <f t="shared" ref="G79:M79" si="53">SUM(G74:G78)</f>
        <v>767016</v>
      </c>
      <c r="H79" s="38">
        <f t="shared" ca="1" si="53"/>
        <v>1315794.0288533028</v>
      </c>
      <c r="I79" s="38">
        <f t="shared" ca="1" si="53"/>
        <v>1568882.6534257289</v>
      </c>
      <c r="J79" s="38">
        <f t="shared" ca="1" si="53"/>
        <v>1910351.1359932404</v>
      </c>
      <c r="K79" s="38">
        <f t="shared" ca="1" si="53"/>
        <v>2318221.1777846608</v>
      </c>
      <c r="L79" s="38">
        <f t="shared" ca="1" si="53"/>
        <v>1943173.5553206485</v>
      </c>
      <c r="M79" s="38">
        <f t="shared" ca="1" si="53"/>
        <v>2931797.4119953522</v>
      </c>
    </row>
    <row r="80" spans="1:18" x14ac:dyDescent="0.25">
      <c r="A80" s="11"/>
      <c r="B80" s="31"/>
      <c r="C80" s="31"/>
      <c r="D80" s="31"/>
      <c r="E80" s="31"/>
      <c r="F80" s="31"/>
      <c r="G80" s="31"/>
    </row>
    <row r="81" spans="1:15" ht="15.75" thickBot="1" x14ac:dyDescent="0.3">
      <c r="A81" s="39" t="s">
        <v>55</v>
      </c>
      <c r="B81" s="40">
        <f t="shared" ref="B81:G81" si="54">SUM(B79,B71)</f>
        <v>5691383</v>
      </c>
      <c r="C81" s="40">
        <f t="shared" si="54"/>
        <v>4678964</v>
      </c>
      <c r="D81" s="40">
        <f t="shared" si="54"/>
        <v>4773884</v>
      </c>
      <c r="E81" s="40">
        <f t="shared" si="54"/>
        <v>4556431</v>
      </c>
      <c r="F81" s="40">
        <f t="shared" si="54"/>
        <v>4564467</v>
      </c>
      <c r="G81" s="40">
        <f t="shared" si="54"/>
        <v>5435069</v>
      </c>
      <c r="H81" s="40">
        <f t="shared" ref="H81:M81" ca="1" si="55">SUM(H79,H71)</f>
        <v>6088172.3538761921</v>
      </c>
      <c r="I81" s="40">
        <f t="shared" ca="1" si="55"/>
        <v>6868485.0296539329</v>
      </c>
      <c r="J81" s="40">
        <f t="shared" ca="1" si="55"/>
        <v>7827019.5226290813</v>
      </c>
      <c r="K81" s="40">
        <f t="shared" ca="1" si="55"/>
        <v>8951159.1751069874</v>
      </c>
      <c r="L81" s="40">
        <f t="shared" ca="1" si="55"/>
        <v>9423219.5768518709</v>
      </c>
      <c r="M81" s="40">
        <f t="shared" ca="1" si="55"/>
        <v>11000047.762027543</v>
      </c>
    </row>
    <row r="82" spans="1:15" ht="15.75" thickTop="1" x14ac:dyDescent="0.25">
      <c r="A82" s="192" t="s">
        <v>318</v>
      </c>
      <c r="B82" s="191">
        <f>B59-(B71+B79)</f>
        <v>0</v>
      </c>
      <c r="C82" s="191">
        <f t="shared" ref="C82:G82" si="56">C59-(C71+C79)</f>
        <v>0</v>
      </c>
      <c r="D82" s="191">
        <f t="shared" si="56"/>
        <v>0</v>
      </c>
      <c r="E82" s="191">
        <f t="shared" si="56"/>
        <v>0</v>
      </c>
      <c r="F82" s="191">
        <f t="shared" si="56"/>
        <v>0</v>
      </c>
      <c r="G82" s="191">
        <f t="shared" si="56"/>
        <v>0</v>
      </c>
      <c r="H82" s="191">
        <f t="shared" ref="H82:M82" ca="1" si="57">H59-(H71+H79)</f>
        <v>0</v>
      </c>
      <c r="I82" s="191">
        <f t="shared" ca="1" si="57"/>
        <v>0</v>
      </c>
      <c r="J82" s="191">
        <f t="shared" ca="1" si="57"/>
        <v>0</v>
      </c>
      <c r="K82" s="191">
        <f t="shared" ca="1" si="57"/>
        <v>0</v>
      </c>
      <c r="L82" s="191">
        <f t="shared" ca="1" si="57"/>
        <v>0</v>
      </c>
      <c r="M82" s="191">
        <f t="shared" ca="1" si="57"/>
        <v>0</v>
      </c>
    </row>
    <row r="83" spans="1:15" x14ac:dyDescent="0.25">
      <c r="B83" s="42"/>
      <c r="C83" s="42"/>
      <c r="D83" s="42"/>
      <c r="E83" s="42"/>
      <c r="F83" s="42"/>
      <c r="G83" s="42"/>
      <c r="H83" s="42"/>
      <c r="I83" s="42"/>
      <c r="J83" s="42"/>
      <c r="K83" s="42"/>
      <c r="L83" s="42"/>
      <c r="M83" s="42"/>
    </row>
    <row r="84" spans="1:15" x14ac:dyDescent="0.25">
      <c r="B84" s="42"/>
      <c r="C84" s="42"/>
      <c r="D84" s="42"/>
      <c r="E84" s="42"/>
      <c r="F84" s="42"/>
      <c r="G84" s="42" t="s">
        <v>316</v>
      </c>
      <c r="H84" s="42"/>
      <c r="I84" s="42"/>
      <c r="J84" s="42"/>
      <c r="K84" s="42"/>
      <c r="L84" s="42"/>
      <c r="M84" s="42"/>
    </row>
    <row r="85" spans="1:15" x14ac:dyDescent="0.25">
      <c r="B85" s="42"/>
      <c r="C85" s="42"/>
      <c r="D85" s="42"/>
      <c r="E85" s="42"/>
      <c r="F85" s="42"/>
      <c r="G85" s="42"/>
      <c r="H85" s="42"/>
      <c r="I85" s="42"/>
      <c r="J85" s="42"/>
      <c r="K85" s="42"/>
      <c r="L85" s="42"/>
      <c r="M85" s="42"/>
    </row>
    <row r="86" spans="1:15" x14ac:dyDescent="0.25">
      <c r="B86" s="42"/>
    </row>
    <row r="87" spans="1:15" x14ac:dyDescent="0.25">
      <c r="A87" s="25" t="s">
        <v>56</v>
      </c>
      <c r="B87" s="135">
        <v>2019</v>
      </c>
      <c r="C87" s="135">
        <v>2020</v>
      </c>
      <c r="D87" s="135">
        <f t="shared" ref="D87" si="58">C87+1</f>
        <v>2021</v>
      </c>
      <c r="E87" s="135">
        <f t="shared" ref="E87" si="59">D87+1</f>
        <v>2022</v>
      </c>
      <c r="F87" s="135">
        <f t="shared" ref="F87" si="60">E87+1</f>
        <v>2023</v>
      </c>
      <c r="G87" s="135">
        <f t="shared" ref="G87" si="61">F87+1</f>
        <v>2024</v>
      </c>
      <c r="H87" s="136">
        <v>2025</v>
      </c>
      <c r="I87" s="136">
        <v>2026</v>
      </c>
      <c r="J87" s="136">
        <v>2027</v>
      </c>
      <c r="K87" s="136">
        <v>2028</v>
      </c>
      <c r="L87" s="136">
        <v>2029</v>
      </c>
      <c r="M87" s="136">
        <v>2030</v>
      </c>
      <c r="N87" s="43"/>
    </row>
    <row r="88" spans="1:15" x14ac:dyDescent="0.25">
      <c r="A88" s="30" t="s">
        <v>57</v>
      </c>
      <c r="B88" s="30"/>
      <c r="C88" s="30"/>
      <c r="D88" s="30"/>
      <c r="E88" s="30"/>
      <c r="F88" s="30"/>
      <c r="G88" s="30"/>
      <c r="H88" s="30"/>
      <c r="I88" s="30"/>
      <c r="J88" s="30"/>
      <c r="K88" s="30"/>
      <c r="L88" s="30"/>
      <c r="M88" s="30"/>
    </row>
    <row r="89" spans="1:15" x14ac:dyDescent="0.25">
      <c r="A89" t="s">
        <v>14</v>
      </c>
      <c r="B89" s="6">
        <v>-2602241</v>
      </c>
      <c r="C89" s="6">
        <v>-1752857</v>
      </c>
      <c r="D89" s="6">
        <v>-1062144</v>
      </c>
      <c r="E89" s="6">
        <v>-1584511</v>
      </c>
      <c r="F89" s="6">
        <v>-340320</v>
      </c>
      <c r="G89" s="6">
        <v>22784</v>
      </c>
      <c r="H89" s="34">
        <f t="shared" ref="H89:M89" ca="1" si="62">H19</f>
        <v>51715.465332438987</v>
      </c>
      <c r="I89" s="34">
        <f t="shared" ca="1" si="62"/>
        <v>175600.66601498588</v>
      </c>
      <c r="J89" s="34">
        <f t="shared" ca="1" si="62"/>
        <v>303527.63101752754</v>
      </c>
      <c r="K89" s="34">
        <f t="shared" ca="1" si="62"/>
        <v>405081.8909238163</v>
      </c>
      <c r="L89" s="34">
        <f t="shared" ca="1" si="62"/>
        <v>503972.58992626052</v>
      </c>
      <c r="M89" s="34">
        <f t="shared" ca="1" si="62"/>
        <v>595956.78054809687</v>
      </c>
      <c r="O89" s="42"/>
    </row>
    <row r="90" spans="1:15" x14ac:dyDescent="0.25">
      <c r="A90" t="s">
        <v>294</v>
      </c>
      <c r="B90" s="6">
        <v>1704718</v>
      </c>
      <c r="C90" s="6">
        <v>710006</v>
      </c>
      <c r="D90" s="6">
        <v>791644</v>
      </c>
      <c r="E90" s="6">
        <v>986749</v>
      </c>
      <c r="F90" s="6">
        <v>520376</v>
      </c>
      <c r="G90" s="6">
        <v>375099</v>
      </c>
      <c r="H90" s="185">
        <f ca="1">SUM(H24:H28)+Schedules!I69+Schedules!I62+Schedules!I28</f>
        <v>295949.39284590835</v>
      </c>
      <c r="I90" s="185">
        <f ca="1">SUM(I24:I28)+Schedules!J69+Schedules!J62+Schedules!J28</f>
        <v>265437.83526651526</v>
      </c>
      <c r="J90" s="185">
        <f ca="1">SUM(J24:J28)+Schedules!K69+Schedules!K62+Schedules!K28</f>
        <v>235260.14974626779</v>
      </c>
      <c r="K90" s="185">
        <f ca="1">SUM(K24:K28)+Schedules!L69+Schedules!L62+Schedules!L28</f>
        <v>209947.77237446461</v>
      </c>
      <c r="L90" s="185">
        <f ca="1">SUM(L24:L28)+Schedules!M69+Schedules!M62+Schedules!M28</f>
        <v>189490.68565866083</v>
      </c>
      <c r="M90" s="185">
        <f ca="1">SUM(M24:M28)+Schedules!N69+Schedules!N62+Schedules!N28</f>
        <v>166606.33956784158</v>
      </c>
      <c r="O90" s="42"/>
    </row>
    <row r="91" spans="1:15" x14ac:dyDescent="0.25">
      <c r="A91" s="14"/>
      <c r="B91" s="6"/>
      <c r="C91" s="6"/>
      <c r="D91" s="6"/>
      <c r="E91" s="6"/>
      <c r="F91" s="6"/>
      <c r="G91" s="3"/>
      <c r="H91" s="34"/>
      <c r="I91" s="34"/>
      <c r="J91" s="34"/>
      <c r="K91" s="34"/>
      <c r="L91" s="34"/>
      <c r="M91" s="34"/>
    </row>
    <row r="92" spans="1:15" x14ac:dyDescent="0.25">
      <c r="A92" s="180" t="s">
        <v>68</v>
      </c>
      <c r="B92" s="6">
        <v>-119453</v>
      </c>
      <c r="C92" s="6">
        <v>39573</v>
      </c>
      <c r="D92" s="6">
        <v>-207046</v>
      </c>
      <c r="E92" s="6">
        <v>-275945</v>
      </c>
      <c r="F92" s="6">
        <v>-86922</v>
      </c>
      <c r="G92" s="6">
        <v>-76359</v>
      </c>
      <c r="H92" s="34">
        <f t="shared" ref="H92:M92" ca="1" si="63">(G50+G58)-(H50+H58)</f>
        <v>-53091.731322286301</v>
      </c>
      <c r="I92" s="34">
        <f t="shared" ca="1" si="63"/>
        <v>-47124.20711761259</v>
      </c>
      <c r="J92" s="34">
        <f t="shared" ca="1" si="63"/>
        <v>-49320.48478165362</v>
      </c>
      <c r="K92" s="34">
        <f t="shared" ca="1" si="63"/>
        <v>-51619.122482554754</v>
      </c>
      <c r="L92" s="34">
        <f t="shared" ca="1" si="63"/>
        <v>-54024.89082711027</v>
      </c>
      <c r="M92" s="34">
        <f t="shared" ca="1" si="63"/>
        <v>-56542.782761709997</v>
      </c>
      <c r="O92" s="42"/>
    </row>
    <row r="93" spans="1:15" x14ac:dyDescent="0.25">
      <c r="A93" s="36" t="s">
        <v>69</v>
      </c>
      <c r="B93" s="6">
        <v>108600</v>
      </c>
      <c r="C93" s="6">
        <v>61201</v>
      </c>
      <c r="D93" s="6">
        <v>61301</v>
      </c>
      <c r="E93" s="6">
        <v>96317</v>
      </c>
      <c r="F93" s="6">
        <v>20046</v>
      </c>
      <c r="G93" s="6">
        <v>26276</v>
      </c>
      <c r="H93" s="34">
        <f ca="1">Schedules!H32-Schedules!I32</f>
        <v>-6916.2122069717152</v>
      </c>
      <c r="I93" s="34">
        <f ca="1">Schedules!I32-Schedules!J32</f>
        <v>-7238.5502009464253</v>
      </c>
      <c r="J93" s="34">
        <f ca="1">Schedules!J32-Schedules!K32</f>
        <v>-7575.9111264406238</v>
      </c>
      <c r="K93" s="34">
        <f ca="1">Schedules!K32-Schedules!L32</f>
        <v>-7928.995144389919</v>
      </c>
      <c r="L93" s="34">
        <f ca="1">Schedules!L32-Schedules!M32</f>
        <v>-8298.5350475324958</v>
      </c>
      <c r="M93" s="34">
        <f ca="1">Schedules!M32-Schedules!N32</f>
        <v>-8685.297781251691</v>
      </c>
      <c r="O93" s="42"/>
    </row>
    <row r="94" spans="1:15" x14ac:dyDescent="0.25">
      <c r="A94" s="180" t="s">
        <v>39</v>
      </c>
      <c r="B94" s="6">
        <v>5067</v>
      </c>
      <c r="C94" s="6">
        <v>44489</v>
      </c>
      <c r="D94" s="6">
        <v>47080</v>
      </c>
      <c r="E94" s="6">
        <v>-27215</v>
      </c>
      <c r="F94" s="6">
        <v>-41079</v>
      </c>
      <c r="G94" s="6">
        <v>21712</v>
      </c>
      <c r="H94" s="34">
        <f t="shared" ref="H94:M95" ca="1" si="64">H63-G63</f>
        <v>4714.5105779130536</v>
      </c>
      <c r="I94" s="34">
        <f t="shared" ca="1" si="64"/>
        <v>4941.9998310577939</v>
      </c>
      <c r="J94" s="34">
        <f t="shared" ca="1" si="64"/>
        <v>5180.4661218909896</v>
      </c>
      <c r="K94" s="34">
        <f t="shared" ca="1" si="64"/>
        <v>5430.439125352219</v>
      </c>
      <c r="L94" s="34">
        <f t="shared" ca="1" si="64"/>
        <v>5692.4740747830074</v>
      </c>
      <c r="M94" s="34">
        <f t="shared" ca="1" si="64"/>
        <v>5967.1529951963021</v>
      </c>
      <c r="O94" s="42"/>
    </row>
    <row r="95" spans="1:15" x14ac:dyDescent="0.25">
      <c r="A95" s="36" t="s">
        <v>40</v>
      </c>
      <c r="B95" s="6">
        <v>568190</v>
      </c>
      <c r="C95" s="6">
        <v>-391398</v>
      </c>
      <c r="D95" s="6">
        <v>81564</v>
      </c>
      <c r="E95" s="6">
        <v>348721</v>
      </c>
      <c r="F95" s="6">
        <v>-79482</v>
      </c>
      <c r="G95" s="6">
        <v>363524</v>
      </c>
      <c r="H95" s="90">
        <f t="shared" ca="1" si="64"/>
        <v>340278.59999999986</v>
      </c>
      <c r="I95" s="90">
        <f t="shared" ca="1" si="64"/>
        <v>408334.32000000007</v>
      </c>
      <c r="J95" s="90">
        <f t="shared" ca="1" si="64"/>
        <v>490001.18399999989</v>
      </c>
      <c r="K95" s="90">
        <f t="shared" ca="1" si="64"/>
        <v>588001.42079999996</v>
      </c>
      <c r="L95" s="90">
        <f t="shared" ca="1" si="64"/>
        <v>705601.70495999977</v>
      </c>
      <c r="M95" s="90">
        <f t="shared" ca="1" si="64"/>
        <v>846722.04595199972</v>
      </c>
      <c r="O95" s="42"/>
    </row>
    <row r="96" spans="1:15" x14ac:dyDescent="0.25">
      <c r="A96" s="180" t="s">
        <v>70</v>
      </c>
      <c r="B96" s="6">
        <v>332363</v>
      </c>
      <c r="C96" s="6">
        <v>-36679</v>
      </c>
      <c r="D96" s="6">
        <v>234212</v>
      </c>
      <c r="E96" s="6">
        <v>262358</v>
      </c>
      <c r="F96" s="6">
        <v>-75571</v>
      </c>
      <c r="G96" s="6">
        <v>164057</v>
      </c>
      <c r="H96" s="34">
        <f t="shared" ref="H96:M96" ca="1" si="65">(H65+H70)-(G65+G70)</f>
        <v>84446.68055148609</v>
      </c>
      <c r="I96" s="34">
        <f t="shared" ca="1" si="65"/>
        <v>87705.967400419991</v>
      </c>
      <c r="J96" s="34">
        <f t="shared" ca="1" si="65"/>
        <v>94312.681559968973</v>
      </c>
      <c r="K96" s="34">
        <f t="shared" ca="1" si="65"/>
        <v>93871.695297886617</v>
      </c>
      <c r="L96" s="34">
        <f t="shared" ca="1" si="65"/>
        <v>105385.8891321558</v>
      </c>
      <c r="M96" s="34">
        <f t="shared" ca="1" si="65"/>
        <v>103307.68166357232</v>
      </c>
      <c r="O96" s="42"/>
    </row>
    <row r="97" spans="1:16" x14ac:dyDescent="0.25">
      <c r="A97" s="36" t="s">
        <v>71</v>
      </c>
      <c r="B97" s="6">
        <v>-102946</v>
      </c>
      <c r="C97" s="6">
        <v>-53234</v>
      </c>
      <c r="D97" s="6">
        <v>-48332</v>
      </c>
      <c r="E97" s="6">
        <v>-43759</v>
      </c>
      <c r="F97" s="6">
        <v>-15292</v>
      </c>
      <c r="G97" s="6">
        <v>-47356</v>
      </c>
      <c r="H97" s="34">
        <f t="shared" ref="H97:M97" ca="1" si="66">(H68+H66)-(G68+G66)</f>
        <v>8261.6850278715137</v>
      </c>
      <c r="I97" s="34">
        <f t="shared" ca="1" si="66"/>
        <v>8646.7303242044873</v>
      </c>
      <c r="J97" s="34">
        <f t="shared" ca="1" si="66"/>
        <v>9049.7210977285577</v>
      </c>
      <c r="K97" s="34">
        <f t="shared" ca="1" si="66"/>
        <v>9471.4937179688422</v>
      </c>
      <c r="L97" s="34">
        <f t="shared" ca="1" si="66"/>
        <v>9912.9235344104236</v>
      </c>
      <c r="M97" s="34">
        <f t="shared" ca="1" si="66"/>
        <v>10374.926693203772</v>
      </c>
      <c r="O97" s="42"/>
    </row>
    <row r="98" spans="1:16" ht="15.75" thickBot="1" x14ac:dyDescent="0.3">
      <c r="A98" s="45" t="s">
        <v>72</v>
      </c>
      <c r="B98" s="38">
        <f t="shared" ref="B98:G98" si="67">SUM(B89:B97)</f>
        <v>-105702</v>
      </c>
      <c r="C98" s="38">
        <f t="shared" si="67"/>
        <v>-1378899</v>
      </c>
      <c r="D98" s="38">
        <f t="shared" si="67"/>
        <v>-101721</v>
      </c>
      <c r="E98" s="38">
        <f t="shared" si="67"/>
        <v>-237285</v>
      </c>
      <c r="F98" s="38">
        <f t="shared" si="67"/>
        <v>-98244</v>
      </c>
      <c r="G98" s="38">
        <f t="shared" si="67"/>
        <v>849737</v>
      </c>
      <c r="H98" s="38">
        <f t="shared" ref="H98:M98" ca="1" si="68">SUM(H89:H97)</f>
        <v>725358.39080635982</v>
      </c>
      <c r="I98" s="38">
        <f t="shared" ca="1" si="68"/>
        <v>896304.76151862461</v>
      </c>
      <c r="J98" s="38">
        <f t="shared" ca="1" si="68"/>
        <v>1080435.4376352895</v>
      </c>
      <c r="K98" s="38">
        <f t="shared" ca="1" si="68"/>
        <v>1252256.5946125439</v>
      </c>
      <c r="L98" s="38">
        <f t="shared" ca="1" si="68"/>
        <v>1457732.8414116274</v>
      </c>
      <c r="M98" s="38">
        <f t="shared" ca="1" si="68"/>
        <v>1663706.8468769491</v>
      </c>
      <c r="O98" s="42"/>
    </row>
    <row r="99" spans="1:16" x14ac:dyDescent="0.25">
      <c r="A99" s="46"/>
      <c r="B99" s="46"/>
      <c r="C99" s="6"/>
      <c r="D99" s="10"/>
      <c r="E99" s="10"/>
      <c r="F99" s="10"/>
      <c r="G99" s="10"/>
      <c r="H99" s="28"/>
    </row>
    <row r="100" spans="1:16" x14ac:dyDescent="0.25">
      <c r="A100" s="30" t="s">
        <v>73</v>
      </c>
      <c r="B100" s="30"/>
      <c r="C100" s="47"/>
      <c r="D100" s="47"/>
      <c r="E100" s="47"/>
      <c r="F100" s="47"/>
      <c r="G100" s="47"/>
      <c r="H100" s="47"/>
      <c r="I100" s="47"/>
      <c r="J100" s="47"/>
      <c r="K100" s="47"/>
      <c r="L100" s="47"/>
      <c r="M100" s="47"/>
    </row>
    <row r="101" spans="1:16" x14ac:dyDescent="0.25">
      <c r="A101" t="s">
        <v>295</v>
      </c>
      <c r="B101" s="6">
        <f>Mark_Secs!C7*Mark_Secs!C11</f>
        <v>-923266.83395797922</v>
      </c>
      <c r="C101" s="6">
        <f>Mark_Secs!D7*Mark_Secs!D11</f>
        <v>519289.82141253381</v>
      </c>
      <c r="D101" s="6">
        <f>Mark_Secs!E7*Mark_Secs!E11</f>
        <v>115676.8799199546</v>
      </c>
      <c r="E101" s="6">
        <f>Mark_Secs!F7*Mark_Secs!F11</f>
        <v>189229.12570186946</v>
      </c>
      <c r="F101" s="6">
        <f>Mark_Secs!G7*Mark_Secs!G11</f>
        <v>372782.57774899062</v>
      </c>
      <c r="G101" s="6">
        <f>Mark_Secs!H7*Mark_Secs!H11</f>
        <v>-250598.82163626322</v>
      </c>
      <c r="H101" s="28">
        <f t="shared" ref="H101:M101" ca="1" si="69">G49-H49</f>
        <v>-326233.98978734179</v>
      </c>
      <c r="I101" s="28">
        <f t="shared" ca="1" si="69"/>
        <v>-333345.09226207598</v>
      </c>
      <c r="J101" s="28">
        <f t="shared" ca="1" si="69"/>
        <v>-345351.53404249763</v>
      </c>
      <c r="K101" s="28">
        <f t="shared" ca="1" si="69"/>
        <v>-356901.59806064516</v>
      </c>
      <c r="L101" s="28">
        <f t="shared" ca="1" si="69"/>
        <v>-371349.32255047746</v>
      </c>
      <c r="M101" s="28">
        <f t="shared" ca="1" si="69"/>
        <v>-388020.83870877372</v>
      </c>
    </row>
    <row r="102" spans="1:16" x14ac:dyDescent="0.25">
      <c r="A102" t="s">
        <v>296</v>
      </c>
      <c r="B102" s="6">
        <f>Mark_Secs!C8*Mark_Secs!C11</f>
        <v>-504296.16604202084</v>
      </c>
      <c r="C102" s="6">
        <f>Mark_Secs!D8*Mark_Secs!D11</f>
        <v>296224.17858746619</v>
      </c>
      <c r="D102" s="6">
        <f>Mark_Secs!E8*Mark_Secs!E11</f>
        <v>67277.120080045395</v>
      </c>
      <c r="E102" s="6">
        <f>Mark_Secs!F8*Mark_Secs!F11</f>
        <v>128279.87429813055</v>
      </c>
      <c r="F102" s="6">
        <f>Mark_Secs!G8*Mark_Secs!G11</f>
        <v>277065.42225100938</v>
      </c>
      <c r="G102" s="6">
        <f>Mark_Secs!H8*Mark_Secs!H11</f>
        <v>-277257.17836373678</v>
      </c>
      <c r="H102" s="28">
        <f t="shared" ref="H102:M102" ca="1" si="70">G52-H52</f>
        <v>-93247.670404558768</v>
      </c>
      <c r="I102" s="28">
        <f t="shared" ca="1" si="70"/>
        <v>-339659.6464210134</v>
      </c>
      <c r="J102" s="28">
        <f t="shared" ca="1" si="70"/>
        <v>-350827.67118092324</v>
      </c>
      <c r="K102" s="28">
        <f t="shared" ca="1" si="70"/>
        <v>-364175.16134459618</v>
      </c>
      <c r="L102" s="28">
        <f t="shared" ca="1" si="70"/>
        <v>-373738.77563066734</v>
      </c>
      <c r="M102" s="28">
        <f t="shared" ca="1" si="70"/>
        <v>-386901.25551383011</v>
      </c>
      <c r="P102" s="42"/>
    </row>
    <row r="103" spans="1:16" x14ac:dyDescent="0.25">
      <c r="A103" t="s">
        <v>178</v>
      </c>
      <c r="B103" s="6">
        <v>-170957</v>
      </c>
      <c r="C103" s="6">
        <v>-62745</v>
      </c>
      <c r="D103" s="6">
        <v>-36633</v>
      </c>
      <c r="E103" s="6">
        <v>14870</v>
      </c>
      <c r="F103" s="6">
        <v>-57225</v>
      </c>
      <c r="G103" s="6">
        <v>8575</v>
      </c>
      <c r="H103" s="28">
        <f t="shared" ref="H103:M103" ca="1" si="71">G54-H54</f>
        <v>-55021.427321555791</v>
      </c>
      <c r="I103" s="28">
        <f t="shared" ca="1" si="71"/>
        <v>-23297.733070942282</v>
      </c>
      <c r="J103" s="28">
        <f t="shared" ca="1" si="71"/>
        <v>-24383.550613480329</v>
      </c>
      <c r="K103" s="28">
        <f t="shared" ca="1" si="71"/>
        <v>-25519.973926635343</v>
      </c>
      <c r="L103" s="28">
        <f t="shared" ca="1" si="71"/>
        <v>-26709.361550327158</v>
      </c>
      <c r="M103" s="28">
        <f t="shared" ca="1" si="71"/>
        <v>-27954.181946930941</v>
      </c>
      <c r="P103" s="42"/>
    </row>
    <row r="104" spans="1:16" x14ac:dyDescent="0.25">
      <c r="A104" t="s">
        <v>301</v>
      </c>
      <c r="B104" s="6">
        <v>-12323</v>
      </c>
      <c r="C104" s="6">
        <v>-12342</v>
      </c>
      <c r="D104" s="6">
        <v>120691</v>
      </c>
      <c r="E104" s="6">
        <v>-146334</v>
      </c>
      <c r="F104" s="6">
        <v>7130</v>
      </c>
      <c r="G104" s="6">
        <v>1303</v>
      </c>
      <c r="H104" s="28">
        <f t="shared" ref="H104:M104" ca="1" si="72">(G56+G57)-(H56+H57)</f>
        <v>-42175.411920724669</v>
      </c>
      <c r="I104" s="28">
        <f t="shared" ca="1" si="72"/>
        <v>-10466.221608324966</v>
      </c>
      <c r="J104" s="28">
        <f t="shared" ca="1" si="72"/>
        <v>-14185.345754313923</v>
      </c>
      <c r="K104" s="28">
        <f t="shared" ca="1" si="72"/>
        <v>-15742.163628385402</v>
      </c>
      <c r="L104" s="28">
        <f t="shared" ca="1" si="72"/>
        <v>-14878.615902916936</v>
      </c>
      <c r="M104" s="28">
        <f t="shared" ca="1" si="72"/>
        <v>-18636.131140142388</v>
      </c>
      <c r="P104" s="42"/>
    </row>
    <row r="105" spans="1:16" ht="15.75" thickBot="1" x14ac:dyDescent="0.3">
      <c r="A105" s="45" t="s">
        <v>74</v>
      </c>
      <c r="B105" s="38">
        <f t="shared" ref="B105:G105" si="73">SUM(B101:B104)</f>
        <v>-1610843</v>
      </c>
      <c r="C105" s="38">
        <f t="shared" si="73"/>
        <v>740427</v>
      </c>
      <c r="D105" s="38">
        <f t="shared" si="73"/>
        <v>267012</v>
      </c>
      <c r="E105" s="38">
        <f t="shared" si="73"/>
        <v>186045</v>
      </c>
      <c r="F105" s="38">
        <f t="shared" si="73"/>
        <v>599753</v>
      </c>
      <c r="G105" s="38">
        <f t="shared" si="73"/>
        <v>-517978</v>
      </c>
      <c r="H105" s="38">
        <f t="shared" ref="H105:M105" ca="1" si="74">SUM(H101:H104)</f>
        <v>-516678.49943418102</v>
      </c>
      <c r="I105" s="38">
        <f t="shared" ca="1" si="74"/>
        <v>-706768.69336235663</v>
      </c>
      <c r="J105" s="38">
        <f t="shared" ca="1" si="74"/>
        <v>-734748.10159121524</v>
      </c>
      <c r="K105" s="38">
        <f t="shared" ca="1" si="74"/>
        <v>-762338.89696026209</v>
      </c>
      <c r="L105" s="38">
        <f t="shared" ca="1" si="74"/>
        <v>-786676.07563438895</v>
      </c>
      <c r="M105" s="38">
        <f t="shared" ca="1" si="74"/>
        <v>-821512.40730967722</v>
      </c>
      <c r="P105" s="42"/>
    </row>
    <row r="106" spans="1:16" x14ac:dyDescent="0.25">
      <c r="A106" s="46"/>
      <c r="B106" s="46"/>
      <c r="C106" s="6"/>
      <c r="D106" s="6"/>
      <c r="E106" s="6"/>
      <c r="F106" s="6"/>
      <c r="G106" s="6"/>
      <c r="P106" s="42"/>
    </row>
    <row r="107" spans="1:16" x14ac:dyDescent="0.25">
      <c r="A107" s="30" t="s">
        <v>75</v>
      </c>
      <c r="B107" s="30"/>
      <c r="C107" s="47"/>
      <c r="D107" s="47"/>
      <c r="E107" s="47"/>
      <c r="F107" s="47"/>
      <c r="G107" s="47"/>
      <c r="H107" s="47"/>
      <c r="I107" s="47"/>
      <c r="J107" s="47"/>
      <c r="K107" s="47"/>
      <c r="L107" s="47"/>
      <c r="M107" s="47"/>
      <c r="P107" s="42"/>
    </row>
    <row r="108" spans="1:16" x14ac:dyDescent="0.25">
      <c r="A108" t="s">
        <v>310</v>
      </c>
      <c r="B108" s="34">
        <v>2484029</v>
      </c>
      <c r="C108" s="34">
        <v>0</v>
      </c>
      <c r="D108" s="34">
        <v>0</v>
      </c>
      <c r="E108" s="34">
        <v>0</v>
      </c>
      <c r="F108" s="34">
        <v>0</v>
      </c>
      <c r="G108" s="34">
        <v>-50000</v>
      </c>
      <c r="H108" s="34">
        <v>0</v>
      </c>
      <c r="I108" s="34">
        <v>0</v>
      </c>
      <c r="J108" s="34">
        <v>0</v>
      </c>
      <c r="K108" s="34">
        <v>0</v>
      </c>
      <c r="L108" s="34">
        <v>0</v>
      </c>
      <c r="M108" s="34">
        <v>0</v>
      </c>
      <c r="P108" s="42"/>
    </row>
    <row r="109" spans="1:16" x14ac:dyDescent="0.25">
      <c r="A109" t="s">
        <v>311</v>
      </c>
      <c r="B109" s="34">
        <v>0</v>
      </c>
      <c r="C109" s="34">
        <v>549921</v>
      </c>
      <c r="D109" s="34">
        <v>-44446</v>
      </c>
      <c r="E109" s="34">
        <v>-67639</v>
      </c>
      <c r="F109" s="34">
        <v>-72484</v>
      </c>
      <c r="G109" s="34">
        <v>-33844</v>
      </c>
      <c r="H109" s="90">
        <f ca="1">(-Debt_Schedule!H70*Debt_Schedule!H26)+(Debt_Schedule!H27)+(Debt_Schedule!H29-Debt_Schedule!G29)</f>
        <v>11764.583653492249</v>
      </c>
      <c r="I109" s="90">
        <f ca="1">(-Debt_Schedule!I70*Debt_Schedule!I26)+(Debt_Schedule!I27)+(Debt_Schedule!I29-Debt_Schedule!H29)</f>
        <v>-28711.584792657704</v>
      </c>
      <c r="J109" s="90">
        <f ca="1">(-Debt_Schedule!J70*Debt_Schedule!J26)+(Debt_Schedule!J27)+(Debt_Schedule!J29-Debt_Schedule!I29)</f>
        <v>-29124.042885702045</v>
      </c>
      <c r="K109" s="90">
        <f ca="1">(-Debt_Schedule!K70*Debt_Schedule!K26)+(Debt_Schedule!K27)+(Debt_Schedule!K29-Debt_Schedule!J29)</f>
        <v>-29561.152958346727</v>
      </c>
      <c r="L109" s="90">
        <f ca="1">(-Debt_Schedule!L70*Debt_Schedule!L26)+(Debt_Schedule!L27)+(Debt_Schedule!L29-Debt_Schedule!K29)</f>
        <v>-881039.27020342287</v>
      </c>
      <c r="M109" s="90">
        <f ca="1">(-Debt_Schedule!M70*Debt_Schedule!M26)+(Debt_Schedule!M27)+(Debt_Schedule!M29-Debt_Schedule!L29)</f>
        <v>24147.340398204546</v>
      </c>
    </row>
    <row r="110" spans="1:16" x14ac:dyDescent="0.25">
      <c r="A110" t="s">
        <v>312</v>
      </c>
      <c r="B110" s="34">
        <v>-909833</v>
      </c>
      <c r="C110" s="34">
        <v>-37355</v>
      </c>
      <c r="D110" s="34">
        <v>-28024</v>
      </c>
      <c r="E110" s="34">
        <v>-19861</v>
      </c>
      <c r="F110" s="34">
        <v>-49594</v>
      </c>
      <c r="G110" s="34">
        <v>-72025</v>
      </c>
      <c r="H110" s="90">
        <f ca="1">Mark_Secs!I42</f>
        <v>-133005.35890529765</v>
      </c>
      <c r="I110" s="90">
        <f ca="1">Mark_Secs!J42</f>
        <v>-139875.56952975166</v>
      </c>
      <c r="J110" s="90">
        <f ca="1">Mark_Secs!K42</f>
        <v>-147814.2127354269</v>
      </c>
      <c r="K110" s="90">
        <f ca="1">Mark_Secs!L42</f>
        <v>-156150.68375975554</v>
      </c>
      <c r="L110" s="90">
        <f ca="1">Mark_Secs!M42</f>
        <v>-164906.41005521355</v>
      </c>
      <c r="M110" s="90">
        <f ca="1">Mark_Secs!N42</f>
        <v>-174104.02625326399</v>
      </c>
    </row>
    <row r="111" spans="1:16" ht="15.75" thickBot="1" x14ac:dyDescent="0.3">
      <c r="A111" s="48" t="s">
        <v>80</v>
      </c>
      <c r="B111" s="38">
        <f t="shared" ref="B111:G111" si="75">SUM(B108:B110)</f>
        <v>1574196</v>
      </c>
      <c r="C111" s="38">
        <f t="shared" si="75"/>
        <v>512566</v>
      </c>
      <c r="D111" s="38">
        <f t="shared" si="75"/>
        <v>-72470</v>
      </c>
      <c r="E111" s="38">
        <f t="shared" si="75"/>
        <v>-87500</v>
      </c>
      <c r="F111" s="38">
        <f t="shared" si="75"/>
        <v>-122078</v>
      </c>
      <c r="G111" s="38">
        <f t="shared" si="75"/>
        <v>-155869</v>
      </c>
      <c r="H111" s="38">
        <f t="shared" ref="H111:M111" ca="1" si="76">SUM(H108:H110)</f>
        <v>-121240.7752518054</v>
      </c>
      <c r="I111" s="38">
        <f t="shared" ca="1" si="76"/>
        <v>-168587.15432240936</v>
      </c>
      <c r="J111" s="38">
        <f t="shared" ca="1" si="76"/>
        <v>-176938.25562112895</v>
      </c>
      <c r="K111" s="38">
        <f t="shared" ca="1" si="76"/>
        <v>-185711.83671810228</v>
      </c>
      <c r="L111" s="38">
        <f t="shared" ca="1" si="76"/>
        <v>-1045945.6802586364</v>
      </c>
      <c r="M111" s="38">
        <f t="shared" ca="1" si="76"/>
        <v>-149956.68585505945</v>
      </c>
    </row>
    <row r="112" spans="1:16" x14ac:dyDescent="0.25">
      <c r="A112" s="46"/>
      <c r="B112" s="46"/>
      <c r="C112" s="6"/>
      <c r="D112" s="6"/>
      <c r="E112" s="6"/>
      <c r="F112" s="6"/>
      <c r="G112" s="6"/>
      <c r="H112" s="42">
        <f ca="1">H69-G69</f>
        <v>56798.848865618114</v>
      </c>
    </row>
    <row r="113" spans="1:13" x14ac:dyDescent="0.25">
      <c r="A113" s="46"/>
      <c r="B113" s="46"/>
      <c r="C113" s="6"/>
      <c r="D113" s="6"/>
      <c r="E113" s="6"/>
      <c r="F113" s="6"/>
      <c r="G113" s="6"/>
    </row>
    <row r="114" spans="1:13" x14ac:dyDescent="0.25">
      <c r="A114" s="14" t="s">
        <v>81</v>
      </c>
      <c r="B114">
        <v>328</v>
      </c>
      <c r="C114" s="6">
        <v>-74</v>
      </c>
      <c r="D114" s="6">
        <v>-113</v>
      </c>
      <c r="E114" s="6">
        <v>-631</v>
      </c>
      <c r="F114" s="6">
        <v>533</v>
      </c>
      <c r="G114" s="6">
        <v>-1636</v>
      </c>
      <c r="H114" s="34">
        <f ca="1">G114*(1+Assumptions!I3)</f>
        <v>-1704.0385409542564</v>
      </c>
      <c r="I114" s="34">
        <f ca="1">H114*(1+Assumptions!J3)</f>
        <v>-1767.6887370330189</v>
      </c>
      <c r="J114" s="34">
        <f ca="1">I114*(1+Assumptions!K3)</f>
        <v>-1859.0849471054698</v>
      </c>
      <c r="K114" s="34">
        <f ca="1">J114*(1+Assumptions!L3)</f>
        <v>-1953.2230434800938</v>
      </c>
      <c r="L114" s="34">
        <f ca="1">K114*(1+Assumptions!M3)</f>
        <v>-2050.1852827459561</v>
      </c>
      <c r="M114" s="34">
        <f ca="1">L114*(1+Assumptions!N3)</f>
        <v>-2150.0563891897946</v>
      </c>
    </row>
    <row r="115" spans="1:13" x14ac:dyDescent="0.25">
      <c r="A115" s="14" t="s">
        <v>82</v>
      </c>
      <c r="B115" s="28">
        <f t="shared" ref="B115:G115" si="77">B98+B105+B111+B114</f>
        <v>-142021</v>
      </c>
      <c r="C115" s="28">
        <f t="shared" si="77"/>
        <v>-125980</v>
      </c>
      <c r="D115" s="28">
        <f t="shared" si="77"/>
        <v>92708</v>
      </c>
      <c r="E115" s="28">
        <f t="shared" si="77"/>
        <v>-139371</v>
      </c>
      <c r="F115" s="28">
        <f t="shared" si="77"/>
        <v>379964</v>
      </c>
      <c r="G115" s="28">
        <f t="shared" si="77"/>
        <v>174254</v>
      </c>
      <c r="H115" s="28">
        <f t="shared" ref="H115:M115" ca="1" si="78">H98+H105+H111+H114</f>
        <v>85735.077579419143</v>
      </c>
      <c r="I115" s="28">
        <f t="shared" ca="1" si="78"/>
        <v>19181.225096825601</v>
      </c>
      <c r="J115" s="28">
        <f t="shared" ca="1" si="78"/>
        <v>166889.99547583985</v>
      </c>
      <c r="K115" s="28">
        <f t="shared" ca="1" si="78"/>
        <v>302252.63789069949</v>
      </c>
      <c r="L115" s="28">
        <f t="shared" ca="1" si="78"/>
        <v>-376939.09976414393</v>
      </c>
      <c r="M115" s="28">
        <f t="shared" ca="1" si="78"/>
        <v>690087.69732302264</v>
      </c>
    </row>
    <row r="116" spans="1:13" x14ac:dyDescent="0.25">
      <c r="A116" s="11"/>
      <c r="B116" s="11"/>
      <c r="C116" s="28"/>
      <c r="D116" s="28"/>
      <c r="E116" s="28"/>
      <c r="F116" s="28"/>
      <c r="G116" s="28"/>
    </row>
    <row r="117" spans="1:13" x14ac:dyDescent="0.25">
      <c r="A117" s="30" t="s">
        <v>83</v>
      </c>
      <c r="B117" s="30"/>
      <c r="C117" s="49"/>
      <c r="D117" s="49"/>
      <c r="E117" s="49"/>
      <c r="F117" s="49"/>
      <c r="G117" s="49"/>
      <c r="H117" s="136">
        <v>2025</v>
      </c>
      <c r="I117" s="136">
        <v>2026</v>
      </c>
      <c r="J117" s="136">
        <v>2027</v>
      </c>
      <c r="K117" s="136">
        <v>2028</v>
      </c>
      <c r="L117" s="136">
        <v>2029</v>
      </c>
      <c r="M117" s="136">
        <v>2030</v>
      </c>
    </row>
    <row r="118" spans="1:13" x14ac:dyDescent="0.25">
      <c r="A118" t="s">
        <v>84</v>
      </c>
      <c r="B118">
        <v>706486</v>
      </c>
      <c r="C118" s="6">
        <f>B119</f>
        <v>564465</v>
      </c>
      <c r="D118" s="6">
        <f t="shared" ref="D118:H118" si="79">C119</f>
        <v>438485</v>
      </c>
      <c r="E118" s="6">
        <f t="shared" si="79"/>
        <v>531193</v>
      </c>
      <c r="F118" s="6">
        <f t="shared" si="79"/>
        <v>391822</v>
      </c>
      <c r="G118" s="6">
        <f t="shared" si="79"/>
        <v>771786</v>
      </c>
      <c r="H118" s="6">
        <f t="shared" si="79"/>
        <v>946040</v>
      </c>
      <c r="I118" s="6">
        <f ca="1">H119</f>
        <v>1031775.0775794191</v>
      </c>
      <c r="J118" s="6">
        <f ca="1">I119</f>
        <v>1050956.3026762446</v>
      </c>
      <c r="K118" s="6">
        <f ca="1">J119</f>
        <v>1217846.2981520845</v>
      </c>
      <c r="L118" s="6">
        <f ca="1">K119</f>
        <v>1520098.936042784</v>
      </c>
      <c r="M118" s="6">
        <f ca="1">L119</f>
        <v>1143159.8362786402</v>
      </c>
    </row>
    <row r="119" spans="1:13" ht="15.75" thickBot="1" x14ac:dyDescent="0.3">
      <c r="A119" s="96" t="s">
        <v>85</v>
      </c>
      <c r="B119" s="132">
        <f>B118+B115</f>
        <v>564465</v>
      </c>
      <c r="C119" s="132">
        <f t="shared" ref="C119:G119" si="80">C118+C115</f>
        <v>438485</v>
      </c>
      <c r="D119" s="132">
        <f t="shared" si="80"/>
        <v>531193</v>
      </c>
      <c r="E119" s="132">
        <f t="shared" si="80"/>
        <v>391822</v>
      </c>
      <c r="F119" s="132">
        <f t="shared" si="80"/>
        <v>771786</v>
      </c>
      <c r="G119" s="132">
        <f t="shared" si="80"/>
        <v>946040</v>
      </c>
      <c r="H119" s="132">
        <f t="shared" ref="H119:M119" ca="1" si="81">H118+H115</f>
        <v>1031775.0775794191</v>
      </c>
      <c r="I119" s="132">
        <f t="shared" ca="1" si="81"/>
        <v>1050956.3026762446</v>
      </c>
      <c r="J119" s="132">
        <f t="shared" ca="1" si="81"/>
        <v>1217846.2981520845</v>
      </c>
      <c r="K119" s="132">
        <f t="shared" ca="1" si="81"/>
        <v>1520098.936042784</v>
      </c>
      <c r="L119" s="132">
        <f t="shared" ca="1" si="81"/>
        <v>1143159.8362786402</v>
      </c>
      <c r="M119" s="132">
        <f t="shared" ca="1" si="81"/>
        <v>1833247.5336016628</v>
      </c>
    </row>
    <row r="120" spans="1:13" ht="15.75" thickTop="1" x14ac:dyDescent="0.25">
      <c r="A120" s="2"/>
      <c r="B120" s="2"/>
      <c r="C120" s="134"/>
      <c r="D120" s="134"/>
      <c r="E120" s="134"/>
      <c r="F120" s="134"/>
      <c r="G120" s="134"/>
    </row>
    <row r="121" spans="1:13" x14ac:dyDescent="0.25">
      <c r="A121" s="2"/>
      <c r="B121" s="2"/>
      <c r="C121" s="50"/>
      <c r="D121" s="50"/>
      <c r="E121" s="50"/>
      <c r="F121" s="50"/>
      <c r="G121" s="50"/>
    </row>
    <row r="122" spans="1:13" x14ac:dyDescent="0.25">
      <c r="A122" s="30" t="s">
        <v>86</v>
      </c>
      <c r="B122" s="30"/>
      <c r="C122" s="51"/>
      <c r="D122" s="51"/>
      <c r="E122" s="51"/>
      <c r="F122" s="51"/>
      <c r="G122" s="51"/>
      <c r="H122" s="136">
        <v>2025</v>
      </c>
      <c r="I122" s="136">
        <v>2026</v>
      </c>
      <c r="J122" s="136">
        <v>2027</v>
      </c>
      <c r="K122" s="136">
        <v>2028</v>
      </c>
      <c r="L122" s="136">
        <v>2029</v>
      </c>
      <c r="M122" s="136">
        <v>2030</v>
      </c>
    </row>
    <row r="123" spans="1:13" x14ac:dyDescent="0.25">
      <c r="A123" t="s">
        <v>26</v>
      </c>
      <c r="B123" s="52">
        <v>358319</v>
      </c>
      <c r="C123" s="52">
        <v>319734</v>
      </c>
      <c r="D123" s="52">
        <v>457325</v>
      </c>
      <c r="E123" s="52">
        <v>281090</v>
      </c>
      <c r="F123" s="52">
        <v>558636</v>
      </c>
      <c r="G123" s="52">
        <v>759319</v>
      </c>
      <c r="H123" s="34">
        <f t="shared" ref="H123:M123" ca="1" si="82">H119*H128</f>
        <v>768458.45279941487</v>
      </c>
      <c r="I123" s="34">
        <f t="shared" ca="1" si="82"/>
        <v>802011.77472920378</v>
      </c>
      <c r="J123" s="34">
        <f t="shared" ca="1" si="82"/>
        <v>936260.15847229806</v>
      </c>
      <c r="K123" s="34">
        <f t="shared" ca="1" si="82"/>
        <v>1145279.3187718673</v>
      </c>
      <c r="L123" s="34">
        <f t="shared" ca="1" si="82"/>
        <v>868149.35834779835</v>
      </c>
      <c r="M123" s="34">
        <f t="shared" ca="1" si="82"/>
        <v>1403101.7975730509</v>
      </c>
    </row>
    <row r="124" spans="1:13" x14ac:dyDescent="0.25">
      <c r="A124" t="s">
        <v>29</v>
      </c>
      <c r="B124" s="52">
        <v>204976</v>
      </c>
      <c r="C124" s="52">
        <v>118559</v>
      </c>
      <c r="D124" s="52">
        <v>73205</v>
      </c>
      <c r="E124" s="52">
        <v>109368</v>
      </c>
      <c r="F124" s="52">
        <v>211786</v>
      </c>
      <c r="G124" s="52">
        <v>186721</v>
      </c>
      <c r="H124" s="34">
        <f t="shared" ref="H124:M124" ca="1" si="83">H129*H119</f>
        <v>261767.71264197424</v>
      </c>
      <c r="I124" s="34">
        <f t="shared" ca="1" si="83"/>
        <v>247466.93275872196</v>
      </c>
      <c r="J124" s="34">
        <f t="shared" ca="1" si="83"/>
        <v>279677.40920964279</v>
      </c>
      <c r="K124" s="34">
        <f t="shared" ca="1" si="83"/>
        <v>372356.30558601615</v>
      </c>
      <c r="L124" s="34">
        <f t="shared" ca="1" si="83"/>
        <v>273512.50268982229</v>
      </c>
      <c r="M124" s="34">
        <f t="shared" ca="1" si="83"/>
        <v>427883.09926222335</v>
      </c>
    </row>
    <row r="125" spans="1:13" x14ac:dyDescent="0.25">
      <c r="A125" t="s">
        <v>87</v>
      </c>
      <c r="B125" s="52">
        <v>1170</v>
      </c>
      <c r="C125" s="52">
        <v>192</v>
      </c>
      <c r="D125" s="52">
        <v>663</v>
      </c>
      <c r="E125" s="52">
        <v>1364</v>
      </c>
      <c r="F125" s="52">
        <v>1364</v>
      </c>
      <c r="G125" s="52">
        <v>0</v>
      </c>
      <c r="H125" s="34">
        <f t="shared" ref="H125:M125" ca="1" si="84">H130*H119</f>
        <v>1548.9121380299559</v>
      </c>
      <c r="I125" s="34">
        <f t="shared" ca="1" si="84"/>
        <v>1477.5951883188554</v>
      </c>
      <c r="J125" s="34">
        <f t="shared" ca="1" si="84"/>
        <v>1908.7304701437154</v>
      </c>
      <c r="K125" s="34">
        <f t="shared" ca="1" si="84"/>
        <v>2463.3116849006947</v>
      </c>
      <c r="L125" s="34">
        <f t="shared" ca="1" si="84"/>
        <v>1497.9752410195169</v>
      </c>
      <c r="M125" s="34">
        <f t="shared" ca="1" si="84"/>
        <v>2262.6367663887399</v>
      </c>
    </row>
    <row r="126" spans="1:13" ht="15.75" thickBot="1" x14ac:dyDescent="0.3">
      <c r="A126" s="53" t="s">
        <v>88</v>
      </c>
      <c r="B126" s="54">
        <f>SUM(B123:B125)</f>
        <v>564465</v>
      </c>
      <c r="C126" s="54">
        <f t="shared" ref="C126:G126" si="85">SUM(C123:C125)</f>
        <v>438485</v>
      </c>
      <c r="D126" s="54">
        <f t="shared" si="85"/>
        <v>531193</v>
      </c>
      <c r="E126" s="54">
        <f t="shared" si="85"/>
        <v>391822</v>
      </c>
      <c r="F126" s="54">
        <f t="shared" si="85"/>
        <v>771786</v>
      </c>
      <c r="G126" s="54">
        <f t="shared" si="85"/>
        <v>946040</v>
      </c>
      <c r="H126" s="54">
        <f t="shared" ref="H126:M126" ca="1" si="86">SUM(H123:H125)</f>
        <v>1031775.077579419</v>
      </c>
      <c r="I126" s="54">
        <f t="shared" ca="1" si="86"/>
        <v>1050956.3026762444</v>
      </c>
      <c r="J126" s="54">
        <f t="shared" ca="1" si="86"/>
        <v>1217846.2981520845</v>
      </c>
      <c r="K126" s="54">
        <f t="shared" ca="1" si="86"/>
        <v>1520098.936042784</v>
      </c>
      <c r="L126" s="54">
        <f t="shared" ca="1" si="86"/>
        <v>1143159.8362786402</v>
      </c>
      <c r="M126" s="54">
        <f t="shared" ca="1" si="86"/>
        <v>1833247.5336016631</v>
      </c>
    </row>
    <row r="127" spans="1:13" ht="15.75" thickTop="1" x14ac:dyDescent="0.25"/>
    <row r="128" spans="1:13" x14ac:dyDescent="0.25">
      <c r="A128" t="s">
        <v>260</v>
      </c>
      <c r="B128" s="63">
        <f>B123/B119</f>
        <v>0.63479400848591139</v>
      </c>
      <c r="C128" s="63">
        <f t="shared" ref="C128:G128" si="87">C123/C119</f>
        <v>0.72917887727060215</v>
      </c>
      <c r="D128" s="63">
        <f t="shared" si="87"/>
        <v>0.86093943256029348</v>
      </c>
      <c r="E128" s="63">
        <f t="shared" si="87"/>
        <v>0.71739208109804964</v>
      </c>
      <c r="F128" s="63">
        <f t="shared" si="87"/>
        <v>0.72382240672932652</v>
      </c>
      <c r="G128" s="63">
        <f t="shared" si="87"/>
        <v>0.80262885290262564</v>
      </c>
      <c r="H128" s="138">
        <f>AVERAGE(B128:G128)</f>
        <v>0.74479260984113482</v>
      </c>
      <c r="I128" s="139">
        <f t="shared" ref="I128:M130" si="88">AVERAGE(C128:H128)</f>
        <v>0.76312571006700536</v>
      </c>
      <c r="J128" s="139">
        <f t="shared" si="88"/>
        <v>0.76878351553307267</v>
      </c>
      <c r="K128" s="139">
        <f t="shared" si="88"/>
        <v>0.75342419602853583</v>
      </c>
      <c r="L128" s="139">
        <f t="shared" si="88"/>
        <v>0.7594295485169501</v>
      </c>
      <c r="M128" s="140">
        <f t="shared" si="88"/>
        <v>0.76536407214822078</v>
      </c>
    </row>
    <row r="129" spans="1:13" x14ac:dyDescent="0.25">
      <c r="A129" t="s">
        <v>261</v>
      </c>
      <c r="B129" s="63">
        <f>B124/B119</f>
        <v>0.36313323235275879</v>
      </c>
      <c r="C129" s="63">
        <f t="shared" ref="C129:G129" si="89">C124/C119</f>
        <v>0.27038325142251163</v>
      </c>
      <c r="D129" s="63">
        <f t="shared" si="89"/>
        <v>0.13781243352227909</v>
      </c>
      <c r="E129" s="63">
        <f t="shared" si="89"/>
        <v>0.27912674632869006</v>
      </c>
      <c r="F129" s="63">
        <f t="shared" si="89"/>
        <v>0.27441026398509433</v>
      </c>
      <c r="G129" s="63">
        <f t="shared" si="89"/>
        <v>0.19737114709737433</v>
      </c>
      <c r="H129" s="141">
        <f t="shared" ref="H129:H130" si="90">AVERAGE(B129:G129)</f>
        <v>0.25370617911811805</v>
      </c>
      <c r="I129" s="63">
        <f t="shared" si="88"/>
        <v>0.23546833691234459</v>
      </c>
      <c r="J129" s="63">
        <f t="shared" si="88"/>
        <v>0.22964918449398342</v>
      </c>
      <c r="K129" s="63">
        <f t="shared" si="88"/>
        <v>0.24495530965593412</v>
      </c>
      <c r="L129" s="63">
        <f t="shared" si="88"/>
        <v>0.23926007021047477</v>
      </c>
      <c r="M129" s="142">
        <f t="shared" si="88"/>
        <v>0.23340170458137155</v>
      </c>
    </row>
    <row r="130" spans="1:13" x14ac:dyDescent="0.25">
      <c r="A130" t="s">
        <v>262</v>
      </c>
      <c r="B130" s="63">
        <f>B125/B119</f>
        <v>2.0727591613297546E-3</v>
      </c>
      <c r="C130" s="63">
        <f t="shared" ref="C130:G130" si="91">C125/C119</f>
        <v>4.3787130688621045E-4</v>
      </c>
      <c r="D130" s="63">
        <f t="shared" si="91"/>
        <v>1.2481339174273758E-3</v>
      </c>
      <c r="E130" s="63">
        <f t="shared" si="91"/>
        <v>3.4811725732603071E-3</v>
      </c>
      <c r="F130" s="63">
        <f t="shared" si="91"/>
        <v>1.7673292855791632E-3</v>
      </c>
      <c r="G130" s="63">
        <f t="shared" si="91"/>
        <v>0</v>
      </c>
      <c r="H130" s="143">
        <f t="shared" si="90"/>
        <v>1.5012110407471352E-3</v>
      </c>
      <c r="I130" s="68">
        <f t="shared" si="88"/>
        <v>1.405953020650032E-3</v>
      </c>
      <c r="J130" s="68">
        <f t="shared" si="88"/>
        <v>1.5672999729440024E-3</v>
      </c>
      <c r="K130" s="68">
        <f t="shared" si="88"/>
        <v>1.6204943155301067E-3</v>
      </c>
      <c r="L130" s="68">
        <f t="shared" si="88"/>
        <v>1.3103812725750732E-3</v>
      </c>
      <c r="M130" s="144">
        <f t="shared" si="88"/>
        <v>1.2342232704077249E-3</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4D10CDE-5A03-4C11-9F7C-110490447C13}">
          <x14:formula1>
            <xm:f>Revenue_Regression!$A$62:$A$64</xm:f>
          </x14:formula1>
          <xm:sqref>A2:A3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3C3F7-1682-47B5-965E-E98B3B170D3C}">
  <dimension ref="B1:O50"/>
  <sheetViews>
    <sheetView showGridLines="0" topLeftCell="A10" workbookViewId="0">
      <selection activeCell="K25" sqref="K25"/>
    </sheetView>
  </sheetViews>
  <sheetFormatPr defaultColWidth="9.140625" defaultRowHeight="15.6" customHeight="1" x14ac:dyDescent="0.3"/>
  <cols>
    <col min="1" max="1" width="3.5703125" style="200" customWidth="1"/>
    <col min="2" max="2" width="12.5703125" style="200" customWidth="1"/>
    <col min="3" max="3" width="12.42578125" style="200" customWidth="1"/>
    <col min="4" max="4" width="12" style="201" bestFit="1" customWidth="1"/>
    <col min="5" max="9" width="11.5703125" style="200" customWidth="1"/>
    <col min="10" max="14" width="12.5703125" style="200" customWidth="1"/>
    <col min="15" max="15" width="11" style="200" bestFit="1" customWidth="1"/>
    <col min="16" max="16384" width="9.140625" style="200"/>
  </cols>
  <sheetData>
    <row r="1" spans="2:14" s="197" customFormat="1" ht="54.95" customHeight="1" x14ac:dyDescent="0.35">
      <c r="B1" s="194"/>
      <c r="C1" s="195"/>
      <c r="D1" s="195"/>
      <c r="E1" s="196"/>
      <c r="F1" s="196"/>
      <c r="G1" s="196"/>
      <c r="H1" s="196"/>
      <c r="I1" s="196"/>
      <c r="J1" s="196"/>
      <c r="K1" s="196"/>
      <c r="L1" s="196"/>
      <c r="M1" s="196"/>
      <c r="N1" s="196"/>
    </row>
    <row r="2" spans="2:14" ht="15.6" customHeight="1" x14ac:dyDescent="0.3">
      <c r="B2" s="200" t="e" vm="2">
        <v>#VALUE!</v>
      </c>
    </row>
    <row r="3" spans="2:14" s="197" customFormat="1" ht="21" x14ac:dyDescent="0.3">
      <c r="B3" s="198" t="s">
        <v>320</v>
      </c>
      <c r="C3" s="198"/>
      <c r="D3" s="198"/>
      <c r="E3" s="198"/>
      <c r="F3" s="198"/>
      <c r="G3" s="198"/>
      <c r="H3" s="198"/>
      <c r="I3" s="198"/>
      <c r="J3" s="198"/>
      <c r="K3" s="198"/>
      <c r="L3" s="198"/>
      <c r="M3" s="198"/>
      <c r="N3" s="198"/>
    </row>
    <row r="4" spans="2:14" ht="15.6" customHeight="1" x14ac:dyDescent="0.3">
      <c r="B4" s="199"/>
      <c r="E4" s="202"/>
      <c r="F4" s="202"/>
      <c r="G4" s="202"/>
      <c r="H4" s="202"/>
      <c r="I4" s="202"/>
    </row>
    <row r="5" spans="2:14" ht="15.6" customHeight="1" thickBot="1" x14ac:dyDescent="0.35">
      <c r="B5" s="203" t="s">
        <v>244</v>
      </c>
      <c r="C5" s="204"/>
      <c r="D5" s="204"/>
      <c r="E5" s="202"/>
    </row>
    <row r="6" spans="2:14" ht="15.6" customHeight="1" x14ac:dyDescent="0.3">
      <c r="B6" s="205" t="s">
        <v>321</v>
      </c>
      <c r="C6" s="206"/>
      <c r="D6" s="207">
        <f>AVERAGE(Schedules!I15:N15)</f>
        <v>0.14410801272753357</v>
      </c>
      <c r="E6" s="202" t="s">
        <v>23</v>
      </c>
    </row>
    <row r="7" spans="2:14" ht="15.6" customHeight="1" x14ac:dyDescent="0.3">
      <c r="B7" s="208" t="s">
        <v>322</v>
      </c>
      <c r="D7" s="209">
        <f ca="1">Schedules!C120</f>
        <v>0.13169016798642508</v>
      </c>
      <c r="E7" s="200" t="s">
        <v>23</v>
      </c>
    </row>
    <row r="8" spans="2:14" ht="15.6" customHeight="1" x14ac:dyDescent="0.3">
      <c r="B8" s="200" t="s">
        <v>323</v>
      </c>
      <c r="D8" s="209">
        <v>0.03</v>
      </c>
      <c r="E8" s="200" t="s">
        <v>23</v>
      </c>
    </row>
    <row r="9" spans="2:14" ht="15.6" customHeight="1" x14ac:dyDescent="0.3">
      <c r="B9" s="200" t="s">
        <v>324</v>
      </c>
      <c r="D9" s="210">
        <v>16</v>
      </c>
      <c r="E9" s="200" t="s">
        <v>23</v>
      </c>
    </row>
    <row r="10" spans="2:14" ht="15.6" customHeight="1" x14ac:dyDescent="0.3">
      <c r="B10" s="200" t="s">
        <v>325</v>
      </c>
      <c r="D10" s="211">
        <v>45930</v>
      </c>
      <c r="E10" s="200" t="s">
        <v>23</v>
      </c>
    </row>
    <row r="11" spans="2:14" ht="15.6" customHeight="1" x14ac:dyDescent="0.3">
      <c r="B11" s="200" t="s">
        <v>326</v>
      </c>
      <c r="D11" s="212">
        <v>46022</v>
      </c>
      <c r="E11" s="200" t="s">
        <v>23</v>
      </c>
    </row>
    <row r="12" spans="2:14" ht="15.6" customHeight="1" x14ac:dyDescent="0.3">
      <c r="B12" s="200" t="s">
        <v>327</v>
      </c>
      <c r="D12" s="213" cm="1">
        <f t="array" aca="1" ref="D12" ca="1">_FV(B2,"Price")</f>
        <v>18.62</v>
      </c>
      <c r="E12" s="200" t="s">
        <v>23</v>
      </c>
    </row>
    <row r="13" spans="2:14" ht="15.6" customHeight="1" x14ac:dyDescent="0.3">
      <c r="B13" s="200" t="s">
        <v>328</v>
      </c>
      <c r="D13" s="214" cm="1">
        <f t="array" aca="1" ref="D13" ca="1">_FV(B2,"Shares outstanding",TRUE)/1000</f>
        <v>406441.5</v>
      </c>
      <c r="E13" s="200" t="s">
        <v>23</v>
      </c>
    </row>
    <row r="14" spans="2:14" ht="15.6" customHeight="1" x14ac:dyDescent="0.3">
      <c r="B14" s="200" t="s">
        <v>329</v>
      </c>
      <c r="D14" s="214">
        <f ca="1">Debt_Schedule!M29</f>
        <v>320725.95559312042</v>
      </c>
      <c r="E14" s="200" t="s">
        <v>23</v>
      </c>
    </row>
    <row r="15" spans="2:14" ht="15.6" customHeight="1" x14ac:dyDescent="0.3">
      <c r="B15" s="200" t="s">
        <v>330</v>
      </c>
      <c r="D15" s="214">
        <f ca="1">'3_Statement_Model'!M48</f>
        <v>1403101.7975730509</v>
      </c>
      <c r="E15" s="200" t="s">
        <v>23</v>
      </c>
    </row>
    <row r="16" spans="2:14" ht="15.6" customHeight="1" x14ac:dyDescent="0.3">
      <c r="B16" s="200" t="s">
        <v>331</v>
      </c>
      <c r="D16" s="215">
        <f ca="1">-'3_Statement_Model'!M103</f>
        <v>27954.181946930941</v>
      </c>
      <c r="E16" s="200" t="s">
        <v>23</v>
      </c>
    </row>
    <row r="17" spans="2:15" ht="15.6" customHeight="1" x14ac:dyDescent="0.3">
      <c r="D17" s="216"/>
      <c r="E17" s="217"/>
      <c r="F17" s="217"/>
      <c r="G17" s="217"/>
      <c r="H17" s="217"/>
      <c r="I17" s="217"/>
      <c r="J17" s="217"/>
    </row>
    <row r="18" spans="2:15" ht="15.6" customHeight="1" thickBot="1" x14ac:dyDescent="0.35">
      <c r="B18" s="218" t="s">
        <v>332</v>
      </c>
      <c r="C18" s="219"/>
      <c r="D18" s="220" t="s">
        <v>333</v>
      </c>
      <c r="E18" s="221">
        <f>YEAR(E19)</f>
        <v>2025</v>
      </c>
      <c r="F18" s="221">
        <f t="shared" ref="F18:J18" si="0">YEAR(F19)</f>
        <v>2026</v>
      </c>
      <c r="G18" s="221">
        <f t="shared" si="0"/>
        <v>2027</v>
      </c>
      <c r="H18" s="221">
        <f t="shared" si="0"/>
        <v>2028</v>
      </c>
      <c r="I18" s="221">
        <f t="shared" si="0"/>
        <v>2029</v>
      </c>
      <c r="J18" s="221">
        <f t="shared" si="0"/>
        <v>2030</v>
      </c>
      <c r="K18" s="222" t="s">
        <v>334</v>
      </c>
      <c r="M18" s="223" t="s">
        <v>335</v>
      </c>
      <c r="N18" s="224"/>
      <c r="O18" s="224"/>
    </row>
    <row r="19" spans="2:15" ht="15.6" customHeight="1" x14ac:dyDescent="0.3">
      <c r="B19" s="217" t="s">
        <v>336</v>
      </c>
      <c r="C19" s="217"/>
      <c r="D19" s="225">
        <f>D10</f>
        <v>45930</v>
      </c>
      <c r="E19" s="226">
        <f t="shared" ref="E19:J19" si="1">DATE(YEAR($D$11)+E20,12,30)</f>
        <v>46021</v>
      </c>
      <c r="F19" s="226">
        <f t="shared" si="1"/>
        <v>46386</v>
      </c>
      <c r="G19" s="226">
        <f t="shared" si="1"/>
        <v>46751</v>
      </c>
      <c r="H19" s="226">
        <f t="shared" si="1"/>
        <v>47117</v>
      </c>
      <c r="I19" s="226">
        <f t="shared" si="1"/>
        <v>47482</v>
      </c>
      <c r="J19" s="226">
        <f t="shared" si="1"/>
        <v>47847</v>
      </c>
      <c r="K19" s="225">
        <f>J19</f>
        <v>47847</v>
      </c>
      <c r="M19" s="217" t="s">
        <v>337</v>
      </c>
      <c r="N19" s="217"/>
      <c r="O19" s="227">
        <f ca="1">(J27*(1+D8))/(D7-D8)</f>
        <v>15935029.936710333</v>
      </c>
    </row>
    <row r="20" spans="2:15" ht="15.6" customHeight="1" x14ac:dyDescent="0.3">
      <c r="B20" s="228" t="s">
        <v>338</v>
      </c>
      <c r="C20" s="228"/>
      <c r="D20" s="229"/>
      <c r="E20" s="230">
        <v>0</v>
      </c>
      <c r="F20" s="230">
        <f>E20+1</f>
        <v>1</v>
      </c>
      <c r="G20" s="230">
        <f>F20+1</f>
        <v>2</v>
      </c>
      <c r="H20" s="230">
        <f t="shared" ref="H20:J20" si="2">G20+1</f>
        <v>3</v>
      </c>
      <c r="I20" s="230">
        <f t="shared" si="2"/>
        <v>4</v>
      </c>
      <c r="J20" s="230">
        <f t="shared" si="2"/>
        <v>5</v>
      </c>
      <c r="K20" s="229"/>
      <c r="M20" s="200" t="s">
        <v>339</v>
      </c>
      <c r="O20" s="231">
        <f ca="1">D9*(J22+J24)</f>
        <v>11620268.451702485</v>
      </c>
    </row>
    <row r="21" spans="2:15" ht="15.6" customHeight="1" x14ac:dyDescent="0.3">
      <c r="B21" s="232" t="s">
        <v>340</v>
      </c>
      <c r="D21" s="200"/>
      <c r="E21" s="233">
        <f t="shared" ref="E21:J21" si="3">YEARFRAC(D19,E19)</f>
        <v>0.25</v>
      </c>
      <c r="F21" s="233">
        <f t="shared" si="3"/>
        <v>1</v>
      </c>
      <c r="G21" s="233">
        <f t="shared" si="3"/>
        <v>1</v>
      </c>
      <c r="H21" s="233">
        <f t="shared" si="3"/>
        <v>1</v>
      </c>
      <c r="I21" s="233">
        <f t="shared" si="3"/>
        <v>1</v>
      </c>
      <c r="J21" s="233">
        <f t="shared" si="3"/>
        <v>1</v>
      </c>
      <c r="M21" s="200" t="s">
        <v>154</v>
      </c>
      <c r="O21" s="234">
        <f ca="1">AVERAGE(O19:O20)</f>
        <v>13777649.194206409</v>
      </c>
    </row>
    <row r="22" spans="2:15" ht="15.6" customHeight="1" x14ac:dyDescent="0.3">
      <c r="B22" s="200" t="s">
        <v>341</v>
      </c>
      <c r="D22" s="200"/>
      <c r="E22" s="235">
        <f ca="1">'3_Statement_Model'!H14</f>
        <v>-86066.469228388742</v>
      </c>
      <c r="F22" s="235">
        <f ca="1">'3_Statement_Model'!I14</f>
        <v>51387.724034561776</v>
      </c>
      <c r="G22" s="235">
        <f ca="1">'3_Statement_Model'!J14</f>
        <v>194265.49180643447</v>
      </c>
      <c r="H22" s="235">
        <f ca="1">'3_Statement_Model'!K14</f>
        <v>329649.07190733496</v>
      </c>
      <c r="I22" s="235">
        <f ca="1">'3_Statement_Model'!L14</f>
        <v>444014.32967414521</v>
      </c>
      <c r="J22" s="235">
        <f ca="1">'3_Statement_Model'!M14</f>
        <v>559660.43866356369</v>
      </c>
    </row>
    <row r="23" spans="2:15" ht="15.6" customHeight="1" x14ac:dyDescent="0.3">
      <c r="B23" s="200" t="s">
        <v>342</v>
      </c>
      <c r="D23" s="200"/>
      <c r="E23" s="236">
        <f t="shared" ref="E23:J23" ca="1" si="4">E22*$D$6</f>
        <v>-12402.867842978521</v>
      </c>
      <c r="F23" s="236">
        <f t="shared" ca="1" si="4"/>
        <v>7405.3827892116115</v>
      </c>
      <c r="G23" s="236">
        <f t="shared" ca="1" si="4"/>
        <v>27995.213965762225</v>
      </c>
      <c r="H23" s="236">
        <f t="shared" ca="1" si="4"/>
        <v>47505.072650041853</v>
      </c>
      <c r="I23" s="236">
        <f t="shared" ca="1" si="4"/>
        <v>63986.022671889004</v>
      </c>
      <c r="J23" s="236">
        <f t="shared" ca="1" si="4"/>
        <v>80651.55361802585</v>
      </c>
    </row>
    <row r="24" spans="2:15" ht="15.6" customHeight="1" x14ac:dyDescent="0.3">
      <c r="B24" s="200" t="s">
        <v>343</v>
      </c>
      <c r="D24" s="200"/>
      <c r="E24" s="237">
        <f ca="1">'3_Statement_Model'!H90</f>
        <v>295949.39284590835</v>
      </c>
      <c r="F24" s="237">
        <f ca="1">'3_Statement_Model'!I90</f>
        <v>265437.83526651526</v>
      </c>
      <c r="G24" s="237">
        <f ca="1">'3_Statement_Model'!J90</f>
        <v>235260.14974626779</v>
      </c>
      <c r="H24" s="237">
        <f ca="1">'3_Statement_Model'!K90</f>
        <v>209947.77237446461</v>
      </c>
      <c r="I24" s="237">
        <f ca="1">'3_Statement_Model'!L90</f>
        <v>189490.68565866083</v>
      </c>
      <c r="J24" s="237">
        <f ca="1">'3_Statement_Model'!M90</f>
        <v>166606.33956784158</v>
      </c>
    </row>
    <row r="25" spans="2:15" ht="15.6" customHeight="1" x14ac:dyDescent="0.3">
      <c r="B25" s="200" t="s">
        <v>344</v>
      </c>
      <c r="D25" s="200"/>
      <c r="E25" s="238">
        <f ca="1">'3_Statement_Model'!H103</f>
        <v>-55021.427321555791</v>
      </c>
      <c r="F25" s="238">
        <f ca="1">'3_Statement_Model'!I103</f>
        <v>-23297.733070942282</v>
      </c>
      <c r="G25" s="238">
        <f ca="1">'3_Statement_Model'!J103</f>
        <v>-24383.550613480329</v>
      </c>
      <c r="H25" s="238">
        <f ca="1">'3_Statement_Model'!K103</f>
        <v>-25519.973926635343</v>
      </c>
      <c r="I25" s="238">
        <f ca="1">'3_Statement_Model'!L103</f>
        <v>-26709.361550327158</v>
      </c>
      <c r="J25" s="238">
        <f ca="1">'3_Statement_Model'!M103</f>
        <v>-27954.181946930941</v>
      </c>
    </row>
    <row r="26" spans="2:15" ht="15.6" customHeight="1" x14ac:dyDescent="0.3">
      <c r="B26" s="200" t="s">
        <v>345</v>
      </c>
      <c r="D26" s="200"/>
      <c r="E26" s="215">
        <f ca="1">Schedules!D104</f>
        <v>-384585.43060493888</v>
      </c>
      <c r="F26" s="215">
        <f ca="1">Schedules!E104</f>
        <v>-454037.43784406874</v>
      </c>
      <c r="G26" s="215">
        <f ca="1">Schedules!F104</f>
        <v>-540361.56380291888</v>
      </c>
      <c r="H26" s="215">
        <f ca="1">Schedules!G104</f>
        <v>-635880.89840471931</v>
      </c>
      <c r="I26" s="215">
        <f ca="1">Schedules!H104</f>
        <v>-762860.79951123334</v>
      </c>
      <c r="J26" s="215">
        <f ca="1">Schedules!I104</f>
        <v>-899669.30327734631</v>
      </c>
    </row>
    <row r="27" spans="2:15" ht="15.6" customHeight="1" x14ac:dyDescent="0.3">
      <c r="B27" s="200" t="s">
        <v>346</v>
      </c>
      <c r="D27" s="200"/>
      <c r="E27" s="239">
        <f ca="1">E22-E23+E24-E25-E26</f>
        <v>661892.64938699279</v>
      </c>
      <c r="F27" s="239">
        <f t="shared" ref="F27:J27" ca="1" si="5">F22-F23+F24-F25-F26</f>
        <v>786755.34742687643</v>
      </c>
      <c r="G27" s="239">
        <f t="shared" ca="1" si="5"/>
        <v>966275.54200333916</v>
      </c>
      <c r="H27" s="239">
        <f t="shared" ca="1" si="5"/>
        <v>1153492.6439631125</v>
      </c>
      <c r="I27" s="239">
        <f t="shared" ca="1" si="5"/>
        <v>1359089.1537224776</v>
      </c>
      <c r="J27" s="239">
        <f t="shared" ca="1" si="5"/>
        <v>1573238.7098376567</v>
      </c>
    </row>
    <row r="28" spans="2:15" ht="15.6" customHeight="1" x14ac:dyDescent="0.3">
      <c r="B28" s="200" t="s">
        <v>347</v>
      </c>
      <c r="D28" s="240">
        <f ca="1">-I36</f>
        <v>-6485564.8880200703</v>
      </c>
      <c r="K28" s="240">
        <f ca="1">O21</f>
        <v>13777649.194206409</v>
      </c>
    </row>
    <row r="29" spans="2:15" ht="15.6" customHeight="1" x14ac:dyDescent="0.3">
      <c r="B29" s="200" t="s">
        <v>348</v>
      </c>
      <c r="D29" s="241">
        <v>0</v>
      </c>
      <c r="E29" s="254">
        <f ca="1">(E28+E27)*E21</f>
        <v>165473.1623467482</v>
      </c>
      <c r="F29" s="254">
        <f ca="1">(F28+F27)*F21</f>
        <v>786755.34742687643</v>
      </c>
      <c r="G29" s="254">
        <f t="shared" ref="G29:I29" ca="1" si="6">(G28+G27)*G21</f>
        <v>966275.54200333916</v>
      </c>
      <c r="H29" s="254">
        <f t="shared" ca="1" si="6"/>
        <v>1153492.6439631125</v>
      </c>
      <c r="I29" s="254">
        <f t="shared" ca="1" si="6"/>
        <v>1359089.1537224776</v>
      </c>
      <c r="J29" s="254">
        <f ca="1">(J28+J27)*J21</f>
        <v>1573238.7098376567</v>
      </c>
      <c r="K29" s="239">
        <f ca="1">K28+K27</f>
        <v>13777649.194206409</v>
      </c>
    </row>
    <row r="30" spans="2:15" ht="15.6" customHeight="1" x14ac:dyDescent="0.3">
      <c r="B30" s="200" t="s">
        <v>348</v>
      </c>
      <c r="D30" s="227">
        <f ca="1">D28+D27</f>
        <v>-6485564.8880200703</v>
      </c>
      <c r="E30" s="227">
        <f ca="1">(E28+E27)*E21</f>
        <v>165473.1623467482</v>
      </c>
      <c r="F30" s="227">
        <f t="shared" ref="F30:H30" ca="1" si="7">(F28+F27)*F21</f>
        <v>786755.34742687643</v>
      </c>
      <c r="G30" s="227">
        <f t="shared" ca="1" si="7"/>
        <v>966275.54200333916</v>
      </c>
      <c r="H30" s="227">
        <f t="shared" ca="1" si="7"/>
        <v>1153492.6439631125</v>
      </c>
      <c r="I30" s="227">
        <f ca="1">(I28+I27)*I21</f>
        <v>1359089.1537224776</v>
      </c>
      <c r="J30" s="227">
        <f ca="1">(J28+J27)*J21</f>
        <v>1573238.7098376567</v>
      </c>
      <c r="K30" s="227">
        <f ca="1">K28</f>
        <v>13777649.194206409</v>
      </c>
    </row>
    <row r="32" spans="2:15" ht="15.6" customHeight="1" thickBot="1" x14ac:dyDescent="0.35">
      <c r="B32" s="223" t="s">
        <v>349</v>
      </c>
      <c r="C32" s="224"/>
      <c r="D32" s="224"/>
      <c r="G32" s="223" t="s">
        <v>350</v>
      </c>
      <c r="H32" s="224"/>
      <c r="I32" s="224"/>
      <c r="L32" s="223" t="s">
        <v>351</v>
      </c>
      <c r="M32" s="224"/>
      <c r="N32" s="224"/>
    </row>
    <row r="33" spans="2:14" ht="15.6" customHeight="1" x14ac:dyDescent="0.3">
      <c r="B33" s="217" t="s">
        <v>352</v>
      </c>
      <c r="C33" s="217"/>
      <c r="D33" s="227">
        <f ca="1">XNPV(D7,D29:K29,D19:K19)</f>
        <v>11156585.968395717</v>
      </c>
      <c r="G33" s="217" t="s">
        <v>353</v>
      </c>
      <c r="H33" s="217"/>
      <c r="I33" s="227">
        <f ca="1">D13*D12</f>
        <v>7567940.7300000004</v>
      </c>
      <c r="L33" s="217" t="s">
        <v>354</v>
      </c>
      <c r="M33" s="217"/>
      <c r="N33" s="242">
        <f ca="1">D38/I38-1</f>
        <v>0.6172116361666653</v>
      </c>
    </row>
    <row r="34" spans="2:14" ht="15.6" customHeight="1" x14ac:dyDescent="0.3">
      <c r="B34" s="200" t="s">
        <v>355</v>
      </c>
      <c r="D34" s="238">
        <f ca="1">+D15</f>
        <v>1403101.7975730509</v>
      </c>
      <c r="G34" s="200" t="s">
        <v>356</v>
      </c>
      <c r="I34" s="238">
        <f ca="1">D14</f>
        <v>320725.95559312042</v>
      </c>
      <c r="L34" s="200" t="s">
        <v>357</v>
      </c>
      <c r="N34" s="243">
        <f ca="1">XIRR(D30:K30,D19:K19)</f>
        <v>0.27969321608543396</v>
      </c>
    </row>
    <row r="35" spans="2:14" ht="15.6" customHeight="1" x14ac:dyDescent="0.3">
      <c r="B35" s="200" t="s">
        <v>358</v>
      </c>
      <c r="D35" s="238">
        <f ca="1">+D14</f>
        <v>320725.95559312042</v>
      </c>
      <c r="G35" s="200" t="s">
        <v>359</v>
      </c>
      <c r="I35" s="238">
        <f ca="1">+D15</f>
        <v>1403101.7975730509</v>
      </c>
    </row>
    <row r="36" spans="2:14" ht="15.6" customHeight="1" thickBot="1" x14ac:dyDescent="0.35">
      <c r="B36" s="200" t="s">
        <v>360</v>
      </c>
      <c r="D36" s="239">
        <f ca="1">D33+D34-D35</f>
        <v>12238961.810375648</v>
      </c>
      <c r="G36" s="200" t="s">
        <v>352</v>
      </c>
      <c r="I36" s="239">
        <f ca="1">I33+I34-I35</f>
        <v>6485564.8880200703</v>
      </c>
      <c r="L36" s="223" t="s">
        <v>361</v>
      </c>
      <c r="M36" s="224"/>
      <c r="N36" s="224"/>
    </row>
    <row r="37" spans="2:14" ht="15.6" customHeight="1" x14ac:dyDescent="0.3">
      <c r="D37" s="200"/>
      <c r="I37" s="244"/>
      <c r="L37" s="200" t="s">
        <v>350</v>
      </c>
      <c r="N37" s="245">
        <f ca="1">I38</f>
        <v>18.62</v>
      </c>
    </row>
    <row r="38" spans="2:14" ht="15.6" customHeight="1" x14ac:dyDescent="0.3">
      <c r="B38" s="200" t="s">
        <v>362</v>
      </c>
      <c r="D38" s="245">
        <f ca="1">D36/D13</f>
        <v>30.112480665423309</v>
      </c>
      <c r="G38" s="200" t="s">
        <v>362</v>
      </c>
      <c r="I38" s="245">
        <f ca="1">D12</f>
        <v>18.62</v>
      </c>
      <c r="L38" s="200" t="s">
        <v>363</v>
      </c>
      <c r="N38" s="245">
        <f ca="1">D38-I38</f>
        <v>11.492480665423308</v>
      </c>
    </row>
    <row r="39" spans="2:14" ht="15.6" customHeight="1" x14ac:dyDescent="0.3">
      <c r="D39" s="200"/>
      <c r="L39" s="200" t="s">
        <v>349</v>
      </c>
      <c r="N39" s="245">
        <f ca="1">SUM(N37:N38)</f>
        <v>30.112480665423309</v>
      </c>
    </row>
    <row r="40" spans="2:14" ht="15.6" customHeight="1" x14ac:dyDescent="0.3">
      <c r="I40" s="199"/>
    </row>
    <row r="41" spans="2:14" ht="15.6" customHeight="1" x14ac:dyDescent="0.3">
      <c r="H41" s="199"/>
    </row>
    <row r="42" spans="2:14" s="217" customFormat="1" ht="15.6" customHeight="1" x14ac:dyDescent="0.3">
      <c r="B42" s="218"/>
      <c r="C42" s="219"/>
      <c r="D42" s="250"/>
      <c r="E42" s="219"/>
      <c r="F42" s="219"/>
      <c r="G42" s="219"/>
      <c r="H42" s="219"/>
      <c r="I42" s="219"/>
      <c r="J42" s="219"/>
      <c r="K42" s="219"/>
      <c r="L42" s="219"/>
      <c r="M42" s="219"/>
      <c r="N42" s="219"/>
    </row>
    <row r="43" spans="2:14" s="217" customFormat="1" ht="15.6" customHeight="1" x14ac:dyDescent="0.3">
      <c r="D43" s="246"/>
      <c r="N43" s="251"/>
    </row>
    <row r="44" spans="2:14" s="217" customFormat="1" ht="15.6" customHeight="1" x14ac:dyDescent="0.3">
      <c r="D44" s="246"/>
      <c r="N44" s="252"/>
    </row>
    <row r="45" spans="2:14" s="217" customFormat="1" ht="15.6" customHeight="1" x14ac:dyDescent="0.3">
      <c r="B45" s="253"/>
      <c r="D45" s="246"/>
      <c r="N45" s="252"/>
    </row>
    <row r="46" spans="2:14" s="217" customFormat="1" ht="15.6" customHeight="1" x14ac:dyDescent="0.3">
      <c r="B46" s="253"/>
      <c r="D46" s="246"/>
      <c r="N46" s="252"/>
    </row>
    <row r="47" spans="2:14" s="217" customFormat="1" ht="15.6" customHeight="1" x14ac:dyDescent="0.3">
      <c r="B47" s="253"/>
      <c r="D47" s="246"/>
      <c r="N47" s="252"/>
    </row>
    <row r="48" spans="2:14" s="217" customFormat="1" ht="15.6" customHeight="1" x14ac:dyDescent="0.3">
      <c r="D48" s="246"/>
      <c r="N48" s="252"/>
    </row>
    <row r="49" spans="14:14" ht="15.6" customHeight="1" x14ac:dyDescent="0.3">
      <c r="N49" s="247"/>
    </row>
    <row r="50" spans="14:14" ht="15.6" customHeight="1" x14ac:dyDescent="0.3">
      <c r="N50" s="248"/>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EC0B7-98D9-477B-9B65-3B1531E12075}">
  <dimension ref="A1:Q27"/>
  <sheetViews>
    <sheetView showGridLines="0" tabSelected="1" topLeftCell="L3" workbookViewId="0">
      <selection activeCell="Y18" sqref="Y18"/>
    </sheetView>
  </sheetViews>
  <sheetFormatPr defaultColWidth="9.140625" defaultRowHeight="16.5" x14ac:dyDescent="0.3"/>
  <cols>
    <col min="1" max="1" width="9.140625" style="260"/>
    <col min="2" max="2" width="39.42578125" style="260" bestFit="1" customWidth="1"/>
    <col min="3" max="3" width="9.140625" style="260"/>
    <col min="4" max="4" width="14.42578125" style="260" bestFit="1" customWidth="1"/>
    <col min="5" max="5" width="10.7109375" style="260" customWidth="1"/>
    <col min="6" max="6" width="2" style="260" customWidth="1"/>
    <col min="7" max="7" width="9.140625" style="260"/>
    <col min="8" max="8" width="9.85546875" style="260" customWidth="1"/>
    <col min="9" max="9" width="9.140625" style="260"/>
    <col min="10" max="10" width="10" style="260" customWidth="1"/>
    <col min="11" max="11" width="2" style="260" customWidth="1"/>
    <col min="12" max="12" width="9.42578125" style="260" customWidth="1"/>
    <col min="13" max="13" width="10.85546875" style="260" customWidth="1"/>
    <col min="14" max="14" width="10.42578125" style="260" customWidth="1"/>
    <col min="15" max="15" width="10.140625" style="260" customWidth="1"/>
    <col min="16" max="16" width="1" style="260" customWidth="1"/>
    <col min="17" max="16384" width="9.140625" style="260"/>
  </cols>
  <sheetData>
    <row r="1" spans="1:17" ht="18" x14ac:dyDescent="0.35">
      <c r="A1" s="194" t="s">
        <v>380</v>
      </c>
      <c r="B1" s="195"/>
      <c r="C1" s="195"/>
      <c r="D1" s="196"/>
      <c r="E1" s="196"/>
      <c r="F1" s="196"/>
      <c r="G1" s="196"/>
      <c r="H1" s="196"/>
      <c r="I1" s="196"/>
      <c r="J1" s="196"/>
      <c r="K1" s="196"/>
      <c r="L1" s="196"/>
      <c r="M1" s="196"/>
      <c r="N1" s="196"/>
      <c r="O1" s="196"/>
      <c r="P1" s="196"/>
      <c r="Q1" s="196"/>
    </row>
    <row r="2" spans="1:17" ht="18" x14ac:dyDescent="0.35">
      <c r="A2" s="195"/>
      <c r="B2" s="261" t="s">
        <v>381</v>
      </c>
      <c r="C2" s="262" t="s">
        <v>396</v>
      </c>
      <c r="D2" s="262"/>
      <c r="E2" s="262"/>
      <c r="F2" s="196"/>
      <c r="G2" s="196"/>
      <c r="H2" s="196"/>
      <c r="I2" s="196"/>
      <c r="J2" s="196"/>
      <c r="K2" s="196"/>
      <c r="L2" s="196"/>
      <c r="M2" s="196"/>
      <c r="N2" s="196"/>
      <c r="O2" s="196"/>
      <c r="P2" s="196"/>
      <c r="Q2" s="196"/>
    </row>
    <row r="4" spans="1:17" x14ac:dyDescent="0.3">
      <c r="B4" s="271"/>
      <c r="C4" s="272" t="s">
        <v>382</v>
      </c>
      <c r="D4" s="273"/>
      <c r="E4" s="273"/>
      <c r="F4" s="271"/>
      <c r="G4" s="272" t="s">
        <v>383</v>
      </c>
      <c r="H4" s="273"/>
      <c r="I4" s="273"/>
      <c r="J4" s="272"/>
      <c r="K4" s="271"/>
      <c r="L4" s="272" t="s">
        <v>384</v>
      </c>
      <c r="M4" s="273"/>
      <c r="N4" s="273"/>
      <c r="O4" s="272"/>
      <c r="P4" s="274"/>
    </row>
    <row r="5" spans="1:17" ht="16.5" customHeight="1" x14ac:dyDescent="0.3">
      <c r="B5" s="275"/>
      <c r="C5" s="276" t="s">
        <v>385</v>
      </c>
      <c r="D5" s="276" t="s">
        <v>353</v>
      </c>
      <c r="E5" s="276" t="s">
        <v>386</v>
      </c>
      <c r="F5" s="277"/>
      <c r="G5" s="276" t="s">
        <v>387</v>
      </c>
      <c r="H5" s="276" t="s">
        <v>379</v>
      </c>
      <c r="I5" s="276" t="s">
        <v>341</v>
      </c>
      <c r="J5" s="276" t="s">
        <v>388</v>
      </c>
      <c r="K5" s="278"/>
      <c r="L5" s="276" t="s">
        <v>389</v>
      </c>
      <c r="M5" s="276" t="s">
        <v>339</v>
      </c>
      <c r="N5" s="276" t="s">
        <v>390</v>
      </c>
      <c r="O5" s="276" t="s">
        <v>391</v>
      </c>
      <c r="P5" s="279"/>
    </row>
    <row r="6" spans="1:17" x14ac:dyDescent="0.3">
      <c r="B6" s="275" t="s">
        <v>392</v>
      </c>
      <c r="C6" s="280" t="s">
        <v>393</v>
      </c>
      <c r="D6" s="280" t="s">
        <v>394</v>
      </c>
      <c r="E6" s="280" t="s">
        <v>394</v>
      </c>
      <c r="F6" s="277"/>
      <c r="G6" s="280" t="s">
        <v>394</v>
      </c>
      <c r="H6" s="280" t="s">
        <v>394</v>
      </c>
      <c r="I6" s="280" t="s">
        <v>394</v>
      </c>
      <c r="J6" s="280" t="s">
        <v>394</v>
      </c>
      <c r="K6" s="278"/>
      <c r="L6" s="280" t="s">
        <v>23</v>
      </c>
      <c r="M6" s="278" t="s">
        <v>23</v>
      </c>
      <c r="N6" s="278" t="s">
        <v>23</v>
      </c>
      <c r="O6" s="278" t="s">
        <v>23</v>
      </c>
      <c r="P6" s="281"/>
    </row>
    <row r="7" spans="1:17" x14ac:dyDescent="0.3">
      <c r="B7" s="263" t="e" vm="3">
        <v>#VALUE!</v>
      </c>
      <c r="C7" s="284" cm="1">
        <f t="array" aca="1" ref="C7" ca="1">_FV(B7,"Price")</f>
        <v>242.76</v>
      </c>
      <c r="D7" s="285" cm="1">
        <f t="array" aca="1" ref="D7" ca="1">_FV(B7,"Market cap",TRUE)/1000000</f>
        <v>231107.52</v>
      </c>
      <c r="E7" s="265">
        <v>230320</v>
      </c>
      <c r="F7" s="265"/>
      <c r="G7" s="265">
        <v>34857</v>
      </c>
      <c r="H7" s="265">
        <v>9958</v>
      </c>
      <c r="I7" s="265">
        <v>5999</v>
      </c>
      <c r="J7" s="265">
        <v>4136</v>
      </c>
      <c r="K7" s="263"/>
      <c r="L7" s="266">
        <f>E7/G7</f>
        <v>6.6075680638035399</v>
      </c>
      <c r="M7" s="266">
        <f>E7/H7</f>
        <v>23.129142398071902</v>
      </c>
      <c r="N7" s="266">
        <f>E7/I7</f>
        <v>38.39306551091849</v>
      </c>
      <c r="O7" s="266">
        <f ca="1">D7/J7</f>
        <v>55.877059961315275</v>
      </c>
    </row>
    <row r="8" spans="1:17" x14ac:dyDescent="0.3">
      <c r="B8" s="263" t="e" vm="4">
        <v>#VALUE!</v>
      </c>
      <c r="C8" s="284" cm="1">
        <f t="array" aca="1" ref="C8" ca="1">_FV(B8,"Price")</f>
        <v>95.89</v>
      </c>
      <c r="D8" s="285" cm="1">
        <f t="array" aca="1" ref="D8" ca="1">_FV(B8,"Market cap",TRUE)/1000000</f>
        <v>199970.8</v>
      </c>
      <c r="E8" s="265">
        <v>202420</v>
      </c>
      <c r="F8" s="265"/>
      <c r="G8" s="265">
        <v>43978</v>
      </c>
      <c r="H8" s="265">
        <v>5385</v>
      </c>
      <c r="I8" s="265">
        <v>4648</v>
      </c>
      <c r="J8" s="265">
        <v>9856</v>
      </c>
      <c r="K8" s="263"/>
      <c r="L8" s="266">
        <f t="shared" ref="L8:L11" si="0">E8/G8</f>
        <v>4.6027559234162538</v>
      </c>
      <c r="M8" s="266">
        <f t="shared" ref="M8:M11" si="1">E8/H8</f>
        <v>37.589600742804087</v>
      </c>
      <c r="N8" s="266">
        <f t="shared" ref="N8:N11" si="2">E8/I8</f>
        <v>43.549913941480206</v>
      </c>
      <c r="O8" s="266">
        <f t="shared" ref="O8:O11" ca="1" si="3">D8/J8</f>
        <v>20.289245129870128</v>
      </c>
    </row>
    <row r="9" spans="1:17" x14ac:dyDescent="0.3">
      <c r="B9" s="263" t="e" vm="5">
        <v>#VALUE!</v>
      </c>
      <c r="C9" s="284" cm="1">
        <f t="array" aca="1" ref="C9" ca="1">_FV(B9,"Price")</f>
        <v>928.96</v>
      </c>
      <c r="D9" s="285" cm="1">
        <f t="array" aca="1" ref="D9" ca="1">_FV(B9,"Market cap",TRUE)/1000000</f>
        <v>193223.67999999999</v>
      </c>
      <c r="E9" s="265">
        <v>190990</v>
      </c>
      <c r="F9" s="265"/>
      <c r="G9" s="265">
        <v>10984</v>
      </c>
      <c r="H9" s="265">
        <v>2325</v>
      </c>
      <c r="I9" s="265">
        <v>1761</v>
      </c>
      <c r="J9" s="265">
        <v>1425</v>
      </c>
      <c r="K9" s="263"/>
      <c r="L9" s="266">
        <f t="shared" si="0"/>
        <v>17.388018936635106</v>
      </c>
      <c r="M9" s="266">
        <f t="shared" si="1"/>
        <v>82.14623655913978</v>
      </c>
      <c r="N9" s="266">
        <f t="shared" si="2"/>
        <v>108.45542305508233</v>
      </c>
      <c r="O9" s="266">
        <f t="shared" ca="1" si="3"/>
        <v>135.59556491228071</v>
      </c>
    </row>
    <row r="10" spans="1:17" x14ac:dyDescent="0.3">
      <c r="B10" s="263" t="e" vm="6">
        <v>#VALUE!</v>
      </c>
      <c r="C10" s="284" cm="1">
        <f t="array" aca="1" ref="C10" ca="1">_FV(B10,"Price")</f>
        <v>646.03</v>
      </c>
      <c r="D10" s="285" cm="1">
        <f t="array" aca="1" ref="D10" ca="1">_FV(B10,"Market cap",TRUE)/1000000</f>
        <v>180116.39415000001</v>
      </c>
      <c r="E10" s="265">
        <v>186240</v>
      </c>
      <c r="F10" s="265"/>
      <c r="G10" s="265">
        <v>16285</v>
      </c>
      <c r="H10" s="265">
        <v>4581</v>
      </c>
      <c r="I10" s="265">
        <v>3792</v>
      </c>
      <c r="J10" s="265">
        <v>2963</v>
      </c>
      <c r="K10" s="263"/>
      <c r="L10" s="266">
        <f t="shared" si="0"/>
        <v>11.436291065397604</v>
      </c>
      <c r="M10" s="266">
        <f t="shared" si="1"/>
        <v>40.654878847413229</v>
      </c>
      <c r="N10" s="266">
        <f t="shared" si="2"/>
        <v>49.11392405063291</v>
      </c>
      <c r="O10" s="266">
        <f t="shared" ca="1" si="3"/>
        <v>60.788523169085387</v>
      </c>
    </row>
    <row r="11" spans="1:17" x14ac:dyDescent="0.3">
      <c r="B11" s="263" t="e" vm="7">
        <v>#VALUE!</v>
      </c>
      <c r="C11" s="284" cm="1">
        <f t="array" aca="1" ref="C11" ca="1">_FV(B11,"Price")</f>
        <v>349.36</v>
      </c>
      <c r="D11" s="285" cm="1">
        <f t="array" aca="1" ref="D11" ca="1">_FV(B11,"Market cap",TRUE)/1000000</f>
        <v>148198.5</v>
      </c>
      <c r="E11" s="265">
        <v>149550</v>
      </c>
      <c r="F11" s="265"/>
      <c r="G11" s="265">
        <v>21505</v>
      </c>
      <c r="H11" s="265">
        <v>7957</v>
      </c>
      <c r="I11" s="265">
        <v>7100</v>
      </c>
      <c r="J11" s="265">
        <v>5560</v>
      </c>
      <c r="K11" s="263"/>
      <c r="L11" s="266">
        <f t="shared" si="0"/>
        <v>6.9541966984422228</v>
      </c>
      <c r="M11" s="266">
        <f t="shared" si="1"/>
        <v>18.794771898956892</v>
      </c>
      <c r="N11" s="266">
        <f t="shared" si="2"/>
        <v>21.06338028169014</v>
      </c>
      <c r="O11" s="266">
        <f t="shared" ca="1" si="3"/>
        <v>26.654406474820142</v>
      </c>
    </row>
    <row r="12" spans="1:17" x14ac:dyDescent="0.3">
      <c r="B12" s="263"/>
      <c r="C12" s="264"/>
      <c r="D12" s="265"/>
      <c r="E12" s="265"/>
      <c r="F12" s="265"/>
      <c r="G12" s="265"/>
      <c r="H12" s="265"/>
      <c r="I12" s="265"/>
      <c r="J12" s="265"/>
      <c r="K12" s="263"/>
      <c r="L12" s="266"/>
      <c r="M12" s="266"/>
      <c r="N12" s="266"/>
      <c r="O12" s="266"/>
    </row>
    <row r="13" spans="1:17" ht="16.5" customHeight="1" x14ac:dyDescent="0.3">
      <c r="B13" s="263" t="e" vm="2">
        <v>#VALUE!</v>
      </c>
      <c r="C13" s="283" cm="1">
        <f t="array" aca="1" ref="C13" ca="1">_FV(B13,"Price")</f>
        <v>18.62</v>
      </c>
      <c r="D13" s="285" cm="1">
        <f t="array" aca="1" ref="D13" ca="1">_FV(B13,"Market cap",TRUE)/1000000</f>
        <v>7567.9407300000003</v>
      </c>
      <c r="E13" s="286">
        <v>6420</v>
      </c>
      <c r="F13" s="287"/>
      <c r="G13" s="288">
        <f>'3_Statement_Model'!G6/1000000</f>
        <v>5.786016</v>
      </c>
      <c r="H13" s="288">
        <f>Schedules!C127/1000000</f>
        <v>0.256187</v>
      </c>
      <c r="I13" s="288">
        <f>'3_Statement_Model'!G14/1000000</f>
        <v>-0.118912</v>
      </c>
      <c r="J13" s="288">
        <f>'3_Statement_Model'!G19/1000000</f>
        <v>2.2783999999999999E-2</v>
      </c>
      <c r="K13" s="263"/>
      <c r="L13" s="266">
        <v>0.85</v>
      </c>
      <c r="M13" s="266">
        <v>38.880000000000003</v>
      </c>
      <c r="N13" s="266">
        <v>118.29</v>
      </c>
      <c r="O13" s="266">
        <v>0</v>
      </c>
    </row>
    <row r="14" spans="1:17" x14ac:dyDescent="0.3">
      <c r="B14" s="275" t="s">
        <v>154</v>
      </c>
      <c r="C14" s="275"/>
      <c r="D14" s="275"/>
      <c r="E14" s="275"/>
      <c r="F14" s="275"/>
      <c r="G14" s="275"/>
      <c r="H14" s="275"/>
      <c r="I14" s="275"/>
      <c r="J14" s="275"/>
      <c r="K14" s="275"/>
      <c r="L14" s="282">
        <f>AVERAGE(L7:L11)</f>
        <v>9.3977661375389463</v>
      </c>
      <c r="M14" s="282">
        <f>AVERAGE(M7:M11)</f>
        <v>40.462926089277182</v>
      </c>
      <c r="N14" s="282">
        <f>AVERAGE(N7:N11)</f>
        <v>52.115141367960817</v>
      </c>
      <c r="O14" s="282">
        <f ca="1">AVERAGE(O7:O11)</f>
        <v>59.84095992947433</v>
      </c>
    </row>
    <row r="15" spans="1:17" x14ac:dyDescent="0.3">
      <c r="B15" s="275" t="s">
        <v>395</v>
      </c>
      <c r="C15" s="275"/>
      <c r="D15" s="275"/>
      <c r="E15" s="275"/>
      <c r="F15" s="275"/>
      <c r="G15" s="275"/>
      <c r="H15" s="275"/>
      <c r="I15" s="275"/>
      <c r="J15" s="275"/>
      <c r="K15" s="275"/>
      <c r="L15" s="282">
        <f>MEDIAN(L7:L11)</f>
        <v>6.9541966984422228</v>
      </c>
      <c r="M15" s="282">
        <f>MEDIAN(M7:M11)</f>
        <v>37.589600742804087</v>
      </c>
      <c r="N15" s="282">
        <f>MEDIAN(N7:N11)</f>
        <v>43.549913941480206</v>
      </c>
      <c r="O15" s="282">
        <f ca="1">MEDIAN(O7:O11)</f>
        <v>55.877059961315275</v>
      </c>
    </row>
    <row r="16" spans="1:17" x14ac:dyDescent="0.3">
      <c r="D16" s="285"/>
    </row>
    <row r="19" spans="2:4" x14ac:dyDescent="0.3">
      <c r="B19" s="267"/>
      <c r="C19" s="268"/>
      <c r="D19" s="268"/>
    </row>
    <row r="20" spans="2:4" x14ac:dyDescent="0.3">
      <c r="B20" s="268"/>
      <c r="C20" s="268"/>
      <c r="D20" s="268"/>
    </row>
    <row r="21" spans="2:4" x14ac:dyDescent="0.3">
      <c r="B21" s="268"/>
      <c r="C21" s="268"/>
      <c r="D21" s="268"/>
    </row>
    <row r="22" spans="2:4" x14ac:dyDescent="0.3">
      <c r="B22" s="268"/>
      <c r="C22" s="268"/>
      <c r="D22" s="268"/>
    </row>
    <row r="23" spans="2:4" x14ac:dyDescent="0.3">
      <c r="B23" s="268"/>
      <c r="C23" s="268"/>
      <c r="D23" s="268"/>
    </row>
    <row r="24" spans="2:4" x14ac:dyDescent="0.3">
      <c r="B24" s="268"/>
      <c r="C24" s="268"/>
      <c r="D24" s="268"/>
    </row>
    <row r="25" spans="2:4" x14ac:dyDescent="0.3">
      <c r="B25" s="268"/>
      <c r="C25" s="268"/>
      <c r="D25" s="268"/>
    </row>
    <row r="26" spans="2:4" x14ac:dyDescent="0.3">
      <c r="B26" s="268"/>
      <c r="C26" s="269"/>
      <c r="D26" s="269"/>
    </row>
    <row r="27" spans="2:4" x14ac:dyDescent="0.3">
      <c r="B27" s="270"/>
      <c r="C27" s="197"/>
      <c r="D27" s="19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6BD05-9983-4734-8502-2751C86206D4}">
  <dimension ref="B1:N131"/>
  <sheetViews>
    <sheetView showGridLines="0" workbookViewId="0">
      <pane ySplit="1" topLeftCell="A2" activePane="bottomLeft" state="frozen"/>
      <selection pane="bottomLeft" activeCell="I129" sqref="I129"/>
    </sheetView>
  </sheetViews>
  <sheetFormatPr defaultRowHeight="15" x14ac:dyDescent="0.25"/>
  <cols>
    <col min="2" max="2" width="55.140625" bestFit="1" customWidth="1"/>
    <col min="3" max="3" width="14.28515625" bestFit="1" customWidth="1"/>
    <col min="8" max="8" width="10.140625" bestFit="1" customWidth="1"/>
    <col min="9" max="9" width="12.7109375" bestFit="1" customWidth="1"/>
    <col min="17" max="17" width="54.5703125" bestFit="1" customWidth="1"/>
  </cols>
  <sheetData>
    <row r="1" spans="2:14" x14ac:dyDescent="0.25">
      <c r="C1" s="20">
        <v>2019</v>
      </c>
      <c r="D1" s="20">
        <f>C1+1</f>
        <v>2020</v>
      </c>
      <c r="E1" s="20">
        <f t="shared" ref="E1" si="0">D1+1</f>
        <v>2021</v>
      </c>
      <c r="F1" s="20">
        <f t="shared" ref="F1" si="1">E1+1</f>
        <v>2022</v>
      </c>
      <c r="G1" s="20">
        <f t="shared" ref="G1" si="2">F1+1</f>
        <v>2023</v>
      </c>
      <c r="H1" s="20">
        <f t="shared" ref="H1" si="3">G1+1</f>
        <v>2024</v>
      </c>
      <c r="I1" s="27">
        <f t="shared" ref="I1" si="4">H1+1</f>
        <v>2025</v>
      </c>
      <c r="J1" s="27">
        <f t="shared" ref="J1" si="5">I1+1</f>
        <v>2026</v>
      </c>
      <c r="K1" s="27">
        <f t="shared" ref="K1" si="6">J1+1</f>
        <v>2027</v>
      </c>
      <c r="L1" s="27">
        <f t="shared" ref="L1" si="7">K1+1</f>
        <v>2028</v>
      </c>
      <c r="M1" s="27">
        <f t="shared" ref="M1" si="8">L1+1</f>
        <v>2029</v>
      </c>
      <c r="N1" s="27">
        <f t="shared" ref="N1" si="9">M1+1</f>
        <v>2030</v>
      </c>
    </row>
    <row r="2" spans="2:14" x14ac:dyDescent="0.25">
      <c r="B2" s="25" t="s">
        <v>0</v>
      </c>
      <c r="C2" s="20">
        <v>2019</v>
      </c>
      <c r="D2" s="20">
        <f>C2+1</f>
        <v>2020</v>
      </c>
      <c r="E2" s="20">
        <f t="shared" ref="E2:N2" si="10">D2+1</f>
        <v>2021</v>
      </c>
      <c r="F2" s="20">
        <f t="shared" si="10"/>
        <v>2022</v>
      </c>
      <c r="G2" s="20">
        <f t="shared" si="10"/>
        <v>2023</v>
      </c>
      <c r="H2" s="20">
        <f t="shared" si="10"/>
        <v>2024</v>
      </c>
      <c r="I2" s="27">
        <f t="shared" si="10"/>
        <v>2025</v>
      </c>
      <c r="J2" s="27">
        <f t="shared" si="10"/>
        <v>2026</v>
      </c>
      <c r="K2" s="27">
        <f t="shared" si="10"/>
        <v>2027</v>
      </c>
      <c r="L2" s="27">
        <f t="shared" si="10"/>
        <v>2028</v>
      </c>
      <c r="M2" s="27">
        <f t="shared" si="10"/>
        <v>2029</v>
      </c>
      <c r="N2" s="27">
        <f t="shared" si="10"/>
        <v>2030</v>
      </c>
    </row>
    <row r="3" spans="2:14" s="29" customFormat="1" x14ac:dyDescent="0.25">
      <c r="B3" s="29" t="s">
        <v>187</v>
      </c>
      <c r="C3" s="102"/>
      <c r="D3" s="102"/>
      <c r="E3" s="102"/>
      <c r="F3" s="102"/>
      <c r="G3" s="102"/>
      <c r="H3" s="102"/>
      <c r="I3" s="104">
        <f ca="1">('3_Statement_Model'!H6/'3_Statement_Model'!G6)-1</f>
        <v>4.1588350216538172E-2</v>
      </c>
      <c r="J3" s="104">
        <f ca="1">('3_Statement_Model'!I6/'3_Statement_Model'!H6)-1</f>
        <v>3.7352556617128219E-2</v>
      </c>
      <c r="K3" s="104">
        <f ca="1">('3_Statement_Model'!J6/'3_Statement_Model'!I6)-1</f>
        <v>5.1703791599563509E-2</v>
      </c>
      <c r="L3" s="104">
        <f ca="1">('3_Statement_Model'!K6/'3_Statement_Model'!J6)-1</f>
        <v>5.0636791245711299E-2</v>
      </c>
      <c r="M3" s="104">
        <f ca="1">('3_Statement_Model'!L6/'3_Statement_Model'!K6)-1</f>
        <v>4.9642174553246488E-2</v>
      </c>
      <c r="N3" s="104">
        <f ca="1">('3_Statement_Model'!M6/'3_Statement_Model'!L6)-1</f>
        <v>4.8713210110490124E-2</v>
      </c>
    </row>
    <row r="4" spans="2:14" s="29" customFormat="1" x14ac:dyDescent="0.25">
      <c r="B4" s="29" t="s">
        <v>212</v>
      </c>
      <c r="C4" s="102"/>
      <c r="D4" s="102"/>
      <c r="E4" s="102"/>
      <c r="F4" s="102"/>
      <c r="G4" s="102"/>
      <c r="H4" s="102"/>
      <c r="I4" s="104">
        <f ca="1">('3_Statement_Model'!H8/'3_Statement_Model'!G8)-1</f>
        <v>5.1469443075595089E-2</v>
      </c>
      <c r="J4" s="104">
        <f ca="1">('3_Statement_Model'!I8/'3_Statement_Model'!H8)-1</f>
        <v>3.7352556617128219E-2</v>
      </c>
      <c r="K4" s="104">
        <f ca="1">('3_Statement_Model'!J8/'3_Statement_Model'!I8)-1</f>
        <v>5.1703791599563731E-2</v>
      </c>
      <c r="L4" s="104">
        <f ca="1">('3_Statement_Model'!K8/'3_Statement_Model'!J8)-1</f>
        <v>5.0636791245711299E-2</v>
      </c>
      <c r="M4" s="104">
        <f ca="1">('3_Statement_Model'!L8/'3_Statement_Model'!K8)-1</f>
        <v>4.964217455324671E-2</v>
      </c>
      <c r="N4" s="104">
        <f ca="1">('3_Statement_Model'!M8/'3_Statement_Model'!L8)-1</f>
        <v>4.8713210110490124E-2</v>
      </c>
    </row>
    <row r="5" spans="2:14" s="29" customFormat="1" x14ac:dyDescent="0.25">
      <c r="B5" s="29" t="s">
        <v>213</v>
      </c>
      <c r="C5" s="102"/>
      <c r="D5" s="102"/>
      <c r="E5" s="102"/>
      <c r="F5" s="102"/>
      <c r="G5" s="102"/>
      <c r="H5" s="102"/>
      <c r="I5" s="104">
        <f ca="1">('3_Statement_Model'!H54/'3_Statement_Model'!G54)-1</f>
        <v>0.12368145617886772</v>
      </c>
      <c r="J5" s="104">
        <f ca="1">('3_Statement_Model'!I54/'3_Statement_Model'!H54)-1</f>
        <v>4.6606145723779635E-2</v>
      </c>
      <c r="K5" s="104">
        <f ca="1">('3_Statement_Model'!J54/'3_Statement_Model'!I54)-1</f>
        <v>4.6606145723779635E-2</v>
      </c>
      <c r="L5" s="104">
        <f ca="1">('3_Statement_Model'!K54/'3_Statement_Model'!J54)-1</f>
        <v>4.6606145723779635E-2</v>
      </c>
      <c r="M5" s="104">
        <f ca="1">('3_Statement_Model'!L54/'3_Statement_Model'!K54)-1</f>
        <v>4.6606145723779635E-2</v>
      </c>
      <c r="N5" s="104">
        <f ca="1">('3_Statement_Model'!M54/'3_Statement_Model'!L54)-1</f>
        <v>4.6606145723779857E-2</v>
      </c>
    </row>
    <row r="6" spans="2:14" x14ac:dyDescent="0.25">
      <c r="B6" s="43"/>
      <c r="C6" s="100"/>
      <c r="D6" s="100"/>
      <c r="E6" s="100"/>
      <c r="F6" s="100"/>
      <c r="G6" s="100"/>
      <c r="H6" s="100"/>
      <c r="I6" s="101"/>
      <c r="J6" s="101"/>
      <c r="K6" s="101"/>
      <c r="L6" s="101"/>
      <c r="M6" s="101"/>
      <c r="N6" s="101"/>
    </row>
    <row r="7" spans="2:14" x14ac:dyDescent="0.25">
      <c r="B7" s="78" t="s">
        <v>153</v>
      </c>
      <c r="C7" s="82">
        <f>'3_Statement_Model'!B8/'3_Statement_Model'!B6</f>
        <v>0.60190627108706951</v>
      </c>
      <c r="D7" s="82">
        <f>'3_Statement_Model'!C8/'3_Statement_Model'!C6</f>
        <v>0.61214007301619122</v>
      </c>
      <c r="E7" s="82">
        <f>'3_Statement_Model'!D8/'3_Statement_Model'!D6</f>
        <v>0.530594020614508</v>
      </c>
      <c r="F7" s="82">
        <f>'3_Statement_Model'!E8/'3_Statement_Model'!E6</f>
        <v>0.59478771762103078</v>
      </c>
      <c r="G7" s="82">
        <f>'3_Statement_Model'!F8/'3_Statement_Model'!F6</f>
        <v>0.57770014413243376</v>
      </c>
      <c r="H7" s="82">
        <f>'3_Statement_Model'!G8/'3_Statement_Model'!G6</f>
        <v>0.57685875739023185</v>
      </c>
      <c r="I7" s="79">
        <f t="shared" ref="I7:N7" ca="1" si="11">OFFSET(I7,MATCH(S,$B$8:$B$10,0),0)</f>
        <v>0.58233116397691087</v>
      </c>
      <c r="J7" s="80">
        <f t="shared" ca="1" si="11"/>
        <v>0.58233116397691087</v>
      </c>
      <c r="K7" s="80">
        <f t="shared" ca="1" si="11"/>
        <v>0.58233116397691087</v>
      </c>
      <c r="L7" s="80">
        <f t="shared" ca="1" si="11"/>
        <v>0.58233116397691087</v>
      </c>
      <c r="M7" s="80">
        <f t="shared" ca="1" si="11"/>
        <v>0.58233116397691087</v>
      </c>
      <c r="N7" s="81">
        <f t="shared" ca="1" si="11"/>
        <v>0.58233116397691087</v>
      </c>
    </row>
    <row r="8" spans="2:14" x14ac:dyDescent="0.25">
      <c r="B8" t="s">
        <v>143</v>
      </c>
      <c r="H8" t="s">
        <v>154</v>
      </c>
      <c r="I8" s="63">
        <f>AVERAGE($C$7:$H$7)</f>
        <v>0.58233116397691087</v>
      </c>
      <c r="J8" s="63">
        <f t="shared" ref="J8:N8" si="12">AVERAGE($C$7:$H$7)</f>
        <v>0.58233116397691087</v>
      </c>
      <c r="K8" s="63">
        <f t="shared" si="12"/>
        <v>0.58233116397691087</v>
      </c>
      <c r="L8" s="63">
        <f t="shared" si="12"/>
        <v>0.58233116397691087</v>
      </c>
      <c r="M8" s="63">
        <f t="shared" si="12"/>
        <v>0.58233116397691087</v>
      </c>
      <c r="N8" s="63">
        <f t="shared" si="12"/>
        <v>0.58233116397691087</v>
      </c>
    </row>
    <row r="9" spans="2:14" x14ac:dyDescent="0.25">
      <c r="B9" t="s">
        <v>145</v>
      </c>
      <c r="H9" t="s">
        <v>155</v>
      </c>
      <c r="I9" s="63">
        <f>MIN($C$7:$H$7)</f>
        <v>0.530594020614508</v>
      </c>
      <c r="J9" s="63">
        <f t="shared" ref="J9:N9" si="13">MIN($C$7:$H$7)</f>
        <v>0.530594020614508</v>
      </c>
      <c r="K9" s="63">
        <f t="shared" si="13"/>
        <v>0.530594020614508</v>
      </c>
      <c r="L9" s="63">
        <f t="shared" si="13"/>
        <v>0.530594020614508</v>
      </c>
      <c r="M9" s="63">
        <f t="shared" si="13"/>
        <v>0.530594020614508</v>
      </c>
      <c r="N9" s="63">
        <f t="shared" si="13"/>
        <v>0.530594020614508</v>
      </c>
    </row>
    <row r="10" spans="2:14" x14ac:dyDescent="0.25">
      <c r="B10" t="s">
        <v>148</v>
      </c>
      <c r="H10" t="s">
        <v>156</v>
      </c>
      <c r="I10" s="63">
        <f>MAX($C$7:$H$7)</f>
        <v>0.61214007301619122</v>
      </c>
      <c r="J10" s="63">
        <f t="shared" ref="J10:N10" si="14">MAX($C$7:$H$7)</f>
        <v>0.61214007301619122</v>
      </c>
      <c r="K10" s="63">
        <f t="shared" si="14"/>
        <v>0.61214007301619122</v>
      </c>
      <c r="L10" s="63">
        <f t="shared" si="14"/>
        <v>0.61214007301619122</v>
      </c>
      <c r="M10" s="63">
        <f t="shared" si="14"/>
        <v>0.61214007301619122</v>
      </c>
      <c r="N10" s="63">
        <f t="shared" si="14"/>
        <v>0.61214007301619122</v>
      </c>
    </row>
    <row r="12" spans="2:14" x14ac:dyDescent="0.25">
      <c r="B12" s="2" t="s">
        <v>157</v>
      </c>
      <c r="C12" s="63"/>
      <c r="D12" s="82">
        <f>('3_Statement_Model'!C9/'3_Statement_Model'!B9)-1</f>
        <v>-0.28635186035251436</v>
      </c>
      <c r="E12" s="82">
        <f>('3_Statement_Model'!D9/'3_Statement_Model'!C9)-1</f>
        <v>-0.11395201811601385</v>
      </c>
      <c r="F12" s="82">
        <f>('3_Statement_Model'!E9/'3_Statement_Model'!D9)-1</f>
        <v>0.10345496267088983</v>
      </c>
      <c r="G12" s="82">
        <f>('3_Statement_Model'!F9/'3_Statement_Model'!E9)-1</f>
        <v>-3.7416130820149385E-2</v>
      </c>
      <c r="H12" s="82">
        <f>('3_Statement_Model'!G9/'3_Statement_Model'!F9)-1</f>
        <v>3.8811999840838496E-2</v>
      </c>
      <c r="I12" s="79">
        <f t="shared" ref="I12:N12" ca="1" si="15">OFFSET(I12,MATCH(S,$B$13:$B$15,0),0)</f>
        <v>-5.9090609355389859E-2</v>
      </c>
      <c r="J12" s="80">
        <f t="shared" ca="1" si="15"/>
        <v>-5.9090609355389852E-2</v>
      </c>
      <c r="K12" s="80">
        <f t="shared" ca="1" si="15"/>
        <v>-2.121373418920244E-2</v>
      </c>
      <c r="L12" s="80">
        <f t="shared" ca="1" si="15"/>
        <v>-5.7573535347338681E-3</v>
      </c>
      <c r="M12" s="80">
        <f t="shared" ca="1" si="15"/>
        <v>-2.3959406235671152E-2</v>
      </c>
      <c r="N12" s="81">
        <f t="shared" ca="1" si="15"/>
        <v>-2.1716618804924776E-2</v>
      </c>
    </row>
    <row r="13" spans="2:14" x14ac:dyDescent="0.25">
      <c r="B13" t="s">
        <v>143</v>
      </c>
      <c r="H13" t="s">
        <v>154</v>
      </c>
      <c r="I13" s="63">
        <f t="shared" ref="I13:N13" si="16">AVERAGE(C12:H12)</f>
        <v>-5.9090609355389859E-2</v>
      </c>
      <c r="J13" s="63">
        <f t="shared" ca="1" si="16"/>
        <v>-5.9090609355389852E-2</v>
      </c>
      <c r="K13" s="63">
        <f t="shared" ca="1" si="16"/>
        <v>-2.121373418920244E-2</v>
      </c>
      <c r="L13" s="63">
        <f t="shared" ca="1" si="16"/>
        <v>-5.7573535347338681E-3</v>
      </c>
      <c r="M13" s="63">
        <f t="shared" ca="1" si="16"/>
        <v>-2.3959406235671152E-2</v>
      </c>
      <c r="N13" s="63">
        <f t="shared" ca="1" si="16"/>
        <v>-2.1716618804924776E-2</v>
      </c>
    </row>
    <row r="14" spans="2:14" x14ac:dyDescent="0.25">
      <c r="B14" t="s">
        <v>145</v>
      </c>
      <c r="H14" t="s">
        <v>158</v>
      </c>
      <c r="I14" s="63">
        <f>MIN($C$12:$H$12)/3</f>
        <v>-9.5450620117504784E-2</v>
      </c>
      <c r="J14" s="63">
        <f t="shared" ref="J14:N14" si="17">MIN($C$12:$H$12)/3</f>
        <v>-9.5450620117504784E-2</v>
      </c>
      <c r="K14" s="63">
        <f t="shared" si="17"/>
        <v>-9.5450620117504784E-2</v>
      </c>
      <c r="L14" s="63">
        <f t="shared" si="17"/>
        <v>-9.5450620117504784E-2</v>
      </c>
      <c r="M14" s="63">
        <f t="shared" si="17"/>
        <v>-9.5450620117504784E-2</v>
      </c>
      <c r="N14" s="63">
        <f t="shared" si="17"/>
        <v>-9.5450620117504784E-2</v>
      </c>
    </row>
    <row r="15" spans="2:14" x14ac:dyDescent="0.25">
      <c r="B15" t="s">
        <v>148</v>
      </c>
      <c r="H15" t="s">
        <v>156</v>
      </c>
      <c r="I15" s="63">
        <f>MAX($C$12:$H$12)</f>
        <v>0.10345496267088983</v>
      </c>
      <c r="J15" s="63">
        <f t="shared" ref="J15:N15" si="18">MAX($C$12:$H$12)</f>
        <v>0.10345496267088983</v>
      </c>
      <c r="K15" s="63">
        <f t="shared" si="18"/>
        <v>0.10345496267088983</v>
      </c>
      <c r="L15" s="63">
        <f t="shared" si="18"/>
        <v>0.10345496267088983</v>
      </c>
      <c r="M15" s="63">
        <f t="shared" si="18"/>
        <v>0.10345496267088983</v>
      </c>
      <c r="N15" s="63">
        <f t="shared" si="18"/>
        <v>0.10345496267088983</v>
      </c>
    </row>
    <row r="17" spans="2:14" x14ac:dyDescent="0.25">
      <c r="B17" s="2" t="s">
        <v>159</v>
      </c>
      <c r="D17" s="82">
        <f>('3_Statement_Model'!C10/'3_Statement_Model'!B10)-1</f>
        <v>-0.39618633936399139</v>
      </c>
      <c r="E17" s="82">
        <f>('3_Statement_Model'!D10/'3_Statement_Model'!C10)-1</f>
        <v>3.1018802674216417E-3</v>
      </c>
      <c r="F17" s="82">
        <f>('3_Statement_Model'!E10/'3_Statement_Model'!D10)-1</f>
        <v>-6.0495906555870671E-2</v>
      </c>
      <c r="G17" s="82">
        <f>('3_Statement_Model'!F10/'3_Statement_Model'!E10)-1</f>
        <v>-0.35115438439640656</v>
      </c>
      <c r="H17" s="82">
        <f>('3_Statement_Model'!G10/'3_Statement_Model'!F10)-1</f>
        <v>-0.28573201706732676</v>
      </c>
      <c r="I17" s="79">
        <f t="shared" ref="I17:N17" ca="1" si="19">OFFSET(I17,MATCH(S,$B$18:$B$20,0),0)</f>
        <v>-0.10904667671161739</v>
      </c>
      <c r="J17" s="80">
        <f t="shared" ca="1" si="19"/>
        <v>-0.10904667671161739</v>
      </c>
      <c r="K17" s="80">
        <f t="shared" ca="1" si="19"/>
        <v>-0.10904667671161739</v>
      </c>
      <c r="L17" s="80">
        <f t="shared" ca="1" si="19"/>
        <v>-0.10904667671161739</v>
      </c>
      <c r="M17" s="80">
        <f t="shared" ca="1" si="19"/>
        <v>-0.10904667671161739</v>
      </c>
      <c r="N17" s="81">
        <f t="shared" ca="1" si="19"/>
        <v>-0.10904667671161739</v>
      </c>
    </row>
    <row r="18" spans="2:14" x14ac:dyDescent="0.25">
      <c r="B18" t="s">
        <v>143</v>
      </c>
      <c r="H18" t="s">
        <v>160</v>
      </c>
      <c r="I18" s="63">
        <f>AVERAGE($D$17:$H$17)/2</f>
        <v>-0.10904667671161739</v>
      </c>
      <c r="J18" s="63">
        <f t="shared" ref="J18:N18" si="20">AVERAGE($D$17:$H$17)/2</f>
        <v>-0.10904667671161739</v>
      </c>
      <c r="K18" s="63">
        <f t="shared" si="20"/>
        <v>-0.10904667671161739</v>
      </c>
      <c r="L18" s="63">
        <f t="shared" si="20"/>
        <v>-0.10904667671161739</v>
      </c>
      <c r="M18" s="63">
        <f t="shared" si="20"/>
        <v>-0.10904667671161739</v>
      </c>
      <c r="N18" s="63">
        <f t="shared" si="20"/>
        <v>-0.10904667671161739</v>
      </c>
    </row>
    <row r="19" spans="2:14" x14ac:dyDescent="0.25">
      <c r="B19" t="s">
        <v>145</v>
      </c>
      <c r="H19" t="s">
        <v>158</v>
      </c>
      <c r="I19" s="63">
        <f>MIN($D$17:$H$17)/3</f>
        <v>-0.13206211312133045</v>
      </c>
      <c r="J19" s="63">
        <f t="shared" ref="J19:N19" si="21">MIN($D$17:$H$17)/3</f>
        <v>-0.13206211312133045</v>
      </c>
      <c r="K19" s="63">
        <f t="shared" si="21"/>
        <v>-0.13206211312133045</v>
      </c>
      <c r="L19" s="63">
        <f t="shared" si="21"/>
        <v>-0.13206211312133045</v>
      </c>
      <c r="M19" s="63">
        <f t="shared" si="21"/>
        <v>-0.13206211312133045</v>
      </c>
      <c r="N19" s="63">
        <f t="shared" si="21"/>
        <v>-0.13206211312133045</v>
      </c>
    </row>
    <row r="20" spans="2:14" x14ac:dyDescent="0.25">
      <c r="B20" t="s">
        <v>148</v>
      </c>
      <c r="H20" t="s">
        <v>156</v>
      </c>
      <c r="I20" s="63">
        <f>MAX($D$17:$H$17)</f>
        <v>3.1018802674216417E-3</v>
      </c>
      <c r="J20" s="63">
        <f t="shared" ref="J20:N20" si="22">MAX($D$17:$H$17)</f>
        <v>3.1018802674216417E-3</v>
      </c>
      <c r="K20" s="63">
        <f t="shared" si="22"/>
        <v>3.1018802674216417E-3</v>
      </c>
      <c r="L20" s="63">
        <f t="shared" si="22"/>
        <v>3.1018802674216417E-3</v>
      </c>
      <c r="M20" s="63">
        <f t="shared" si="22"/>
        <v>3.1018802674216417E-3</v>
      </c>
      <c r="N20" s="63">
        <f t="shared" si="22"/>
        <v>3.1018802674216417E-3</v>
      </c>
    </row>
    <row r="22" spans="2:14" x14ac:dyDescent="0.25">
      <c r="B22" s="2" t="s">
        <v>161</v>
      </c>
      <c r="C22" s="82">
        <f>'3_Statement_Model'!B11/'3_Statement_Model'!B6</f>
        <v>0.22514684896956824</v>
      </c>
      <c r="D22" s="82">
        <f>'3_Statement_Model'!C11/'3_Statement_Model'!C6</f>
        <v>0.17606222572939015</v>
      </c>
      <c r="E22" s="82">
        <f>'3_Statement_Model'!D11/'3_Statement_Model'!D6</f>
        <v>0.1282308545617134</v>
      </c>
      <c r="F22" s="82">
        <f>'3_Statement_Model'!E11/'3_Statement_Model'!E6</f>
        <v>0.1297910813685019</v>
      </c>
      <c r="G22" s="82">
        <f>'3_Statement_Model'!F11/'3_Statement_Model'!F6</f>
        <v>0.10922999398899398</v>
      </c>
      <c r="H22" s="82">
        <f>'3_Statement_Model'!G11/'3_Statement_Model'!G6</f>
        <v>0.13635842002510881</v>
      </c>
      <c r="I22" s="79">
        <f t="shared" ref="I22:N22" ca="1" si="23">OFFSET(I22,MATCH(S,$B$23:$B$25,0),0)</f>
        <v>0.15080323744054608</v>
      </c>
      <c r="J22" s="80">
        <f t="shared" ca="1" si="23"/>
        <v>0.15080323744054608</v>
      </c>
      <c r="K22" s="80">
        <f t="shared" ca="1" si="23"/>
        <v>0.15080323744054608</v>
      </c>
      <c r="L22" s="80">
        <f t="shared" ca="1" si="23"/>
        <v>0.15080323744054608</v>
      </c>
      <c r="M22" s="80">
        <f t="shared" ca="1" si="23"/>
        <v>0.15080323744054608</v>
      </c>
      <c r="N22" s="81">
        <f t="shared" ca="1" si="23"/>
        <v>0.15080323744054608</v>
      </c>
    </row>
    <row r="23" spans="2:14" x14ac:dyDescent="0.25">
      <c r="B23" t="s">
        <v>143</v>
      </c>
      <c r="H23" t="s">
        <v>154</v>
      </c>
      <c r="I23" s="63">
        <f>AVERAGE($C$22:$H$22)</f>
        <v>0.15080323744054608</v>
      </c>
      <c r="J23" s="63">
        <f t="shared" ref="J23:N23" si="24">AVERAGE($C$22:$H$22)</f>
        <v>0.15080323744054608</v>
      </c>
      <c r="K23" s="63">
        <f t="shared" si="24"/>
        <v>0.15080323744054608</v>
      </c>
      <c r="L23" s="63">
        <f t="shared" si="24"/>
        <v>0.15080323744054608</v>
      </c>
      <c r="M23" s="63">
        <f t="shared" si="24"/>
        <v>0.15080323744054608</v>
      </c>
      <c r="N23" s="63">
        <f t="shared" si="24"/>
        <v>0.15080323744054608</v>
      </c>
    </row>
    <row r="24" spans="2:14" x14ac:dyDescent="0.25">
      <c r="B24" t="s">
        <v>145</v>
      </c>
      <c r="H24" t="s">
        <v>155</v>
      </c>
      <c r="I24" s="63">
        <f>MIN($C$22:$H$22)</f>
        <v>0.10922999398899398</v>
      </c>
      <c r="J24" s="63">
        <f t="shared" ref="J24:N24" si="25">MIN($C$22:$H$22)</f>
        <v>0.10922999398899398</v>
      </c>
      <c r="K24" s="63">
        <f t="shared" si="25"/>
        <v>0.10922999398899398</v>
      </c>
      <c r="L24" s="63">
        <f t="shared" si="25"/>
        <v>0.10922999398899398</v>
      </c>
      <c r="M24" s="63">
        <f t="shared" si="25"/>
        <v>0.10922999398899398</v>
      </c>
      <c r="N24" s="63">
        <f t="shared" si="25"/>
        <v>0.10922999398899398</v>
      </c>
    </row>
    <row r="25" spans="2:14" x14ac:dyDescent="0.25">
      <c r="B25" t="s">
        <v>148</v>
      </c>
      <c r="H25" t="s">
        <v>156</v>
      </c>
      <c r="I25" s="63">
        <f>MAX($C$22:$H$22)</f>
        <v>0.22514684896956824</v>
      </c>
      <c r="J25" s="63">
        <f t="shared" ref="J25:N25" si="26">MAX($C$22:$H$22)</f>
        <v>0.22514684896956824</v>
      </c>
      <c r="K25" s="63">
        <f t="shared" si="26"/>
        <v>0.22514684896956824</v>
      </c>
      <c r="L25" s="63">
        <f t="shared" si="26"/>
        <v>0.22514684896956824</v>
      </c>
      <c r="M25" s="63">
        <f t="shared" si="26"/>
        <v>0.22514684896956824</v>
      </c>
      <c r="N25" s="63">
        <f t="shared" si="26"/>
        <v>0.22514684896956824</v>
      </c>
    </row>
    <row r="27" spans="2:14" x14ac:dyDescent="0.25">
      <c r="B27" s="2" t="s">
        <v>162</v>
      </c>
      <c r="C27" s="63"/>
      <c r="D27" s="63">
        <f>('3_Statement_Model'!C12/'3_Statement_Model'!B12)-1</f>
        <v>-0.2023163445024968</v>
      </c>
      <c r="E27" s="63">
        <f>('3_Statement_Model'!D12/'3_Statement_Model'!C12)-1</f>
        <v>-3.2225060694811569E-2</v>
      </c>
      <c r="F27" s="63">
        <f>('3_Statement_Model'!E12/'3_Statement_Model'!D12)-1</f>
        <v>0.40468176288009006</v>
      </c>
      <c r="G27" s="63">
        <f>('3_Statement_Model'!F12/'3_Statement_Model'!E12)-1</f>
        <v>-0.32273865244367039</v>
      </c>
      <c r="H27" s="63">
        <f>('3_Statement_Model'!G12/'3_Statement_Model'!F12)-1</f>
        <v>7.6075676172108198E-2</v>
      </c>
      <c r="I27" s="79">
        <f t="shared" ref="I27:N27" ca="1" si="27">OFFSET(I27,MATCH(S,$B$28:$B$30,0),0)</f>
        <v>-1.5304523717756102E-2</v>
      </c>
      <c r="J27" s="80">
        <f t="shared" ca="1" si="27"/>
        <v>-1.5304523717756102E-2</v>
      </c>
      <c r="K27" s="80">
        <f t="shared" ca="1" si="27"/>
        <v>-1.5304523717756102E-2</v>
      </c>
      <c r="L27" s="80">
        <f t="shared" ca="1" si="27"/>
        <v>-1.5304523717756102E-2</v>
      </c>
      <c r="M27" s="80">
        <f t="shared" ca="1" si="27"/>
        <v>-1.5304523717756102E-2</v>
      </c>
      <c r="N27" s="81">
        <f t="shared" ca="1" si="27"/>
        <v>-1.5304523717756102E-2</v>
      </c>
    </row>
    <row r="28" spans="2:14" x14ac:dyDescent="0.25">
      <c r="B28" t="s">
        <v>143</v>
      </c>
      <c r="H28" t="s">
        <v>154</v>
      </c>
      <c r="I28" s="63">
        <f>AVERAGE($C$27:$H$27)</f>
        <v>-1.5304523717756102E-2</v>
      </c>
      <c r="J28" s="63">
        <f t="shared" ref="J28:N28" si="28">AVERAGE($C$27:$H$27)</f>
        <v>-1.5304523717756102E-2</v>
      </c>
      <c r="K28" s="63">
        <f t="shared" si="28"/>
        <v>-1.5304523717756102E-2</v>
      </c>
      <c r="L28" s="63">
        <f t="shared" si="28"/>
        <v>-1.5304523717756102E-2</v>
      </c>
      <c r="M28" s="63">
        <f t="shared" si="28"/>
        <v>-1.5304523717756102E-2</v>
      </c>
      <c r="N28" s="63">
        <f t="shared" si="28"/>
        <v>-1.5304523717756102E-2</v>
      </c>
    </row>
    <row r="29" spans="2:14" x14ac:dyDescent="0.25">
      <c r="B29" t="s">
        <v>145</v>
      </c>
      <c r="H29" t="s">
        <v>163</v>
      </c>
      <c r="I29" s="63">
        <f>MIN($C$27:$H$27)/7</f>
        <v>-4.6105521777667198E-2</v>
      </c>
      <c r="J29" s="63">
        <f t="shared" ref="J29:N29" si="29">MIN($C$27:$H$27)/7</f>
        <v>-4.6105521777667198E-2</v>
      </c>
      <c r="K29" s="63">
        <f t="shared" si="29"/>
        <v>-4.6105521777667198E-2</v>
      </c>
      <c r="L29" s="63">
        <f t="shared" si="29"/>
        <v>-4.6105521777667198E-2</v>
      </c>
      <c r="M29" s="63">
        <f t="shared" si="29"/>
        <v>-4.6105521777667198E-2</v>
      </c>
      <c r="N29" s="63">
        <f t="shared" si="29"/>
        <v>-4.6105521777667198E-2</v>
      </c>
    </row>
    <row r="30" spans="2:14" x14ac:dyDescent="0.25">
      <c r="B30" t="s">
        <v>148</v>
      </c>
      <c r="H30" t="s">
        <v>164</v>
      </c>
      <c r="I30" s="63">
        <f>MAX($C$27:$H$27)/7</f>
        <v>5.7811680411441434E-2</v>
      </c>
      <c r="J30" s="63">
        <f t="shared" ref="J30:N30" si="30">MAX($C$27:$H$27)/7</f>
        <v>5.7811680411441434E-2</v>
      </c>
      <c r="K30" s="63">
        <f t="shared" si="30"/>
        <v>5.7811680411441434E-2</v>
      </c>
      <c r="L30" s="63">
        <f t="shared" si="30"/>
        <v>5.7811680411441434E-2</v>
      </c>
      <c r="M30" s="63">
        <f t="shared" si="30"/>
        <v>5.7811680411441434E-2</v>
      </c>
      <c r="N30" s="63">
        <f t="shared" si="30"/>
        <v>5.7811680411441434E-2</v>
      </c>
    </row>
    <row r="32" spans="2:14" x14ac:dyDescent="0.25">
      <c r="B32" s="2" t="s">
        <v>293</v>
      </c>
      <c r="D32" s="63">
        <f>('3_Statement_Model'!C29/'3_Statement_Model'!B29)-1</f>
        <v>-0.64621827774585427</v>
      </c>
      <c r="E32" s="63">
        <f>('3_Statement_Model'!D29/'3_Statement_Model'!C29)-1</f>
        <v>0.2805780062812937</v>
      </c>
      <c r="F32" s="63">
        <f>('3_Statement_Model'!E29/'3_Statement_Model'!D29)-1</f>
        <v>3.6169537374406646E-2</v>
      </c>
      <c r="G32" s="63">
        <f>('3_Statement_Model'!F29/'3_Statement_Model'!E29)-1</f>
        <v>-0.35461601269102128</v>
      </c>
      <c r="H32" s="63">
        <f>('3_Statement_Model'!G29/'3_Statement_Model'!F29)-1</f>
        <v>-0.31703103813362554</v>
      </c>
      <c r="I32" s="91">
        <f t="shared" ref="I32:N32" ca="1" si="31">OFFSET(I32,MATCH(S,$B$33:$B$35,0),0)</f>
        <v>-0.10011177849148008</v>
      </c>
      <c r="J32" s="92">
        <f t="shared" ca="1" si="31"/>
        <v>-0.10011177849148008</v>
      </c>
      <c r="K32" s="92">
        <f t="shared" ca="1" si="31"/>
        <v>-0.10011177849148008</v>
      </c>
      <c r="L32" s="92">
        <f t="shared" ca="1" si="31"/>
        <v>-0.10011177849148008</v>
      </c>
      <c r="M32" s="92">
        <f t="shared" ca="1" si="31"/>
        <v>-0.10011177849148008</v>
      </c>
      <c r="N32" s="93">
        <f t="shared" ca="1" si="31"/>
        <v>-0.10011177849148008</v>
      </c>
    </row>
    <row r="33" spans="2:14" x14ac:dyDescent="0.25">
      <c r="B33" t="s">
        <v>143</v>
      </c>
      <c r="C33" s="34"/>
      <c r="D33" s="34"/>
      <c r="E33" s="34"/>
      <c r="F33" s="34"/>
      <c r="G33" s="34"/>
      <c r="I33" s="63">
        <f>AVERAGE($D$32:$H$32)/2</f>
        <v>-0.10011177849148008</v>
      </c>
      <c r="J33" s="63">
        <f t="shared" ref="J33:N33" si="32">AVERAGE($D$32:$H$32)/2</f>
        <v>-0.10011177849148008</v>
      </c>
      <c r="K33" s="63">
        <f t="shared" si="32"/>
        <v>-0.10011177849148008</v>
      </c>
      <c r="L33" s="63">
        <f t="shared" si="32"/>
        <v>-0.10011177849148008</v>
      </c>
      <c r="M33" s="63">
        <f t="shared" si="32"/>
        <v>-0.10011177849148008</v>
      </c>
      <c r="N33" s="63">
        <f t="shared" si="32"/>
        <v>-0.10011177849148008</v>
      </c>
    </row>
    <row r="34" spans="2:14" x14ac:dyDescent="0.25">
      <c r="B34" t="s">
        <v>145</v>
      </c>
      <c r="C34" s="63"/>
      <c r="D34" s="63"/>
      <c r="E34" s="63"/>
      <c r="F34" s="63"/>
      <c r="G34" s="63"/>
      <c r="I34" s="63">
        <f>AVERAGE($D$32:$H$32)</f>
        <v>-0.20022355698296015</v>
      </c>
      <c r="J34" s="63">
        <f t="shared" ref="J34:N34" si="33">AVERAGE($D$32:$H$32)</f>
        <v>-0.20022355698296015</v>
      </c>
      <c r="K34" s="63">
        <f t="shared" si="33"/>
        <v>-0.20022355698296015</v>
      </c>
      <c r="L34" s="63">
        <f t="shared" si="33"/>
        <v>-0.20022355698296015</v>
      </c>
      <c r="M34" s="63">
        <f t="shared" si="33"/>
        <v>-0.20022355698296015</v>
      </c>
      <c r="N34" s="63">
        <f t="shared" si="33"/>
        <v>-0.20022355698296015</v>
      </c>
    </row>
    <row r="35" spans="2:14" x14ac:dyDescent="0.25">
      <c r="B35" t="s">
        <v>148</v>
      </c>
      <c r="C35" s="63"/>
      <c r="D35" s="63"/>
      <c r="E35" s="63"/>
      <c r="F35" s="63"/>
      <c r="G35" s="63"/>
      <c r="I35" s="63">
        <f>$H$32</f>
        <v>-0.31703103813362554</v>
      </c>
      <c r="J35" s="63">
        <f t="shared" ref="J35:N35" si="34">$H$32</f>
        <v>-0.31703103813362554</v>
      </c>
      <c r="K35" s="63">
        <f t="shared" si="34"/>
        <v>-0.31703103813362554</v>
      </c>
      <c r="L35" s="63">
        <f t="shared" si="34"/>
        <v>-0.31703103813362554</v>
      </c>
      <c r="M35" s="63">
        <f t="shared" si="34"/>
        <v>-0.31703103813362554</v>
      </c>
      <c r="N35" s="63">
        <f t="shared" si="34"/>
        <v>-0.31703103813362554</v>
      </c>
    </row>
    <row r="36" spans="2:14" x14ac:dyDescent="0.25">
      <c r="B36" s="36"/>
      <c r="C36" s="63"/>
      <c r="D36" s="63"/>
      <c r="E36" s="63"/>
      <c r="F36" s="63"/>
      <c r="G36" s="63"/>
      <c r="I36" s="94"/>
      <c r="J36" s="94"/>
      <c r="K36" s="94"/>
      <c r="L36" s="94"/>
      <c r="M36" s="94"/>
      <c r="N36" s="94"/>
    </row>
    <row r="37" spans="2:14" x14ac:dyDescent="0.25">
      <c r="B37" s="36"/>
      <c r="C37" s="63"/>
      <c r="D37" s="63"/>
      <c r="E37" s="63"/>
      <c r="F37" s="63"/>
      <c r="G37" s="63"/>
      <c r="I37" s="94"/>
      <c r="J37" s="94"/>
      <c r="K37" s="94"/>
      <c r="L37" s="94"/>
      <c r="M37" s="94"/>
      <c r="N37" s="94"/>
    </row>
    <row r="38" spans="2:14" x14ac:dyDescent="0.25">
      <c r="B38" s="36"/>
      <c r="C38" s="63"/>
      <c r="D38" s="63"/>
      <c r="E38" s="63"/>
      <c r="F38" s="63"/>
      <c r="G38" s="63"/>
      <c r="H38" s="63"/>
      <c r="I38" s="94"/>
      <c r="J38" s="94"/>
      <c r="K38" s="94"/>
      <c r="L38" s="94"/>
      <c r="M38" s="94"/>
      <c r="N38" s="94"/>
    </row>
    <row r="39" spans="2:14" x14ac:dyDescent="0.25">
      <c r="B39" s="36"/>
      <c r="C39" s="63"/>
      <c r="D39" s="63"/>
      <c r="E39" s="63"/>
      <c r="F39" s="63"/>
      <c r="G39" s="63"/>
      <c r="H39" s="63"/>
      <c r="I39" s="94"/>
      <c r="J39" s="94"/>
      <c r="K39" s="94"/>
      <c r="L39" s="94"/>
      <c r="M39" s="94"/>
      <c r="N39" s="94"/>
    </row>
    <row r="40" spans="2:14" x14ac:dyDescent="0.25">
      <c r="B40" s="25" t="s">
        <v>24</v>
      </c>
      <c r="C40" s="20">
        <v>2019</v>
      </c>
      <c r="D40" s="20">
        <f>C40+1</f>
        <v>2020</v>
      </c>
      <c r="E40" s="20">
        <f t="shared" ref="E40" si="35">D40+1</f>
        <v>2021</v>
      </c>
      <c r="F40" s="20">
        <f t="shared" ref="F40" si="36">E40+1</f>
        <v>2022</v>
      </c>
      <c r="G40" s="20">
        <f t="shared" ref="G40" si="37">F40+1</f>
        <v>2023</v>
      </c>
      <c r="H40" s="20">
        <f t="shared" ref="H40" si="38">G40+1</f>
        <v>2024</v>
      </c>
      <c r="I40" s="27">
        <f t="shared" ref="I40" si="39">H40+1</f>
        <v>2025</v>
      </c>
      <c r="J40" s="27">
        <f t="shared" ref="J40" si="40">I40+1</f>
        <v>2026</v>
      </c>
      <c r="K40" s="27">
        <f t="shared" ref="K40" si="41">J40+1</f>
        <v>2027</v>
      </c>
      <c r="L40" s="27">
        <f t="shared" ref="L40" si="42">K40+1</f>
        <v>2028</v>
      </c>
      <c r="M40" s="27">
        <f t="shared" ref="M40" si="43">L40+1</f>
        <v>2029</v>
      </c>
      <c r="N40" s="27">
        <f t="shared" ref="N40" si="44">M40+1</f>
        <v>2030</v>
      </c>
    </row>
    <row r="42" spans="2:14" x14ac:dyDescent="0.25">
      <c r="B42" s="2" t="s">
        <v>28</v>
      </c>
      <c r="C42" s="63">
        <f ca="1">('3_Statement_Model'!H6/'3_Statement_Model'!G6)-1</f>
        <v>4.1588350216538172E-2</v>
      </c>
      <c r="D42" s="63">
        <f ca="1">('3_Statement_Model'!I6/'3_Statement_Model'!H6)-1</f>
        <v>3.7352556617128219E-2</v>
      </c>
      <c r="E42" s="63">
        <f ca="1">('3_Statement_Model'!J6/'3_Statement_Model'!I6)-1</f>
        <v>5.1703791599563509E-2</v>
      </c>
      <c r="F42" s="63">
        <f ca="1">('3_Statement_Model'!K6/'3_Statement_Model'!J6)-1</f>
        <v>5.0636791245711299E-2</v>
      </c>
      <c r="G42" s="63">
        <f ca="1">('3_Statement_Model'!L6/'3_Statement_Model'!K6)-1</f>
        <v>4.9642174553246488E-2</v>
      </c>
      <c r="H42" s="63">
        <f ca="1">('3_Statement_Model'!M6/'3_Statement_Model'!L6)-1</f>
        <v>4.8713210110490124E-2</v>
      </c>
      <c r="I42" s="79">
        <f t="shared" ref="I42:N42" ca="1" si="45">OFFSET(I42,MATCH(S,$B$43:$B$45,0),0)</f>
        <v>4.6606145723779635E-2</v>
      </c>
      <c r="J42" s="80">
        <f t="shared" ca="1" si="45"/>
        <v>4.6606145723779635E-2</v>
      </c>
      <c r="K42" s="80">
        <f t="shared" ca="1" si="45"/>
        <v>4.6606145723779635E-2</v>
      </c>
      <c r="L42" s="80">
        <f t="shared" ca="1" si="45"/>
        <v>4.6606145723779635E-2</v>
      </c>
      <c r="M42" s="80">
        <f t="shared" ca="1" si="45"/>
        <v>4.6606145723779635E-2</v>
      </c>
      <c r="N42" s="81">
        <f t="shared" ca="1" si="45"/>
        <v>4.6606145723779635E-2</v>
      </c>
    </row>
    <row r="43" spans="2:14" x14ac:dyDescent="0.25">
      <c r="B43" t="s">
        <v>143</v>
      </c>
      <c r="H43" t="s">
        <v>154</v>
      </c>
      <c r="I43" s="63">
        <f t="shared" ref="I43:N43" ca="1" si="46">AVERAGE($C$42:$H$42)</f>
        <v>4.6606145723779635E-2</v>
      </c>
      <c r="J43" s="63">
        <f t="shared" ca="1" si="46"/>
        <v>4.6606145723779635E-2</v>
      </c>
      <c r="K43" s="63">
        <f t="shared" ca="1" si="46"/>
        <v>4.6606145723779635E-2</v>
      </c>
      <c r="L43" s="63">
        <f t="shared" ca="1" si="46"/>
        <v>4.6606145723779635E-2</v>
      </c>
      <c r="M43" s="63">
        <f t="shared" ca="1" si="46"/>
        <v>4.6606145723779635E-2</v>
      </c>
      <c r="N43" s="63">
        <f t="shared" ca="1" si="46"/>
        <v>4.6606145723779635E-2</v>
      </c>
    </row>
    <row r="44" spans="2:14" x14ac:dyDescent="0.25">
      <c r="B44" t="s">
        <v>145</v>
      </c>
      <c r="H44" t="s">
        <v>156</v>
      </c>
      <c r="I44" s="63">
        <f t="shared" ref="I44:N44" ca="1" si="47">MAX($C$42:$H$42)</f>
        <v>5.1703791599563509E-2</v>
      </c>
      <c r="J44" s="63">
        <f t="shared" ca="1" si="47"/>
        <v>5.1703791599563509E-2</v>
      </c>
      <c r="K44" s="63">
        <f t="shared" ca="1" si="47"/>
        <v>5.1703791599563509E-2</v>
      </c>
      <c r="L44" s="63">
        <f t="shared" ca="1" si="47"/>
        <v>5.1703791599563509E-2</v>
      </c>
      <c r="M44" s="63">
        <f t="shared" ca="1" si="47"/>
        <v>5.1703791599563509E-2</v>
      </c>
      <c r="N44" s="63">
        <f t="shared" ca="1" si="47"/>
        <v>5.1703791599563509E-2</v>
      </c>
    </row>
    <row r="45" spans="2:14" x14ac:dyDescent="0.25">
      <c r="B45" t="s">
        <v>148</v>
      </c>
      <c r="H45" t="s">
        <v>155</v>
      </c>
      <c r="I45" s="63">
        <f t="shared" ref="I45:N45" ca="1" si="48">MIN($C$42:$H$42)</f>
        <v>3.7352556617128219E-2</v>
      </c>
      <c r="J45" s="63">
        <f t="shared" ca="1" si="48"/>
        <v>3.7352556617128219E-2</v>
      </c>
      <c r="K45" s="63">
        <f t="shared" ca="1" si="48"/>
        <v>3.7352556617128219E-2</v>
      </c>
      <c r="L45" s="63">
        <f t="shared" ca="1" si="48"/>
        <v>3.7352556617128219E-2</v>
      </c>
      <c r="M45" s="63">
        <f t="shared" ca="1" si="48"/>
        <v>3.7352556617128219E-2</v>
      </c>
      <c r="N45" s="63">
        <f t="shared" ca="1" si="48"/>
        <v>3.7352556617128219E-2</v>
      </c>
    </row>
    <row r="47" spans="2:14" x14ac:dyDescent="0.25">
      <c r="B47" s="2" t="s">
        <v>177</v>
      </c>
      <c r="C47" s="34">
        <f>'3_Statement_Model'!B53</f>
        <v>0</v>
      </c>
      <c r="D47" s="34">
        <f>'3_Statement_Model'!C53</f>
        <v>10000</v>
      </c>
      <c r="E47" s="34">
        <f>'3_Statement_Model'!D53</f>
        <v>80411</v>
      </c>
      <c r="F47" s="34">
        <f>'3_Statement_Model'!E53</f>
        <v>26390</v>
      </c>
      <c r="G47" s="34">
        <f>'3_Statement_Model'!F53</f>
        <v>39870</v>
      </c>
      <c r="H47" s="34">
        <f>'3_Statement_Model'!G53</f>
        <v>42516</v>
      </c>
      <c r="I47" s="97">
        <f t="shared" ref="I47:N47" ca="1" si="49">OFFSET(I47,MATCH(S,$B$48:$B$50,0),0)</f>
        <v>33197.833333333336</v>
      </c>
      <c r="J47" s="98">
        <f t="shared" ca="1" si="49"/>
        <v>33197.833333333336</v>
      </c>
      <c r="K47" s="98">
        <f t="shared" ca="1" si="49"/>
        <v>33197.833333333336</v>
      </c>
      <c r="L47" s="98">
        <f t="shared" ca="1" si="49"/>
        <v>33197.833333333336</v>
      </c>
      <c r="M47" s="98">
        <f t="shared" ca="1" si="49"/>
        <v>33197.833333333336</v>
      </c>
      <c r="N47" s="99">
        <f t="shared" ca="1" si="49"/>
        <v>33197.833333333336</v>
      </c>
    </row>
    <row r="48" spans="2:14" x14ac:dyDescent="0.25">
      <c r="B48" t="s">
        <v>143</v>
      </c>
      <c r="H48" t="s">
        <v>154</v>
      </c>
      <c r="I48" s="34">
        <f>AVERAGE($C$47:$H$47)</f>
        <v>33197.833333333336</v>
      </c>
      <c r="J48" s="34">
        <f t="shared" ref="J48:N48" si="50">AVERAGE($C$47:$H$47)</f>
        <v>33197.833333333336</v>
      </c>
      <c r="K48" s="34">
        <f t="shared" si="50"/>
        <v>33197.833333333336</v>
      </c>
      <c r="L48" s="34">
        <f t="shared" si="50"/>
        <v>33197.833333333336</v>
      </c>
      <c r="M48" s="34">
        <f t="shared" si="50"/>
        <v>33197.833333333336</v>
      </c>
      <c r="N48" s="34">
        <f t="shared" si="50"/>
        <v>33197.833333333336</v>
      </c>
    </row>
    <row r="49" spans="2:14" x14ac:dyDescent="0.25">
      <c r="B49" t="s">
        <v>145</v>
      </c>
      <c r="H49" t="s">
        <v>156</v>
      </c>
      <c r="I49" s="34">
        <f>MAX($C$47:$H$47)</f>
        <v>80411</v>
      </c>
      <c r="J49" s="34">
        <f t="shared" ref="J49:N49" si="51">MAX($C$47:$H$47)</f>
        <v>80411</v>
      </c>
      <c r="K49" s="34">
        <f t="shared" si="51"/>
        <v>80411</v>
      </c>
      <c r="L49" s="34">
        <f t="shared" si="51"/>
        <v>80411</v>
      </c>
      <c r="M49" s="34">
        <f t="shared" si="51"/>
        <v>80411</v>
      </c>
      <c r="N49" s="34">
        <f t="shared" si="51"/>
        <v>80411</v>
      </c>
    </row>
    <row r="50" spans="2:14" x14ac:dyDescent="0.25">
      <c r="B50" t="s">
        <v>148</v>
      </c>
      <c r="H50" t="s">
        <v>155</v>
      </c>
      <c r="I50" s="34">
        <f>MAX(MIN($C$47:$H$47),26390)</f>
        <v>26390</v>
      </c>
      <c r="J50" s="34">
        <f t="shared" ref="J50:N50" si="52">MAX(MIN($C$47:$H$47),26390)</f>
        <v>26390</v>
      </c>
      <c r="K50" s="34">
        <f t="shared" si="52"/>
        <v>26390</v>
      </c>
      <c r="L50" s="34">
        <f t="shared" si="52"/>
        <v>26390</v>
      </c>
      <c r="M50" s="34">
        <f t="shared" si="52"/>
        <v>26390</v>
      </c>
      <c r="N50" s="34">
        <f t="shared" si="52"/>
        <v>26390</v>
      </c>
    </row>
    <row r="52" spans="2:14" x14ac:dyDescent="0.25">
      <c r="B52" s="2" t="s">
        <v>188</v>
      </c>
      <c r="I52" s="79">
        <f t="shared" ref="I52:N52" ca="1" si="53">OFFSET(I52,MATCH(S,$B$53:$B$55,0),0)</f>
        <v>4.6606145723779635E-2</v>
      </c>
      <c r="J52" s="80">
        <f t="shared" ca="1" si="53"/>
        <v>4.6606145723779635E-2</v>
      </c>
      <c r="K52" s="80">
        <f t="shared" ca="1" si="53"/>
        <v>4.6606145723779635E-2</v>
      </c>
      <c r="L52" s="80">
        <f t="shared" ca="1" si="53"/>
        <v>4.6606145723779635E-2</v>
      </c>
      <c r="M52" s="80">
        <f t="shared" ca="1" si="53"/>
        <v>4.6606145723779635E-2</v>
      </c>
      <c r="N52" s="81">
        <f t="shared" ca="1" si="53"/>
        <v>4.6606145723779635E-2</v>
      </c>
    </row>
    <row r="53" spans="2:14" x14ac:dyDescent="0.25">
      <c r="B53" t="s">
        <v>143</v>
      </c>
      <c r="H53" t="s">
        <v>154</v>
      </c>
      <c r="I53" s="63">
        <f t="shared" ref="I53:N53" ca="1" si="54">AVERAGE($I$3:$N$3)</f>
        <v>4.6606145723779635E-2</v>
      </c>
      <c r="J53" s="63">
        <f t="shared" ca="1" si="54"/>
        <v>4.6606145723779635E-2</v>
      </c>
      <c r="K53" s="63">
        <f t="shared" ca="1" si="54"/>
        <v>4.6606145723779635E-2</v>
      </c>
      <c r="L53" s="63">
        <f t="shared" ca="1" si="54"/>
        <v>4.6606145723779635E-2</v>
      </c>
      <c r="M53" s="63">
        <f t="shared" ca="1" si="54"/>
        <v>4.6606145723779635E-2</v>
      </c>
      <c r="N53" s="63">
        <f t="shared" ca="1" si="54"/>
        <v>4.6606145723779635E-2</v>
      </c>
    </row>
    <row r="54" spans="2:14" x14ac:dyDescent="0.25">
      <c r="B54" t="s">
        <v>145</v>
      </c>
      <c r="H54" t="s">
        <v>156</v>
      </c>
      <c r="I54" s="63">
        <f t="shared" ref="I54:N54" ca="1" si="55">MAX($I$3:$N$3)</f>
        <v>5.1703791599563509E-2</v>
      </c>
      <c r="J54" s="63">
        <f t="shared" ca="1" si="55"/>
        <v>5.1703791599563509E-2</v>
      </c>
      <c r="K54" s="63">
        <f t="shared" ca="1" si="55"/>
        <v>5.1703791599563509E-2</v>
      </c>
      <c r="L54" s="63">
        <f t="shared" ca="1" si="55"/>
        <v>5.1703791599563509E-2</v>
      </c>
      <c r="M54" s="63">
        <f t="shared" ca="1" si="55"/>
        <v>5.1703791599563509E-2</v>
      </c>
      <c r="N54" s="63">
        <f t="shared" ca="1" si="55"/>
        <v>5.1703791599563509E-2</v>
      </c>
    </row>
    <row r="55" spans="2:14" x14ac:dyDescent="0.25">
      <c r="B55" t="s">
        <v>148</v>
      </c>
      <c r="H55" t="s">
        <v>155</v>
      </c>
      <c r="I55" s="63">
        <f t="shared" ref="I55:N55" ca="1" si="56">MIN($I$3:$N$3)</f>
        <v>3.7352556617128219E-2</v>
      </c>
      <c r="J55" s="63">
        <f t="shared" ca="1" si="56"/>
        <v>3.7352556617128219E-2</v>
      </c>
      <c r="K55" s="63">
        <f t="shared" ca="1" si="56"/>
        <v>3.7352556617128219E-2</v>
      </c>
      <c r="L55" s="63">
        <f t="shared" ca="1" si="56"/>
        <v>3.7352556617128219E-2</v>
      </c>
      <c r="M55" s="63">
        <f t="shared" ca="1" si="56"/>
        <v>3.7352556617128219E-2</v>
      </c>
      <c r="N55" s="63">
        <f t="shared" ca="1" si="56"/>
        <v>3.7352556617128219E-2</v>
      </c>
    </row>
    <row r="57" spans="2:14" x14ac:dyDescent="0.25">
      <c r="B57" s="2" t="s">
        <v>189</v>
      </c>
      <c r="C57" s="63">
        <f>-(Schedules!C26/Schedules!C25)</f>
        <v>0.18179412428202057</v>
      </c>
      <c r="D57" s="63">
        <f>-(Schedules!D26/Schedules!D25)</f>
        <v>0.27009188589747174</v>
      </c>
      <c r="E57" s="63">
        <f>-(Schedules!E26/Schedules!E25)</f>
        <v>0.35899061900790202</v>
      </c>
      <c r="F57" s="63">
        <f>-(Schedules!F26/Schedules!F25)</f>
        <v>0.4167507230086091</v>
      </c>
      <c r="G57" s="63">
        <f>-(Schedules!G26/Schedules!G25)</f>
        <v>0.34667809194167498</v>
      </c>
      <c r="H57" s="63">
        <f>-(Schedules!H26/Schedules!H25)</f>
        <v>0.37049180327868853</v>
      </c>
      <c r="I57" s="79">
        <f t="shared" ref="I57:N57" ca="1" si="57">OFFSET(I57,MATCH(S,$B$58:$B$60,0),0)</f>
        <v>0.32413287456939449</v>
      </c>
      <c r="J57" s="80">
        <f t="shared" ca="1" si="57"/>
        <v>0.32413287456939449</v>
      </c>
      <c r="K57" s="80">
        <f t="shared" ca="1" si="57"/>
        <v>0.32413287456939449</v>
      </c>
      <c r="L57" s="80">
        <f t="shared" ca="1" si="57"/>
        <v>0.32413287456939449</v>
      </c>
      <c r="M57" s="80">
        <f t="shared" ca="1" si="57"/>
        <v>0.32413287456939449</v>
      </c>
      <c r="N57" s="81">
        <f t="shared" ca="1" si="57"/>
        <v>0.32413287456939449</v>
      </c>
    </row>
    <row r="58" spans="2:14" x14ac:dyDescent="0.25">
      <c r="B58" t="s">
        <v>143</v>
      </c>
      <c r="H58" t="s">
        <v>154</v>
      </c>
      <c r="I58" s="63">
        <f>AVERAGE($C$57:$H$57)</f>
        <v>0.32413287456939449</v>
      </c>
      <c r="J58" s="63">
        <f t="shared" ref="J58:N58" si="58">AVERAGE($C$57:$H$57)</f>
        <v>0.32413287456939449</v>
      </c>
      <c r="K58" s="63">
        <f t="shared" si="58"/>
        <v>0.32413287456939449</v>
      </c>
      <c r="L58" s="63">
        <f t="shared" si="58"/>
        <v>0.32413287456939449</v>
      </c>
      <c r="M58" s="63">
        <f t="shared" si="58"/>
        <v>0.32413287456939449</v>
      </c>
      <c r="N58" s="63">
        <f t="shared" si="58"/>
        <v>0.32413287456939449</v>
      </c>
    </row>
    <row r="59" spans="2:14" x14ac:dyDescent="0.25">
      <c r="B59" t="s">
        <v>145</v>
      </c>
      <c r="H59" t="s">
        <v>155</v>
      </c>
      <c r="I59" s="63">
        <f>MIN($C$57:$H$57)</f>
        <v>0.18179412428202057</v>
      </c>
      <c r="J59" s="63">
        <f t="shared" ref="J59:N59" si="59">MIN($C$57:$H$57)</f>
        <v>0.18179412428202057</v>
      </c>
      <c r="K59" s="63">
        <f t="shared" si="59"/>
        <v>0.18179412428202057</v>
      </c>
      <c r="L59" s="63">
        <f t="shared" si="59"/>
        <v>0.18179412428202057</v>
      </c>
      <c r="M59" s="63">
        <f t="shared" si="59"/>
        <v>0.18179412428202057</v>
      </c>
      <c r="N59" s="63">
        <f t="shared" si="59"/>
        <v>0.18179412428202057</v>
      </c>
    </row>
    <row r="60" spans="2:14" x14ac:dyDescent="0.25">
      <c r="B60" t="s">
        <v>148</v>
      </c>
      <c r="H60" t="s">
        <v>156</v>
      </c>
      <c r="I60" s="63">
        <f>MAX($C$57:$H$57)</f>
        <v>0.4167507230086091</v>
      </c>
      <c r="J60" s="63">
        <f t="shared" ref="J60:N60" si="60">MAX($C$57:$H$57)</f>
        <v>0.4167507230086091</v>
      </c>
      <c r="K60" s="63">
        <f t="shared" si="60"/>
        <v>0.4167507230086091</v>
      </c>
      <c r="L60" s="63">
        <f t="shared" si="60"/>
        <v>0.4167507230086091</v>
      </c>
      <c r="M60" s="63">
        <f t="shared" si="60"/>
        <v>0.4167507230086091</v>
      </c>
      <c r="N60" s="63">
        <f t="shared" si="60"/>
        <v>0.4167507230086091</v>
      </c>
    </row>
    <row r="62" spans="2:14" x14ac:dyDescent="0.25">
      <c r="B62" s="2" t="s">
        <v>203</v>
      </c>
      <c r="I62" s="79">
        <f t="shared" ref="I62:N62" ca="1" si="61">OFFSET(I62,MATCH(S,$B$63:$B$65,0),0)</f>
        <v>4.6606145723779635E-2</v>
      </c>
      <c r="J62" s="80">
        <f t="shared" ca="1" si="61"/>
        <v>4.6606145723779635E-2</v>
      </c>
      <c r="K62" s="80">
        <f t="shared" ca="1" si="61"/>
        <v>4.6606145723779635E-2</v>
      </c>
      <c r="L62" s="80">
        <f t="shared" ca="1" si="61"/>
        <v>4.6606145723779635E-2</v>
      </c>
      <c r="M62" s="80">
        <f t="shared" ca="1" si="61"/>
        <v>4.6606145723779635E-2</v>
      </c>
      <c r="N62" s="81">
        <f t="shared" ca="1" si="61"/>
        <v>4.6606145723779635E-2</v>
      </c>
    </row>
    <row r="63" spans="2:14" x14ac:dyDescent="0.25">
      <c r="B63" t="s">
        <v>143</v>
      </c>
      <c r="H63" t="s">
        <v>154</v>
      </c>
      <c r="I63" s="63">
        <f t="shared" ref="I63:N63" ca="1" si="62">AVERAGE($I$3:$N$3)</f>
        <v>4.6606145723779635E-2</v>
      </c>
      <c r="J63" s="63">
        <f t="shared" ca="1" si="62"/>
        <v>4.6606145723779635E-2</v>
      </c>
      <c r="K63" s="63">
        <f t="shared" ca="1" si="62"/>
        <v>4.6606145723779635E-2</v>
      </c>
      <c r="L63" s="63">
        <f t="shared" ca="1" si="62"/>
        <v>4.6606145723779635E-2</v>
      </c>
      <c r="M63" s="63">
        <f t="shared" ca="1" si="62"/>
        <v>4.6606145723779635E-2</v>
      </c>
      <c r="N63" s="63">
        <f t="shared" ca="1" si="62"/>
        <v>4.6606145723779635E-2</v>
      </c>
    </row>
    <row r="64" spans="2:14" x14ac:dyDescent="0.25">
      <c r="B64" t="s">
        <v>145</v>
      </c>
      <c r="H64" t="s">
        <v>156</v>
      </c>
      <c r="I64" s="63">
        <f t="shared" ref="I64:N64" ca="1" si="63">MAX($I$3:$N$3)</f>
        <v>5.1703791599563509E-2</v>
      </c>
      <c r="J64" s="63">
        <f t="shared" ca="1" si="63"/>
        <v>5.1703791599563509E-2</v>
      </c>
      <c r="K64" s="63">
        <f t="shared" ca="1" si="63"/>
        <v>5.1703791599563509E-2</v>
      </c>
      <c r="L64" s="63">
        <f t="shared" ca="1" si="63"/>
        <v>5.1703791599563509E-2</v>
      </c>
      <c r="M64" s="63">
        <f t="shared" ca="1" si="63"/>
        <v>5.1703791599563509E-2</v>
      </c>
      <c r="N64" s="63">
        <f t="shared" ca="1" si="63"/>
        <v>5.1703791599563509E-2</v>
      </c>
    </row>
    <row r="65" spans="2:14" x14ac:dyDescent="0.25">
      <c r="B65" t="s">
        <v>148</v>
      </c>
      <c r="H65" t="s">
        <v>155</v>
      </c>
      <c r="I65" s="63">
        <f t="shared" ref="I65:N65" ca="1" si="64">MIN($I$3:$N$3)</f>
        <v>3.7352556617128219E-2</v>
      </c>
      <c r="J65" s="63">
        <f t="shared" ca="1" si="64"/>
        <v>3.7352556617128219E-2</v>
      </c>
      <c r="K65" s="63">
        <f t="shared" ca="1" si="64"/>
        <v>3.7352556617128219E-2</v>
      </c>
      <c r="L65" s="63">
        <f t="shared" ca="1" si="64"/>
        <v>3.7352556617128219E-2</v>
      </c>
      <c r="M65" s="63">
        <f t="shared" ca="1" si="64"/>
        <v>3.7352556617128219E-2</v>
      </c>
      <c r="N65" s="63">
        <f t="shared" ca="1" si="64"/>
        <v>3.7352556617128219E-2</v>
      </c>
    </row>
    <row r="67" spans="2:14" x14ac:dyDescent="0.25">
      <c r="B67" s="2" t="s">
        <v>210</v>
      </c>
      <c r="I67" s="79">
        <f t="shared" ref="I67:N67" ca="1" si="65">OFFSET(I67,MATCH(S,$B$68:$B$70,0),0)</f>
        <v>4.6606145723779635E-2</v>
      </c>
      <c r="J67" s="80">
        <f t="shared" ca="1" si="65"/>
        <v>4.6606145723779635E-2</v>
      </c>
      <c r="K67" s="80">
        <f t="shared" ca="1" si="65"/>
        <v>4.6606145723779635E-2</v>
      </c>
      <c r="L67" s="80">
        <f t="shared" ca="1" si="65"/>
        <v>4.6606145723779635E-2</v>
      </c>
      <c r="M67" s="80">
        <f t="shared" ca="1" si="65"/>
        <v>4.6606145723779635E-2</v>
      </c>
      <c r="N67" s="81">
        <f t="shared" ca="1" si="65"/>
        <v>4.6606145723779635E-2</v>
      </c>
    </row>
    <row r="68" spans="2:14" x14ac:dyDescent="0.25">
      <c r="B68" t="s">
        <v>143</v>
      </c>
      <c r="H68" t="s">
        <v>154</v>
      </c>
      <c r="I68" s="63">
        <f t="shared" ref="I68:N68" ca="1" si="66">AVERAGE($I$3:$N$3)</f>
        <v>4.6606145723779635E-2</v>
      </c>
      <c r="J68" s="63">
        <f t="shared" ca="1" si="66"/>
        <v>4.6606145723779635E-2</v>
      </c>
      <c r="K68" s="63">
        <f t="shared" ca="1" si="66"/>
        <v>4.6606145723779635E-2</v>
      </c>
      <c r="L68" s="63">
        <f t="shared" ca="1" si="66"/>
        <v>4.6606145723779635E-2</v>
      </c>
      <c r="M68" s="63">
        <f t="shared" ca="1" si="66"/>
        <v>4.6606145723779635E-2</v>
      </c>
      <c r="N68" s="63">
        <f t="shared" ca="1" si="66"/>
        <v>4.6606145723779635E-2</v>
      </c>
    </row>
    <row r="69" spans="2:14" x14ac:dyDescent="0.25">
      <c r="B69" t="s">
        <v>145</v>
      </c>
      <c r="H69" t="s">
        <v>156</v>
      </c>
      <c r="I69" s="63">
        <f t="shared" ref="I69:N69" ca="1" si="67">MAX($I$3:$N$3)</f>
        <v>5.1703791599563509E-2</v>
      </c>
      <c r="J69" s="63">
        <f t="shared" ca="1" si="67"/>
        <v>5.1703791599563509E-2</v>
      </c>
      <c r="K69" s="63">
        <f t="shared" ca="1" si="67"/>
        <v>5.1703791599563509E-2</v>
      </c>
      <c r="L69" s="63">
        <f t="shared" ca="1" si="67"/>
        <v>5.1703791599563509E-2</v>
      </c>
      <c r="M69" s="63">
        <f t="shared" ca="1" si="67"/>
        <v>5.1703791599563509E-2</v>
      </c>
      <c r="N69" s="63">
        <f t="shared" ca="1" si="67"/>
        <v>5.1703791599563509E-2</v>
      </c>
    </row>
    <row r="70" spans="2:14" x14ac:dyDescent="0.25">
      <c r="B70" t="s">
        <v>148</v>
      </c>
      <c r="H70" t="s">
        <v>155</v>
      </c>
      <c r="I70" s="63">
        <f t="shared" ref="I70:N70" ca="1" si="68">MIN($I$3:$N$3)</f>
        <v>3.7352556617128219E-2</v>
      </c>
      <c r="J70" s="63">
        <f t="shared" ca="1" si="68"/>
        <v>3.7352556617128219E-2</v>
      </c>
      <c r="K70" s="63">
        <f t="shared" ca="1" si="68"/>
        <v>3.7352556617128219E-2</v>
      </c>
      <c r="L70" s="63">
        <f t="shared" ca="1" si="68"/>
        <v>3.7352556617128219E-2</v>
      </c>
      <c r="M70" s="63">
        <f t="shared" ca="1" si="68"/>
        <v>3.7352556617128219E-2</v>
      </c>
      <c r="N70" s="63">
        <f t="shared" ca="1" si="68"/>
        <v>3.7352556617128219E-2</v>
      </c>
    </row>
    <row r="72" spans="2:14" x14ac:dyDescent="0.25">
      <c r="B72" s="2" t="s">
        <v>35</v>
      </c>
      <c r="I72" s="79">
        <f t="shared" ref="I72:N72" ca="1" si="69">OFFSET(I72,MATCH(S,$B$73:$B$75,0),0)</f>
        <v>4.6606145723779635E-2</v>
      </c>
      <c r="J72" s="80">
        <f t="shared" ca="1" si="69"/>
        <v>4.6606145723779635E-2</v>
      </c>
      <c r="K72" s="80">
        <f t="shared" ca="1" si="69"/>
        <v>4.6606145723779635E-2</v>
      </c>
      <c r="L72" s="80">
        <f t="shared" ca="1" si="69"/>
        <v>4.6606145723779635E-2</v>
      </c>
      <c r="M72" s="80">
        <f t="shared" ca="1" si="69"/>
        <v>4.6606145723779635E-2</v>
      </c>
      <c r="N72" s="81">
        <f t="shared" ca="1" si="69"/>
        <v>4.6606145723779635E-2</v>
      </c>
    </row>
    <row r="73" spans="2:14" x14ac:dyDescent="0.25">
      <c r="B73" t="s">
        <v>143</v>
      </c>
      <c r="H73" t="s">
        <v>154</v>
      </c>
      <c r="I73" s="63">
        <f t="shared" ref="I73:N73" ca="1" si="70">AVERAGE($I$3:$N$3)</f>
        <v>4.6606145723779635E-2</v>
      </c>
      <c r="J73" s="63">
        <f t="shared" ca="1" si="70"/>
        <v>4.6606145723779635E-2</v>
      </c>
      <c r="K73" s="63">
        <f t="shared" ca="1" si="70"/>
        <v>4.6606145723779635E-2</v>
      </c>
      <c r="L73" s="63">
        <f t="shared" ca="1" si="70"/>
        <v>4.6606145723779635E-2</v>
      </c>
      <c r="M73" s="63">
        <f t="shared" ca="1" si="70"/>
        <v>4.6606145723779635E-2</v>
      </c>
      <c r="N73" s="63">
        <f t="shared" ca="1" si="70"/>
        <v>4.6606145723779635E-2</v>
      </c>
    </row>
    <row r="74" spans="2:14" x14ac:dyDescent="0.25">
      <c r="B74" t="s">
        <v>145</v>
      </c>
      <c r="H74" t="s">
        <v>156</v>
      </c>
      <c r="I74" s="63">
        <f t="shared" ref="I74:N74" ca="1" si="71">MAX($I$3:$N$3)</f>
        <v>5.1703791599563509E-2</v>
      </c>
      <c r="J74" s="63">
        <f t="shared" ca="1" si="71"/>
        <v>5.1703791599563509E-2</v>
      </c>
      <c r="K74" s="63">
        <f t="shared" ca="1" si="71"/>
        <v>5.1703791599563509E-2</v>
      </c>
      <c r="L74" s="63">
        <f t="shared" ca="1" si="71"/>
        <v>5.1703791599563509E-2</v>
      </c>
      <c r="M74" s="63">
        <f t="shared" ca="1" si="71"/>
        <v>5.1703791599563509E-2</v>
      </c>
      <c r="N74" s="63">
        <f t="shared" ca="1" si="71"/>
        <v>5.1703791599563509E-2</v>
      </c>
    </row>
    <row r="75" spans="2:14" x14ac:dyDescent="0.25">
      <c r="B75" t="s">
        <v>148</v>
      </c>
      <c r="H75" t="s">
        <v>155</v>
      </c>
      <c r="I75" s="63">
        <f t="shared" ref="I75:N75" ca="1" si="72">MIN($I$3:$N$3)</f>
        <v>3.7352556617128219E-2</v>
      </c>
      <c r="J75" s="63">
        <f t="shared" ca="1" si="72"/>
        <v>3.7352556617128219E-2</v>
      </c>
      <c r="K75" s="63">
        <f t="shared" ca="1" si="72"/>
        <v>3.7352556617128219E-2</v>
      </c>
      <c r="L75" s="63">
        <f t="shared" ca="1" si="72"/>
        <v>3.7352556617128219E-2</v>
      </c>
      <c r="M75" s="63">
        <f t="shared" ca="1" si="72"/>
        <v>3.7352556617128219E-2</v>
      </c>
      <c r="N75" s="63">
        <f t="shared" ca="1" si="72"/>
        <v>3.7352556617128219E-2</v>
      </c>
    </row>
    <row r="77" spans="2:14" x14ac:dyDescent="0.25">
      <c r="B77" s="2" t="s">
        <v>39</v>
      </c>
      <c r="I77" s="79">
        <f t="shared" ref="I77:N77" ca="1" si="73">OFFSET(I77,MATCH(S,$B$78:$B$80,0),0)</f>
        <v>4.8252994533622529E-2</v>
      </c>
      <c r="J77" s="80">
        <f t="shared" ca="1" si="73"/>
        <v>4.8252994533622529E-2</v>
      </c>
      <c r="K77" s="80">
        <f t="shared" ca="1" si="73"/>
        <v>4.8252994533622529E-2</v>
      </c>
      <c r="L77" s="80">
        <f t="shared" ca="1" si="73"/>
        <v>4.8252994533622529E-2</v>
      </c>
      <c r="M77" s="80">
        <f t="shared" ca="1" si="73"/>
        <v>4.8252994533622529E-2</v>
      </c>
      <c r="N77" s="81">
        <f t="shared" ca="1" si="73"/>
        <v>4.8252994533622529E-2</v>
      </c>
    </row>
    <row r="78" spans="2:14" x14ac:dyDescent="0.25">
      <c r="B78" t="s">
        <v>143</v>
      </c>
      <c r="H78" t="s">
        <v>154</v>
      </c>
      <c r="I78" s="63">
        <f t="shared" ref="I78:N78" ca="1" si="74">AVERAGE($I$4:$N$4)</f>
        <v>4.8252994533622529E-2</v>
      </c>
      <c r="J78" s="63">
        <f t="shared" ca="1" si="74"/>
        <v>4.8252994533622529E-2</v>
      </c>
      <c r="K78" s="63">
        <f t="shared" ca="1" si="74"/>
        <v>4.8252994533622529E-2</v>
      </c>
      <c r="L78" s="63">
        <f t="shared" ca="1" si="74"/>
        <v>4.8252994533622529E-2</v>
      </c>
      <c r="M78" s="63">
        <f t="shared" ca="1" si="74"/>
        <v>4.8252994533622529E-2</v>
      </c>
      <c r="N78" s="63">
        <f t="shared" ca="1" si="74"/>
        <v>4.8252994533622529E-2</v>
      </c>
    </row>
    <row r="79" spans="2:14" x14ac:dyDescent="0.25">
      <c r="B79" t="s">
        <v>145</v>
      </c>
      <c r="H79" t="s">
        <v>155</v>
      </c>
      <c r="I79" s="63">
        <f t="shared" ref="I79:N79" ca="1" si="75">MIN($I$4:$N$4)</f>
        <v>3.7352556617128219E-2</v>
      </c>
      <c r="J79" s="63">
        <f t="shared" ca="1" si="75"/>
        <v>3.7352556617128219E-2</v>
      </c>
      <c r="K79" s="63">
        <f t="shared" ca="1" si="75"/>
        <v>3.7352556617128219E-2</v>
      </c>
      <c r="L79" s="63">
        <f t="shared" ca="1" si="75"/>
        <v>3.7352556617128219E-2</v>
      </c>
      <c r="M79" s="63">
        <f t="shared" ca="1" si="75"/>
        <v>3.7352556617128219E-2</v>
      </c>
      <c r="N79" s="63">
        <f t="shared" ca="1" si="75"/>
        <v>3.7352556617128219E-2</v>
      </c>
    </row>
    <row r="80" spans="2:14" x14ac:dyDescent="0.25">
      <c r="B80" t="s">
        <v>148</v>
      </c>
      <c r="H80" t="s">
        <v>156</v>
      </c>
      <c r="I80" s="63">
        <f t="shared" ref="I80:N80" ca="1" si="76">MAX($I$4:$N$4)</f>
        <v>5.1703791599563731E-2</v>
      </c>
      <c r="J80" s="63">
        <f t="shared" ca="1" si="76"/>
        <v>5.1703791599563731E-2</v>
      </c>
      <c r="K80" s="63">
        <f t="shared" ca="1" si="76"/>
        <v>5.1703791599563731E-2</v>
      </c>
      <c r="L80" s="63">
        <f t="shared" ca="1" si="76"/>
        <v>5.1703791599563731E-2</v>
      </c>
      <c r="M80" s="63">
        <f t="shared" ca="1" si="76"/>
        <v>5.1703791599563731E-2</v>
      </c>
      <c r="N80" s="63">
        <f t="shared" ca="1" si="76"/>
        <v>5.1703791599563731E-2</v>
      </c>
    </row>
    <row r="82" spans="2:14" x14ac:dyDescent="0.25">
      <c r="B82" s="2" t="s">
        <v>40</v>
      </c>
      <c r="I82" s="79">
        <f t="shared" ref="I82:N82" ca="1" si="77">OFFSET(I82,MATCH(S,$B$83:$B$85,0),0)</f>
        <v>4.8252994533622529E-2</v>
      </c>
      <c r="J82" s="80">
        <f t="shared" ca="1" si="77"/>
        <v>4.8252994533622529E-2</v>
      </c>
      <c r="K82" s="80">
        <f t="shared" ca="1" si="77"/>
        <v>4.8252994533622529E-2</v>
      </c>
      <c r="L82" s="80">
        <f t="shared" ca="1" si="77"/>
        <v>4.8252994533622529E-2</v>
      </c>
      <c r="M82" s="80">
        <f t="shared" ca="1" si="77"/>
        <v>4.8252994533622529E-2</v>
      </c>
      <c r="N82" s="81">
        <f t="shared" ca="1" si="77"/>
        <v>4.8252994533622529E-2</v>
      </c>
    </row>
    <row r="83" spans="2:14" x14ac:dyDescent="0.25">
      <c r="B83" t="s">
        <v>143</v>
      </c>
      <c r="H83" t="s">
        <v>154</v>
      </c>
      <c r="I83" s="63">
        <f t="shared" ref="I83:N83" ca="1" si="78">AVERAGE($I$4:$N$4)</f>
        <v>4.8252994533622529E-2</v>
      </c>
      <c r="J83" s="63">
        <f t="shared" ca="1" si="78"/>
        <v>4.8252994533622529E-2</v>
      </c>
      <c r="K83" s="63">
        <f t="shared" ca="1" si="78"/>
        <v>4.8252994533622529E-2</v>
      </c>
      <c r="L83" s="63">
        <f t="shared" ca="1" si="78"/>
        <v>4.8252994533622529E-2</v>
      </c>
      <c r="M83" s="63">
        <f t="shared" ca="1" si="78"/>
        <v>4.8252994533622529E-2</v>
      </c>
      <c r="N83" s="63">
        <f t="shared" ca="1" si="78"/>
        <v>4.8252994533622529E-2</v>
      </c>
    </row>
    <row r="84" spans="2:14" x14ac:dyDescent="0.25">
      <c r="B84" t="s">
        <v>145</v>
      </c>
      <c r="H84" t="s">
        <v>155</v>
      </c>
      <c r="I84" s="63">
        <f t="shared" ref="I84:N84" ca="1" si="79">MIN($I$4:$N$4)</f>
        <v>3.7352556617128219E-2</v>
      </c>
      <c r="J84" s="63">
        <f t="shared" ca="1" si="79"/>
        <v>3.7352556617128219E-2</v>
      </c>
      <c r="K84" s="63">
        <f t="shared" ca="1" si="79"/>
        <v>3.7352556617128219E-2</v>
      </c>
      <c r="L84" s="63">
        <f t="shared" ca="1" si="79"/>
        <v>3.7352556617128219E-2</v>
      </c>
      <c r="M84" s="63">
        <f t="shared" ca="1" si="79"/>
        <v>3.7352556617128219E-2</v>
      </c>
      <c r="N84" s="63">
        <f t="shared" ca="1" si="79"/>
        <v>3.7352556617128219E-2</v>
      </c>
    </row>
    <row r="85" spans="2:14" x14ac:dyDescent="0.25">
      <c r="B85" t="s">
        <v>148</v>
      </c>
      <c r="H85" t="s">
        <v>156</v>
      </c>
      <c r="I85" s="63">
        <f t="shared" ref="I85:N85" ca="1" si="80">MAX($I$4:$N$4)</f>
        <v>5.1703791599563731E-2</v>
      </c>
      <c r="J85" s="63">
        <f t="shared" ca="1" si="80"/>
        <v>5.1703791599563731E-2</v>
      </c>
      <c r="K85" s="63">
        <f t="shared" ca="1" si="80"/>
        <v>5.1703791599563731E-2</v>
      </c>
      <c r="L85" s="63">
        <f t="shared" ca="1" si="80"/>
        <v>5.1703791599563731E-2</v>
      </c>
      <c r="M85" s="63">
        <f t="shared" ca="1" si="80"/>
        <v>5.1703791599563731E-2</v>
      </c>
      <c r="N85" s="63">
        <f t="shared" ca="1" si="80"/>
        <v>5.1703791599563731E-2</v>
      </c>
    </row>
    <row r="87" spans="2:14" x14ac:dyDescent="0.25">
      <c r="B87" s="2" t="s">
        <v>41</v>
      </c>
      <c r="I87" s="79">
        <f t="shared" ref="I87:N87" ca="1" si="81">OFFSET(I87,MATCH(S,$B$88:$B$90,0),0)</f>
        <v>4.8252994533622529E-2</v>
      </c>
      <c r="J87" s="80">
        <f t="shared" ca="1" si="81"/>
        <v>4.8252994533622529E-2</v>
      </c>
      <c r="K87" s="80">
        <f t="shared" ca="1" si="81"/>
        <v>4.8252994533622529E-2</v>
      </c>
      <c r="L87" s="80">
        <f t="shared" ca="1" si="81"/>
        <v>4.8252994533622529E-2</v>
      </c>
      <c r="M87" s="80">
        <f t="shared" ca="1" si="81"/>
        <v>4.8252994533622529E-2</v>
      </c>
      <c r="N87" s="81">
        <f t="shared" ca="1" si="81"/>
        <v>4.8252994533622529E-2</v>
      </c>
    </row>
    <row r="88" spans="2:14" x14ac:dyDescent="0.25">
      <c r="B88" t="s">
        <v>143</v>
      </c>
      <c r="H88" t="s">
        <v>154</v>
      </c>
      <c r="I88" s="63">
        <f t="shared" ref="I88:N88" ca="1" si="82">AVERAGE($I$4:$N$4)</f>
        <v>4.8252994533622529E-2</v>
      </c>
      <c r="J88" s="63">
        <f t="shared" ca="1" si="82"/>
        <v>4.8252994533622529E-2</v>
      </c>
      <c r="K88" s="63">
        <f t="shared" ca="1" si="82"/>
        <v>4.8252994533622529E-2</v>
      </c>
      <c r="L88" s="63">
        <f t="shared" ca="1" si="82"/>
        <v>4.8252994533622529E-2</v>
      </c>
      <c r="M88" s="63">
        <f t="shared" ca="1" si="82"/>
        <v>4.8252994533622529E-2</v>
      </c>
      <c r="N88" s="63">
        <f t="shared" ca="1" si="82"/>
        <v>4.8252994533622529E-2</v>
      </c>
    </row>
    <row r="89" spans="2:14" x14ac:dyDescent="0.25">
      <c r="B89" t="s">
        <v>145</v>
      </c>
      <c r="H89" t="s">
        <v>155</v>
      </c>
      <c r="I89" s="63">
        <f t="shared" ref="I89:N89" ca="1" si="83">MIN(I4:N4)</f>
        <v>3.7352556617128219E-2</v>
      </c>
      <c r="J89" s="63">
        <f t="shared" ca="1" si="83"/>
        <v>3.7352556617128219E-2</v>
      </c>
      <c r="K89" s="63">
        <f t="shared" ca="1" si="83"/>
        <v>4.8713210110490124E-2</v>
      </c>
      <c r="L89" s="63">
        <f t="shared" ca="1" si="83"/>
        <v>4.8713210110490124E-2</v>
      </c>
      <c r="M89" s="63">
        <f t="shared" ca="1" si="83"/>
        <v>4.8713210110490124E-2</v>
      </c>
      <c r="N89" s="63">
        <f t="shared" ca="1" si="83"/>
        <v>4.8713210110490124E-2</v>
      </c>
    </row>
    <row r="90" spans="2:14" x14ac:dyDescent="0.25">
      <c r="B90" t="s">
        <v>148</v>
      </c>
      <c r="H90" t="s">
        <v>156</v>
      </c>
      <c r="I90" s="63">
        <f t="shared" ref="I90:N90" ca="1" si="84">MAX($I$4:$N$4)</f>
        <v>5.1703791599563731E-2</v>
      </c>
      <c r="J90" s="63">
        <f t="shared" ca="1" si="84"/>
        <v>5.1703791599563731E-2</v>
      </c>
      <c r="K90" s="63">
        <f t="shared" ca="1" si="84"/>
        <v>5.1703791599563731E-2</v>
      </c>
      <c r="L90" s="63">
        <f t="shared" ca="1" si="84"/>
        <v>5.1703791599563731E-2</v>
      </c>
      <c r="M90" s="63">
        <f t="shared" ca="1" si="84"/>
        <v>5.1703791599563731E-2</v>
      </c>
      <c r="N90" s="63">
        <f t="shared" ca="1" si="84"/>
        <v>5.1703791599563731E-2</v>
      </c>
    </row>
    <row r="92" spans="2:14" x14ac:dyDescent="0.25">
      <c r="B92" s="2" t="s">
        <v>196</v>
      </c>
      <c r="I92" s="79">
        <f t="shared" ref="I92:N92" ca="1" si="85">OFFSET(I92,MATCH(S,$B$93:$B$95,0),0)</f>
        <v>5.9452030799627686E-2</v>
      </c>
      <c r="J92" s="80">
        <f t="shared" ca="1" si="85"/>
        <v>5.9452030799627686E-2</v>
      </c>
      <c r="K92" s="80">
        <f t="shared" ca="1" si="85"/>
        <v>5.9452030799627686E-2</v>
      </c>
      <c r="L92" s="80">
        <f t="shared" ca="1" si="85"/>
        <v>5.9452030799627686E-2</v>
      </c>
      <c r="M92" s="80">
        <f t="shared" ca="1" si="85"/>
        <v>5.9452030799627686E-2</v>
      </c>
      <c r="N92" s="81">
        <f t="shared" ca="1" si="85"/>
        <v>5.9452030799627686E-2</v>
      </c>
    </row>
    <row r="93" spans="2:14" x14ac:dyDescent="0.25">
      <c r="B93" t="s">
        <v>143</v>
      </c>
      <c r="H93" t="s">
        <v>154</v>
      </c>
      <c r="I93" s="63">
        <f t="shared" ref="I93:N93" ca="1" si="86">AVERAGE($I$5:$N$5)</f>
        <v>5.9452030799627686E-2</v>
      </c>
      <c r="J93" s="63">
        <f t="shared" ca="1" si="86"/>
        <v>5.9452030799627686E-2</v>
      </c>
      <c r="K93" s="63">
        <f t="shared" ca="1" si="86"/>
        <v>5.9452030799627686E-2</v>
      </c>
      <c r="L93" s="63">
        <f t="shared" ca="1" si="86"/>
        <v>5.9452030799627686E-2</v>
      </c>
      <c r="M93" s="63">
        <f t="shared" ca="1" si="86"/>
        <v>5.9452030799627686E-2</v>
      </c>
      <c r="N93" s="63">
        <f t="shared" ca="1" si="86"/>
        <v>5.9452030799627686E-2</v>
      </c>
    </row>
    <row r="94" spans="2:14" x14ac:dyDescent="0.25">
      <c r="B94" t="s">
        <v>145</v>
      </c>
      <c r="H94" t="s">
        <v>155</v>
      </c>
      <c r="I94" s="63">
        <f t="shared" ref="I94:N94" ca="1" si="87">MIN($I$5:$N$5)</f>
        <v>4.6606145723779635E-2</v>
      </c>
      <c r="J94" s="63">
        <f t="shared" ca="1" si="87"/>
        <v>4.6606145723779635E-2</v>
      </c>
      <c r="K94" s="63">
        <f t="shared" ca="1" si="87"/>
        <v>4.6606145723779635E-2</v>
      </c>
      <c r="L94" s="63">
        <f t="shared" ca="1" si="87"/>
        <v>4.6606145723779635E-2</v>
      </c>
      <c r="M94" s="63">
        <f t="shared" ca="1" si="87"/>
        <v>4.6606145723779635E-2</v>
      </c>
      <c r="N94" s="63">
        <f t="shared" ca="1" si="87"/>
        <v>4.6606145723779635E-2</v>
      </c>
    </row>
    <row r="95" spans="2:14" x14ac:dyDescent="0.25">
      <c r="B95" t="s">
        <v>148</v>
      </c>
      <c r="H95" t="s">
        <v>156</v>
      </c>
      <c r="I95" s="63">
        <f t="shared" ref="I95:N95" ca="1" si="88">MAX($I$5:$N$5)</f>
        <v>0.12368145617886772</v>
      </c>
      <c r="J95" s="63">
        <f t="shared" ca="1" si="88"/>
        <v>0.12368145617886772</v>
      </c>
      <c r="K95" s="63">
        <f t="shared" ca="1" si="88"/>
        <v>0.12368145617886772</v>
      </c>
      <c r="L95" s="63">
        <f t="shared" ca="1" si="88"/>
        <v>0.12368145617886772</v>
      </c>
      <c r="M95" s="63">
        <f t="shared" ca="1" si="88"/>
        <v>0.12368145617886772</v>
      </c>
      <c r="N95" s="63">
        <f t="shared" ca="1" si="88"/>
        <v>0.12368145617886772</v>
      </c>
    </row>
    <row r="97" spans="2:14" x14ac:dyDescent="0.25">
      <c r="B97" s="2" t="s">
        <v>36</v>
      </c>
      <c r="C97" s="28">
        <v>6494</v>
      </c>
      <c r="D97" s="28">
        <v>16970</v>
      </c>
      <c r="E97" s="28">
        <v>46455</v>
      </c>
      <c r="F97" s="28">
        <v>23903</v>
      </c>
      <c r="G97" s="28">
        <v>16749</v>
      </c>
      <c r="H97" s="28">
        <v>12435</v>
      </c>
      <c r="I97" s="126">
        <f t="shared" ref="I97:N97" ca="1" si="89">OFFSET(I97,MATCH(S,$B$98:$B$100,0),0)</f>
        <v>20501</v>
      </c>
      <c r="J97" s="127">
        <f t="shared" ca="1" si="89"/>
        <v>20501</v>
      </c>
      <c r="K97" s="127">
        <f t="shared" ca="1" si="89"/>
        <v>20501</v>
      </c>
      <c r="L97" s="127">
        <f t="shared" ca="1" si="89"/>
        <v>20501</v>
      </c>
      <c r="M97" s="127">
        <f t="shared" ca="1" si="89"/>
        <v>20501</v>
      </c>
      <c r="N97" s="128">
        <f t="shared" ca="1" si="89"/>
        <v>20501</v>
      </c>
    </row>
    <row r="98" spans="2:14" x14ac:dyDescent="0.25">
      <c r="B98" t="s">
        <v>143</v>
      </c>
      <c r="H98" t="s">
        <v>160</v>
      </c>
      <c r="I98" s="28">
        <f>AVERAGE($C$97:$H$97)</f>
        <v>20501</v>
      </c>
      <c r="J98" s="28">
        <f t="shared" ref="J98:N98" si="90">AVERAGE($C$97:$H$97)</f>
        <v>20501</v>
      </c>
      <c r="K98" s="28">
        <f t="shared" si="90"/>
        <v>20501</v>
      </c>
      <c r="L98" s="28">
        <f t="shared" si="90"/>
        <v>20501</v>
      </c>
      <c r="M98" s="28">
        <f t="shared" si="90"/>
        <v>20501</v>
      </c>
      <c r="N98" s="28">
        <f t="shared" si="90"/>
        <v>20501</v>
      </c>
    </row>
    <row r="99" spans="2:14" x14ac:dyDescent="0.25">
      <c r="B99" t="s">
        <v>145</v>
      </c>
      <c r="H99" t="s">
        <v>156</v>
      </c>
      <c r="I99" s="28">
        <f>MAX($C$97:$H$97)</f>
        <v>46455</v>
      </c>
      <c r="J99" s="28">
        <f t="shared" ref="J99:N99" si="91">MAX($C$97:$H$97)</f>
        <v>46455</v>
      </c>
      <c r="K99" s="28">
        <f t="shared" si="91"/>
        <v>46455</v>
      </c>
      <c r="L99" s="28">
        <f t="shared" si="91"/>
        <v>46455</v>
      </c>
      <c r="M99" s="28">
        <f t="shared" si="91"/>
        <v>46455</v>
      </c>
      <c r="N99" s="28">
        <f t="shared" si="91"/>
        <v>46455</v>
      </c>
    </row>
    <row r="100" spans="2:14" x14ac:dyDescent="0.25">
      <c r="B100" t="s">
        <v>148</v>
      </c>
      <c r="H100" t="s">
        <v>155</v>
      </c>
      <c r="I100" s="28">
        <f>MIN($C$97:$H$97)</f>
        <v>6494</v>
      </c>
      <c r="J100" s="28">
        <f t="shared" ref="J100:N100" si="92">MIN($C$97:$H$97)</f>
        <v>6494</v>
      </c>
      <c r="K100" s="28">
        <f t="shared" si="92"/>
        <v>6494</v>
      </c>
      <c r="L100" s="28">
        <f t="shared" si="92"/>
        <v>6494</v>
      </c>
      <c r="M100" s="28">
        <f t="shared" si="92"/>
        <v>6494</v>
      </c>
      <c r="N100" s="28">
        <f t="shared" si="92"/>
        <v>6494</v>
      </c>
    </row>
    <row r="102" spans="2:14" x14ac:dyDescent="0.25">
      <c r="B102" s="2" t="s">
        <v>256</v>
      </c>
      <c r="C102" s="125">
        <f>Schedules!C78/Schedules!C38</f>
        <v>0</v>
      </c>
      <c r="D102" s="125">
        <f>Schedules!D78/Schedules!D38</f>
        <v>0</v>
      </c>
      <c r="E102" s="125">
        <f>Schedules!E78/Schedules!E38</f>
        <v>1.3590229150467061E-2</v>
      </c>
      <c r="F102" s="125">
        <f>Schedules!F78/Schedules!F38</f>
        <v>3.2433990351790294E-2</v>
      </c>
      <c r="G102" s="125">
        <f>Schedules!G78/Schedules!G38</f>
        <v>1.7451234434607357E-2</v>
      </c>
      <c r="H102" s="125">
        <f>Schedules!H78/Schedules!H38</f>
        <v>1.0830214055634198E-2</v>
      </c>
      <c r="I102" s="129">
        <f t="shared" ref="I102:N102" ca="1" si="93">OFFSET(I102,MATCH(S,$B$103:$B$105,0),0)</f>
        <v>1.2384277998749818E-2</v>
      </c>
      <c r="J102" s="130">
        <f t="shared" ca="1" si="93"/>
        <v>1.2384277998749818E-2</v>
      </c>
      <c r="K102" s="130">
        <f t="shared" ca="1" si="93"/>
        <v>1.2384277998749818E-2</v>
      </c>
      <c r="L102" s="130">
        <f t="shared" ca="1" si="93"/>
        <v>1.2384277998749818E-2</v>
      </c>
      <c r="M102" s="130">
        <f t="shared" ca="1" si="93"/>
        <v>1.2384277998749818E-2</v>
      </c>
      <c r="N102" s="131">
        <f t="shared" ca="1" si="93"/>
        <v>1.2384277998749818E-2</v>
      </c>
    </row>
    <row r="103" spans="2:14" x14ac:dyDescent="0.25">
      <c r="B103" t="s">
        <v>143</v>
      </c>
      <c r="H103" t="s">
        <v>154</v>
      </c>
      <c r="I103" s="71">
        <f>AVERAGE($C$102:$H$102)</f>
        <v>1.2384277998749818E-2</v>
      </c>
      <c r="J103" s="71">
        <f t="shared" ref="J103:N103" si="94">AVERAGE($C$102:$H$102)</f>
        <v>1.2384277998749818E-2</v>
      </c>
      <c r="K103" s="71">
        <f t="shared" si="94"/>
        <v>1.2384277998749818E-2</v>
      </c>
      <c r="L103" s="71">
        <f t="shared" si="94"/>
        <v>1.2384277998749818E-2</v>
      </c>
      <c r="M103" s="71">
        <f t="shared" si="94"/>
        <v>1.2384277998749818E-2</v>
      </c>
      <c r="N103" s="71">
        <f t="shared" si="94"/>
        <v>1.2384277998749818E-2</v>
      </c>
    </row>
    <row r="104" spans="2:14" x14ac:dyDescent="0.25">
      <c r="B104" t="s">
        <v>145</v>
      </c>
      <c r="H104" t="s">
        <v>156</v>
      </c>
      <c r="I104" s="71">
        <f>MAX($C$102:$H$102)</f>
        <v>3.2433990351790294E-2</v>
      </c>
      <c r="J104" s="71">
        <f t="shared" ref="J104:N104" si="95">MAX($C$102:$H$102)</f>
        <v>3.2433990351790294E-2</v>
      </c>
      <c r="K104" s="71">
        <f t="shared" si="95"/>
        <v>3.2433990351790294E-2</v>
      </c>
      <c r="L104" s="71">
        <f t="shared" si="95"/>
        <v>3.2433990351790294E-2</v>
      </c>
      <c r="M104" s="71">
        <f t="shared" si="95"/>
        <v>3.2433990351790294E-2</v>
      </c>
      <c r="N104" s="71">
        <f t="shared" si="95"/>
        <v>3.2433990351790294E-2</v>
      </c>
    </row>
    <row r="105" spans="2:14" x14ac:dyDescent="0.25">
      <c r="B105" t="s">
        <v>148</v>
      </c>
      <c r="H105" t="s">
        <v>155</v>
      </c>
      <c r="I105" s="71" cm="1">
        <f t="array" ref="I105">MIN(IF($C$102:$H$102&gt;0.5%,$C$102:$H$102))</f>
        <v>1.0830214055634198E-2</v>
      </c>
      <c r="J105" s="71" cm="1">
        <f t="array" ref="J105">MIN(IF($C$102:$H$102&gt;0.5%,$C$102:$H$102))</f>
        <v>1.0830214055634198E-2</v>
      </c>
      <c r="K105" s="71" cm="1">
        <f t="array" ref="K105">MIN(IF($C$102:$H$102&gt;0.5%,$C$102:$H$102))</f>
        <v>1.0830214055634198E-2</v>
      </c>
      <c r="L105" s="71" cm="1">
        <f t="array" ref="L105">MIN(IF($C$102:$H$102&gt;0.5%,$C$102:$H$102))</f>
        <v>1.0830214055634198E-2</v>
      </c>
      <c r="M105" s="71" cm="1">
        <f t="array" ref="M105">MIN(IF($C$102:$H$102&gt;0.5%,$C$102:$H$102))</f>
        <v>1.0830214055634198E-2</v>
      </c>
      <c r="N105" s="71" cm="1">
        <f t="array" ref="N105">MIN(IF($C$102:$H$102&gt;0.5%,$C$102:$H$102))</f>
        <v>1.0830214055634198E-2</v>
      </c>
    </row>
    <row r="107" spans="2:14" x14ac:dyDescent="0.25">
      <c r="B107" s="2" t="s">
        <v>27</v>
      </c>
      <c r="I107" s="79">
        <f t="shared" ref="I107:N107" ca="1" si="96">OFFSET(I107,MATCH(S,$B$108:$B$110,0),0)</f>
        <v>4.6606145723779635E-2</v>
      </c>
      <c r="J107" s="80">
        <f t="shared" ca="1" si="96"/>
        <v>4.6606145723779635E-2</v>
      </c>
      <c r="K107" s="80">
        <f t="shared" ca="1" si="96"/>
        <v>4.6606145723779635E-2</v>
      </c>
      <c r="L107" s="80">
        <f t="shared" ca="1" si="96"/>
        <v>4.6606145723779635E-2</v>
      </c>
      <c r="M107" s="80">
        <f t="shared" ca="1" si="96"/>
        <v>4.6606145723779635E-2</v>
      </c>
      <c r="N107" s="81">
        <f t="shared" ca="1" si="96"/>
        <v>4.6606145723779635E-2</v>
      </c>
    </row>
    <row r="108" spans="2:14" x14ac:dyDescent="0.25">
      <c r="B108" t="s">
        <v>143</v>
      </c>
      <c r="H108" t="s">
        <v>154</v>
      </c>
      <c r="I108" s="63">
        <f t="shared" ref="I108:N108" ca="1" si="97">AVERAGE($I$3:$N$3)</f>
        <v>4.6606145723779635E-2</v>
      </c>
      <c r="J108" s="63">
        <f t="shared" ca="1" si="97"/>
        <v>4.6606145723779635E-2</v>
      </c>
      <c r="K108" s="63">
        <f t="shared" ca="1" si="97"/>
        <v>4.6606145723779635E-2</v>
      </c>
      <c r="L108" s="63">
        <f t="shared" ca="1" si="97"/>
        <v>4.6606145723779635E-2</v>
      </c>
      <c r="M108" s="63">
        <f t="shared" ca="1" si="97"/>
        <v>4.6606145723779635E-2</v>
      </c>
      <c r="N108" s="63">
        <f t="shared" ca="1" si="97"/>
        <v>4.6606145723779635E-2</v>
      </c>
    </row>
    <row r="109" spans="2:14" x14ac:dyDescent="0.25">
      <c r="B109" t="s">
        <v>145</v>
      </c>
      <c r="H109" t="s">
        <v>156</v>
      </c>
      <c r="I109" s="63">
        <f t="shared" ref="I109:N109" ca="1" si="98">MAX($I$3:$N$3)</f>
        <v>5.1703791599563509E-2</v>
      </c>
      <c r="J109" s="63">
        <f t="shared" ca="1" si="98"/>
        <v>5.1703791599563509E-2</v>
      </c>
      <c r="K109" s="63">
        <f t="shared" ca="1" si="98"/>
        <v>5.1703791599563509E-2</v>
      </c>
      <c r="L109" s="63">
        <f t="shared" ca="1" si="98"/>
        <v>5.1703791599563509E-2</v>
      </c>
      <c r="M109" s="63">
        <f t="shared" ca="1" si="98"/>
        <v>5.1703791599563509E-2</v>
      </c>
      <c r="N109" s="63">
        <f t="shared" ca="1" si="98"/>
        <v>5.1703791599563509E-2</v>
      </c>
    </row>
    <row r="110" spans="2:14" x14ac:dyDescent="0.25">
      <c r="B110" t="s">
        <v>148</v>
      </c>
      <c r="H110" t="s">
        <v>155</v>
      </c>
      <c r="I110" s="63">
        <f t="shared" ref="I110:N110" ca="1" si="99">MIN($I$3:$N$3)</f>
        <v>3.7352556617128219E-2</v>
      </c>
      <c r="J110" s="63">
        <f t="shared" ca="1" si="99"/>
        <v>3.7352556617128219E-2</v>
      </c>
      <c r="K110" s="63">
        <f t="shared" ca="1" si="99"/>
        <v>3.7352556617128219E-2</v>
      </c>
      <c r="L110" s="63">
        <f t="shared" ca="1" si="99"/>
        <v>3.7352556617128219E-2</v>
      </c>
      <c r="M110" s="63">
        <f t="shared" ca="1" si="99"/>
        <v>3.7352556617128219E-2</v>
      </c>
      <c r="N110" s="63">
        <f t="shared" ca="1" si="99"/>
        <v>3.7352556617128219E-2</v>
      </c>
    </row>
    <row r="112" spans="2:14" x14ac:dyDescent="0.25">
      <c r="B112" s="133" t="s">
        <v>30</v>
      </c>
      <c r="I112" s="79">
        <f t="shared" ref="I112:N112" ca="1" si="100">OFFSET(I112,MATCH(S,$B$113:$B$115,0),0)</f>
        <v>4.6606145723779635E-2</v>
      </c>
      <c r="J112" s="80">
        <f t="shared" ca="1" si="100"/>
        <v>4.6606145723779635E-2</v>
      </c>
      <c r="K112" s="80">
        <f t="shared" ca="1" si="100"/>
        <v>4.6606145723779635E-2</v>
      </c>
      <c r="L112" s="80">
        <f t="shared" ca="1" si="100"/>
        <v>4.6606145723779635E-2</v>
      </c>
      <c r="M112" s="80">
        <f t="shared" ca="1" si="100"/>
        <v>4.6606145723779635E-2</v>
      </c>
      <c r="N112" s="81">
        <f t="shared" ca="1" si="100"/>
        <v>4.6606145723779635E-2</v>
      </c>
    </row>
    <row r="113" spans="2:14" x14ac:dyDescent="0.25">
      <c r="B113" t="s">
        <v>143</v>
      </c>
      <c r="H113" t="s">
        <v>154</v>
      </c>
      <c r="I113" s="63">
        <f t="shared" ref="I113:N113" ca="1" si="101">AVERAGE($I$3:$N$3)</f>
        <v>4.6606145723779635E-2</v>
      </c>
      <c r="J113" s="63">
        <f t="shared" ca="1" si="101"/>
        <v>4.6606145723779635E-2</v>
      </c>
      <c r="K113" s="63">
        <f t="shared" ca="1" si="101"/>
        <v>4.6606145723779635E-2</v>
      </c>
      <c r="L113" s="63">
        <f t="shared" ca="1" si="101"/>
        <v>4.6606145723779635E-2</v>
      </c>
      <c r="M113" s="63">
        <f t="shared" ca="1" si="101"/>
        <v>4.6606145723779635E-2</v>
      </c>
      <c r="N113" s="63">
        <f t="shared" ca="1" si="101"/>
        <v>4.6606145723779635E-2</v>
      </c>
    </row>
    <row r="114" spans="2:14" x14ac:dyDescent="0.25">
      <c r="B114" t="s">
        <v>145</v>
      </c>
      <c r="H114" t="s">
        <v>156</v>
      </c>
      <c r="I114" s="63">
        <f t="shared" ref="I114:N114" ca="1" si="102">MAX($I$3:$N$3)</f>
        <v>5.1703791599563509E-2</v>
      </c>
      <c r="J114" s="63">
        <f t="shared" ca="1" si="102"/>
        <v>5.1703791599563509E-2</v>
      </c>
      <c r="K114" s="63">
        <f t="shared" ca="1" si="102"/>
        <v>5.1703791599563509E-2</v>
      </c>
      <c r="L114" s="63">
        <f t="shared" ca="1" si="102"/>
        <v>5.1703791599563509E-2</v>
      </c>
      <c r="M114" s="63">
        <f t="shared" ca="1" si="102"/>
        <v>5.1703791599563509E-2</v>
      </c>
      <c r="N114" s="63">
        <f t="shared" ca="1" si="102"/>
        <v>5.1703791599563509E-2</v>
      </c>
    </row>
    <row r="115" spans="2:14" x14ac:dyDescent="0.25">
      <c r="B115" t="s">
        <v>148</v>
      </c>
      <c r="H115" t="s">
        <v>155</v>
      </c>
      <c r="I115" s="63">
        <f t="shared" ref="I115:N115" ca="1" si="103">MIN($I$3:$N$3)</f>
        <v>3.7352556617128219E-2</v>
      </c>
      <c r="J115" s="63">
        <f t="shared" ca="1" si="103"/>
        <v>3.7352556617128219E-2</v>
      </c>
      <c r="K115" s="63">
        <f t="shared" ca="1" si="103"/>
        <v>3.7352556617128219E-2</v>
      </c>
      <c r="L115" s="63">
        <f t="shared" ca="1" si="103"/>
        <v>3.7352556617128219E-2</v>
      </c>
      <c r="M115" s="63">
        <f t="shared" ca="1" si="103"/>
        <v>3.7352556617128219E-2</v>
      </c>
      <c r="N115" s="63">
        <f t="shared" ca="1" si="103"/>
        <v>3.7352556617128219E-2</v>
      </c>
    </row>
    <row r="117" spans="2:14" x14ac:dyDescent="0.25">
      <c r="B117" s="2" t="s">
        <v>259</v>
      </c>
      <c r="C117" s="63">
        <f>Schedules!C75/SUM('3_Statement_Model'!B49,'3_Statement_Model'!B52)</f>
        <v>2.6605240276678304E-2</v>
      </c>
      <c r="D117" s="63">
        <f>Schedules!D75/SUM('3_Statement_Model'!C49,'3_Statement_Model'!C52)</f>
        <v>1.439279193259845E-2</v>
      </c>
      <c r="E117" s="63">
        <f>Schedules!E75/SUM('3_Statement_Model'!D49,'3_Statement_Model'!D52)</f>
        <v>3.1935096509170869E-3</v>
      </c>
      <c r="F117" s="63">
        <f>Schedules!F75/SUM('3_Statement_Model'!E49,'3_Statement_Model'!E52)</f>
        <v>1.8536431153094831E-2</v>
      </c>
      <c r="G117" s="63">
        <f>Schedules!G75/SUM('3_Statement_Model'!F49,'3_Statement_Model'!F52)</f>
        <v>7.4205675719852801E-2</v>
      </c>
      <c r="H117" s="63">
        <f>Schedules!H75/SUM('3_Statement_Model'!G49,'3_Statement_Model'!G52)</f>
        <v>6.4444552086259849E-2</v>
      </c>
      <c r="I117" s="79">
        <f t="shared" ref="I117:N117" ca="1" si="104">OFFSET(I117,MATCH(S,$B$118:$B$120,0),0)</f>
        <v>3.3563033469900215E-2</v>
      </c>
      <c r="J117" s="80">
        <f t="shared" ca="1" si="104"/>
        <v>3.3563033469900215E-2</v>
      </c>
      <c r="K117" s="80">
        <f t="shared" ca="1" si="104"/>
        <v>3.3563033469900215E-2</v>
      </c>
      <c r="L117" s="80">
        <f t="shared" ca="1" si="104"/>
        <v>3.3563033469900215E-2</v>
      </c>
      <c r="M117" s="80">
        <f t="shared" ca="1" si="104"/>
        <v>3.3563033469900215E-2</v>
      </c>
      <c r="N117" s="81">
        <f t="shared" ca="1" si="104"/>
        <v>3.3563033469900215E-2</v>
      </c>
    </row>
    <row r="118" spans="2:14" x14ac:dyDescent="0.25">
      <c r="B118" t="s">
        <v>143</v>
      </c>
      <c r="H118" t="s">
        <v>154</v>
      </c>
      <c r="I118" s="63">
        <f>AVERAGE($C$117:$H$117)</f>
        <v>3.3563033469900215E-2</v>
      </c>
      <c r="J118" s="63">
        <f t="shared" ref="J118:N118" si="105">AVERAGE($C$117:$H$117)</f>
        <v>3.3563033469900215E-2</v>
      </c>
      <c r="K118" s="63">
        <f t="shared" si="105"/>
        <v>3.3563033469900215E-2</v>
      </c>
      <c r="L118" s="63">
        <f t="shared" si="105"/>
        <v>3.3563033469900215E-2</v>
      </c>
      <c r="M118" s="63">
        <f t="shared" si="105"/>
        <v>3.3563033469900215E-2</v>
      </c>
      <c r="N118" s="63">
        <f t="shared" si="105"/>
        <v>3.3563033469900215E-2</v>
      </c>
    </row>
    <row r="119" spans="2:14" x14ac:dyDescent="0.25">
      <c r="B119" t="s">
        <v>145</v>
      </c>
      <c r="H119" t="s">
        <v>156</v>
      </c>
      <c r="I119" s="63">
        <f>MAX($C$117:$H$117)</f>
        <v>7.4205675719852801E-2</v>
      </c>
      <c r="J119" s="63">
        <f t="shared" ref="J119:N119" si="106">MAX($C$117:$H$117)</f>
        <v>7.4205675719852801E-2</v>
      </c>
      <c r="K119" s="63">
        <f t="shared" si="106"/>
        <v>7.4205675719852801E-2</v>
      </c>
      <c r="L119" s="63">
        <f t="shared" si="106"/>
        <v>7.4205675719852801E-2</v>
      </c>
      <c r="M119" s="63">
        <f t="shared" si="106"/>
        <v>7.4205675719852801E-2</v>
      </c>
      <c r="N119" s="63">
        <f t="shared" si="106"/>
        <v>7.4205675719852801E-2</v>
      </c>
    </row>
    <row r="120" spans="2:14" x14ac:dyDescent="0.25">
      <c r="B120" t="s">
        <v>148</v>
      </c>
      <c r="H120" t="s">
        <v>155</v>
      </c>
      <c r="I120" s="63" cm="1">
        <f t="array" ref="I120">MIN(IF($C$117:$H$117&gt;0.5%,$C$117:$H$117))</f>
        <v>1.439279193259845E-2</v>
      </c>
      <c r="J120" s="63" cm="1">
        <f t="array" ref="J120">MIN(IF($C$117:$H$117&gt;0.5%,$C$117:$H$117))</f>
        <v>1.439279193259845E-2</v>
      </c>
      <c r="K120" s="63" cm="1">
        <f t="array" ref="K120">MIN(IF($C$117:$H$117&gt;0.5%,$C$117:$H$117))</f>
        <v>1.439279193259845E-2</v>
      </c>
      <c r="L120" s="63" cm="1">
        <f t="array" ref="L120">MIN(IF($C$117:$H$117&gt;0.5%,$C$117:$H$117))</f>
        <v>1.439279193259845E-2</v>
      </c>
      <c r="M120" s="63" cm="1">
        <f t="array" ref="M120">MIN(IF($C$117:$H$117&gt;0.5%,$C$117:$H$117))</f>
        <v>1.439279193259845E-2</v>
      </c>
      <c r="N120" s="63" cm="1">
        <f t="array" ref="N120">MIN(IF($C$117:$H$117&gt;0.5%,$C$117:$H$117))</f>
        <v>1.439279193259845E-2</v>
      </c>
    </row>
    <row r="123" spans="2:14" x14ac:dyDescent="0.25">
      <c r="B123" s="2" t="s">
        <v>282</v>
      </c>
      <c r="E123" s="63">
        <f>'3_Statement_Model'!D109/Debt_Schedule!D26</f>
        <v>-6.2473557040187679E-2</v>
      </c>
      <c r="F123" s="63">
        <f>'3_Statement_Model'!E109/Debt_Schedule!E26</f>
        <v>-8.0571153575844504E-2</v>
      </c>
      <c r="G123" s="63">
        <f>'3_Statement_Model'!F109/Debt_Schedule!F26</f>
        <v>-8.3781034721901154E-2</v>
      </c>
      <c r="H123" s="63">
        <f>'3_Statement_Model'!G109/Debt_Schedule!G26</f>
        <v>-3.4012463732868897E-2</v>
      </c>
      <c r="I123" s="91">
        <f t="shared" ref="I123:N123" ca="1" si="107">OFFSET(I123,MATCH(S,$B$124:$B$126,0),0)</f>
        <v>-6.520955226770056E-2</v>
      </c>
      <c r="J123" s="92">
        <f t="shared" ca="1" si="107"/>
        <v>-6.520955226770056E-2</v>
      </c>
      <c r="K123" s="92">
        <f t="shared" ca="1" si="107"/>
        <v>-6.520955226770056E-2</v>
      </c>
      <c r="L123" s="92">
        <f t="shared" ca="1" si="107"/>
        <v>-6.520955226770056E-2</v>
      </c>
      <c r="M123" s="92">
        <f t="shared" ca="1" si="107"/>
        <v>-6.520955226770056E-2</v>
      </c>
      <c r="N123" s="93">
        <f t="shared" ca="1" si="107"/>
        <v>-6.520955226770056E-2</v>
      </c>
    </row>
    <row r="124" spans="2:14" x14ac:dyDescent="0.25">
      <c r="B124" t="s">
        <v>143</v>
      </c>
      <c r="H124" t="s">
        <v>154</v>
      </c>
      <c r="I124" s="63">
        <f>AVERAGE($E$123:$H$123)</f>
        <v>-6.520955226770056E-2</v>
      </c>
      <c r="J124" s="63">
        <f t="shared" ref="J124:N124" si="108">AVERAGE($E$123:$H$123)</f>
        <v>-6.520955226770056E-2</v>
      </c>
      <c r="K124" s="63">
        <f t="shared" si="108"/>
        <v>-6.520955226770056E-2</v>
      </c>
      <c r="L124" s="63">
        <f t="shared" si="108"/>
        <v>-6.520955226770056E-2</v>
      </c>
      <c r="M124" s="63">
        <f t="shared" si="108"/>
        <v>-6.520955226770056E-2</v>
      </c>
      <c r="N124" s="63">
        <f t="shared" si="108"/>
        <v>-6.520955226770056E-2</v>
      </c>
    </row>
    <row r="125" spans="2:14" x14ac:dyDescent="0.25">
      <c r="B125" t="s">
        <v>145</v>
      </c>
      <c r="H125" t="s">
        <v>156</v>
      </c>
      <c r="I125" s="63">
        <f>MAX($E$123:$G$123)</f>
        <v>-6.2473557040187679E-2</v>
      </c>
      <c r="J125" s="63">
        <f t="shared" ref="J125:N125" si="109">MAX($E$123:$G$123)</f>
        <v>-6.2473557040187679E-2</v>
      </c>
      <c r="K125" s="63">
        <f t="shared" si="109"/>
        <v>-6.2473557040187679E-2</v>
      </c>
      <c r="L125" s="63">
        <f t="shared" si="109"/>
        <v>-6.2473557040187679E-2</v>
      </c>
      <c r="M125" s="63">
        <f t="shared" si="109"/>
        <v>-6.2473557040187679E-2</v>
      </c>
      <c r="N125" s="63">
        <f t="shared" si="109"/>
        <v>-6.2473557040187679E-2</v>
      </c>
    </row>
    <row r="126" spans="2:14" x14ac:dyDescent="0.25">
      <c r="B126" t="s">
        <v>148</v>
      </c>
      <c r="H126" t="s">
        <v>155</v>
      </c>
      <c r="I126" s="63">
        <f>MIN($E$123:$H$123)</f>
        <v>-8.3781034721901154E-2</v>
      </c>
      <c r="J126" s="63">
        <f t="shared" ref="J126:N126" si="110">MIN($E$123:$H$123)</f>
        <v>-8.3781034721901154E-2</v>
      </c>
      <c r="K126" s="63">
        <f t="shared" si="110"/>
        <v>-8.3781034721901154E-2</v>
      </c>
      <c r="L126" s="63">
        <f t="shared" si="110"/>
        <v>-8.3781034721901154E-2</v>
      </c>
      <c r="M126" s="63">
        <f t="shared" si="110"/>
        <v>-8.3781034721901154E-2</v>
      </c>
      <c r="N126" s="63">
        <f t="shared" si="110"/>
        <v>-8.3781034721901154E-2</v>
      </c>
    </row>
    <row r="128" spans="2:14" x14ac:dyDescent="0.25">
      <c r="B128" s="2" t="s">
        <v>285</v>
      </c>
      <c r="D128" s="63">
        <f>Schedules!D87/Schedules!D50</f>
        <v>-0.75108115900245065</v>
      </c>
      <c r="E128" s="63">
        <f>Schedules!E87/Schedules!E50</f>
        <v>-0.65104395604395604</v>
      </c>
      <c r="F128" s="63">
        <f>Schedules!F87/Schedules!F50</f>
        <v>-0.51256244381898297</v>
      </c>
      <c r="G128" s="63">
        <f>Schedules!G87/Schedules!G50</f>
        <v>-0.25958064342747256</v>
      </c>
      <c r="H128" s="63">
        <f>Schedules!H87/Schedules!H50</f>
        <v>-0.28276767297956124</v>
      </c>
      <c r="I128" s="63">
        <f t="shared" ref="I128:N128" ca="1" si="111">OFFSET(I128,MATCH(S,$B$129:$B$131,0),0)</f>
        <v>-0.49140717505448467</v>
      </c>
      <c r="J128" s="63">
        <f t="shared" ca="1" si="111"/>
        <v>-0.49140717505448467</v>
      </c>
      <c r="K128" s="63">
        <f t="shared" ca="1" si="111"/>
        <v>-0.49140717505448467</v>
      </c>
      <c r="L128" s="63">
        <f t="shared" ca="1" si="111"/>
        <v>-0.49140717505448467</v>
      </c>
      <c r="M128" s="63">
        <f t="shared" ca="1" si="111"/>
        <v>-0.49140717505448467</v>
      </c>
      <c r="N128" s="63">
        <f t="shared" ca="1" si="111"/>
        <v>-0.49140717505448467</v>
      </c>
    </row>
    <row r="129" spans="2:14" x14ac:dyDescent="0.25">
      <c r="B129" t="s">
        <v>143</v>
      </c>
      <c r="H129" t="s">
        <v>154</v>
      </c>
      <c r="I129" s="63">
        <f>AVERAGE($D$128:$H$128)</f>
        <v>-0.49140717505448467</v>
      </c>
      <c r="J129" s="63">
        <f t="shared" ref="J129:N129" si="112">AVERAGE($D$128:$H$128)</f>
        <v>-0.49140717505448467</v>
      </c>
      <c r="K129" s="63">
        <f t="shared" si="112"/>
        <v>-0.49140717505448467</v>
      </c>
      <c r="L129" s="63">
        <f t="shared" si="112"/>
        <v>-0.49140717505448467</v>
      </c>
      <c r="M129" s="63">
        <f t="shared" si="112"/>
        <v>-0.49140717505448467</v>
      </c>
      <c r="N129" s="63">
        <f t="shared" si="112"/>
        <v>-0.49140717505448467</v>
      </c>
    </row>
    <row r="130" spans="2:14" x14ac:dyDescent="0.25">
      <c r="B130" t="s">
        <v>145</v>
      </c>
      <c r="H130" t="s">
        <v>155</v>
      </c>
      <c r="I130" s="63">
        <f>MIN($D$128:$H$128)</f>
        <v>-0.75108115900245065</v>
      </c>
      <c r="J130" s="63">
        <f t="shared" ref="J130:N130" si="113">MIN($D$128:$H$128)</f>
        <v>-0.75108115900245065</v>
      </c>
      <c r="K130" s="63">
        <f t="shared" si="113"/>
        <v>-0.75108115900245065</v>
      </c>
      <c r="L130" s="63">
        <f t="shared" si="113"/>
        <v>-0.75108115900245065</v>
      </c>
      <c r="M130" s="63">
        <f t="shared" si="113"/>
        <v>-0.75108115900245065</v>
      </c>
      <c r="N130" s="63">
        <f t="shared" si="113"/>
        <v>-0.75108115900245065</v>
      </c>
    </row>
    <row r="131" spans="2:14" x14ac:dyDescent="0.25">
      <c r="B131" t="s">
        <v>148</v>
      </c>
      <c r="H131" t="s">
        <v>156</v>
      </c>
      <c r="I131" s="63">
        <f>MAX($D$128:$H$128)</f>
        <v>-0.25958064342747256</v>
      </c>
      <c r="J131" s="63">
        <f t="shared" ref="J131:N131" si="114">MAX($D$128:$H$128)</f>
        <v>-0.25958064342747256</v>
      </c>
      <c r="K131" s="63">
        <f t="shared" si="114"/>
        <v>-0.25958064342747256</v>
      </c>
      <c r="L131" s="63">
        <f t="shared" si="114"/>
        <v>-0.25958064342747256</v>
      </c>
      <c r="M131" s="63">
        <f t="shared" si="114"/>
        <v>-0.25958064342747256</v>
      </c>
      <c r="N131" s="63">
        <f t="shared" si="114"/>
        <v>-0.25958064342747256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D3C7E-257F-4B49-A708-ACE6390F92F6}">
  <dimension ref="B2:N67"/>
  <sheetViews>
    <sheetView showGridLines="0" topLeftCell="A44" workbookViewId="0">
      <selection activeCell="I65" sqref="I65:N65"/>
    </sheetView>
  </sheetViews>
  <sheetFormatPr defaultRowHeight="15" x14ac:dyDescent="0.25"/>
  <cols>
    <col min="2" max="2" width="88.28515625" bestFit="1" customWidth="1"/>
    <col min="3" max="6" width="11.85546875" bestFit="1" customWidth="1"/>
    <col min="7" max="14" width="10.42578125" bestFit="1" customWidth="1"/>
  </cols>
  <sheetData>
    <row r="2" spans="2:8" x14ac:dyDescent="0.25">
      <c r="C2" s="6"/>
      <c r="D2" s="6"/>
      <c r="E2" s="6"/>
      <c r="F2" s="6"/>
      <c r="G2" s="6"/>
      <c r="H2" s="6"/>
    </row>
    <row r="3" spans="2:8" x14ac:dyDescent="0.25">
      <c r="B3" s="177" t="s">
        <v>294</v>
      </c>
      <c r="C3" s="178">
        <f>SUM(C4:C14)</f>
        <v>1704718</v>
      </c>
      <c r="D3" s="178">
        <f t="shared" ref="D3:H3" si="0">SUM(D4:D14)</f>
        <v>710006</v>
      </c>
      <c r="E3" s="178">
        <f t="shared" si="0"/>
        <v>791644</v>
      </c>
      <c r="F3" s="178">
        <f t="shared" si="0"/>
        <v>986749</v>
      </c>
      <c r="G3" s="178">
        <f t="shared" si="0"/>
        <v>520376</v>
      </c>
      <c r="H3" s="179">
        <f t="shared" si="0"/>
        <v>375099</v>
      </c>
    </row>
    <row r="4" spans="2:8" x14ac:dyDescent="0.25">
      <c r="B4" s="14" t="s">
        <v>58</v>
      </c>
      <c r="C4" s="6">
        <v>108429</v>
      </c>
      <c r="D4" s="6">
        <v>157353</v>
      </c>
      <c r="E4" s="6">
        <v>139347</v>
      </c>
      <c r="F4" s="6">
        <v>154798</v>
      </c>
      <c r="G4" s="6">
        <v>116513</v>
      </c>
      <c r="H4" s="6">
        <v>148892</v>
      </c>
    </row>
    <row r="5" spans="2:8" x14ac:dyDescent="0.25">
      <c r="B5" s="14" t="s">
        <v>59</v>
      </c>
      <c r="C5" s="6">
        <v>1599311</v>
      </c>
      <c r="D5" s="6">
        <v>565807</v>
      </c>
      <c r="E5" s="6">
        <v>724560</v>
      </c>
      <c r="F5" s="6">
        <v>750767</v>
      </c>
      <c r="G5" s="6">
        <v>484533</v>
      </c>
      <c r="H5" s="6">
        <v>330921</v>
      </c>
    </row>
    <row r="6" spans="2:8" x14ac:dyDescent="0.25">
      <c r="B6" s="14" t="s">
        <v>60</v>
      </c>
      <c r="C6" s="6">
        <v>597</v>
      </c>
      <c r="D6" s="6">
        <v>6461</v>
      </c>
      <c r="E6" s="6">
        <v>4100</v>
      </c>
      <c r="F6" s="6">
        <v>2955</v>
      </c>
      <c r="G6" s="6">
        <v>117</v>
      </c>
      <c r="H6" s="6">
        <v>284</v>
      </c>
    </row>
    <row r="7" spans="2:8" x14ac:dyDescent="0.25">
      <c r="B7" s="14" t="s">
        <v>61</v>
      </c>
      <c r="C7" s="6">
        <v>-39285</v>
      </c>
      <c r="D7" s="6">
        <v>-14075</v>
      </c>
      <c r="E7" s="6">
        <v>-1513</v>
      </c>
      <c r="F7" s="6">
        <v>-23245</v>
      </c>
      <c r="G7" s="6">
        <v>-68125</v>
      </c>
      <c r="H7" s="6">
        <v>-89425</v>
      </c>
    </row>
    <row r="8" spans="2:8" x14ac:dyDescent="0.25">
      <c r="B8" s="14" t="s">
        <v>62</v>
      </c>
      <c r="C8" s="6"/>
      <c r="D8" s="6">
        <v>21050</v>
      </c>
      <c r="E8" s="6">
        <v>35575</v>
      </c>
      <c r="F8" s="6">
        <v>2823</v>
      </c>
      <c r="G8" s="6">
        <v>2877</v>
      </c>
      <c r="H8" s="6">
        <v>3737</v>
      </c>
    </row>
    <row r="9" spans="2:8" x14ac:dyDescent="0.25">
      <c r="B9" s="14" t="s">
        <v>63</v>
      </c>
      <c r="C9" s="6"/>
      <c r="D9" s="6">
        <v>-46324</v>
      </c>
      <c r="E9" s="6">
        <v>0</v>
      </c>
      <c r="F9" s="6">
        <v>0</v>
      </c>
      <c r="G9" s="6">
        <v>0</v>
      </c>
      <c r="H9" s="6">
        <v>0</v>
      </c>
    </row>
    <row r="10" spans="2:8" x14ac:dyDescent="0.25">
      <c r="B10" t="s">
        <v>64</v>
      </c>
      <c r="C10" s="6">
        <v>36541</v>
      </c>
      <c r="D10" s="6">
        <v>15216</v>
      </c>
      <c r="E10" s="6">
        <v>5538</v>
      </c>
      <c r="F10" s="6">
        <v>-60655</v>
      </c>
      <c r="G10" s="6">
        <v>-11278</v>
      </c>
      <c r="H10" s="6">
        <v>7831</v>
      </c>
    </row>
    <row r="11" spans="2:8" x14ac:dyDescent="0.25">
      <c r="B11" t="s">
        <v>257</v>
      </c>
      <c r="C11" s="6"/>
      <c r="D11" s="6">
        <v>0</v>
      </c>
      <c r="E11" s="6">
        <v>0</v>
      </c>
      <c r="F11" s="6">
        <v>0</v>
      </c>
      <c r="G11" s="6">
        <v>0</v>
      </c>
      <c r="H11" s="6">
        <v>-29610</v>
      </c>
    </row>
    <row r="12" spans="2:8" x14ac:dyDescent="0.25">
      <c r="B12" t="s">
        <v>65</v>
      </c>
      <c r="C12" s="6"/>
      <c r="D12" s="6">
        <v>0</v>
      </c>
      <c r="E12" s="6">
        <v>0</v>
      </c>
      <c r="F12" s="6">
        <v>135714</v>
      </c>
      <c r="G12" s="6">
        <v>0</v>
      </c>
      <c r="H12" s="6">
        <v>0</v>
      </c>
    </row>
    <row r="13" spans="2:8" x14ac:dyDescent="0.25">
      <c r="B13" s="14" t="s">
        <v>66</v>
      </c>
      <c r="C13" s="6"/>
      <c r="D13" s="6">
        <v>0</v>
      </c>
      <c r="E13" s="6">
        <v>-119284</v>
      </c>
      <c r="F13" s="6">
        <v>0</v>
      </c>
      <c r="G13" s="6">
        <v>0</v>
      </c>
      <c r="H13" s="6">
        <v>0</v>
      </c>
    </row>
    <row r="14" spans="2:8" x14ac:dyDescent="0.25">
      <c r="B14" s="14" t="s">
        <v>67</v>
      </c>
      <c r="C14" s="6">
        <v>-875</v>
      </c>
      <c r="D14" s="6">
        <v>4518</v>
      </c>
      <c r="E14" s="6">
        <v>3321</v>
      </c>
      <c r="F14" s="6">
        <v>23592</v>
      </c>
      <c r="G14" s="6">
        <v>-4261</v>
      </c>
      <c r="H14" s="6">
        <v>2469</v>
      </c>
    </row>
    <row r="17" spans="2:14" x14ac:dyDescent="0.25">
      <c r="B17" s="180" t="s">
        <v>68</v>
      </c>
      <c r="C17" s="6">
        <v>-119453</v>
      </c>
      <c r="D17" s="6">
        <v>39573</v>
      </c>
      <c r="E17" s="6">
        <v>-207046</v>
      </c>
      <c r="F17" s="6">
        <v>-275945</v>
      </c>
      <c r="G17" s="6">
        <v>-86922</v>
      </c>
      <c r="H17" s="6">
        <v>-76359</v>
      </c>
    </row>
    <row r="18" spans="2:14" x14ac:dyDescent="0.25">
      <c r="B18" s="36" t="s">
        <v>69</v>
      </c>
      <c r="C18" s="6">
        <v>108600</v>
      </c>
      <c r="D18" s="6">
        <v>61201</v>
      </c>
      <c r="E18" s="6">
        <v>61301</v>
      </c>
      <c r="F18" s="6">
        <v>96317</v>
      </c>
      <c r="G18" s="6">
        <v>20046</v>
      </c>
      <c r="H18" s="6">
        <v>26276</v>
      </c>
    </row>
    <row r="19" spans="2:14" x14ac:dyDescent="0.25">
      <c r="B19" s="180" t="s">
        <v>39</v>
      </c>
      <c r="C19" s="6">
        <v>5067</v>
      </c>
      <c r="D19" s="6">
        <v>44489</v>
      </c>
      <c r="E19" s="6">
        <v>47080</v>
      </c>
      <c r="F19" s="6">
        <v>-27215</v>
      </c>
      <c r="G19" s="6">
        <v>-41079</v>
      </c>
      <c r="H19" s="6">
        <v>21712</v>
      </c>
    </row>
    <row r="20" spans="2:14" x14ac:dyDescent="0.25">
      <c r="B20" s="36" t="s">
        <v>40</v>
      </c>
      <c r="C20" s="6">
        <v>568190</v>
      </c>
      <c r="D20" s="6">
        <v>-391398</v>
      </c>
      <c r="E20" s="6">
        <v>81564</v>
      </c>
      <c r="F20" s="6">
        <v>348721</v>
      </c>
      <c r="G20" s="6">
        <v>-79482</v>
      </c>
      <c r="H20" s="6">
        <v>363524</v>
      </c>
    </row>
    <row r="21" spans="2:14" x14ac:dyDescent="0.25">
      <c r="B21" s="180" t="s">
        <v>70</v>
      </c>
      <c r="C21" s="6">
        <v>332363</v>
      </c>
      <c r="D21" s="6">
        <v>-36679</v>
      </c>
      <c r="E21" s="6">
        <v>234212</v>
      </c>
      <c r="F21" s="6">
        <v>262358</v>
      </c>
      <c r="G21" s="6">
        <v>-75571</v>
      </c>
      <c r="H21" s="6">
        <v>164057</v>
      </c>
    </row>
    <row r="22" spans="2:14" x14ac:dyDescent="0.25">
      <c r="B22" s="36" t="s">
        <v>71</v>
      </c>
      <c r="C22" s="6">
        <v>-102946</v>
      </c>
      <c r="D22" s="6">
        <v>-53234</v>
      </c>
      <c r="E22" s="6">
        <v>-48332</v>
      </c>
      <c r="F22" s="6">
        <v>-43759</v>
      </c>
      <c r="G22" s="6">
        <v>-15292</v>
      </c>
      <c r="H22" s="6">
        <v>-47356</v>
      </c>
    </row>
    <row r="29" spans="2:14" x14ac:dyDescent="0.25">
      <c r="B29" t="s">
        <v>76</v>
      </c>
      <c r="C29">
        <v>2517091</v>
      </c>
      <c r="D29">
        <v>26067</v>
      </c>
      <c r="E29">
        <v>33822</v>
      </c>
      <c r="F29">
        <v>21655</v>
      </c>
      <c r="G29">
        <v>10993</v>
      </c>
      <c r="H29">
        <v>15051</v>
      </c>
      <c r="I29">
        <v>23288.558514338827</v>
      </c>
      <c r="J29">
        <v>24158.445714776972</v>
      </c>
      <c r="K29">
        <v>25407.528957383165</v>
      </c>
      <c r="L29">
        <v>26694.084697267543</v>
      </c>
      <c r="M29">
        <v>28019.237109348443</v>
      </c>
      <c r="N29">
        <v>29384.14409379178</v>
      </c>
    </row>
    <row r="30" spans="2:14" x14ac:dyDescent="0.25">
      <c r="B30" t="s">
        <v>77</v>
      </c>
      <c r="C30">
        <v>0</v>
      </c>
      <c r="D30">
        <v>682602</v>
      </c>
      <c r="E30">
        <v>-44446</v>
      </c>
      <c r="F30">
        <v>-67639</v>
      </c>
      <c r="G30">
        <v>-72484</v>
      </c>
      <c r="H30">
        <v>14042</v>
      </c>
      <c r="I30">
        <v>-31924.699255937598</v>
      </c>
      <c r="J30">
        <v>-32826.667879806737</v>
      </c>
      <c r="K30">
        <v>-33776.15311329934</v>
      </c>
      <c r="L30">
        <v>-34775.496642869046</v>
      </c>
      <c r="M30">
        <v>-35827.152241143362</v>
      </c>
      <c r="N30">
        <v>-36933.691059249519</v>
      </c>
    </row>
    <row r="31" spans="2:14" x14ac:dyDescent="0.25">
      <c r="B31" t="s">
        <v>78</v>
      </c>
      <c r="C31">
        <v>-942895</v>
      </c>
      <c r="D31">
        <v>-196103</v>
      </c>
      <c r="E31">
        <v>-61846</v>
      </c>
      <c r="F31">
        <v>-41516</v>
      </c>
      <c r="G31">
        <v>-60587</v>
      </c>
      <c r="H31">
        <v>-134962</v>
      </c>
      <c r="I31">
        <v>-156293.91741963645</v>
      </c>
      <c r="J31">
        <v>-164034.01524452865</v>
      </c>
      <c r="K31">
        <v>-173221.74169281006</v>
      </c>
      <c r="L31">
        <v>-182844.76845702308</v>
      </c>
      <c r="M31">
        <v>-192925.64716456199</v>
      </c>
      <c r="N31">
        <v>-203488.17034705577</v>
      </c>
    </row>
    <row r="32" spans="2:14" x14ac:dyDescent="0.25">
      <c r="B32" t="s">
        <v>79</v>
      </c>
      <c r="C32">
        <v>0</v>
      </c>
      <c r="D32">
        <v>0</v>
      </c>
      <c r="E32">
        <v>0</v>
      </c>
      <c r="F32">
        <v>0</v>
      </c>
      <c r="G32">
        <v>0</v>
      </c>
      <c r="H32">
        <v>-50000</v>
      </c>
      <c r="I32">
        <v>0</v>
      </c>
      <c r="J32">
        <v>0</v>
      </c>
      <c r="K32">
        <v>0</v>
      </c>
      <c r="L32">
        <v>0</v>
      </c>
      <c r="M32">
        <v>0</v>
      </c>
      <c r="N32">
        <v>0</v>
      </c>
    </row>
    <row r="36" spans="2:14" x14ac:dyDescent="0.25">
      <c r="B36" s="2" t="s">
        <v>314</v>
      </c>
      <c r="C36" s="20">
        <v>2019</v>
      </c>
      <c r="D36" s="20">
        <f>C36+1</f>
        <v>2020</v>
      </c>
      <c r="E36" s="20">
        <f t="shared" ref="E36:N36" si="1">D36+1</f>
        <v>2021</v>
      </c>
      <c r="F36" s="20">
        <f t="shared" si="1"/>
        <v>2022</v>
      </c>
      <c r="G36" s="20">
        <f t="shared" si="1"/>
        <v>2023</v>
      </c>
      <c r="H36" s="20">
        <f t="shared" si="1"/>
        <v>2024</v>
      </c>
      <c r="I36" s="27">
        <f t="shared" si="1"/>
        <v>2025</v>
      </c>
      <c r="J36" s="27">
        <f t="shared" si="1"/>
        <v>2026</v>
      </c>
      <c r="K36" s="27">
        <f t="shared" si="1"/>
        <v>2027</v>
      </c>
      <c r="L36" s="27">
        <f t="shared" si="1"/>
        <v>2028</v>
      </c>
      <c r="M36" s="27">
        <f t="shared" si="1"/>
        <v>2029</v>
      </c>
      <c r="N36" s="27">
        <f t="shared" si="1"/>
        <v>2030</v>
      </c>
    </row>
    <row r="37" spans="2:14" x14ac:dyDescent="0.25">
      <c r="B37" s="2"/>
      <c r="C37" s="100"/>
      <c r="D37" s="100"/>
      <c r="E37" s="100"/>
      <c r="F37" s="100"/>
      <c r="G37" s="100"/>
      <c r="H37" s="100"/>
      <c r="I37" s="101"/>
      <c r="J37" s="101"/>
      <c r="K37" s="101"/>
      <c r="L37" s="101"/>
      <c r="M37" s="101"/>
      <c r="N37" s="101"/>
    </row>
    <row r="38" spans="2:14" x14ac:dyDescent="0.25">
      <c r="B38" s="5" t="s">
        <v>3</v>
      </c>
      <c r="C38" s="88">
        <f>C53/C46</f>
        <v>3.7363729968127271E-2</v>
      </c>
      <c r="D38" s="88">
        <f t="shared" ref="D38:H38" si="2">D53/D46</f>
        <v>1.9856775330980798E-2</v>
      </c>
      <c r="E38" s="88">
        <f t="shared" si="2"/>
        <v>2.3198381969985613E-2</v>
      </c>
      <c r="F38" s="88">
        <f t="shared" si="2"/>
        <v>1.811854815135959E-2</v>
      </c>
      <c r="G38" s="88">
        <f t="shared" si="2"/>
        <v>1.1859491170044742E-2</v>
      </c>
      <c r="H38" s="88">
        <f t="shared" si="2"/>
        <v>7.4586977793783408E-3</v>
      </c>
      <c r="I38" s="63">
        <f>AVERAGE(C38:H38)</f>
        <v>1.9642604061646061E-2</v>
      </c>
      <c r="J38" s="63">
        <f t="shared" ref="J38:N42" si="3">AVERAGE(D38:I38)</f>
        <v>1.6689083077232523E-2</v>
      </c>
      <c r="K38" s="63">
        <f t="shared" si="3"/>
        <v>1.6161134368274477E-2</v>
      </c>
      <c r="L38" s="63">
        <f t="shared" si="3"/>
        <v>1.4988259767989287E-2</v>
      </c>
      <c r="M38" s="63">
        <f t="shared" si="3"/>
        <v>1.4466545037427571E-2</v>
      </c>
      <c r="N38" s="63">
        <f t="shared" si="3"/>
        <v>1.4901054015324711E-2</v>
      </c>
    </row>
    <row r="39" spans="2:14" x14ac:dyDescent="0.25">
      <c r="B39" s="5" t="s">
        <v>4</v>
      </c>
      <c r="C39" s="88">
        <f t="shared" ref="C39:H41" si="4">C54/C47</f>
        <v>0.11823629652453325</v>
      </c>
      <c r="D39" s="88">
        <f t="shared" si="4"/>
        <v>3.4868480470875381E-2</v>
      </c>
      <c r="E39" s="88">
        <f t="shared" si="4"/>
        <v>5.9873257539784154E-2</v>
      </c>
      <c r="F39" s="88">
        <f t="shared" si="4"/>
        <v>5.7321683647030726E-2</v>
      </c>
      <c r="G39" s="88">
        <f t="shared" si="4"/>
        <v>3.6204559976968392E-2</v>
      </c>
      <c r="H39" s="88">
        <f t="shared" si="4"/>
        <v>1.8919789735050842E-2</v>
      </c>
      <c r="I39" s="63">
        <f t="shared" ref="I39:I42" si="5">AVERAGE(C39:H39)</f>
        <v>5.4237344649040453E-2</v>
      </c>
      <c r="J39" s="63">
        <f t="shared" si="3"/>
        <v>4.357085266979166E-2</v>
      </c>
      <c r="K39" s="63">
        <f t="shared" si="3"/>
        <v>4.5021248036277696E-2</v>
      </c>
      <c r="L39" s="63">
        <f t="shared" si="3"/>
        <v>4.2545913119026633E-2</v>
      </c>
      <c r="M39" s="63">
        <f t="shared" si="3"/>
        <v>4.0083284697692616E-2</v>
      </c>
      <c r="N39" s="63">
        <f t="shared" si="3"/>
        <v>4.0729738817813319E-2</v>
      </c>
    </row>
    <row r="40" spans="2:14" x14ac:dyDescent="0.25">
      <c r="B40" s="5" t="s">
        <v>5</v>
      </c>
      <c r="C40" s="88">
        <f t="shared" si="4"/>
        <v>0.64553346085385621</v>
      </c>
      <c r="D40" s="88">
        <f t="shared" si="4"/>
        <v>0.35817257453862283</v>
      </c>
      <c r="E40" s="88">
        <f t="shared" si="4"/>
        <v>0.45432953266969756</v>
      </c>
      <c r="F40" s="88">
        <f t="shared" si="4"/>
        <v>0.45750877999759565</v>
      </c>
      <c r="G40" s="88">
        <f t="shared" si="4"/>
        <v>0.38523805754826268</v>
      </c>
      <c r="H40" s="88">
        <f t="shared" si="4"/>
        <v>0.29675399737579738</v>
      </c>
      <c r="I40" s="63">
        <f t="shared" si="5"/>
        <v>0.43292273383063873</v>
      </c>
      <c r="J40" s="63">
        <f t="shared" si="3"/>
        <v>0.39748761266010241</v>
      </c>
      <c r="K40" s="63">
        <f t="shared" si="3"/>
        <v>0.40404011901368242</v>
      </c>
      <c r="L40" s="63">
        <f t="shared" si="3"/>
        <v>0.39565855007101325</v>
      </c>
      <c r="M40" s="63">
        <f t="shared" si="3"/>
        <v>0.38535017841658287</v>
      </c>
      <c r="N40" s="63">
        <f t="shared" si="3"/>
        <v>0.38536886522796948</v>
      </c>
    </row>
    <row r="41" spans="2:14" x14ac:dyDescent="0.25">
      <c r="B41" s="5" t="s">
        <v>6</v>
      </c>
      <c r="C41" s="88">
        <f t="shared" si="4"/>
        <v>8.849533607985044E-2</v>
      </c>
      <c r="D41" s="88">
        <f t="shared" si="4"/>
        <v>5.6169249947757911E-2</v>
      </c>
      <c r="E41" s="88">
        <f t="shared" si="4"/>
        <v>9.2956835826409914E-2</v>
      </c>
      <c r="F41" s="88">
        <f t="shared" si="4"/>
        <v>9.3821023796264238E-2</v>
      </c>
      <c r="G41" s="88">
        <f t="shared" si="4"/>
        <v>6.1708426541151426E-2</v>
      </c>
      <c r="H41" s="88">
        <f t="shared" si="4"/>
        <v>2.1909522771403803E-2</v>
      </c>
      <c r="I41" s="63">
        <f t="shared" si="5"/>
        <v>6.9176732493806278E-2</v>
      </c>
      <c r="J41" s="63">
        <f t="shared" si="3"/>
        <v>6.5956965229465606E-2</v>
      </c>
      <c r="K41" s="63">
        <f t="shared" si="3"/>
        <v>6.7588251109750211E-2</v>
      </c>
      <c r="L41" s="63">
        <f t="shared" si="3"/>
        <v>6.3360153656973589E-2</v>
      </c>
      <c r="M41" s="63">
        <f t="shared" si="3"/>
        <v>5.8283341967091819E-2</v>
      </c>
      <c r="N41" s="63">
        <f t="shared" si="3"/>
        <v>5.7712494538081881E-2</v>
      </c>
    </row>
    <row r="42" spans="2:14" x14ac:dyDescent="0.25">
      <c r="B42" s="5" t="s">
        <v>7</v>
      </c>
      <c r="C42" s="88">
        <f>C57/C50</f>
        <v>0.33622237042120645</v>
      </c>
      <c r="D42" s="88">
        <f t="shared" ref="D42:H42" si="6">D57/D50</f>
        <v>0.18203264466609662</v>
      </c>
      <c r="E42" s="88">
        <f t="shared" si="6"/>
        <v>0.22762161465557348</v>
      </c>
      <c r="F42" s="88">
        <f t="shared" si="6"/>
        <v>0.18608826136310624</v>
      </c>
      <c r="G42" s="88">
        <f t="shared" si="6"/>
        <v>0.22392087982734077</v>
      </c>
      <c r="H42" s="88">
        <f t="shared" si="6"/>
        <v>0.17337210939800374</v>
      </c>
      <c r="I42" s="63">
        <f t="shared" si="5"/>
        <v>0.22154298005522119</v>
      </c>
      <c r="J42" s="63">
        <f t="shared" si="3"/>
        <v>0.202429748327557</v>
      </c>
      <c r="K42" s="63">
        <f t="shared" si="3"/>
        <v>0.20582926560446704</v>
      </c>
      <c r="L42" s="63">
        <f t="shared" si="3"/>
        <v>0.20219720742928271</v>
      </c>
      <c r="M42" s="63">
        <f t="shared" si="3"/>
        <v>0.20488203177364542</v>
      </c>
      <c r="N42" s="63">
        <f t="shared" si="3"/>
        <v>0.20170889043136286</v>
      </c>
    </row>
    <row r="43" spans="2:14" x14ac:dyDescent="0.25">
      <c r="I43" s="63"/>
    </row>
    <row r="45" spans="2:14" x14ac:dyDescent="0.25">
      <c r="B45" s="2" t="s">
        <v>2</v>
      </c>
      <c r="C45" s="3"/>
      <c r="D45" s="4"/>
      <c r="E45" s="4"/>
      <c r="F45" s="4"/>
      <c r="G45" s="4"/>
      <c r="H45" s="4"/>
    </row>
    <row r="46" spans="2:14" x14ac:dyDescent="0.25">
      <c r="B46" s="5" t="s">
        <v>3</v>
      </c>
      <c r="C46" s="6">
        <v>2176469</v>
      </c>
      <c r="D46" s="6">
        <v>1447516</v>
      </c>
      <c r="E46" s="6">
        <v>1702317</v>
      </c>
      <c r="F46" s="6">
        <v>2435736</v>
      </c>
      <c r="G46" s="6">
        <v>2543954</v>
      </c>
      <c r="H46" s="6">
        <v>3337714</v>
      </c>
      <c r="I46" s="34">
        <v>3509504.280725617</v>
      </c>
      <c r="J46" s="34">
        <v>3640593.2380694742</v>
      </c>
      <c r="K46" s="34">
        <v>3828825.7121493989</v>
      </c>
      <c r="L46" s="34">
        <v>4022705.1604517195</v>
      </c>
      <c r="M46" s="34">
        <v>4222400.9922031099</v>
      </c>
      <c r="N46" s="34">
        <v>4428087.6989070419</v>
      </c>
    </row>
    <row r="47" spans="2:14" x14ac:dyDescent="0.25">
      <c r="B47" s="5" t="s">
        <v>4</v>
      </c>
      <c r="C47" s="6">
        <v>636116</v>
      </c>
      <c r="D47" s="6">
        <v>453963</v>
      </c>
      <c r="E47" s="6">
        <v>402233</v>
      </c>
      <c r="F47" s="6">
        <v>443846</v>
      </c>
      <c r="G47" s="6">
        <v>427239</v>
      </c>
      <c r="H47" s="6">
        <v>443821</v>
      </c>
      <c r="I47" s="34">
        <v>417595.34666528151</v>
      </c>
      <c r="J47" s="34">
        <v>392919.38316685474</v>
      </c>
      <c r="K47" s="34">
        <v>384584.0958145677</v>
      </c>
      <c r="L47" s="34">
        <v>382369.90921112726</v>
      </c>
      <c r="M47" s="34">
        <v>373208.55322404118</v>
      </c>
      <c r="N47" s="34">
        <v>365103.72533893719</v>
      </c>
    </row>
    <row r="48" spans="2:14" x14ac:dyDescent="0.25">
      <c r="B48" s="5" t="s">
        <v>5</v>
      </c>
      <c r="C48" s="6">
        <v>1505640</v>
      </c>
      <c r="D48" s="6">
        <v>909126</v>
      </c>
      <c r="E48" s="6">
        <v>911946</v>
      </c>
      <c r="F48" s="6">
        <v>856777</v>
      </c>
      <c r="G48" s="6">
        <v>555916</v>
      </c>
      <c r="H48" s="6">
        <v>397073</v>
      </c>
      <c r="I48" s="34">
        <v>353773.50893808797</v>
      </c>
      <c r="J48" s="34">
        <v>315195.68347978179</v>
      </c>
      <c r="K48" s="34">
        <v>280824.64168246475</v>
      </c>
      <c r="L48" s="34">
        <v>250201.64776826123</v>
      </c>
      <c r="M48" s="34">
        <v>250000</v>
      </c>
      <c r="N48" s="34">
        <v>250000</v>
      </c>
    </row>
    <row r="49" spans="2:14" x14ac:dyDescent="0.25">
      <c r="B49" s="5" t="s">
        <v>6</v>
      </c>
      <c r="C49" s="6">
        <v>814122</v>
      </c>
      <c r="D49" s="6">
        <v>416331</v>
      </c>
      <c r="E49" s="6">
        <v>411406</v>
      </c>
      <c r="F49" s="6">
        <v>531512</v>
      </c>
      <c r="G49" s="6">
        <v>481004</v>
      </c>
      <c r="H49" s="6">
        <v>788972</v>
      </c>
      <c r="I49" s="34">
        <v>908837.85736368794</v>
      </c>
      <c r="J49" s="34">
        <v>942785.27488665457</v>
      </c>
      <c r="K49" s="34">
        <v>991530.84826253145</v>
      </c>
      <c r="L49" s="34">
        <v>1041738.7888396842</v>
      </c>
      <c r="M49" s="34">
        <v>1093452.9676341515</v>
      </c>
      <c r="N49" s="34">
        <v>1146718.5717924528</v>
      </c>
    </row>
    <row r="50" spans="2:14" x14ac:dyDescent="0.25">
      <c r="B50" s="5" t="s">
        <v>7</v>
      </c>
      <c r="C50" s="6">
        <v>1186093</v>
      </c>
      <c r="D50" s="6">
        <v>946127</v>
      </c>
      <c r="E50" s="6">
        <v>915638</v>
      </c>
      <c r="F50" s="6">
        <v>1286180</v>
      </c>
      <c r="G50" s="6">
        <v>871080</v>
      </c>
      <c r="H50" s="6">
        <v>937348</v>
      </c>
      <c r="I50" s="34">
        <v>923002.33530220867</v>
      </c>
      <c r="J50" s="34">
        <v>908876.22417003172</v>
      </c>
      <c r="K50" s="34">
        <v>894966.30644071684</v>
      </c>
      <c r="L50" s="34">
        <v>881269.27337720222</v>
      </c>
      <c r="M50" s="34">
        <v>867781.86688107112</v>
      </c>
      <c r="N50" s="34">
        <v>854500.87871755101</v>
      </c>
    </row>
    <row r="52" spans="2:14" x14ac:dyDescent="0.25">
      <c r="B52" s="2" t="s">
        <v>16</v>
      </c>
      <c r="C52" s="6"/>
      <c r="D52" s="6"/>
      <c r="E52" s="6"/>
      <c r="F52" s="6"/>
      <c r="G52" s="6"/>
      <c r="H52" s="6"/>
    </row>
    <row r="53" spans="2:14" x14ac:dyDescent="0.25">
      <c r="B53" s="14" t="s">
        <v>3</v>
      </c>
      <c r="C53" s="6">
        <v>81321</v>
      </c>
      <c r="D53" s="6">
        <v>28743</v>
      </c>
      <c r="E53" s="6">
        <v>39491</v>
      </c>
      <c r="F53" s="6">
        <v>44132</v>
      </c>
      <c r="G53" s="6">
        <v>30170</v>
      </c>
      <c r="H53" s="6">
        <v>24895</v>
      </c>
      <c r="I53" s="34">
        <f>I46*I38</f>
        <v>68935.803038945247</v>
      </c>
      <c r="J53" s="34">
        <f t="shared" ref="J53:N53" si="7">J46*J38</f>
        <v>60758.163000552413</v>
      </c>
      <c r="K53" s="34">
        <f t="shared" si="7"/>
        <v>61878.166806750654</v>
      </c>
      <c r="L53" s="34">
        <f t="shared" si="7"/>
        <v>60293.349914881401</v>
      </c>
      <c r="M53" s="34">
        <f t="shared" si="7"/>
        <v>61083.554119785149</v>
      </c>
      <c r="N53" s="34">
        <f t="shared" si="7"/>
        <v>65983.17398600874</v>
      </c>
    </row>
    <row r="54" spans="2:14" x14ac:dyDescent="0.25">
      <c r="B54" s="14" t="s">
        <v>4</v>
      </c>
      <c r="C54" s="6">
        <v>75212</v>
      </c>
      <c r="D54" s="6">
        <v>15829</v>
      </c>
      <c r="E54" s="6">
        <v>24083</v>
      </c>
      <c r="F54" s="6">
        <v>25442</v>
      </c>
      <c r="G54" s="6">
        <v>15468</v>
      </c>
      <c r="H54" s="6">
        <v>8397</v>
      </c>
      <c r="I54" s="34">
        <f t="shared" ref="I54:N57" si="8">I47*I39</f>
        <v>22649.2627409204</v>
      </c>
      <c r="J54" s="34">
        <f t="shared" si="8"/>
        <v>17119.832555068446</v>
      </c>
      <c r="K54" s="34">
        <f t="shared" si="8"/>
        <v>17314.455968475238</v>
      </c>
      <c r="L54" s="34">
        <f t="shared" si="8"/>
        <v>16268.276936626722</v>
      </c>
      <c r="M54" s="34">
        <f t="shared" si="8"/>
        <v>14959.42469049321</v>
      </c>
      <c r="N54" s="34">
        <f t="shared" si="8"/>
        <v>14870.579374465562</v>
      </c>
    </row>
    <row r="55" spans="2:14" x14ac:dyDescent="0.25">
      <c r="B55" s="14" t="s">
        <v>5</v>
      </c>
      <c r="C55" s="6">
        <v>971941</v>
      </c>
      <c r="D55" s="6">
        <v>325624</v>
      </c>
      <c r="E55" s="6">
        <v>414324</v>
      </c>
      <c r="F55" s="6">
        <v>391983</v>
      </c>
      <c r="G55" s="6">
        <v>214160</v>
      </c>
      <c r="H55" s="6">
        <v>117833</v>
      </c>
      <c r="I55" s="34">
        <f t="shared" si="8"/>
        <v>153156.59464633494</v>
      </c>
      <c r="J55" s="34">
        <f t="shared" si="8"/>
        <v>125286.37974714774</v>
      </c>
      <c r="K55" s="34">
        <f t="shared" si="8"/>
        <v>113464.42164735778</v>
      </c>
      <c r="L55" s="34">
        <f t="shared" si="8"/>
        <v>98994.421181368612</v>
      </c>
      <c r="M55" s="34">
        <f t="shared" si="8"/>
        <v>96337.544604145718</v>
      </c>
      <c r="N55" s="34">
        <f t="shared" si="8"/>
        <v>96342.21630699237</v>
      </c>
    </row>
    <row r="56" spans="2:14" x14ac:dyDescent="0.25">
      <c r="B56" s="14" t="s">
        <v>6</v>
      </c>
      <c r="C56" s="6">
        <v>72046</v>
      </c>
      <c r="D56" s="6">
        <v>23385</v>
      </c>
      <c r="E56" s="6">
        <v>38243</v>
      </c>
      <c r="F56" s="6">
        <v>49867</v>
      </c>
      <c r="G56" s="6">
        <v>29682</v>
      </c>
      <c r="H56" s="6">
        <v>17286</v>
      </c>
      <c r="I56" s="34">
        <f t="shared" si="8"/>
        <v>62870.433339091906</v>
      </c>
      <c r="J56" s="34">
        <f t="shared" si="8"/>
        <v>62183.25559455125</v>
      </c>
      <c r="K56" s="34">
        <f t="shared" si="8"/>
        <v>67015.835955431612</v>
      </c>
      <c r="L56" s="34">
        <f t="shared" si="8"/>
        <v>66004.729731311949</v>
      </c>
      <c r="M56" s="34">
        <f t="shared" si="8"/>
        <v>63730.093237552632</v>
      </c>
      <c r="N56" s="34">
        <f t="shared" si="8"/>
        <v>66179.989311288984</v>
      </c>
    </row>
    <row r="57" spans="2:14" x14ac:dyDescent="0.25">
      <c r="B57" s="14" t="s">
        <v>7</v>
      </c>
      <c r="C57" s="6">
        <v>398791</v>
      </c>
      <c r="D57" s="6">
        <v>172226</v>
      </c>
      <c r="E57" s="6">
        <v>208419</v>
      </c>
      <c r="F57" s="6">
        <v>239343</v>
      </c>
      <c r="G57" s="6">
        <v>195053</v>
      </c>
      <c r="H57" s="6">
        <v>162510</v>
      </c>
      <c r="I57" s="34">
        <f t="shared" si="8"/>
        <v>204484.68796077979</v>
      </c>
      <c r="J57" s="34">
        <f t="shared" si="8"/>
        <v>183983.58531963979</v>
      </c>
      <c r="K57" s="34">
        <f t="shared" si="8"/>
        <v>184210.25759543516</v>
      </c>
      <c r="L57" s="34">
        <f t="shared" si="8"/>
        <v>178190.1860701034</v>
      </c>
      <c r="M57" s="34">
        <f t="shared" si="8"/>
        <v>177792.91202292097</v>
      </c>
      <c r="N57" s="34">
        <f t="shared" si="8"/>
        <v>172360.42411874179</v>
      </c>
    </row>
    <row r="59" spans="2:14" x14ac:dyDescent="0.25">
      <c r="I59" s="34">
        <f>SUM(I53:I57)</f>
        <v>512096.78172607231</v>
      </c>
      <c r="J59" s="34">
        <f t="shared" ref="J59:N59" si="9">SUM(J53:J57)</f>
        <v>449331.21621695964</v>
      </c>
      <c r="K59" s="34">
        <f t="shared" si="9"/>
        <v>443883.13797345047</v>
      </c>
      <c r="L59" s="34">
        <f t="shared" si="9"/>
        <v>419750.96383429214</v>
      </c>
      <c r="M59" s="34">
        <f t="shared" si="9"/>
        <v>413903.52867489768</v>
      </c>
      <c r="N59" s="34">
        <f t="shared" si="9"/>
        <v>415736.38309749746</v>
      </c>
    </row>
    <row r="61" spans="2:14" x14ac:dyDescent="0.25">
      <c r="I61">
        <f ca="1">SUM(H24:H28)+Schedules!I69+Schedules!I62+Schedules!I28</f>
        <v>-1842.5173039124529</v>
      </c>
    </row>
    <row r="63" spans="2:14" x14ac:dyDescent="0.25">
      <c r="B63" t="s">
        <v>315</v>
      </c>
      <c r="D63" s="83">
        <f>DATE(2020,12,31)</f>
        <v>44196</v>
      </c>
      <c r="E63" s="83">
        <f>EOMONTH(D63,12)</f>
        <v>44561</v>
      </c>
      <c r="F63" s="83">
        <f t="shared" ref="F63:N63" si="10">EOMONTH(E63,12)</f>
        <v>44926</v>
      </c>
      <c r="G63" s="83">
        <f t="shared" si="10"/>
        <v>45291</v>
      </c>
      <c r="H63" s="83">
        <f t="shared" si="10"/>
        <v>45657</v>
      </c>
      <c r="I63" s="83">
        <f t="shared" si="10"/>
        <v>46022</v>
      </c>
      <c r="J63" s="83">
        <f t="shared" si="10"/>
        <v>46387</v>
      </c>
      <c r="K63" s="83">
        <f t="shared" si="10"/>
        <v>46752</v>
      </c>
      <c r="L63" s="83">
        <f t="shared" si="10"/>
        <v>47118</v>
      </c>
      <c r="M63" s="83">
        <f t="shared" si="10"/>
        <v>47483</v>
      </c>
      <c r="N63" s="83">
        <f t="shared" si="10"/>
        <v>47848</v>
      </c>
    </row>
    <row r="64" spans="2:14" x14ac:dyDescent="0.25">
      <c r="B64" s="2" t="s">
        <v>40</v>
      </c>
      <c r="D64" s="63">
        <f>('3_Statement_Model'!C64/'3_Statement_Model'!B64)-1</f>
        <v>-0.28393818618141087</v>
      </c>
      <c r="E64" s="63">
        <f>('3_Statement_Model'!D64/'3_Statement_Model'!C64)-1</f>
        <v>8.2632939708063402E-2</v>
      </c>
      <c r="F64" s="63">
        <f>('3_Statement_Model'!E64/'3_Statement_Model'!D64)-1</f>
        <v>0.32632684152015479</v>
      </c>
      <c r="G64" s="63">
        <f>('3_Statement_Model'!F64/'3_Statement_Model'!E64)-1</f>
        <v>-5.6077891840406346E-2</v>
      </c>
      <c r="H64" s="63">
        <f>('3_Statement_Model'!G64/'3_Statement_Model'!F64)-1</f>
        <v>0.27171963153315581</v>
      </c>
      <c r="I64" s="79">
        <f t="shared" ref="I64:N64" ca="1" si="11">OFFSET(I64,MATCH(S,$B$65:$B$67,0),0)</f>
        <v>0.2</v>
      </c>
      <c r="J64" s="80">
        <f t="shared" ca="1" si="11"/>
        <v>0.2</v>
      </c>
      <c r="K64" s="80">
        <f t="shared" ca="1" si="11"/>
        <v>0.2</v>
      </c>
      <c r="L64" s="80">
        <f t="shared" ca="1" si="11"/>
        <v>0.2</v>
      </c>
      <c r="M64" s="80">
        <f t="shared" ca="1" si="11"/>
        <v>0.2</v>
      </c>
      <c r="N64" s="81">
        <f t="shared" ca="1" si="11"/>
        <v>0.2</v>
      </c>
    </row>
    <row r="65" spans="2:14" x14ac:dyDescent="0.25">
      <c r="B65" t="s">
        <v>143</v>
      </c>
      <c r="H65" t="s">
        <v>154</v>
      </c>
      <c r="I65" s="63">
        <v>0.2</v>
      </c>
      <c r="J65" s="63">
        <v>0.2</v>
      </c>
      <c r="K65" s="63">
        <v>0.2</v>
      </c>
      <c r="L65" s="63">
        <v>0.2</v>
      </c>
      <c r="M65" s="63">
        <v>0.2</v>
      </c>
      <c r="N65" s="63">
        <v>0.2</v>
      </c>
    </row>
    <row r="66" spans="2:14" x14ac:dyDescent="0.25">
      <c r="B66" t="s">
        <v>145</v>
      </c>
      <c r="H66" t="s">
        <v>155</v>
      </c>
      <c r="I66" s="63">
        <f>_xlfn.FORECAST.ETS(I63,$D$64:$H$64,$D$63:$H$63,1)/3</f>
        <v>9.770031228117225E-2</v>
      </c>
      <c r="J66" s="63">
        <f t="shared" ref="J66:N66" si="12">_xlfn.FORECAST.ETS(J63,$D$64:$H$64,$D$63:$H$63,1)/3</f>
        <v>0.12733243041682926</v>
      </c>
      <c r="K66" s="63">
        <f t="shared" si="12"/>
        <v>0.15696454855248618</v>
      </c>
      <c r="L66" s="63">
        <f t="shared" si="12"/>
        <v>0.18659666668814315</v>
      </c>
      <c r="M66" s="63">
        <f t="shared" si="12"/>
        <v>0.21622878482380012</v>
      </c>
      <c r="N66" s="63">
        <f t="shared" si="12"/>
        <v>0.24586090295945709</v>
      </c>
    </row>
    <row r="67" spans="2:14" x14ac:dyDescent="0.25">
      <c r="B67" t="s">
        <v>148</v>
      </c>
      <c r="H67" t="s">
        <v>156</v>
      </c>
      <c r="I67" s="63">
        <f>_xlfn.FORECAST.LINEAR(I63,$D$64:$H$64,$D$63:$H$63)/3</f>
        <v>0.11999157786699637</v>
      </c>
      <c r="J67" s="63">
        <f t="shared" ref="J67:N67" si="13">_xlfn.FORECAST.LINEAR(J63,$D$64:$H$64,$D$63:$H$63)/3</f>
        <v>0.15239480057441668</v>
      </c>
      <c r="K67" s="63">
        <f t="shared" si="13"/>
        <v>0.184798023281837</v>
      </c>
      <c r="L67" s="63">
        <f t="shared" si="13"/>
        <v>0.21729002194188021</v>
      </c>
      <c r="M67" s="63">
        <f t="shared" si="13"/>
        <v>0.24969324464930054</v>
      </c>
      <c r="N67" s="63">
        <f t="shared" si="13"/>
        <v>0.28209646735672084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937AC-E959-4924-AF12-8B80161ACD7D}">
  <dimension ref="A1:AD64"/>
  <sheetViews>
    <sheetView showGridLines="0" topLeftCell="C8" workbookViewId="0">
      <selection activeCell="H26" sqref="H26"/>
    </sheetView>
  </sheetViews>
  <sheetFormatPr defaultRowHeight="15" x14ac:dyDescent="0.25"/>
  <cols>
    <col min="2" max="2" width="26.85546875" bestFit="1" customWidth="1"/>
    <col min="3" max="3" width="23.85546875" bestFit="1" customWidth="1"/>
    <col min="4" max="4" width="26.85546875" bestFit="1" customWidth="1"/>
    <col min="5" max="5" width="25.85546875" bestFit="1" customWidth="1"/>
    <col min="6" max="6" width="20.42578125" bestFit="1" customWidth="1"/>
    <col min="7" max="7" width="37" bestFit="1" customWidth="1"/>
    <col min="8" max="9" width="11.42578125" customWidth="1"/>
    <col min="10" max="10" width="2" customWidth="1"/>
    <col min="11" max="11" width="2" style="60" customWidth="1"/>
    <col min="12" max="12" width="18.85546875" bestFit="1" customWidth="1"/>
    <col min="13" max="13" width="45.85546875" bestFit="1" customWidth="1"/>
    <col min="14" max="21" width="12.42578125" bestFit="1" customWidth="1"/>
    <col min="22" max="22" width="25.7109375" bestFit="1" customWidth="1"/>
    <col min="23" max="23" width="36" bestFit="1" customWidth="1"/>
    <col min="24" max="24" width="14.5703125" bestFit="1" customWidth="1"/>
    <col min="25" max="25" width="12.7109375" bestFit="1" customWidth="1"/>
    <col min="26" max="26" width="12" bestFit="1" customWidth="1"/>
    <col min="27" max="27" width="13.42578125" bestFit="1" customWidth="1"/>
    <col min="28" max="30" width="12.7109375" bestFit="1" customWidth="1"/>
  </cols>
  <sheetData>
    <row r="1" spans="1:27" x14ac:dyDescent="0.25">
      <c r="B1" t="s">
        <v>89</v>
      </c>
      <c r="C1" s="55" t="s">
        <v>90</v>
      </c>
      <c r="D1" s="55" t="s">
        <v>101</v>
      </c>
      <c r="E1" s="55" t="s">
        <v>102</v>
      </c>
    </row>
    <row r="2" spans="1:27" x14ac:dyDescent="0.25">
      <c r="A2" s="298" t="s">
        <v>91</v>
      </c>
      <c r="B2" s="56" t="s">
        <v>92</v>
      </c>
      <c r="C2">
        <v>0.77602700000000002</v>
      </c>
      <c r="D2">
        <v>468.2</v>
      </c>
      <c r="E2" s="57">
        <v>21111.599999999999</v>
      </c>
      <c r="F2" s="55" t="s">
        <v>132</v>
      </c>
      <c r="G2" s="2"/>
      <c r="H2" s="2"/>
      <c r="I2" s="2"/>
      <c r="K2" s="60" t="s">
        <v>23</v>
      </c>
      <c r="L2" s="61" t="s">
        <v>104</v>
      </c>
      <c r="M2" s="61" t="s">
        <v>133</v>
      </c>
      <c r="V2" s="61" t="s">
        <v>104</v>
      </c>
      <c r="W2" s="61" t="s">
        <v>134</v>
      </c>
    </row>
    <row r="3" spans="1:27" ht="15.75" thickBot="1" x14ac:dyDescent="0.3">
      <c r="A3" s="298"/>
      <c r="B3" s="56" t="s">
        <v>93</v>
      </c>
      <c r="C3">
        <v>0.86726499999999995</v>
      </c>
      <c r="D3">
        <v>481.1</v>
      </c>
      <c r="E3" s="57">
        <v>21397.9</v>
      </c>
      <c r="F3">
        <f>(E3/E2)-1</f>
        <v>1.3561264897023584E-2</v>
      </c>
    </row>
    <row r="4" spans="1:27" x14ac:dyDescent="0.25">
      <c r="A4" s="298"/>
      <c r="B4" s="56" t="s">
        <v>94</v>
      </c>
      <c r="C4">
        <v>0.95559799999999995</v>
      </c>
      <c r="D4">
        <v>493.9</v>
      </c>
      <c r="E4" s="57">
        <v>21717.200000000001</v>
      </c>
      <c r="F4">
        <f t="shared" ref="F4:F25" si="0">(E4/E3)-1</f>
        <v>1.4922025058533794E-2</v>
      </c>
      <c r="L4" s="62" t="s">
        <v>105</v>
      </c>
      <c r="M4" s="62"/>
      <c r="V4" s="62" t="s">
        <v>105</v>
      </c>
      <c r="W4" s="62"/>
    </row>
    <row r="5" spans="1:27" x14ac:dyDescent="0.25">
      <c r="A5" s="298"/>
      <c r="B5" s="56" t="s">
        <v>95</v>
      </c>
      <c r="C5">
        <v>1.0170699999999999</v>
      </c>
      <c r="D5">
        <v>502</v>
      </c>
      <c r="E5" s="57">
        <v>21933.200000000001</v>
      </c>
      <c r="F5">
        <f t="shared" si="0"/>
        <v>9.9460335586538662E-3</v>
      </c>
      <c r="G5" s="63">
        <f>SUM(F3:F5)</f>
        <v>3.8429323514211244E-2</v>
      </c>
      <c r="L5" t="s">
        <v>106</v>
      </c>
      <c r="M5">
        <v>0.93495434748030126</v>
      </c>
      <c r="V5" t="s">
        <v>106</v>
      </c>
      <c r="W5">
        <v>0.91339699501793736</v>
      </c>
    </row>
    <row r="6" spans="1:27" x14ac:dyDescent="0.25">
      <c r="A6" s="298" t="s">
        <v>96</v>
      </c>
      <c r="B6" s="56" t="s">
        <v>92</v>
      </c>
      <c r="C6">
        <v>0.95571200000000001</v>
      </c>
      <c r="D6">
        <v>457.1</v>
      </c>
      <c r="E6" s="57">
        <v>21727.7</v>
      </c>
      <c r="F6">
        <f t="shared" si="0"/>
        <v>-9.369357868436845E-3</v>
      </c>
      <c r="L6" t="s">
        <v>107</v>
      </c>
      <c r="M6">
        <v>0.87413963187231591</v>
      </c>
      <c r="V6" t="s">
        <v>107</v>
      </c>
      <c r="W6">
        <v>0.83429407050779791</v>
      </c>
    </row>
    <row r="7" spans="1:27" x14ac:dyDescent="0.25">
      <c r="A7" s="298"/>
      <c r="B7" s="56" t="s">
        <v>93</v>
      </c>
      <c r="C7">
        <v>0.33934500000000001</v>
      </c>
      <c r="D7">
        <v>300.39999999999998</v>
      </c>
      <c r="E7" s="57">
        <v>19935.400000000001</v>
      </c>
      <c r="F7">
        <f t="shared" si="0"/>
        <v>-8.2489172807061917E-2</v>
      </c>
      <c r="L7" t="s">
        <v>108</v>
      </c>
      <c r="M7">
        <v>0.86841870604833027</v>
      </c>
      <c r="V7" t="s">
        <v>108</v>
      </c>
      <c r="W7">
        <v>0.82676198280360691</v>
      </c>
    </row>
    <row r="8" spans="1:27" x14ac:dyDescent="0.25">
      <c r="A8" s="298"/>
      <c r="B8" s="56" t="s">
        <v>94</v>
      </c>
      <c r="C8">
        <v>0.49974400000000002</v>
      </c>
      <c r="D8">
        <v>345.2</v>
      </c>
      <c r="E8" s="57">
        <v>21684.6</v>
      </c>
      <c r="F8">
        <f t="shared" si="0"/>
        <v>8.7743411218234701E-2</v>
      </c>
      <c r="L8" t="s">
        <v>109</v>
      </c>
      <c r="M8">
        <v>0.11115035233505428</v>
      </c>
      <c r="V8" t="s">
        <v>109</v>
      </c>
      <c r="W8">
        <v>44.454364336751844</v>
      </c>
    </row>
    <row r="9" spans="1:27" ht="15.75" thickBot="1" x14ac:dyDescent="0.3">
      <c r="A9" s="298"/>
      <c r="B9" s="56" t="s">
        <v>95</v>
      </c>
      <c r="C9">
        <v>0.56988000000000005</v>
      </c>
      <c r="D9">
        <v>363</v>
      </c>
      <c r="E9" s="57">
        <v>22068.799999999999</v>
      </c>
      <c r="F9">
        <f t="shared" si="0"/>
        <v>1.7717642935539457E-2</v>
      </c>
      <c r="G9" s="63">
        <f>SUM(F7:F9)</f>
        <v>2.2971881346712242E-2</v>
      </c>
      <c r="L9" s="64" t="s">
        <v>110</v>
      </c>
      <c r="M9" s="64">
        <v>24</v>
      </c>
      <c r="V9" s="64" t="s">
        <v>110</v>
      </c>
      <c r="W9" s="64">
        <v>24</v>
      </c>
    </row>
    <row r="10" spans="1:27" x14ac:dyDescent="0.25">
      <c r="A10" s="298" t="s">
        <v>97</v>
      </c>
      <c r="B10" s="56" t="s">
        <v>92</v>
      </c>
      <c r="C10">
        <v>0.60895999999999995</v>
      </c>
      <c r="D10">
        <v>375.9</v>
      </c>
      <c r="E10" s="57">
        <v>22656.799999999999</v>
      </c>
      <c r="F10">
        <f t="shared" si="0"/>
        <v>2.6643949829623814E-2</v>
      </c>
    </row>
    <row r="11" spans="1:27" ht="15.75" thickBot="1" x14ac:dyDescent="0.3">
      <c r="A11" s="298"/>
      <c r="B11" s="56" t="s">
        <v>93</v>
      </c>
      <c r="C11">
        <v>0.76502499999999996</v>
      </c>
      <c r="D11">
        <v>450.3</v>
      </c>
      <c r="E11" s="57">
        <v>23368.9</v>
      </c>
      <c r="F11">
        <f t="shared" si="0"/>
        <v>3.1429857702764741E-2</v>
      </c>
      <c r="L11" t="s">
        <v>111</v>
      </c>
      <c r="V11" t="s">
        <v>111</v>
      </c>
    </row>
    <row r="12" spans="1:27" x14ac:dyDescent="0.25">
      <c r="A12" s="298"/>
      <c r="B12" s="56" t="s">
        <v>94</v>
      </c>
      <c r="C12">
        <v>0.86440499999999998</v>
      </c>
      <c r="D12">
        <v>514.29999999999995</v>
      </c>
      <c r="E12" s="57">
        <v>23922</v>
      </c>
      <c r="F12">
        <f t="shared" si="0"/>
        <v>2.3668208602030782E-2</v>
      </c>
      <c r="L12" s="65"/>
      <c r="M12" s="65" t="s">
        <v>116</v>
      </c>
      <c r="N12" s="65" t="s">
        <v>117</v>
      </c>
      <c r="O12" s="65" t="s">
        <v>118</v>
      </c>
      <c r="P12" s="65" t="s">
        <v>119</v>
      </c>
      <c r="Q12" s="65" t="s">
        <v>120</v>
      </c>
      <c r="V12" s="65"/>
      <c r="W12" s="65" t="s">
        <v>116</v>
      </c>
      <c r="X12" s="65" t="s">
        <v>117</v>
      </c>
      <c r="Y12" s="65" t="s">
        <v>118</v>
      </c>
      <c r="Z12" s="65" t="s">
        <v>119</v>
      </c>
      <c r="AA12" s="65" t="s">
        <v>120</v>
      </c>
    </row>
    <row r="13" spans="1:27" x14ac:dyDescent="0.25">
      <c r="A13" s="298"/>
      <c r="B13" s="56" t="s">
        <v>95</v>
      </c>
      <c r="C13">
        <v>0.96993300000000005</v>
      </c>
      <c r="D13">
        <v>529.79999999999995</v>
      </c>
      <c r="E13" s="57">
        <v>24777</v>
      </c>
      <c r="F13">
        <f t="shared" si="0"/>
        <v>3.5741158765989489E-2</v>
      </c>
      <c r="G13" s="63">
        <f>SUM(F11:F13)</f>
        <v>9.0839225070785012E-2</v>
      </c>
      <c r="L13" t="s">
        <v>112</v>
      </c>
      <c r="M13">
        <v>1</v>
      </c>
      <c r="N13">
        <v>1.887713933153452</v>
      </c>
      <c r="O13">
        <v>1.887713933153452</v>
      </c>
      <c r="P13">
        <v>152.79688266668043</v>
      </c>
      <c r="Q13">
        <v>2.2449826743243882E-11</v>
      </c>
      <c r="V13" t="s">
        <v>112</v>
      </c>
      <c r="W13">
        <v>1</v>
      </c>
      <c r="X13">
        <v>218893.36506113713</v>
      </c>
      <c r="Y13">
        <v>218893.36506113713</v>
      </c>
      <c r="Z13">
        <v>110.76531544416034</v>
      </c>
      <c r="AA13">
        <v>4.7241684621870538E-10</v>
      </c>
    </row>
    <row r="14" spans="1:27" x14ac:dyDescent="0.25">
      <c r="A14" s="298" t="s">
        <v>98</v>
      </c>
      <c r="B14" s="56" t="s">
        <v>92</v>
      </c>
      <c r="C14">
        <v>0.87557499999999999</v>
      </c>
      <c r="D14">
        <v>539.5</v>
      </c>
      <c r="E14" s="57">
        <v>25215.5</v>
      </c>
      <c r="F14">
        <f t="shared" si="0"/>
        <v>1.7697864955402265E-2</v>
      </c>
      <c r="L14" t="s">
        <v>113</v>
      </c>
      <c r="M14">
        <v>22</v>
      </c>
      <c r="N14">
        <v>0.27179681813254752</v>
      </c>
      <c r="O14">
        <v>1.2354400824206706E-2</v>
      </c>
      <c r="V14" t="s">
        <v>113</v>
      </c>
      <c r="W14">
        <v>22</v>
      </c>
      <c r="X14">
        <v>43476.191188862838</v>
      </c>
      <c r="Y14">
        <v>1976.1905085846745</v>
      </c>
    </row>
    <row r="15" spans="1:27" ht="15.75" thickBot="1" x14ac:dyDescent="0.3">
      <c r="A15" s="298"/>
      <c r="B15" s="56" t="s">
        <v>93</v>
      </c>
      <c r="C15">
        <v>0.99074799999999996</v>
      </c>
      <c r="D15">
        <v>572.20000000000005</v>
      </c>
      <c r="E15" s="57">
        <v>25805.8</v>
      </c>
      <c r="F15">
        <f t="shared" si="0"/>
        <v>2.3410204041165228E-2</v>
      </c>
      <c r="L15" s="64" t="s">
        <v>114</v>
      </c>
      <c r="M15" s="64">
        <v>23</v>
      </c>
      <c r="N15" s="64">
        <v>2.1595107512859997</v>
      </c>
      <c r="O15" s="64"/>
      <c r="P15" s="64"/>
      <c r="Q15" s="64"/>
      <c r="V15" s="64" t="s">
        <v>114</v>
      </c>
      <c r="W15" s="64">
        <v>23</v>
      </c>
      <c r="X15" s="64">
        <v>262369.55624999997</v>
      </c>
      <c r="Y15" s="64"/>
      <c r="Z15" s="64"/>
      <c r="AA15" s="64"/>
    </row>
    <row r="16" spans="1:27" ht="15.75" thickBot="1" x14ac:dyDescent="0.3">
      <c r="A16" s="298"/>
      <c r="B16" s="56" t="s">
        <v>94</v>
      </c>
      <c r="C16">
        <v>1.05382</v>
      </c>
      <c r="D16">
        <v>582.1</v>
      </c>
      <c r="E16" s="57">
        <v>26272</v>
      </c>
      <c r="F16">
        <f t="shared" si="0"/>
        <v>1.8065706159080541E-2</v>
      </c>
    </row>
    <row r="17" spans="1:30" x14ac:dyDescent="0.25">
      <c r="A17" s="298"/>
      <c r="B17" s="56" t="s">
        <v>95</v>
      </c>
      <c r="C17">
        <v>1.174992</v>
      </c>
      <c r="D17">
        <v>593</v>
      </c>
      <c r="E17" s="57">
        <v>26734.3</v>
      </c>
      <c r="F17">
        <f t="shared" si="0"/>
        <v>1.7596680876979187E-2</v>
      </c>
      <c r="G17" s="63">
        <f>SUM(F15:F17)</f>
        <v>5.9072591077224956E-2</v>
      </c>
      <c r="L17" s="65"/>
      <c r="M17" s="65" t="s">
        <v>121</v>
      </c>
      <c r="N17" s="65" t="s">
        <v>109</v>
      </c>
      <c r="O17" s="65" t="s">
        <v>122</v>
      </c>
      <c r="P17" s="65" t="s">
        <v>123</v>
      </c>
      <c r="Q17" s="65" t="s">
        <v>124</v>
      </c>
      <c r="R17" s="65" t="s">
        <v>125</v>
      </c>
      <c r="S17" s="65" t="s">
        <v>126</v>
      </c>
      <c r="T17" s="65" t="s">
        <v>127</v>
      </c>
      <c r="V17" s="65"/>
      <c r="W17" s="65" t="s">
        <v>121</v>
      </c>
      <c r="X17" s="65" t="s">
        <v>109</v>
      </c>
      <c r="Y17" s="65" t="s">
        <v>122</v>
      </c>
      <c r="Z17" s="65" t="s">
        <v>123</v>
      </c>
      <c r="AA17" s="65" t="s">
        <v>124</v>
      </c>
      <c r="AB17" s="65" t="s">
        <v>125</v>
      </c>
      <c r="AC17" s="65" t="s">
        <v>126</v>
      </c>
      <c r="AD17" s="65" t="s">
        <v>127</v>
      </c>
    </row>
    <row r="18" spans="1:30" x14ac:dyDescent="0.25">
      <c r="A18" s="298" t="s">
        <v>99</v>
      </c>
      <c r="B18" s="56" t="s">
        <v>92</v>
      </c>
      <c r="C18">
        <v>1.000548</v>
      </c>
      <c r="D18">
        <v>608.29999999999995</v>
      </c>
      <c r="E18" s="57">
        <v>27164.400000000001</v>
      </c>
      <c r="F18">
        <f t="shared" si="0"/>
        <v>1.6087946944561837E-2</v>
      </c>
      <c r="L18" t="s">
        <v>115</v>
      </c>
      <c r="M18">
        <v>-0.43702299460386618</v>
      </c>
      <c r="N18">
        <v>0.11670621985750448</v>
      </c>
      <c r="O18">
        <v>-3.7446418463168532</v>
      </c>
      <c r="P18">
        <v>1.1220217359732064E-3</v>
      </c>
      <c r="Q18">
        <v>-0.67905688082323068</v>
      </c>
      <c r="R18">
        <v>-0.19498910838450162</v>
      </c>
      <c r="S18">
        <v>-0.67905688082323068</v>
      </c>
      <c r="T18">
        <v>-0.19498910838450162</v>
      </c>
      <c r="V18" t="s">
        <v>115</v>
      </c>
      <c r="W18">
        <v>-258.61919650246921</v>
      </c>
      <c r="X18">
        <v>75.249201879505634</v>
      </c>
      <c r="Y18">
        <v>-3.4368364054756171</v>
      </c>
      <c r="Z18">
        <v>2.3547086115294031E-3</v>
      </c>
      <c r="AA18">
        <v>-414.67648966164893</v>
      </c>
      <c r="AB18">
        <v>-102.56190334328949</v>
      </c>
      <c r="AC18">
        <v>-414.67648966164893</v>
      </c>
      <c r="AD18">
        <v>-102.56190334328949</v>
      </c>
    </row>
    <row r="19" spans="1:30" ht="15.75" thickBot="1" x14ac:dyDescent="0.3">
      <c r="A19" s="298"/>
      <c r="B19" s="56" t="s">
        <v>93</v>
      </c>
      <c r="C19">
        <v>1.0209060000000001</v>
      </c>
      <c r="D19">
        <v>610.1</v>
      </c>
      <c r="E19" s="57">
        <v>27453.8</v>
      </c>
      <c r="F19">
        <f t="shared" si="0"/>
        <v>1.065364962966231E-2</v>
      </c>
      <c r="L19" s="64" t="s">
        <v>101</v>
      </c>
      <c r="M19" s="64">
        <v>2.6823248327996515E-3</v>
      </c>
      <c r="N19" s="64">
        <v>2.1699719665731033E-4</v>
      </c>
      <c r="O19" s="64">
        <v>12.361103618475191</v>
      </c>
      <c r="P19" s="64">
        <v>2.2449826743243882E-11</v>
      </c>
      <c r="Q19" s="64">
        <v>2.2323001908413822E-3</v>
      </c>
      <c r="R19" s="64">
        <v>3.1323494747579209E-3</v>
      </c>
      <c r="S19" s="64">
        <v>2.2323001908413822E-3</v>
      </c>
      <c r="T19" s="64">
        <v>3.1323494747579209E-3</v>
      </c>
      <c r="V19" s="64" t="s">
        <v>102</v>
      </c>
      <c r="W19" s="64">
        <v>3.1555017727298254E-2</v>
      </c>
      <c r="X19" s="64">
        <v>2.9982409686767132E-3</v>
      </c>
      <c r="Y19" s="64">
        <v>10.524510223481203</v>
      </c>
      <c r="Z19" s="64">
        <v>4.7241684621870372E-10</v>
      </c>
      <c r="AA19" s="64">
        <v>2.5337046531273142E-2</v>
      </c>
      <c r="AB19" s="64">
        <v>3.777298892332337E-2</v>
      </c>
      <c r="AC19" s="64">
        <v>2.5337046531273142E-2</v>
      </c>
      <c r="AD19" s="64">
        <v>3.777298892332337E-2</v>
      </c>
    </row>
    <row r="20" spans="1:30" x14ac:dyDescent="0.25">
      <c r="A20" s="298"/>
      <c r="B20" s="56" t="s">
        <v>94</v>
      </c>
      <c r="C20">
        <v>1.1575500000000001</v>
      </c>
      <c r="D20">
        <v>617.1</v>
      </c>
      <c r="E20" s="57">
        <v>27967.7</v>
      </c>
      <c r="F20">
        <f t="shared" si="0"/>
        <v>1.8718720177170356E-2</v>
      </c>
    </row>
    <row r="21" spans="1:30" x14ac:dyDescent="0.25">
      <c r="A21" s="298"/>
      <c r="B21" s="56" t="s">
        <v>95</v>
      </c>
      <c r="C21">
        <v>1.224585</v>
      </c>
      <c r="D21">
        <v>632</v>
      </c>
      <c r="E21" s="57">
        <v>28297</v>
      </c>
      <c r="F21">
        <f t="shared" si="0"/>
        <v>1.177429677806896E-2</v>
      </c>
      <c r="G21" s="63">
        <f>SUM(F19:F21)</f>
        <v>4.1146666584901626E-2</v>
      </c>
    </row>
    <row r="22" spans="1:30" x14ac:dyDescent="0.25">
      <c r="A22" s="298" t="s">
        <v>100</v>
      </c>
      <c r="B22" s="56" t="s">
        <v>92</v>
      </c>
      <c r="C22">
        <v>1.227201</v>
      </c>
      <c r="D22">
        <v>637.6</v>
      </c>
      <c r="E22" s="57">
        <v>28624.1</v>
      </c>
      <c r="F22">
        <f t="shared" si="0"/>
        <v>1.1559529278722058E-2</v>
      </c>
    </row>
    <row r="23" spans="1:30" x14ac:dyDescent="0.25">
      <c r="A23" s="298"/>
      <c r="B23" s="56" t="s">
        <v>93</v>
      </c>
      <c r="C23">
        <v>1.435846</v>
      </c>
      <c r="D23">
        <v>659.4</v>
      </c>
      <c r="E23" s="57">
        <v>29016.7</v>
      </c>
      <c r="F23">
        <f t="shared" si="0"/>
        <v>1.3715715079251511E-2</v>
      </c>
      <c r="L23" t="s">
        <v>128</v>
      </c>
      <c r="V23" t="s">
        <v>128</v>
      </c>
    </row>
    <row r="24" spans="1:30" ht="15.75" thickBot="1" x14ac:dyDescent="0.3">
      <c r="A24" s="298"/>
      <c r="B24" s="56" t="s">
        <v>94</v>
      </c>
      <c r="C24">
        <v>1.5226919999999999</v>
      </c>
      <c r="D24">
        <v>654.4</v>
      </c>
      <c r="E24" s="57">
        <v>29374.9</v>
      </c>
      <c r="F24">
        <f t="shared" si="0"/>
        <v>1.234461534219955E-2</v>
      </c>
    </row>
    <row r="25" spans="1:30" x14ac:dyDescent="0.25">
      <c r="A25" s="298"/>
      <c r="B25" s="56" t="s">
        <v>95</v>
      </c>
      <c r="C25">
        <v>1.6002769999999999</v>
      </c>
      <c r="D25">
        <v>674.6</v>
      </c>
      <c r="E25" s="57">
        <v>29723.9</v>
      </c>
      <c r="F25">
        <f t="shared" si="0"/>
        <v>1.1880891509417957E-2</v>
      </c>
      <c r="G25" s="63">
        <f>SUM(F23:F25)</f>
        <v>3.7941221930869018E-2</v>
      </c>
      <c r="H25" s="63"/>
      <c r="I25" s="34"/>
      <c r="L25" s="65" t="s">
        <v>129</v>
      </c>
      <c r="M25" s="65" t="s">
        <v>130</v>
      </c>
      <c r="N25" s="65" t="s">
        <v>131</v>
      </c>
      <c r="V25" s="65" t="s">
        <v>129</v>
      </c>
      <c r="W25" s="65" t="s">
        <v>135</v>
      </c>
      <c r="X25" s="65" t="s">
        <v>131</v>
      </c>
    </row>
    <row r="26" spans="1:30" x14ac:dyDescent="0.25">
      <c r="A26" s="58"/>
      <c r="B26" s="58"/>
      <c r="C26" s="58"/>
      <c r="D26" s="58" t="s">
        <v>103</v>
      </c>
      <c r="E26" s="58"/>
      <c r="F26" s="58"/>
      <c r="L26">
        <v>1</v>
      </c>
      <c r="M26">
        <v>0.81884149211293056</v>
      </c>
      <c r="N26">
        <v>-4.2814492112930536E-2</v>
      </c>
      <c r="V26">
        <v>1</v>
      </c>
      <c r="W26">
        <v>407.55771574916059</v>
      </c>
      <c r="X26">
        <v>60.642284250839396</v>
      </c>
    </row>
    <row r="27" spans="1:30" x14ac:dyDescent="0.25">
      <c r="C27" s="55" t="s">
        <v>90</v>
      </c>
      <c r="D27" s="55" t="s">
        <v>101</v>
      </c>
      <c r="E27" s="55" t="s">
        <v>102</v>
      </c>
      <c r="F27" s="55" t="s">
        <v>136</v>
      </c>
      <c r="G27" s="55" t="s">
        <v>137</v>
      </c>
      <c r="L27">
        <v>2</v>
      </c>
      <c r="M27">
        <v>0.85344348245604618</v>
      </c>
      <c r="N27">
        <v>1.3821517543953776E-2</v>
      </c>
      <c r="V27">
        <v>2</v>
      </c>
      <c r="W27">
        <v>416.59191732448619</v>
      </c>
      <c r="X27">
        <v>64.508082675513833</v>
      </c>
    </row>
    <row r="28" spans="1:30" x14ac:dyDescent="0.25">
      <c r="A28" s="298">
        <f>A22+1</f>
        <v>2025</v>
      </c>
      <c r="B28" s="56" t="s">
        <v>92</v>
      </c>
      <c r="C28">
        <v>1.450172</v>
      </c>
      <c r="D28" s="34">
        <f>$W$18+(($W$19)*(E28))</f>
        <v>686.83224464284103</v>
      </c>
      <c r="E28" s="34">
        <v>29962</v>
      </c>
      <c r="F28" s="63">
        <f ca="1">((1+$G$31)^(1/4))-1</f>
        <v>7.4170717777328754E-3</v>
      </c>
      <c r="G28" s="63" t="s">
        <v>138</v>
      </c>
      <c r="L28">
        <v>3</v>
      </c>
      <c r="M28">
        <v>0.88777724031588168</v>
      </c>
      <c r="N28">
        <v>6.782075968411827E-2</v>
      </c>
      <c r="V28">
        <v>3</v>
      </c>
      <c r="W28">
        <v>426.66743448481247</v>
      </c>
      <c r="X28">
        <v>67.232565515187503</v>
      </c>
    </row>
    <row r="29" spans="1:30" x14ac:dyDescent="0.25">
      <c r="A29" s="298"/>
      <c r="B29" s="56" t="s">
        <v>93</v>
      </c>
      <c r="C29">
        <v>1.5881829999999999</v>
      </c>
      <c r="D29" s="34">
        <f t="shared" ref="D29:D51" si="1">$W$18+(($W$19)*(E29))</f>
        <v>698.47920168598682</v>
      </c>
      <c r="E29" s="34">
        <v>30331.1</v>
      </c>
      <c r="F29" s="63">
        <f ca="1">((1+$G$31)^(1/4))-1</f>
        <v>7.4170717777328754E-3</v>
      </c>
      <c r="G29" s="63" t="s">
        <v>139</v>
      </c>
      <c r="L29">
        <v>4</v>
      </c>
      <c r="M29">
        <v>0.90950407146155898</v>
      </c>
      <c r="N29">
        <v>0.10756592853844094</v>
      </c>
      <c r="V29">
        <v>4</v>
      </c>
      <c r="W29">
        <v>433.48331831390885</v>
      </c>
      <c r="X29">
        <v>68.516681686091147</v>
      </c>
    </row>
    <row r="30" spans="1:30" x14ac:dyDescent="0.25">
      <c r="A30" s="298"/>
      <c r="B30" s="56" t="s">
        <v>94</v>
      </c>
      <c r="C30">
        <f t="shared" ref="C30" ca="1" si="2">$M$18+(($M$19)*(D30))</f>
        <v>1.4747492824671509</v>
      </c>
      <c r="D30" s="34">
        <f t="shared" ca="1" si="1"/>
        <v>712.72958953134048</v>
      </c>
      <c r="E30" s="34">
        <f t="shared" ref="E30:E51" ca="1" si="3">E29*(1+F30)</f>
        <v>30782.704494996862</v>
      </c>
      <c r="F30" s="63">
        <f ca="1">((1+$G$31)^(1/2))-1</f>
        <v>1.4889156509221957E-2</v>
      </c>
      <c r="G30" s="63"/>
      <c r="L30">
        <v>5</v>
      </c>
      <c r="M30">
        <v>0.78906768646885461</v>
      </c>
      <c r="N30">
        <v>0.16664431353114539</v>
      </c>
      <c r="V30">
        <v>5</v>
      </c>
      <c r="W30">
        <v>426.99876217094913</v>
      </c>
      <c r="X30">
        <v>30.101237829050888</v>
      </c>
    </row>
    <row r="31" spans="1:30" x14ac:dyDescent="0.25">
      <c r="A31" s="298"/>
      <c r="B31" s="66" t="s">
        <v>95</v>
      </c>
      <c r="C31" s="67">
        <f ca="1">$M$18+(($M$19)*(D31))</f>
        <v>1.5135425772993425</v>
      </c>
      <c r="D31" s="59">
        <f t="shared" ca="1" si="1"/>
        <v>727.19215363164051</v>
      </c>
      <c r="E31" s="59">
        <f t="shared" ca="1" si="3"/>
        <v>31241.032999999999</v>
      </c>
      <c r="F31" s="63">
        <f ca="1">((1+$G$31)^(1/2))-1</f>
        <v>1.4889156509221957E-2</v>
      </c>
      <c r="G31" s="69">
        <f ca="1">OFFSET(B61,MATCH(S,A62:A64,0),0)</f>
        <v>0.03</v>
      </c>
      <c r="H31" s="34"/>
      <c r="I31" s="34"/>
      <c r="L31">
        <v>6</v>
      </c>
      <c r="M31">
        <v>0.36874738516914907</v>
      </c>
      <c r="N31">
        <v>-2.9402385169149059E-2</v>
      </c>
      <c r="V31">
        <v>6</v>
      </c>
      <c r="W31">
        <v>370.4427038983124</v>
      </c>
      <c r="X31">
        <v>-70.042703898312425</v>
      </c>
    </row>
    <row r="32" spans="1:30" x14ac:dyDescent="0.25">
      <c r="A32" s="298">
        <f>A28+1</f>
        <v>2026</v>
      </c>
      <c r="B32" s="70" t="s">
        <v>92</v>
      </c>
      <c r="C32">
        <f t="shared" ref="C32:C51" ca="1" si="4">$M$18+(($M$19)*(D32))</f>
        <v>1.5331552899856953</v>
      </c>
      <c r="D32" s="34">
        <f t="shared" ca="1" si="1"/>
        <v>734.50398717488895</v>
      </c>
      <c r="E32" s="34">
        <f t="shared" ca="1" si="3"/>
        <v>31472.749984171522</v>
      </c>
      <c r="F32" s="63">
        <f ca="1">((1+$G$35)^(1/4))-1</f>
        <v>7.4170717777328754E-3</v>
      </c>
      <c r="G32" s="71"/>
      <c r="L32">
        <v>7</v>
      </c>
      <c r="M32">
        <v>0.48891553767857354</v>
      </c>
      <c r="N32">
        <v>1.082846232142648E-2</v>
      </c>
      <c r="V32">
        <v>7</v>
      </c>
      <c r="W32">
        <v>425.63874090690251</v>
      </c>
      <c r="X32">
        <v>-80.438740906902524</v>
      </c>
    </row>
    <row r="33" spans="1:24" x14ac:dyDescent="0.25">
      <c r="A33" s="298"/>
      <c r="B33" s="72" t="s">
        <v>93</v>
      </c>
      <c r="C33">
        <f t="shared" ca="1" si="4"/>
        <v>1.5529134715697992</v>
      </c>
      <c r="D33" s="34">
        <f t="shared" ca="1" si="1"/>
        <v>741.87005311235464</v>
      </c>
      <c r="E33" s="34">
        <f t="shared" ca="1" si="3"/>
        <v>31706.185629846765</v>
      </c>
      <c r="F33" s="63">
        <f t="shared" ref="F33" ca="1" si="5">((1+$G$35)^(1/4))-1</f>
        <v>7.4170717777328754E-3</v>
      </c>
      <c r="G33" s="71"/>
      <c r="I33" s="34"/>
      <c r="L33">
        <v>8</v>
      </c>
      <c r="M33">
        <v>0.53666091970240737</v>
      </c>
      <c r="N33">
        <v>3.3219080297592685E-2</v>
      </c>
      <c r="V33">
        <v>8</v>
      </c>
      <c r="W33">
        <v>437.76217871773042</v>
      </c>
      <c r="X33">
        <v>-74.762178717730421</v>
      </c>
    </row>
    <row r="34" spans="1:24" x14ac:dyDescent="0.25">
      <c r="A34" s="298"/>
      <c r="B34" s="72" t="s">
        <v>94</v>
      </c>
      <c r="C34">
        <f t="shared" ca="1" si="4"/>
        <v>1.5728182010049094</v>
      </c>
      <c r="D34" s="34">
        <f t="shared" ca="1" si="1"/>
        <v>749.29075368959786</v>
      </c>
      <c r="E34" s="34">
        <f t="shared" ca="1" si="3"/>
        <v>31941.352684461461</v>
      </c>
      <c r="F34" s="63">
        <f ca="1">((1+$G$35)^(1/4))-1</f>
        <v>7.4170717777328754E-3</v>
      </c>
      <c r="G34" s="71"/>
      <c r="L34">
        <v>9</v>
      </c>
      <c r="M34">
        <v>0.57126291004552288</v>
      </c>
      <c r="N34">
        <v>3.769708995447707E-2</v>
      </c>
      <c r="V34">
        <v>9</v>
      </c>
      <c r="W34">
        <v>456.31652914138181</v>
      </c>
      <c r="X34">
        <v>-80.41652914138183</v>
      </c>
    </row>
    <row r="35" spans="1:24" x14ac:dyDescent="0.25">
      <c r="A35" s="298"/>
      <c r="B35" s="73" t="s">
        <v>95</v>
      </c>
      <c r="C35" s="74">
        <f t="shared" ca="1" si="4"/>
        <v>1.5928705652469564</v>
      </c>
      <c r="D35" s="59">
        <f t="shared" ca="1" si="1"/>
        <v>756.76649413566361</v>
      </c>
      <c r="E35" s="59">
        <f t="shared" ca="1" si="3"/>
        <v>32178.263989999992</v>
      </c>
      <c r="F35" s="68">
        <f ca="1">((1+$G$35)^(1/4))-1</f>
        <v>7.4170717777328754E-3</v>
      </c>
      <c r="G35" s="69">
        <f ca="1">OFFSET(C61,MATCH(S,A62:A64,0),0)</f>
        <v>0.03</v>
      </c>
      <c r="L35">
        <v>10</v>
      </c>
      <c r="M35">
        <v>0.77082787760581684</v>
      </c>
      <c r="N35">
        <v>-5.8028776058168807E-3</v>
      </c>
      <c r="V35">
        <v>10</v>
      </c>
      <c r="W35">
        <v>478.786857264991</v>
      </c>
      <c r="X35">
        <v>-28.486857264990988</v>
      </c>
    </row>
    <row r="36" spans="1:24" x14ac:dyDescent="0.25">
      <c r="A36" s="298">
        <f t="shared" ref="A36" si="6">A32+1</f>
        <v>2027</v>
      </c>
      <c r="B36" s="70" t="s">
        <v>92</v>
      </c>
      <c r="C36">
        <f t="shared" ca="1" si="4"/>
        <v>1.6130716593138992</v>
      </c>
      <c r="D36" s="34">
        <f t="shared" ca="1" si="1"/>
        <v>764.29768268520945</v>
      </c>
      <c r="E36" s="34">
        <f t="shared" ca="1" si="3"/>
        <v>32416.932483696659</v>
      </c>
      <c r="F36" s="63">
        <f ca="1">((1+$G$39)^(1/4))-1</f>
        <v>7.4170717777328754E-3</v>
      </c>
      <c r="G36" s="71"/>
      <c r="L36">
        <v>11</v>
      </c>
      <c r="M36">
        <v>0.94249666690499456</v>
      </c>
      <c r="N36">
        <v>-7.8091666904994583E-2</v>
      </c>
      <c r="V36">
        <v>11</v>
      </c>
      <c r="W36">
        <v>496.23993756995958</v>
      </c>
      <c r="X36">
        <v>18.060062430040375</v>
      </c>
    </row>
    <row r="37" spans="1:24" x14ac:dyDescent="0.25">
      <c r="A37" s="298"/>
      <c r="B37" s="72" t="s">
        <v>93</v>
      </c>
      <c r="C37">
        <f t="shared" ca="1" si="4"/>
        <v>1.6334225863455258</v>
      </c>
      <c r="D37" s="34">
        <f t="shared" ca="1" si="1"/>
        <v>771.88473060079889</v>
      </c>
      <c r="E37" s="34">
        <f t="shared" ca="1" si="3"/>
        <v>32657.371198742156</v>
      </c>
      <c r="F37" s="63">
        <f t="shared" ref="F37:F38" ca="1" si="7">((1+$G$39)^(1/4))-1</f>
        <v>7.4170717777328754E-3</v>
      </c>
      <c r="G37" s="71"/>
      <c r="L37">
        <v>12</v>
      </c>
      <c r="M37">
        <v>0.98407270181338902</v>
      </c>
      <c r="N37">
        <v>-1.4139701813388972E-2</v>
      </c>
      <c r="V37">
        <v>12</v>
      </c>
      <c r="W37">
        <v>523.2194777267996</v>
      </c>
      <c r="X37">
        <v>6.5805222732003585</v>
      </c>
    </row>
    <row r="38" spans="1:24" x14ac:dyDescent="0.25">
      <c r="A38" s="298"/>
      <c r="B38" s="72" t="s">
        <v>94</v>
      </c>
      <c r="C38">
        <f t="shared" ca="1" si="4"/>
        <v>1.65392445766369</v>
      </c>
      <c r="D38" s="34">
        <f t="shared" ca="1" si="1"/>
        <v>779.52805219535969</v>
      </c>
      <c r="E38" s="34">
        <f t="shared" ca="1" si="3"/>
        <v>32899.593264995296</v>
      </c>
      <c r="F38" s="63">
        <f t="shared" ca="1" si="7"/>
        <v>7.4170717777328754E-3</v>
      </c>
      <c r="G38" s="71"/>
      <c r="L38">
        <v>13</v>
      </c>
      <c r="M38">
        <v>1.0100912526915458</v>
      </c>
      <c r="N38">
        <v>-0.13451625269154577</v>
      </c>
      <c r="V38">
        <v>13</v>
      </c>
      <c r="W38">
        <v>537.05635300021993</v>
      </c>
      <c r="X38">
        <v>2.4436469997800714</v>
      </c>
    </row>
    <row r="39" spans="1:24" x14ac:dyDescent="0.25">
      <c r="A39" s="298"/>
      <c r="B39" s="73" t="s">
        <v>95</v>
      </c>
      <c r="C39" s="74">
        <f t="shared" ca="1" si="4"/>
        <v>1.674578392832998</v>
      </c>
      <c r="D39" s="59">
        <f t="shared" ca="1" si="1"/>
        <v>787.22806485480726</v>
      </c>
      <c r="E39" s="59">
        <f t="shared" ca="1" si="3"/>
        <v>33143.611909699983</v>
      </c>
      <c r="F39" s="68">
        <f ca="1">((1+$G$39)^(1/4))-1</f>
        <v>7.4170717777328754E-3</v>
      </c>
      <c r="G39" s="69">
        <f ca="1">OFFSET(D61,MATCH(S,A62:A64,0),0)</f>
        <v>0.03</v>
      </c>
      <c r="L39">
        <v>14</v>
      </c>
      <c r="M39">
        <v>1.0978032747240944</v>
      </c>
      <c r="N39">
        <v>-0.10705527472409448</v>
      </c>
      <c r="V39">
        <v>14</v>
      </c>
      <c r="W39">
        <v>555.68327996464404</v>
      </c>
      <c r="X39">
        <v>16.516720035356002</v>
      </c>
    </row>
    <row r="40" spans="1:24" x14ac:dyDescent="0.25">
      <c r="A40" s="298">
        <f t="shared" ref="A40" si="8">A36+1</f>
        <v>2028</v>
      </c>
      <c r="B40" s="70" t="s">
        <v>92</v>
      </c>
      <c r="C40">
        <f t="shared" ca="1" si="4"/>
        <v>1.6953855197219498</v>
      </c>
      <c r="D40" s="34">
        <f t="shared" ca="1" si="1"/>
        <v>794.98518906083962</v>
      </c>
      <c r="E40" s="34">
        <f t="shared" ca="1" si="3"/>
        <v>33389.440458207551</v>
      </c>
      <c r="F40" s="63">
        <f ca="1">((1+$G$43)^(1/4))-1</f>
        <v>7.4170717777328754E-3</v>
      </c>
      <c r="G40" s="71"/>
      <c r="L40">
        <v>15</v>
      </c>
      <c r="M40">
        <v>1.124358290568811</v>
      </c>
      <c r="N40">
        <v>-7.0538290568811002E-2</v>
      </c>
      <c r="V40">
        <v>15</v>
      </c>
      <c r="W40">
        <v>570.39422922911058</v>
      </c>
      <c r="X40">
        <v>11.705770770889444</v>
      </c>
    </row>
    <row r="41" spans="1:24" x14ac:dyDescent="0.25">
      <c r="A41" s="298"/>
      <c r="B41" s="72" t="s">
        <v>93</v>
      </c>
      <c r="C41">
        <f t="shared" ca="1" si="4"/>
        <v>1.7163469745645257</v>
      </c>
      <c r="D41" s="34">
        <f t="shared" ca="1" si="1"/>
        <v>802.79984841389694</v>
      </c>
      <c r="E41" s="34">
        <f t="shared" ca="1" si="3"/>
        <v>33637.092334704415</v>
      </c>
      <c r="F41" s="63">
        <f t="shared" ref="F41:F43" ca="1" si="9">((1+$G$43)^(1/4))-1</f>
        <v>7.4170717777328754E-3</v>
      </c>
      <c r="G41" s="71"/>
      <c r="L41">
        <v>16</v>
      </c>
      <c r="M41">
        <v>1.1535956312463271</v>
      </c>
      <c r="N41">
        <v>2.1396368753672901E-2</v>
      </c>
      <c r="V41">
        <v>16</v>
      </c>
      <c r="W41">
        <v>584.98211392444045</v>
      </c>
      <c r="X41">
        <v>8.0178860755595451</v>
      </c>
    </row>
    <row r="42" spans="1:24" x14ac:dyDescent="0.25">
      <c r="A42" s="298"/>
      <c r="B42" s="72" t="s">
        <v>94</v>
      </c>
      <c r="C42">
        <f t="shared" ca="1" si="4"/>
        <v>1.7374639020222333</v>
      </c>
      <c r="D42" s="34">
        <f t="shared" ca="1" si="1"/>
        <v>810.67246965629408</v>
      </c>
      <c r="E42" s="34">
        <f t="shared" ca="1" si="3"/>
        <v>33886.581062945144</v>
      </c>
      <c r="F42" s="63">
        <f ca="1">((1+$G$43)^(1/4))-1</f>
        <v>7.4170717777328754E-3</v>
      </c>
      <c r="G42" s="71"/>
      <c r="L42">
        <v>17</v>
      </c>
      <c r="M42">
        <v>1.1946352011881618</v>
      </c>
      <c r="N42">
        <v>-0.19408720118816181</v>
      </c>
      <c r="V42">
        <v>17</v>
      </c>
      <c r="W42">
        <v>598.55392704895155</v>
      </c>
      <c r="X42">
        <v>9.7460729510484043</v>
      </c>
    </row>
    <row r="43" spans="1:24" x14ac:dyDescent="0.25">
      <c r="A43" s="298"/>
      <c r="B43" s="73" t="s">
        <v>95</v>
      </c>
      <c r="C43" s="74">
        <f t="shared" ca="1" si="4"/>
        <v>1.7587374552466208</v>
      </c>
      <c r="D43" s="59">
        <f t="shared" ca="1" si="1"/>
        <v>818.60348269552526</v>
      </c>
      <c r="E43" s="59">
        <f t="shared" ca="1" si="3"/>
        <v>34137.920266990972</v>
      </c>
      <c r="F43" s="68">
        <f t="shared" ca="1" si="9"/>
        <v>7.4170717777328754E-3</v>
      </c>
      <c r="G43" s="69">
        <f ca="1">OFFSET(E61,MATCH(S,A62:A64,0),0)</f>
        <v>0.03</v>
      </c>
      <c r="L43">
        <v>18</v>
      </c>
      <c r="M43">
        <v>1.1994633858872012</v>
      </c>
      <c r="N43">
        <v>-0.17855738588720116</v>
      </c>
      <c r="V43">
        <v>18</v>
      </c>
      <c r="W43">
        <v>607.68594917923156</v>
      </c>
      <c r="X43">
        <v>2.4140508207684661</v>
      </c>
    </row>
    <row r="44" spans="1:24" x14ac:dyDescent="0.25">
      <c r="A44" s="298">
        <f t="shared" ref="A44" si="10">A40+1</f>
        <v>2029</v>
      </c>
      <c r="B44" s="70" t="s">
        <v>92</v>
      </c>
      <c r="C44">
        <f t="shared" ca="1" si="4"/>
        <v>1.7801687959422408</v>
      </c>
      <c r="D44" s="34">
        <f t="shared" ca="1" si="1"/>
        <v>826.59332062773831</v>
      </c>
      <c r="E44" s="34">
        <f t="shared" ca="1" si="3"/>
        <v>34391.123671953763</v>
      </c>
      <c r="F44" s="63">
        <f ca="1">((1+$G$47)^(1/4))-1</f>
        <v>7.4170717777328754E-3</v>
      </c>
      <c r="G44" s="71"/>
      <c r="L44">
        <v>19</v>
      </c>
      <c r="M44">
        <v>1.2182396597167988</v>
      </c>
      <c r="N44">
        <v>-6.0689659716798738E-2</v>
      </c>
      <c r="V44">
        <v>19</v>
      </c>
      <c r="W44">
        <v>623.90207278929017</v>
      </c>
      <c r="X44">
        <v>-6.8020727892901505</v>
      </c>
    </row>
    <row r="45" spans="1:24" x14ac:dyDescent="0.25">
      <c r="A45" s="298"/>
      <c r="B45" s="72" t="s">
        <v>93</v>
      </c>
      <c r="C45">
        <f t="shared" ca="1" si="4"/>
        <v>1.8017590944300936</v>
      </c>
      <c r="D45" s="34">
        <f t="shared" ca="1" si="1"/>
        <v>834.64241976138726</v>
      </c>
      <c r="E45" s="34">
        <f t="shared" ca="1" si="3"/>
        <v>34646.205104745532</v>
      </c>
      <c r="F45" s="63">
        <f t="shared" ref="F45:F47" ca="1" si="11">((1+$G$47)^(1/4))-1</f>
        <v>7.4170717777328754E-3</v>
      </c>
      <c r="G45" s="71"/>
      <c r="L45">
        <v>20</v>
      </c>
      <c r="M45">
        <v>1.2582062997255137</v>
      </c>
      <c r="N45">
        <v>-3.3621299725513643E-2</v>
      </c>
      <c r="V45">
        <v>20</v>
      </c>
      <c r="W45">
        <v>634.29314012688951</v>
      </c>
      <c r="X45">
        <v>-2.2931401268895115</v>
      </c>
    </row>
    <row r="46" spans="1:24" x14ac:dyDescent="0.25">
      <c r="A46" s="298"/>
      <c r="B46" s="72" t="s">
        <v>94</v>
      </c>
      <c r="C46">
        <f t="shared" ca="1" si="4"/>
        <v>1.8235095297115334</v>
      </c>
      <c r="D46" s="34">
        <f t="shared" ca="1" si="1"/>
        <v>842.75121964105654</v>
      </c>
      <c r="E46" s="34">
        <f t="shared" ca="1" si="3"/>
        <v>34903.178494833483</v>
      </c>
      <c r="F46" s="63">
        <f ca="1">((1+$G$47)^(1/4))-1</f>
        <v>7.4170717777328754E-3</v>
      </c>
      <c r="G46" s="71"/>
      <c r="L46">
        <v>21</v>
      </c>
      <c r="M46">
        <v>1.2732273187891916</v>
      </c>
      <c r="N46">
        <v>-4.6026318789191611E-2</v>
      </c>
      <c r="V46">
        <v>21</v>
      </c>
      <c r="W46">
        <v>644.61478642548866</v>
      </c>
      <c r="X46">
        <v>-7.0147864254886372</v>
      </c>
    </row>
    <row r="47" spans="1:24" x14ac:dyDescent="0.25">
      <c r="A47" s="298"/>
      <c r="B47" s="73" t="s">
        <v>95</v>
      </c>
      <c r="C47" s="74">
        <f t="shared" ca="1" si="4"/>
        <v>1.8454212895326521</v>
      </c>
      <c r="D47" s="59">
        <f t="shared" ca="1" si="1"/>
        <v>850.92016307146457</v>
      </c>
      <c r="E47" s="59">
        <f t="shared" ca="1" si="3"/>
        <v>35162.057875000683</v>
      </c>
      <c r="F47" s="68">
        <f t="shared" ca="1" si="11"/>
        <v>7.4170717777328754E-3</v>
      </c>
      <c r="G47" s="69">
        <f ca="1">OFFSET(F61,MATCH(S,A62:A64,0),0)</f>
        <v>0.03</v>
      </c>
      <c r="L47">
        <v>22</v>
      </c>
      <c r="M47">
        <v>1.3317020001442239</v>
      </c>
      <c r="N47">
        <v>0.10414399985577605</v>
      </c>
      <c r="V47">
        <v>22</v>
      </c>
      <c r="W47">
        <v>657.00328638522603</v>
      </c>
      <c r="X47">
        <v>2.3967136147739438</v>
      </c>
    </row>
    <row r="48" spans="1:24" x14ac:dyDescent="0.25">
      <c r="A48" s="298">
        <f t="shared" ref="A48" si="12">A44+1</f>
        <v>2030</v>
      </c>
      <c r="B48" s="70" t="s">
        <v>92</v>
      </c>
      <c r="C48">
        <f t="shared" ca="1" si="4"/>
        <v>1.8674955704491407</v>
      </c>
      <c r="D48" s="34">
        <f t="shared" ca="1" si="1"/>
        <v>859.14969614164409</v>
      </c>
      <c r="E48" s="34">
        <f t="shared" ca="1" si="3"/>
        <v>35422.857382112357</v>
      </c>
      <c r="F48" s="63">
        <f ca="1">((1+$G$51)^(1/4))-1</f>
        <v>7.4170717777328754E-3</v>
      </c>
      <c r="G48" s="71"/>
      <c r="L48">
        <v>23</v>
      </c>
      <c r="M48">
        <v>1.3182903759802258</v>
      </c>
      <c r="N48">
        <v>0.20440162401977413</v>
      </c>
      <c r="V48">
        <v>23</v>
      </c>
      <c r="W48">
        <v>668.30629373514432</v>
      </c>
      <c r="X48">
        <v>-13.906293735144345</v>
      </c>
    </row>
    <row r="49" spans="1:24" ht="15.75" thickBot="1" x14ac:dyDescent="0.3">
      <c r="A49" s="298"/>
      <c r="B49" s="72" t="s">
        <v>93</v>
      </c>
      <c r="C49">
        <f t="shared" ca="1" si="4"/>
        <v>1.8897335778916289</v>
      </c>
      <c r="D49" s="34">
        <f t="shared" ca="1" si="1"/>
        <v>867.44026824930245</v>
      </c>
      <c r="E49" s="34">
        <f t="shared" ca="1" si="3"/>
        <v>35685.591257887878</v>
      </c>
      <c r="F49" s="63">
        <f t="shared" ref="F49:F51" ca="1" si="13">((1+$G$51)^(1/4))-1</f>
        <v>7.4170717777328754E-3</v>
      </c>
      <c r="G49" s="71"/>
      <c r="L49" s="64">
        <v>24</v>
      </c>
      <c r="M49" s="64">
        <v>1.3724733376027789</v>
      </c>
      <c r="N49" s="64">
        <v>0.22780366239722105</v>
      </c>
      <c r="V49" s="64">
        <v>24</v>
      </c>
      <c r="W49" s="64">
        <v>679.31899492197147</v>
      </c>
      <c r="X49" s="64">
        <v>-4.7189949219714435</v>
      </c>
    </row>
    <row r="50" spans="1:24" x14ac:dyDescent="0.25">
      <c r="A50" s="298"/>
      <c r="B50" s="72" t="s">
        <v>94</v>
      </c>
      <c r="C50">
        <f t="shared" ca="1" si="4"/>
        <v>1.9121365262315115</v>
      </c>
      <c r="D50" s="34">
        <f t="shared" ca="1" si="1"/>
        <v>875.79233212536167</v>
      </c>
      <c r="E50" s="34">
        <f t="shared" ca="1" si="3"/>
        <v>35950.273849678466</v>
      </c>
      <c r="F50" s="63">
        <f t="shared" ca="1" si="13"/>
        <v>7.4170717777328754E-3</v>
      </c>
      <c r="G50" s="71"/>
    </row>
    <row r="51" spans="1:24" x14ac:dyDescent="0.25">
      <c r="A51" s="298"/>
      <c r="B51" s="73" t="s">
        <v>95</v>
      </c>
      <c r="C51" s="74">
        <f t="shared" ca="1" si="4"/>
        <v>1.9347056388472637</v>
      </c>
      <c r="D51" s="59">
        <f t="shared" ca="1" si="1"/>
        <v>884.20634385868186</v>
      </c>
      <c r="E51" s="59">
        <f t="shared" ca="1" si="3"/>
        <v>36216.919611250683</v>
      </c>
      <c r="F51" s="68">
        <f t="shared" ca="1" si="13"/>
        <v>7.4170717777328754E-3</v>
      </c>
      <c r="G51" s="69">
        <f ca="1">OFFSET(G61,MATCH(S,A62:A64,0),0)</f>
        <v>0.03</v>
      </c>
    </row>
    <row r="55" spans="1:24" x14ac:dyDescent="0.25">
      <c r="A55" t="s">
        <v>140</v>
      </c>
      <c r="B55" t="s">
        <v>141</v>
      </c>
      <c r="C55" t="s">
        <v>142</v>
      </c>
    </row>
    <row r="56" spans="1:24" x14ac:dyDescent="0.25">
      <c r="A56" t="s">
        <v>143</v>
      </c>
      <c r="B56" s="75">
        <v>0.03</v>
      </c>
      <c r="C56" t="s">
        <v>144</v>
      </c>
    </row>
    <row r="57" spans="1:24" x14ac:dyDescent="0.25">
      <c r="A57" t="s">
        <v>145</v>
      </c>
      <c r="B57" t="s">
        <v>146</v>
      </c>
      <c r="C57" t="s">
        <v>147</v>
      </c>
    </row>
    <row r="58" spans="1:24" x14ac:dyDescent="0.25">
      <c r="A58" t="s">
        <v>148</v>
      </c>
      <c r="B58" t="s">
        <v>149</v>
      </c>
      <c r="C58" t="s">
        <v>150</v>
      </c>
    </row>
    <row r="60" spans="1:24" x14ac:dyDescent="0.25">
      <c r="B60" s="71"/>
      <c r="C60" s="71"/>
      <c r="D60" s="71"/>
      <c r="E60" s="71"/>
      <c r="F60" s="71"/>
      <c r="G60" s="71"/>
      <c r="H60" s="71"/>
      <c r="I60" s="71"/>
      <c r="J60" s="71"/>
      <c r="K60" s="77"/>
      <c r="L60" s="71"/>
      <c r="M60" s="71"/>
      <c r="N60" s="71"/>
      <c r="O60" s="71"/>
      <c r="P60" s="71"/>
      <c r="Q60" s="71"/>
      <c r="R60" s="71"/>
      <c r="S60" s="71"/>
      <c r="T60" s="71"/>
      <c r="U60" s="71"/>
      <c r="V60" s="71"/>
    </row>
    <row r="61" spans="1:24" x14ac:dyDescent="0.25">
      <c r="A61" s="76" t="s">
        <v>151</v>
      </c>
      <c r="B61" s="76">
        <v>2025</v>
      </c>
      <c r="C61" s="76">
        <f>B61+1</f>
        <v>2026</v>
      </c>
      <c r="D61" s="76">
        <f t="shared" ref="D61:G61" si="14">C61+1</f>
        <v>2027</v>
      </c>
      <c r="E61" s="76">
        <f t="shared" si="14"/>
        <v>2028</v>
      </c>
      <c r="F61" s="76">
        <f t="shared" si="14"/>
        <v>2029</v>
      </c>
      <c r="G61" s="76">
        <f t="shared" si="14"/>
        <v>2030</v>
      </c>
    </row>
    <row r="62" spans="1:24" x14ac:dyDescent="0.25">
      <c r="A62" t="s">
        <v>143</v>
      </c>
      <c r="B62" s="63">
        <v>0.03</v>
      </c>
      <c r="C62" s="63">
        <v>0.03</v>
      </c>
      <c r="D62" s="63">
        <v>0.03</v>
      </c>
      <c r="E62" s="63">
        <v>0.03</v>
      </c>
      <c r="F62" s="63">
        <v>0.03</v>
      </c>
      <c r="G62" s="63">
        <v>0.03</v>
      </c>
    </row>
    <row r="63" spans="1:24" x14ac:dyDescent="0.25">
      <c r="A63" t="s">
        <v>145</v>
      </c>
      <c r="B63" s="63">
        <f>AVERAGE($G$5,$G$9,$G$13,$G$17,$G$21,$G$25)</f>
        <v>4.8400151587450681E-2</v>
      </c>
      <c r="C63" s="63">
        <f t="shared" ref="C63:G63" si="15">AVERAGE($G$5,$G$9,$G$13,$G$17,$G$21,$G$25)</f>
        <v>4.8400151587450681E-2</v>
      </c>
      <c r="D63" s="63">
        <f t="shared" si="15"/>
        <v>4.8400151587450681E-2</v>
      </c>
      <c r="E63" s="63">
        <f t="shared" si="15"/>
        <v>4.8400151587450681E-2</v>
      </c>
      <c r="F63" s="63">
        <f t="shared" si="15"/>
        <v>4.8400151587450681E-2</v>
      </c>
      <c r="G63" s="63">
        <f t="shared" si="15"/>
        <v>4.8400151587450681E-2</v>
      </c>
    </row>
    <row r="64" spans="1:24" x14ac:dyDescent="0.25">
      <c r="A64" t="s">
        <v>148</v>
      </c>
      <c r="B64" s="63">
        <f>B62-0.01</f>
        <v>1.9999999999999997E-2</v>
      </c>
      <c r="C64" s="63">
        <f t="shared" ref="C64:G64" si="16">C62-0.01</f>
        <v>1.9999999999999997E-2</v>
      </c>
      <c r="D64" s="63">
        <f t="shared" si="16"/>
        <v>1.9999999999999997E-2</v>
      </c>
      <c r="E64" s="63">
        <f t="shared" si="16"/>
        <v>1.9999999999999997E-2</v>
      </c>
      <c r="F64" s="63">
        <f t="shared" si="16"/>
        <v>1.9999999999999997E-2</v>
      </c>
      <c r="G64" s="63">
        <f t="shared" si="16"/>
        <v>1.9999999999999997E-2</v>
      </c>
    </row>
  </sheetData>
  <mergeCells count="12">
    <mergeCell ref="A48:A51"/>
    <mergeCell ref="A2:A5"/>
    <mergeCell ref="A6:A9"/>
    <mergeCell ref="A10:A13"/>
    <mergeCell ref="A14:A17"/>
    <mergeCell ref="A18:A21"/>
    <mergeCell ref="A22:A25"/>
    <mergeCell ref="A28:A31"/>
    <mergeCell ref="A32:A35"/>
    <mergeCell ref="A36:A39"/>
    <mergeCell ref="A40:A43"/>
    <mergeCell ref="A44:A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APIC</vt:lpstr>
      <vt:lpstr>Mark_Secs</vt:lpstr>
      <vt:lpstr>Schedules</vt:lpstr>
      <vt:lpstr>Debt_Schedule</vt:lpstr>
      <vt:lpstr>Metrics</vt:lpstr>
      <vt:lpstr>3_Statement_Model</vt:lpstr>
      <vt:lpstr>DCF</vt:lpstr>
      <vt:lpstr>Comps_Analysis</vt:lpstr>
      <vt:lpstr>Assumptions</vt:lpstr>
      <vt:lpstr>Sheet1</vt:lpstr>
      <vt:lpstr>Revenue_Regression</vt:lpstr>
      <vt:lpst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Nkgopoleng Sebake</dc:creator>
  <cp:lastModifiedBy>Nkgopoleng Sebake</cp:lastModifiedBy>
  <dcterms:created xsi:type="dcterms:W3CDTF">2015-06-05T18:17:20Z</dcterms:created>
  <dcterms:modified xsi:type="dcterms:W3CDTF">2025-09-13T21:34:30Z</dcterms:modified>
</cp:coreProperties>
</file>